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\Documents\"/>
    </mc:Choice>
  </mc:AlternateContent>
  <xr:revisionPtr revIDLastSave="0" documentId="13_ncr:1_{930D0E9D-F673-40C5-A321-B517FC718E1F}" xr6:coauthVersionLast="47" xr6:coauthVersionMax="47" xr10:uidLastSave="{00000000-0000-0000-0000-000000000000}"/>
  <bookViews>
    <workbookView xWindow="-108" yWindow="-108" windowWidth="30936" windowHeight="16896" xr2:uid="{166FB258-592D-4D06-9548-F4A093D1A525}"/>
  </bookViews>
  <sheets>
    <sheet name="Deal Summary" sheetId="5" r:id="rId1"/>
    <sheet name="Unit List &amp; Rent Roll" sheetId="1" r:id="rId2"/>
    <sheet name="Comps" sheetId="6" r:id="rId3"/>
    <sheet name="Input Assumptions" sheetId="2" r:id="rId4"/>
    <sheet name="Debt Assumptions" sheetId="11" r:id="rId5"/>
    <sheet name="Reversion Proforma" sheetId="8" r:id="rId6"/>
    <sheet name="Monthly Cashflow" sheetId="3" r:id="rId7"/>
    <sheet name="Annual Cashflow" sheetId="4" r:id="rId8"/>
    <sheet name="Partnership Returns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9" i="5" l="1"/>
  <c r="G39" i="5"/>
  <c r="C26" i="9"/>
  <c r="D38" i="5" s="1"/>
  <c r="C19" i="9"/>
  <c r="G38" i="5" s="1"/>
  <c r="G37" i="5"/>
  <c r="D37" i="5"/>
  <c r="E35" i="9"/>
  <c r="E36" i="9" s="1"/>
  <c r="F13" i="9" l="1"/>
  <c r="E13" i="9"/>
  <c r="B32" i="9"/>
  <c r="B31" i="9"/>
  <c r="B30" i="9"/>
  <c r="B29" i="9"/>
  <c r="G11" i="9"/>
  <c r="F11" i="9"/>
  <c r="G10" i="9"/>
  <c r="F10" i="9"/>
  <c r="E7" i="9"/>
  <c r="E6" i="9"/>
  <c r="D10" i="11" l="1"/>
  <c r="D11" i="11"/>
  <c r="G8" i="5"/>
  <c r="E29" i="5"/>
  <c r="B39" i="5" s="1"/>
  <c r="E39" i="5" s="1"/>
  <c r="E28" i="5"/>
  <c r="B38" i="5" s="1"/>
  <c r="E38" i="5" s="1"/>
  <c r="E27" i="5"/>
  <c r="B37" i="5" s="1"/>
  <c r="E37" i="5" s="1"/>
  <c r="B29" i="5"/>
  <c r="B28" i="5"/>
  <c r="B27" i="5"/>
  <c r="B23" i="5"/>
  <c r="B22" i="5"/>
  <c r="E16" i="5"/>
  <c r="B21" i="5"/>
  <c r="B20" i="5"/>
  <c r="B19" i="5"/>
  <c r="B18" i="5"/>
  <c r="G11" i="5"/>
  <c r="F15" i="5" s="1"/>
  <c r="G7" i="5"/>
  <c r="G6" i="5"/>
  <c r="G5" i="5"/>
  <c r="G4" i="5"/>
  <c r="B4" i="5"/>
  <c r="H3" i="11" l="1"/>
  <c r="J41" i="1"/>
  <c r="I41" i="1"/>
  <c r="H41" i="1"/>
  <c r="G41" i="1"/>
  <c r="F41" i="1"/>
  <c r="E41" i="1"/>
  <c r="D49" i="1"/>
  <c r="D48" i="1"/>
  <c r="D47" i="1"/>
  <c r="D46" i="1"/>
  <c r="J40" i="1"/>
  <c r="I40" i="1"/>
  <c r="G40" i="1"/>
  <c r="H40" i="1" s="1"/>
  <c r="F40" i="1"/>
  <c r="J39" i="1"/>
  <c r="I39" i="1"/>
  <c r="G39" i="1"/>
  <c r="H39" i="1" s="1"/>
  <c r="F39" i="1"/>
  <c r="J38" i="1"/>
  <c r="I38" i="1"/>
  <c r="G38" i="1"/>
  <c r="H38" i="1" s="1"/>
  <c r="F38" i="1"/>
  <c r="J37" i="1"/>
  <c r="I37" i="1"/>
  <c r="G37" i="1"/>
  <c r="H37" i="1" s="1"/>
  <c r="F37" i="1"/>
  <c r="J36" i="1"/>
  <c r="I36" i="1"/>
  <c r="G36" i="1"/>
  <c r="H36" i="1" s="1"/>
  <c r="F36" i="1"/>
  <c r="J35" i="1"/>
  <c r="I35" i="1"/>
  <c r="G35" i="1"/>
  <c r="H35" i="1" s="1"/>
  <c r="F35" i="1"/>
  <c r="J34" i="1"/>
  <c r="I34" i="1"/>
  <c r="H34" i="1"/>
  <c r="G34" i="1"/>
  <c r="F34" i="1"/>
  <c r="J33" i="1"/>
  <c r="I33" i="1"/>
  <c r="G33" i="1"/>
  <c r="H33" i="1" s="1"/>
  <c r="F33" i="1"/>
  <c r="J32" i="1"/>
  <c r="I32" i="1"/>
  <c r="H32" i="1"/>
  <c r="G32" i="1"/>
  <c r="F32" i="1"/>
  <c r="J31" i="1"/>
  <c r="I31" i="1"/>
  <c r="G31" i="1"/>
  <c r="H31" i="1" s="1"/>
  <c r="F31" i="1"/>
  <c r="J30" i="1"/>
  <c r="I30" i="1"/>
  <c r="G30" i="1"/>
  <c r="H30" i="1" s="1"/>
  <c r="F30" i="1"/>
  <c r="J29" i="1"/>
  <c r="I29" i="1"/>
  <c r="G29" i="1"/>
  <c r="H29" i="1" s="1"/>
  <c r="F29" i="1"/>
  <c r="J28" i="1"/>
  <c r="I28" i="1"/>
  <c r="G28" i="1"/>
  <c r="H28" i="1" s="1"/>
  <c r="F28" i="1"/>
  <c r="J27" i="1"/>
  <c r="I27" i="1"/>
  <c r="G27" i="1"/>
  <c r="H27" i="1" s="1"/>
  <c r="F27" i="1"/>
  <c r="J26" i="1"/>
  <c r="I26" i="1"/>
  <c r="G26" i="1"/>
  <c r="H26" i="1" s="1"/>
  <c r="F26" i="1"/>
  <c r="C41" i="1"/>
  <c r="B69" i="4"/>
  <c r="B68" i="4"/>
  <c r="B67" i="4"/>
  <c r="B66" i="4"/>
  <c r="B65" i="4"/>
  <c r="B63" i="4"/>
  <c r="B62" i="4"/>
  <c r="B60" i="4"/>
  <c r="B59" i="4"/>
  <c r="B57" i="4"/>
  <c r="B56" i="4"/>
  <c r="B55" i="4"/>
  <c r="B54" i="4"/>
  <c r="B47" i="4"/>
  <c r="B52" i="4"/>
  <c r="B51" i="4"/>
  <c r="B50" i="4"/>
  <c r="B54" i="3"/>
  <c r="H2" i="11"/>
  <c r="D3" i="11"/>
  <c r="B63" i="3"/>
  <c r="B58" i="3"/>
  <c r="C53" i="3" l="1"/>
  <c r="C50" i="4" s="1"/>
  <c r="D4" i="11"/>
  <c r="C54" i="3" s="1"/>
  <c r="C51" i="4" s="1"/>
  <c r="B51" i="3"/>
  <c r="B48" i="4" s="1"/>
  <c r="D5" i="3"/>
  <c r="D4" i="3" s="1"/>
  <c r="N2" i="1"/>
  <c r="E6" i="6"/>
  <c r="D6" i="6"/>
  <c r="B12" i="3"/>
  <c r="B9" i="4" s="1"/>
  <c r="B45" i="4"/>
  <c r="B44" i="4"/>
  <c r="B43" i="4"/>
  <c r="B42" i="4"/>
  <c r="B41" i="4"/>
  <c r="B39" i="4"/>
  <c r="B37" i="4"/>
  <c r="B36" i="4"/>
  <c r="B34" i="4"/>
  <c r="B33" i="4"/>
  <c r="B31" i="4"/>
  <c r="B29" i="4"/>
  <c r="B28" i="4"/>
  <c r="B27" i="4"/>
  <c r="B26" i="4"/>
  <c r="B25" i="4"/>
  <c r="B24" i="4"/>
  <c r="B23" i="4"/>
  <c r="B22" i="4"/>
  <c r="B21" i="4"/>
  <c r="B20" i="4"/>
  <c r="B18" i="4"/>
  <c r="B17" i="4"/>
  <c r="B15" i="4"/>
  <c r="B14" i="4"/>
  <c r="B13" i="4"/>
  <c r="B12" i="4"/>
  <c r="B10" i="4"/>
  <c r="B17" i="5" s="1"/>
  <c r="B8" i="4"/>
  <c r="B16" i="5" s="1"/>
  <c r="B7" i="4"/>
  <c r="D4" i="4"/>
  <c r="B4" i="4"/>
  <c r="B1" i="4"/>
  <c r="C6" i="2"/>
  <c r="N1" i="1" l="1"/>
  <c r="D59" i="3" a="1"/>
  <c r="D59" i="3" s="1"/>
  <c r="D5" i="11"/>
  <c r="H4" i="11"/>
  <c r="B52" i="3"/>
  <c r="B49" i="4" s="1"/>
  <c r="O2" i="1"/>
  <c r="B41" i="3"/>
  <c r="B64" i="3" s="1"/>
  <c r="B61" i="4" s="1"/>
  <c r="D34" i="2"/>
  <c r="I2" i="11" s="1"/>
  <c r="I3" i="11" s="1"/>
  <c r="B4" i="8"/>
  <c r="B28" i="8"/>
  <c r="B26" i="8"/>
  <c r="B25" i="8"/>
  <c r="B23" i="8"/>
  <c r="B21" i="8"/>
  <c r="B20" i="8"/>
  <c r="B19" i="8"/>
  <c r="B18" i="8"/>
  <c r="B17" i="8"/>
  <c r="B16" i="8"/>
  <c r="B15" i="8"/>
  <c r="B14" i="8"/>
  <c r="B13" i="8"/>
  <c r="B12" i="8"/>
  <c r="B10" i="8"/>
  <c r="B9" i="8"/>
  <c r="B7" i="8"/>
  <c r="B6" i="8"/>
  <c r="B5" i="8"/>
  <c r="O1" i="1" l="1"/>
  <c r="I4" i="11"/>
  <c r="P2" i="1"/>
  <c r="Q2" i="1" s="1"/>
  <c r="B27" i="8"/>
  <c r="B38" i="4"/>
  <c r="E34" i="2"/>
  <c r="J2" i="11" s="1"/>
  <c r="J3" i="11" s="1"/>
  <c r="E4" i="4"/>
  <c r="C11" i="3"/>
  <c r="B1" i="3"/>
  <c r="C6" i="3"/>
  <c r="D6" i="3" s="1"/>
  <c r="D65" i="3" s="1"/>
  <c r="G13" i="9" l="1"/>
  <c r="J4" i="11"/>
  <c r="C12" i="3"/>
  <c r="C52" i="3" s="1"/>
  <c r="C49" i="4" s="1"/>
  <c r="C51" i="3"/>
  <c r="C48" i="4" s="1"/>
  <c r="P1" i="1"/>
  <c r="R2" i="1"/>
  <c r="Q1" i="1"/>
  <c r="F34" i="2"/>
  <c r="F4" i="4"/>
  <c r="H13" i="9" s="1"/>
  <c r="E41" i="2"/>
  <c r="F41" i="2" l="1"/>
  <c r="K2" i="11"/>
  <c r="K3" i="11" s="1"/>
  <c r="R1" i="1"/>
  <c r="S2" i="1"/>
  <c r="G34" i="2"/>
  <c r="G4" i="4"/>
  <c r="I13" i="9" s="1"/>
  <c r="E5" i="6"/>
  <c r="E4" i="6"/>
  <c r="D5" i="6"/>
  <c r="D4" i="6"/>
  <c r="D3" i="6"/>
  <c r="G41" i="2" l="1"/>
  <c r="L2" i="11"/>
  <c r="L3" i="11" s="1"/>
  <c r="K4" i="11"/>
  <c r="S1" i="1"/>
  <c r="T2" i="1"/>
  <c r="H34" i="2"/>
  <c r="H4" i="4"/>
  <c r="J13" i="9" s="1"/>
  <c r="G10" i="6"/>
  <c r="H41" i="2" l="1"/>
  <c r="M2" i="11"/>
  <c r="M3" i="11" s="1"/>
  <c r="L4" i="11"/>
  <c r="U2" i="1"/>
  <c r="T1" i="1"/>
  <c r="I34" i="2"/>
  <c r="I4" i="4"/>
  <c r="K13" i="9" s="1"/>
  <c r="G61" i="1"/>
  <c r="F61" i="1"/>
  <c r="E61" i="1"/>
  <c r="D61" i="1"/>
  <c r="G53" i="1"/>
  <c r="F53" i="1"/>
  <c r="I41" i="2" l="1"/>
  <c r="N2" i="11"/>
  <c r="N3" i="11" s="1"/>
  <c r="M4" i="11"/>
  <c r="V2" i="1"/>
  <c r="U1" i="1"/>
  <c r="J34" i="2"/>
  <c r="J4" i="4"/>
  <c r="L13" i="9" s="1"/>
  <c r="J41" i="2" l="1"/>
  <c r="O2" i="11"/>
  <c r="O3" i="11" s="1"/>
  <c r="N4" i="11"/>
  <c r="W2" i="1"/>
  <c r="V1" i="1"/>
  <c r="K34" i="2"/>
  <c r="K4" i="4"/>
  <c r="M13" i="9" s="1"/>
  <c r="C6" i="6"/>
  <c r="C5" i="6"/>
  <c r="C4" i="6"/>
  <c r="C3" i="6"/>
  <c r="G9" i="6"/>
  <c r="E3" i="6" s="1"/>
  <c r="K41" i="2" l="1"/>
  <c r="P2" i="11"/>
  <c r="P3" i="11" s="1"/>
  <c r="O4" i="11"/>
  <c r="X2" i="1"/>
  <c r="W1" i="1"/>
  <c r="L34" i="2"/>
  <c r="L4" i="4"/>
  <c r="N13" i="9" s="1"/>
  <c r="P4" i="11" l="1"/>
  <c r="M4" i="4"/>
  <c r="Q2" i="11"/>
  <c r="Q3" i="11" s="1"/>
  <c r="X1" i="1"/>
  <c r="Y2" i="1"/>
  <c r="L41" i="2"/>
  <c r="C55" i="3"/>
  <c r="C69" i="3" s="1"/>
  <c r="O13" i="9" l="1"/>
  <c r="G12" i="5"/>
  <c r="C52" i="4"/>
  <c r="Q4" i="11"/>
  <c r="Y1" i="1"/>
  <c r="Z2" i="1"/>
  <c r="E78" i="2"/>
  <c r="E77" i="2"/>
  <c r="C49" i="1"/>
  <c r="E49" i="1" s="1"/>
  <c r="C48" i="1"/>
  <c r="E48" i="1" s="1"/>
  <c r="C47" i="1"/>
  <c r="E47" i="1" s="1"/>
  <c r="C46" i="1"/>
  <c r="L67" i="2"/>
  <c r="K67" i="2"/>
  <c r="J67" i="2"/>
  <c r="I67" i="2"/>
  <c r="H67" i="2"/>
  <c r="G67" i="2"/>
  <c r="F67" i="2"/>
  <c r="E67" i="2"/>
  <c r="D67" i="2"/>
  <c r="C67" i="2"/>
  <c r="E61" i="2"/>
  <c r="E60" i="2"/>
  <c r="E59" i="2"/>
  <c r="E58" i="2"/>
  <c r="C36" i="2"/>
  <c r="C43" i="2"/>
  <c r="Z1" i="1" l="1"/>
  <c r="AA2" i="1"/>
  <c r="E46" i="1"/>
  <c r="J24" i="1" s="1"/>
  <c r="C13" i="3"/>
  <c r="C45" i="3" s="1"/>
  <c r="C57" i="1"/>
  <c r="C71" i="2"/>
  <c r="E71" i="2" s="1"/>
  <c r="C72" i="2"/>
  <c r="E72" i="2" s="1"/>
  <c r="C73" i="2"/>
  <c r="E73" i="2" s="1"/>
  <c r="C74" i="2"/>
  <c r="E74" i="2" s="1"/>
  <c r="C55" i="1"/>
  <c r="C56" i="1"/>
  <c r="AA1" i="1" l="1"/>
  <c r="AB2" i="1"/>
  <c r="J8" i="1"/>
  <c r="J7" i="1"/>
  <c r="J9" i="1"/>
  <c r="J10" i="1"/>
  <c r="J11" i="1"/>
  <c r="J3" i="1"/>
  <c r="J12" i="1"/>
  <c r="J6" i="1"/>
  <c r="J13" i="1"/>
  <c r="J14" i="1"/>
  <c r="J15" i="1"/>
  <c r="J16" i="1"/>
  <c r="J17" i="1"/>
  <c r="J21" i="1"/>
  <c r="J22" i="1"/>
  <c r="J18" i="1"/>
  <c r="J20" i="1"/>
  <c r="J19" i="1"/>
  <c r="J25" i="1"/>
  <c r="J23" i="1"/>
  <c r="J5" i="1"/>
  <c r="J4" i="1"/>
  <c r="F48" i="1"/>
  <c r="G48" i="1" s="1"/>
  <c r="F49" i="1"/>
  <c r="G49" i="1" s="1"/>
  <c r="F47" i="1"/>
  <c r="G47" i="1" s="1"/>
  <c r="F46" i="1"/>
  <c r="G46" i="1" s="1"/>
  <c r="E79" i="2"/>
  <c r="E80" i="2" s="1"/>
  <c r="E81" i="2" s="1"/>
  <c r="C91" i="2" s="1"/>
  <c r="C65" i="1"/>
  <c r="E65" i="1" s="1"/>
  <c r="D55" i="1"/>
  <c r="D63" i="1" s="1"/>
  <c r="D54" i="1"/>
  <c r="D62" i="1" s="1"/>
  <c r="D57" i="1"/>
  <c r="D65" i="1" s="1"/>
  <c r="D56" i="1"/>
  <c r="D64" i="1" s="1"/>
  <c r="C63" i="1"/>
  <c r="E63" i="1" s="1"/>
  <c r="C64" i="1"/>
  <c r="E64" i="1" s="1"/>
  <c r="AB1" i="1" l="1"/>
  <c r="AC2" i="1"/>
  <c r="L91" i="2"/>
  <c r="K91" i="2"/>
  <c r="J91" i="2"/>
  <c r="I91" i="2"/>
  <c r="H91" i="2"/>
  <c r="G91" i="2"/>
  <c r="F91" i="2"/>
  <c r="E91" i="2"/>
  <c r="D91" i="2"/>
  <c r="AC1" i="1" l="1"/>
  <c r="AD2" i="1"/>
  <c r="C41" i="2"/>
  <c r="L66" i="2"/>
  <c r="L88" i="2" s="1"/>
  <c r="D50" i="2"/>
  <c r="E5" i="3" s="1"/>
  <c r="E6" i="3" s="1"/>
  <c r="E65" i="3" s="1"/>
  <c r="C32" i="2"/>
  <c r="C54" i="1"/>
  <c r="C21" i="2"/>
  <c r="C27" i="2"/>
  <c r="G3" i="1"/>
  <c r="H3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5" i="1"/>
  <c r="H5" i="1" s="1"/>
  <c r="G4" i="1"/>
  <c r="H4" i="1" s="1"/>
  <c r="K33" i="1" l="1"/>
  <c r="N33" i="1" s="1"/>
  <c r="K32" i="1"/>
  <c r="N32" i="1" s="1"/>
  <c r="K26" i="1"/>
  <c r="N26" i="1" s="1"/>
  <c r="K36" i="1"/>
  <c r="N36" i="1" s="1"/>
  <c r="K29" i="1"/>
  <c r="N29" i="1" s="1"/>
  <c r="K31" i="1"/>
  <c r="N31" i="1" s="1"/>
  <c r="K28" i="1"/>
  <c r="N28" i="1" s="1"/>
  <c r="K35" i="1"/>
  <c r="N35" i="1" s="1"/>
  <c r="K40" i="1"/>
  <c r="N40" i="1" s="1"/>
  <c r="K37" i="1"/>
  <c r="N37" i="1" s="1"/>
  <c r="K34" i="1"/>
  <c r="N34" i="1" s="1"/>
  <c r="K27" i="1"/>
  <c r="N27" i="1" s="1"/>
  <c r="K30" i="1"/>
  <c r="N30" i="1" s="1"/>
  <c r="K38" i="1"/>
  <c r="N38" i="1" s="1"/>
  <c r="K39" i="1"/>
  <c r="N39" i="1" s="1"/>
  <c r="E4" i="3"/>
  <c r="E59" i="3" s="1" a="1"/>
  <c r="E59" i="3" s="1"/>
  <c r="AE2" i="1"/>
  <c r="AD1" i="1"/>
  <c r="E54" i="1"/>
  <c r="F54" i="1" s="1"/>
  <c r="G54" i="1" s="1"/>
  <c r="E56" i="1"/>
  <c r="F56" i="1" s="1"/>
  <c r="G56" i="1" s="1"/>
  <c r="E55" i="1"/>
  <c r="F55" i="1" s="1"/>
  <c r="G55" i="1" s="1"/>
  <c r="E57" i="1"/>
  <c r="F57" i="1" s="1"/>
  <c r="G57" i="1" s="1"/>
  <c r="C39" i="2"/>
  <c r="H42" i="2" s="1"/>
  <c r="C66" i="2"/>
  <c r="C88" i="2" s="1"/>
  <c r="E50" i="2"/>
  <c r="F5" i="3" s="1"/>
  <c r="F4" i="3" s="1"/>
  <c r="F59" i="3" s="1" a="1"/>
  <c r="F59" i="3" s="1"/>
  <c r="C22" i="2"/>
  <c r="C62" i="1"/>
  <c r="E35" i="2"/>
  <c r="F35" i="2"/>
  <c r="G35" i="2"/>
  <c r="H35" i="2"/>
  <c r="I35" i="2"/>
  <c r="G66" i="2"/>
  <c r="G88" i="2" s="1"/>
  <c r="K35" i="2"/>
  <c r="F66" i="2"/>
  <c r="F88" i="2" s="1"/>
  <c r="H66" i="2"/>
  <c r="H88" i="2" s="1"/>
  <c r="J42" i="2"/>
  <c r="J35" i="2"/>
  <c r="D42" i="2"/>
  <c r="K42" i="2"/>
  <c r="J66" i="2"/>
  <c r="J88" i="2" s="1"/>
  <c r="E66" i="2"/>
  <c r="E88" i="2" s="1"/>
  <c r="I66" i="2"/>
  <c r="I88" i="2" s="1"/>
  <c r="K66" i="2"/>
  <c r="K88" i="2" s="1"/>
  <c r="L35" i="2"/>
  <c r="D41" i="2"/>
  <c r="D66" i="2" s="1"/>
  <c r="D88" i="2" s="1"/>
  <c r="D35" i="2"/>
  <c r="C11" i="2"/>
  <c r="F6" i="3" l="1"/>
  <c r="F65" i="3" s="1"/>
  <c r="AF2" i="1"/>
  <c r="AE1" i="1"/>
  <c r="E42" i="2"/>
  <c r="I42" i="2"/>
  <c r="F42" i="2"/>
  <c r="G42" i="2"/>
  <c r="J43" i="2" s="1"/>
  <c r="I6" i="1"/>
  <c r="K6" i="1" s="1"/>
  <c r="N6" i="1" s="1"/>
  <c r="I25" i="1"/>
  <c r="K25" i="1" s="1"/>
  <c r="N25" i="1" s="1"/>
  <c r="I17" i="1"/>
  <c r="K17" i="1" s="1"/>
  <c r="N17" i="1" s="1"/>
  <c r="I13" i="1"/>
  <c r="K13" i="1" s="1"/>
  <c r="N13" i="1" s="1"/>
  <c r="I14" i="1"/>
  <c r="K14" i="1" s="1"/>
  <c r="N14" i="1" s="1"/>
  <c r="I20" i="1"/>
  <c r="K20" i="1" s="1"/>
  <c r="N20" i="1" s="1"/>
  <c r="I9" i="1"/>
  <c r="K9" i="1" s="1"/>
  <c r="N9" i="1" s="1"/>
  <c r="I11" i="1"/>
  <c r="K11" i="1" s="1"/>
  <c r="N11" i="1" s="1"/>
  <c r="I8" i="1"/>
  <c r="K8" i="1" s="1"/>
  <c r="N8" i="1" s="1"/>
  <c r="I23" i="1"/>
  <c r="K23" i="1" s="1"/>
  <c r="N23" i="1" s="1"/>
  <c r="I15" i="1"/>
  <c r="K15" i="1" s="1"/>
  <c r="N15" i="1" s="1"/>
  <c r="I12" i="1"/>
  <c r="K12" i="1" s="1"/>
  <c r="N12" i="1" s="1"/>
  <c r="I19" i="1"/>
  <c r="K19" i="1" s="1"/>
  <c r="N19" i="1" s="1"/>
  <c r="I21" i="1"/>
  <c r="K21" i="1" s="1"/>
  <c r="N21" i="1" s="1"/>
  <c r="I16" i="1"/>
  <c r="K16" i="1" s="1"/>
  <c r="N16" i="1" s="1"/>
  <c r="I3" i="1"/>
  <c r="K3" i="1" s="1"/>
  <c r="I24" i="1"/>
  <c r="K24" i="1" s="1"/>
  <c r="N24" i="1" s="1"/>
  <c r="I10" i="1"/>
  <c r="K10" i="1" s="1"/>
  <c r="N10" i="1" s="1"/>
  <c r="I7" i="1"/>
  <c r="K7" i="1" s="1"/>
  <c r="N7" i="1" s="1"/>
  <c r="I5" i="1"/>
  <c r="K5" i="1" s="1"/>
  <c r="N5" i="1" s="1"/>
  <c r="I22" i="1"/>
  <c r="K22" i="1" s="1"/>
  <c r="N22" i="1" s="1"/>
  <c r="I4" i="1"/>
  <c r="K4" i="1" s="1"/>
  <c r="N4" i="1" s="1"/>
  <c r="I18" i="1"/>
  <c r="K18" i="1" s="1"/>
  <c r="N18" i="1" s="1"/>
  <c r="L42" i="2"/>
  <c r="F50" i="2"/>
  <c r="G5" i="3" s="1"/>
  <c r="G4" i="3" s="1"/>
  <c r="G59" i="3" s="1" a="1"/>
  <c r="G59" i="3" s="1"/>
  <c r="F63" i="1"/>
  <c r="G63" i="1" s="1"/>
  <c r="F64" i="1"/>
  <c r="G64" i="1" s="1"/>
  <c r="F65" i="1"/>
  <c r="G65" i="1" s="1"/>
  <c r="L36" i="2"/>
  <c r="K36" i="2"/>
  <c r="J36" i="2"/>
  <c r="I36" i="2"/>
  <c r="H36" i="2"/>
  <c r="G36" i="2"/>
  <c r="F36" i="2"/>
  <c r="E36" i="2"/>
  <c r="D36" i="2"/>
  <c r="H43" i="2"/>
  <c r="G43" i="2"/>
  <c r="F43" i="2"/>
  <c r="E43" i="2"/>
  <c r="D43" i="2"/>
  <c r="L43" i="2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C8" i="2"/>
  <c r="C10" i="2"/>
  <c r="C51" i="2" s="1"/>
  <c r="K43" i="2" l="1"/>
  <c r="I43" i="2"/>
  <c r="N3" i="1"/>
  <c r="AD11" i="1" s="1"/>
  <c r="K41" i="1"/>
  <c r="G6" i="3"/>
  <c r="G65" i="3" s="1"/>
  <c r="E28" i="3"/>
  <c r="E31" i="3"/>
  <c r="E30" i="3"/>
  <c r="E27" i="3"/>
  <c r="E24" i="3"/>
  <c r="E36" i="3" a="1"/>
  <c r="E36" i="3" s="1"/>
  <c r="E26" i="3"/>
  <c r="F28" i="3"/>
  <c r="F36" i="3" a="1"/>
  <c r="F36" i="3" s="1"/>
  <c r="F26" i="3"/>
  <c r="F30" i="3"/>
  <c r="F27" i="3"/>
  <c r="F31" i="3"/>
  <c r="F24" i="3"/>
  <c r="AD15" i="1"/>
  <c r="AD21" i="1"/>
  <c r="AD14" i="1"/>
  <c r="AD5" i="1"/>
  <c r="AD17" i="1"/>
  <c r="AD6" i="1"/>
  <c r="AD19" i="1"/>
  <c r="AD22" i="1"/>
  <c r="AD8" i="1"/>
  <c r="AD20" i="1"/>
  <c r="AD10" i="1"/>
  <c r="AD16" i="1"/>
  <c r="O6" i="1"/>
  <c r="O24" i="1"/>
  <c r="O4" i="1"/>
  <c r="O9" i="1"/>
  <c r="O14" i="1"/>
  <c r="O20" i="1"/>
  <c r="O3" i="1"/>
  <c r="O7" i="1"/>
  <c r="O5" i="1"/>
  <c r="O8" i="1"/>
  <c r="O11" i="1"/>
  <c r="O18" i="1"/>
  <c r="O21" i="1"/>
  <c r="O10" i="1"/>
  <c r="O17" i="1"/>
  <c r="O12" i="1"/>
  <c r="O13" i="1"/>
  <c r="O19" i="1"/>
  <c r="O22" i="1"/>
  <c r="O25" i="1"/>
  <c r="O15" i="1"/>
  <c r="O16" i="1"/>
  <c r="O23" i="1"/>
  <c r="P17" i="1"/>
  <c r="P15" i="1"/>
  <c r="P16" i="1"/>
  <c r="P6" i="1"/>
  <c r="P20" i="1"/>
  <c r="P21" i="1"/>
  <c r="P14" i="1"/>
  <c r="P8" i="1"/>
  <c r="P18" i="1"/>
  <c r="P22" i="1"/>
  <c r="P10" i="1"/>
  <c r="P19" i="1"/>
  <c r="P24" i="1"/>
  <c r="P11" i="1"/>
  <c r="P13" i="1"/>
  <c r="P12" i="1"/>
  <c r="P23" i="1"/>
  <c r="P3" i="1"/>
  <c r="P9" i="1"/>
  <c r="P4" i="1"/>
  <c r="P25" i="1"/>
  <c r="P5" i="1"/>
  <c r="P7" i="1"/>
  <c r="Q14" i="1"/>
  <c r="Q17" i="1"/>
  <c r="Q16" i="1"/>
  <c r="Q4" i="1"/>
  <c r="Q7" i="1"/>
  <c r="Q8" i="1"/>
  <c r="Q20" i="1"/>
  <c r="Q21" i="1"/>
  <c r="Q15" i="1"/>
  <c r="Q18" i="1"/>
  <c r="Q9" i="1"/>
  <c r="Q10" i="1"/>
  <c r="Q25" i="1"/>
  <c r="Q11" i="1"/>
  <c r="Q19" i="1"/>
  <c r="Q6" i="1"/>
  <c r="Q12" i="1"/>
  <c r="Q23" i="1"/>
  <c r="Q5" i="1"/>
  <c r="Q3" i="1"/>
  <c r="Q13" i="1"/>
  <c r="Q24" i="1"/>
  <c r="Q22" i="1"/>
  <c r="R4" i="1"/>
  <c r="R12" i="1"/>
  <c r="R10" i="1"/>
  <c r="R14" i="1"/>
  <c r="R25" i="1"/>
  <c r="R23" i="1"/>
  <c r="R19" i="1"/>
  <c r="R6" i="1"/>
  <c r="R16" i="1"/>
  <c r="R11" i="1"/>
  <c r="R21" i="1"/>
  <c r="R9" i="1"/>
  <c r="R8" i="1"/>
  <c r="R15" i="1"/>
  <c r="R3" i="1"/>
  <c r="R5" i="1"/>
  <c r="R7" i="1"/>
  <c r="R18" i="1"/>
  <c r="R22" i="1"/>
  <c r="R24" i="1"/>
  <c r="R17" i="1"/>
  <c r="R20" i="1"/>
  <c r="R13" i="1"/>
  <c r="S5" i="1"/>
  <c r="S13" i="1"/>
  <c r="S15" i="1"/>
  <c r="S3" i="1"/>
  <c r="S21" i="1"/>
  <c r="S17" i="1"/>
  <c r="S22" i="1"/>
  <c r="S7" i="1"/>
  <c r="S4" i="1"/>
  <c r="S9" i="1"/>
  <c r="S25" i="1"/>
  <c r="S12" i="1"/>
  <c r="S24" i="1"/>
  <c r="S11" i="1"/>
  <c r="S19" i="1"/>
  <c r="S20" i="1"/>
  <c r="S16" i="1"/>
  <c r="S6" i="1"/>
  <c r="S14" i="1"/>
  <c r="S10" i="1"/>
  <c r="S23" i="1"/>
  <c r="S8" i="1"/>
  <c r="S18" i="1"/>
  <c r="T25" i="1"/>
  <c r="T20" i="1"/>
  <c r="T13" i="1"/>
  <c r="T7" i="1"/>
  <c r="T4" i="1"/>
  <c r="T16" i="1"/>
  <c r="T11" i="1"/>
  <c r="T9" i="1"/>
  <c r="T22" i="1"/>
  <c r="T21" i="1"/>
  <c r="T14" i="1"/>
  <c r="T24" i="1"/>
  <c r="T23" i="1"/>
  <c r="T6" i="1"/>
  <c r="T15" i="1"/>
  <c r="T5" i="1"/>
  <c r="T8" i="1"/>
  <c r="T18" i="1"/>
  <c r="T17" i="1"/>
  <c r="T19" i="1"/>
  <c r="T12" i="1"/>
  <c r="T3" i="1"/>
  <c r="T10" i="1"/>
  <c r="U22" i="1"/>
  <c r="U11" i="1"/>
  <c r="U9" i="1"/>
  <c r="U10" i="1"/>
  <c r="U20" i="1"/>
  <c r="U21" i="1"/>
  <c r="U7" i="1"/>
  <c r="U25" i="1"/>
  <c r="U19" i="1"/>
  <c r="U14" i="1"/>
  <c r="U24" i="1"/>
  <c r="U23" i="1"/>
  <c r="U5" i="1"/>
  <c r="U18" i="1"/>
  <c r="U8" i="1"/>
  <c r="U16" i="1"/>
  <c r="U6" i="1"/>
  <c r="U12" i="1"/>
  <c r="U3" i="1"/>
  <c r="U15" i="1"/>
  <c r="U17" i="1"/>
  <c r="U13" i="1"/>
  <c r="U4" i="1"/>
  <c r="V13" i="1"/>
  <c r="V8" i="1"/>
  <c r="V22" i="1"/>
  <c r="V9" i="1"/>
  <c r="V16" i="1"/>
  <c r="V4" i="1"/>
  <c r="V21" i="1"/>
  <c r="V24" i="1"/>
  <c r="V18" i="1"/>
  <c r="V14" i="1"/>
  <c r="V19" i="1"/>
  <c r="V25" i="1"/>
  <c r="V3" i="1"/>
  <c r="V20" i="1"/>
  <c r="V10" i="1"/>
  <c r="V23" i="1"/>
  <c r="V11" i="1"/>
  <c r="V6" i="1"/>
  <c r="V7" i="1"/>
  <c r="V12" i="1"/>
  <c r="V15" i="1"/>
  <c r="V17" i="1"/>
  <c r="V5" i="1"/>
  <c r="W18" i="1"/>
  <c r="W8" i="1"/>
  <c r="W22" i="1"/>
  <c r="W23" i="1"/>
  <c r="W19" i="1"/>
  <c r="W15" i="1"/>
  <c r="W3" i="1"/>
  <c r="W14" i="1"/>
  <c r="W13" i="1"/>
  <c r="W21" i="1"/>
  <c r="W25" i="1"/>
  <c r="W10" i="1"/>
  <c r="W20" i="1"/>
  <c r="W24" i="1"/>
  <c r="W5" i="1"/>
  <c r="W4" i="1"/>
  <c r="W11" i="1"/>
  <c r="W9" i="1"/>
  <c r="W16" i="1"/>
  <c r="W7" i="1"/>
  <c r="W17" i="1"/>
  <c r="W6" i="1"/>
  <c r="W12" i="1"/>
  <c r="X18" i="1"/>
  <c r="X22" i="1"/>
  <c r="X16" i="1"/>
  <c r="X20" i="1"/>
  <c r="X6" i="1"/>
  <c r="X9" i="1"/>
  <c r="X11" i="1"/>
  <c r="X13" i="1"/>
  <c r="X7" i="1"/>
  <c r="X17" i="1"/>
  <c r="X3" i="1"/>
  <c r="X19" i="1"/>
  <c r="X24" i="1"/>
  <c r="X14" i="1"/>
  <c r="X21" i="1"/>
  <c r="X10" i="1"/>
  <c r="X23" i="1"/>
  <c r="X15" i="1"/>
  <c r="X4" i="1"/>
  <c r="X25" i="1"/>
  <c r="X8" i="1"/>
  <c r="X5" i="1"/>
  <c r="X12" i="1"/>
  <c r="Y11" i="1"/>
  <c r="Y8" i="1"/>
  <c r="Y6" i="1"/>
  <c r="Y25" i="1"/>
  <c r="Y4" i="1"/>
  <c r="Y23" i="1"/>
  <c r="Y9" i="1"/>
  <c r="Y22" i="1"/>
  <c r="Y18" i="1"/>
  <c r="Y20" i="1"/>
  <c r="Y7" i="1"/>
  <c r="Y24" i="1"/>
  <c r="Y15" i="1"/>
  <c r="Y21" i="1"/>
  <c r="Y3" i="1"/>
  <c r="Y17" i="1"/>
  <c r="Y13" i="1"/>
  <c r="Y16" i="1"/>
  <c r="Y5" i="1"/>
  <c r="Y10" i="1"/>
  <c r="Y14" i="1"/>
  <c r="Y19" i="1"/>
  <c r="Y12" i="1"/>
  <c r="Z24" i="1"/>
  <c r="Z17" i="1"/>
  <c r="Z7" i="1"/>
  <c r="Z14" i="1"/>
  <c r="Z6" i="1"/>
  <c r="Z23" i="1"/>
  <c r="Z8" i="1"/>
  <c r="Z3" i="1"/>
  <c r="Z18" i="1"/>
  <c r="Z25" i="1"/>
  <c r="Z11" i="1"/>
  <c r="Z9" i="1"/>
  <c r="Z19" i="1"/>
  <c r="Z21" i="1"/>
  <c r="Z12" i="1"/>
  <c r="Z5" i="1"/>
  <c r="Z15" i="1"/>
  <c r="Z22" i="1"/>
  <c r="Z20" i="1"/>
  <c r="Z10" i="1"/>
  <c r="Z13" i="1"/>
  <c r="Z16" i="1"/>
  <c r="Z4" i="1"/>
  <c r="AA23" i="1"/>
  <c r="AA4" i="1"/>
  <c r="AA3" i="1"/>
  <c r="AA25" i="1"/>
  <c r="AA19" i="1"/>
  <c r="AA18" i="1"/>
  <c r="AA17" i="1"/>
  <c r="AA7" i="1"/>
  <c r="AA24" i="1"/>
  <c r="AA12" i="1"/>
  <c r="AA20" i="1"/>
  <c r="AA5" i="1"/>
  <c r="AA9" i="1"/>
  <c r="AA14" i="1"/>
  <c r="AA13" i="1"/>
  <c r="AA11" i="1"/>
  <c r="AA6" i="1"/>
  <c r="AA10" i="1"/>
  <c r="AA16" i="1"/>
  <c r="AA21" i="1"/>
  <c r="AA15" i="1"/>
  <c r="AA22" i="1"/>
  <c r="AA8" i="1"/>
  <c r="AB6" i="1"/>
  <c r="AB22" i="1"/>
  <c r="AB11" i="1"/>
  <c r="AB17" i="1"/>
  <c r="AB25" i="1"/>
  <c r="AB9" i="1"/>
  <c r="AB20" i="1"/>
  <c r="AB18" i="1"/>
  <c r="AB10" i="1"/>
  <c r="AB8" i="1"/>
  <c r="AB7" i="1"/>
  <c r="AB4" i="1"/>
  <c r="AB13" i="1"/>
  <c r="AB21" i="1"/>
  <c r="AB19" i="1"/>
  <c r="AB23" i="1"/>
  <c r="AB5" i="1"/>
  <c r="AB24" i="1"/>
  <c r="AB16" i="1"/>
  <c r="AB12" i="1"/>
  <c r="AB14" i="1"/>
  <c r="AB15" i="1"/>
  <c r="AB3" i="1"/>
  <c r="AC3" i="1"/>
  <c r="AC12" i="1"/>
  <c r="AC22" i="1"/>
  <c r="AC24" i="1"/>
  <c r="AC23" i="1"/>
  <c r="AC17" i="1"/>
  <c r="AC20" i="1"/>
  <c r="AC19" i="1"/>
  <c r="AC10" i="1"/>
  <c r="AC4" i="1"/>
  <c r="AC15" i="1"/>
  <c r="AC25" i="1"/>
  <c r="AC9" i="1"/>
  <c r="AC5" i="1"/>
  <c r="AC6" i="1"/>
  <c r="AC8" i="1"/>
  <c r="AC11" i="1"/>
  <c r="AC21" i="1"/>
  <c r="AC18" i="1"/>
  <c r="AC7" i="1"/>
  <c r="AC16" i="1"/>
  <c r="AC14" i="1"/>
  <c r="AC13" i="1"/>
  <c r="AD18" i="1"/>
  <c r="AD23" i="1"/>
  <c r="AD9" i="1"/>
  <c r="AD24" i="1"/>
  <c r="AF1" i="1"/>
  <c r="AG2" i="1"/>
  <c r="AE18" i="1"/>
  <c r="AE11" i="1"/>
  <c r="AE25" i="1"/>
  <c r="AE5" i="1"/>
  <c r="AE4" i="1"/>
  <c r="AE19" i="1"/>
  <c r="AE23" i="1"/>
  <c r="AE22" i="1"/>
  <c r="AE15" i="1"/>
  <c r="AE24" i="1"/>
  <c r="AE20" i="1"/>
  <c r="AE16" i="1"/>
  <c r="AE10" i="1"/>
  <c r="AE6" i="1"/>
  <c r="AE17" i="1"/>
  <c r="AE8" i="1"/>
  <c r="AE13" i="1"/>
  <c r="AE7" i="1"/>
  <c r="AE12" i="1"/>
  <c r="AE21" i="1"/>
  <c r="AE14" i="1"/>
  <c r="AE3" i="1"/>
  <c r="AE9" i="1"/>
  <c r="E62" i="1"/>
  <c r="F62" i="1" s="1"/>
  <c r="G62" i="1" s="1"/>
  <c r="G50" i="2"/>
  <c r="H5" i="3" s="1"/>
  <c r="H4" i="3" s="1"/>
  <c r="H59" i="3" s="1" a="1"/>
  <c r="H59" i="3" s="1"/>
  <c r="D46" i="2"/>
  <c r="E46" i="2" s="1"/>
  <c r="C9" i="2"/>
  <c r="AD25" i="1" l="1"/>
  <c r="AD4" i="1"/>
  <c r="AD7" i="1"/>
  <c r="AD12" i="1"/>
  <c r="AD3" i="1"/>
  <c r="AD13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N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D40" i="1"/>
  <c r="AD39" i="1"/>
  <c r="AD38" i="1"/>
  <c r="AD37" i="1"/>
  <c r="AD27" i="1"/>
  <c r="AD26" i="1"/>
  <c r="AD29" i="1"/>
  <c r="AD32" i="1"/>
  <c r="AC27" i="1"/>
  <c r="AC26" i="1"/>
  <c r="AB27" i="1"/>
  <c r="AB26" i="1"/>
  <c r="AD35" i="1"/>
  <c r="AA27" i="1"/>
  <c r="AA26" i="1"/>
  <c r="Z27" i="1"/>
  <c r="Z26" i="1"/>
  <c r="AD28" i="1"/>
  <c r="Y27" i="1"/>
  <c r="Y26" i="1"/>
  <c r="AE27" i="1"/>
  <c r="X27" i="1"/>
  <c r="X26" i="1"/>
  <c r="AD31" i="1"/>
  <c r="W27" i="1"/>
  <c r="W26" i="1"/>
  <c r="V27" i="1"/>
  <c r="V26" i="1"/>
  <c r="AD34" i="1"/>
  <c r="U27" i="1"/>
  <c r="U26" i="1"/>
  <c r="T27" i="1"/>
  <c r="T26" i="1"/>
  <c r="S27" i="1"/>
  <c r="S26" i="1"/>
  <c r="R27" i="1"/>
  <c r="R26" i="1"/>
  <c r="AD30" i="1"/>
  <c r="Q27" i="1"/>
  <c r="Q26" i="1"/>
  <c r="P27" i="1"/>
  <c r="P26" i="1"/>
  <c r="AD33" i="1"/>
  <c r="O27" i="1"/>
  <c r="O26" i="1"/>
  <c r="AD36" i="1"/>
  <c r="AE26" i="1"/>
  <c r="AF27" i="1"/>
  <c r="AF26" i="1"/>
  <c r="H6" i="3"/>
  <c r="H65" i="3" s="1"/>
  <c r="G28" i="3"/>
  <c r="G36" i="3" a="1"/>
  <c r="G36" i="3" s="1"/>
  <c r="G27" i="3"/>
  <c r="G30" i="3"/>
  <c r="G31" i="3"/>
  <c r="G24" i="3"/>
  <c r="G26" i="3"/>
  <c r="AG1" i="1"/>
  <c r="AG26" i="1" s="1"/>
  <c r="AH2" i="1"/>
  <c r="AF21" i="1"/>
  <c r="AF18" i="1"/>
  <c r="AF8" i="1"/>
  <c r="AF13" i="1"/>
  <c r="AF17" i="1"/>
  <c r="AF19" i="1"/>
  <c r="AF14" i="1"/>
  <c r="AF22" i="1"/>
  <c r="AF5" i="1"/>
  <c r="AF15" i="1"/>
  <c r="AF6" i="1"/>
  <c r="AF23" i="1"/>
  <c r="AF20" i="1"/>
  <c r="AF16" i="1"/>
  <c r="AF10" i="1"/>
  <c r="AF25" i="1"/>
  <c r="AF7" i="1"/>
  <c r="AF3" i="1"/>
  <c r="AF11" i="1"/>
  <c r="AF4" i="1"/>
  <c r="AF12" i="1"/>
  <c r="AF9" i="1"/>
  <c r="AF24" i="1"/>
  <c r="H50" i="2"/>
  <c r="I5" i="3" s="1"/>
  <c r="I4" i="3" s="1"/>
  <c r="I59" i="3" s="1" a="1"/>
  <c r="I59" i="3" s="1"/>
  <c r="D51" i="2"/>
  <c r="AB41" i="1" l="1"/>
  <c r="S41" i="1"/>
  <c r="AA41" i="1"/>
  <c r="AG35" i="1"/>
  <c r="T41" i="1"/>
  <c r="U41" i="1"/>
  <c r="V41" i="1"/>
  <c r="X41" i="1"/>
  <c r="Z41" i="1"/>
  <c r="O41" i="1"/>
  <c r="E16" i="3" s="1"/>
  <c r="E20" i="3" s="1"/>
  <c r="E29" i="3" s="1"/>
  <c r="Q41" i="1"/>
  <c r="Y41" i="1"/>
  <c r="AE41" i="1"/>
  <c r="AG34" i="1"/>
  <c r="AG37" i="1"/>
  <c r="AG40" i="1"/>
  <c r="AG30" i="1"/>
  <c r="AG33" i="1"/>
  <c r="AG36" i="1"/>
  <c r="AG39" i="1"/>
  <c r="AG29" i="1"/>
  <c r="AG32" i="1"/>
  <c r="AG38" i="1"/>
  <c r="AG28" i="1"/>
  <c r="AG27" i="1"/>
  <c r="R41" i="1"/>
  <c r="P41" i="1"/>
  <c r="F16" i="3" s="1"/>
  <c r="AG31" i="1"/>
  <c r="AF41" i="1"/>
  <c r="W41" i="1"/>
  <c r="AC41" i="1"/>
  <c r="AD41" i="1"/>
  <c r="E7" i="3"/>
  <c r="E8" i="3"/>
  <c r="G16" i="3"/>
  <c r="I6" i="3"/>
  <c r="I65" i="3" s="1"/>
  <c r="H28" i="3"/>
  <c r="H36" i="3" a="1"/>
  <c r="H36" i="3" s="1"/>
  <c r="H30" i="3"/>
  <c r="H24" i="3"/>
  <c r="H26" i="3"/>
  <c r="H27" i="3"/>
  <c r="H31" i="3"/>
  <c r="AH1" i="1"/>
  <c r="AI2" i="1"/>
  <c r="AG24" i="1"/>
  <c r="AG18" i="1"/>
  <c r="AG20" i="1"/>
  <c r="AG17" i="1"/>
  <c r="AG25" i="1"/>
  <c r="AG11" i="1"/>
  <c r="AG16" i="1"/>
  <c r="AG13" i="1"/>
  <c r="AG4" i="1"/>
  <c r="AG12" i="1"/>
  <c r="AG6" i="1"/>
  <c r="AG21" i="1"/>
  <c r="AG23" i="1"/>
  <c r="AG14" i="1"/>
  <c r="AG8" i="1"/>
  <c r="AG22" i="1"/>
  <c r="AG5" i="1"/>
  <c r="AG7" i="1"/>
  <c r="AG19" i="1"/>
  <c r="AG10" i="1"/>
  <c r="AG15" i="1"/>
  <c r="AG9" i="1"/>
  <c r="AG3" i="1"/>
  <c r="I50" i="2"/>
  <c r="J5" i="3" s="1"/>
  <c r="J4" i="3" s="1"/>
  <c r="J59" i="3" s="1" a="1"/>
  <c r="J59" i="3" s="1"/>
  <c r="E51" i="2"/>
  <c r="AH39" i="1" l="1"/>
  <c r="AH35" i="1"/>
  <c r="AH31" i="1"/>
  <c r="AH27" i="1"/>
  <c r="AH38" i="1"/>
  <c r="AH34" i="1"/>
  <c r="AH30" i="1"/>
  <c r="AH37" i="1"/>
  <c r="AH33" i="1"/>
  <c r="AH29" i="1"/>
  <c r="AH26" i="1"/>
  <c r="AH40" i="1"/>
  <c r="AH36" i="1"/>
  <c r="AH32" i="1"/>
  <c r="AH28" i="1"/>
  <c r="AG41" i="1"/>
  <c r="F7" i="3"/>
  <c r="F20" i="3" s="1"/>
  <c r="F29" i="3" s="1"/>
  <c r="F8" i="3"/>
  <c r="E17" i="3"/>
  <c r="E18" i="3" s="1"/>
  <c r="E21" i="3" s="1"/>
  <c r="E25" i="3"/>
  <c r="E32" i="3" s="1"/>
  <c r="H16" i="3"/>
  <c r="J6" i="3"/>
  <c r="J65" i="3" s="1"/>
  <c r="I28" i="3"/>
  <c r="I36" i="3" a="1"/>
  <c r="I36" i="3" s="1"/>
  <c r="I30" i="3"/>
  <c r="I31" i="3"/>
  <c r="I27" i="3"/>
  <c r="I26" i="3"/>
  <c r="I24" i="3"/>
  <c r="AJ2" i="1"/>
  <c r="AI1" i="1"/>
  <c r="AH20" i="1"/>
  <c r="AH3" i="1"/>
  <c r="AH9" i="1"/>
  <c r="AH14" i="1"/>
  <c r="AH22" i="1"/>
  <c r="AH16" i="1"/>
  <c r="AH12" i="1"/>
  <c r="AH7" i="1"/>
  <c r="AH5" i="1"/>
  <c r="AH13" i="1"/>
  <c r="AH11" i="1"/>
  <c r="AH18" i="1"/>
  <c r="AH24" i="1"/>
  <c r="AH4" i="1"/>
  <c r="AH6" i="1"/>
  <c r="AH25" i="1"/>
  <c r="AH19" i="1"/>
  <c r="AH23" i="1"/>
  <c r="AH8" i="1"/>
  <c r="AH15" i="1"/>
  <c r="AH10" i="1"/>
  <c r="AH17" i="1"/>
  <c r="AH21" i="1"/>
  <c r="J50" i="2"/>
  <c r="K5" i="3" s="1"/>
  <c r="K4" i="3" s="1"/>
  <c r="K59" i="3" s="1" a="1"/>
  <c r="K59" i="3" s="1"/>
  <c r="F51" i="2"/>
  <c r="AH41" i="1" l="1"/>
  <c r="AI40" i="1"/>
  <c r="AI30" i="1"/>
  <c r="AI33" i="1"/>
  <c r="AI36" i="1"/>
  <c r="AI39" i="1"/>
  <c r="AI29" i="1"/>
  <c r="AI32" i="1"/>
  <c r="AI35" i="1"/>
  <c r="AI38" i="1"/>
  <c r="AI28" i="1"/>
  <c r="AI27" i="1"/>
  <c r="AI31" i="1"/>
  <c r="AI34" i="1"/>
  <c r="AI37" i="1"/>
  <c r="AI26" i="1"/>
  <c r="E34" i="3"/>
  <c r="E37" i="3" s="1"/>
  <c r="E58" i="3" s="1"/>
  <c r="E60" i="3" s="1"/>
  <c r="G7" i="3"/>
  <c r="G20" i="3" s="1"/>
  <c r="G29" i="3" s="1"/>
  <c r="G8" i="3"/>
  <c r="F25" i="3"/>
  <c r="F32" i="3" s="1"/>
  <c r="F17" i="3"/>
  <c r="F18" i="3" s="1"/>
  <c r="F21" i="3" s="1"/>
  <c r="K6" i="3"/>
  <c r="K65" i="3" s="1"/>
  <c r="I16" i="3"/>
  <c r="J28" i="3"/>
  <c r="J30" i="3"/>
  <c r="J36" i="3" a="1"/>
  <c r="J36" i="3" s="1"/>
  <c r="J24" i="3"/>
  <c r="J31" i="3"/>
  <c r="J27" i="3"/>
  <c r="J26" i="3"/>
  <c r="AI18" i="1"/>
  <c r="AI14" i="1"/>
  <c r="AI22" i="1"/>
  <c r="AI21" i="1"/>
  <c r="AI3" i="1"/>
  <c r="AI20" i="1"/>
  <c r="AI17" i="1"/>
  <c r="AI25" i="1"/>
  <c r="AI8" i="1"/>
  <c r="AI5" i="1"/>
  <c r="AI13" i="1"/>
  <c r="AI6" i="1"/>
  <c r="AI23" i="1"/>
  <c r="AI11" i="1"/>
  <c r="AI4" i="1"/>
  <c r="AI19" i="1"/>
  <c r="AI10" i="1"/>
  <c r="AI15" i="1"/>
  <c r="AI7" i="1"/>
  <c r="AI9" i="1"/>
  <c r="AI16" i="1"/>
  <c r="AI12" i="1"/>
  <c r="AI24" i="1"/>
  <c r="AK2" i="1"/>
  <c r="AJ1" i="1"/>
  <c r="K50" i="2"/>
  <c r="L5" i="3" s="1"/>
  <c r="L4" i="3" s="1"/>
  <c r="L59" i="3" s="1" a="1"/>
  <c r="L59" i="3" s="1"/>
  <c r="G51" i="2"/>
  <c r="AI41" i="1" l="1"/>
  <c r="AJ37" i="1"/>
  <c r="AJ40" i="1"/>
  <c r="AJ30" i="1"/>
  <c r="AJ26" i="1"/>
  <c r="AJ33" i="1"/>
  <c r="AJ36" i="1"/>
  <c r="AJ39" i="1"/>
  <c r="AJ29" i="1"/>
  <c r="AJ32" i="1"/>
  <c r="AJ35" i="1"/>
  <c r="AJ38" i="1"/>
  <c r="AJ28" i="1"/>
  <c r="AJ31" i="1"/>
  <c r="AJ27" i="1"/>
  <c r="AJ34" i="1"/>
  <c r="F34" i="3"/>
  <c r="F37" i="3" s="1"/>
  <c r="F58" i="3" s="1"/>
  <c r="F60" i="3" s="1"/>
  <c r="G17" i="3"/>
  <c r="G18" i="3" s="1"/>
  <c r="G21" i="3" s="1"/>
  <c r="G25" i="3"/>
  <c r="G32" i="3" s="1"/>
  <c r="H7" i="3"/>
  <c r="H20" i="3" s="1"/>
  <c r="H29" i="3" s="1"/>
  <c r="H8" i="3"/>
  <c r="L6" i="3"/>
  <c r="L65" i="3" s="1"/>
  <c r="J16" i="3"/>
  <c r="K30" i="3"/>
  <c r="K31" i="3"/>
  <c r="K24" i="3"/>
  <c r="K36" i="3" a="1"/>
  <c r="K36" i="3" s="1"/>
  <c r="K28" i="3"/>
  <c r="K27" i="3"/>
  <c r="K26" i="3"/>
  <c r="AJ3" i="1"/>
  <c r="AJ9" i="1"/>
  <c r="AJ23" i="1"/>
  <c r="AJ20" i="1"/>
  <c r="AJ11" i="1"/>
  <c r="AJ12" i="1"/>
  <c r="AJ17" i="1"/>
  <c r="AJ19" i="1"/>
  <c r="AJ7" i="1"/>
  <c r="AJ22" i="1"/>
  <c r="AJ13" i="1"/>
  <c r="AJ8" i="1"/>
  <c r="AJ10" i="1"/>
  <c r="AJ4" i="1"/>
  <c r="AJ14" i="1"/>
  <c r="AJ5" i="1"/>
  <c r="AJ25" i="1"/>
  <c r="AJ21" i="1"/>
  <c r="AJ18" i="1"/>
  <c r="AJ16" i="1"/>
  <c r="AJ6" i="1"/>
  <c r="AJ24" i="1"/>
  <c r="AJ15" i="1"/>
  <c r="AK1" i="1"/>
  <c r="AL2" i="1"/>
  <c r="L50" i="2"/>
  <c r="M5" i="3" s="1"/>
  <c r="M4" i="3" s="1"/>
  <c r="M59" i="3" s="1" a="1"/>
  <c r="M59" i="3" s="1"/>
  <c r="H51" i="2"/>
  <c r="AJ41" i="1" l="1"/>
  <c r="AK34" i="1"/>
  <c r="AK27" i="1"/>
  <c r="AK37" i="1"/>
  <c r="AK40" i="1"/>
  <c r="AK30" i="1"/>
  <c r="AK33" i="1"/>
  <c r="AK26" i="1"/>
  <c r="AK36" i="1"/>
  <c r="AK39" i="1"/>
  <c r="AK29" i="1"/>
  <c r="AK32" i="1"/>
  <c r="AK35" i="1"/>
  <c r="AK38" i="1"/>
  <c r="AK28" i="1"/>
  <c r="AK31" i="1"/>
  <c r="H25" i="3"/>
  <c r="H32" i="3" s="1"/>
  <c r="H17" i="3"/>
  <c r="H18" i="3" s="1"/>
  <c r="H21" i="3" s="1"/>
  <c r="I7" i="3"/>
  <c r="I20" i="3" s="1"/>
  <c r="I29" i="3" s="1"/>
  <c r="I8" i="3"/>
  <c r="G34" i="3"/>
  <c r="G37" i="3" s="1"/>
  <c r="G58" i="3" s="1"/>
  <c r="G60" i="3" s="1"/>
  <c r="M6" i="3"/>
  <c r="M65" i="3" s="1"/>
  <c r="K16" i="3"/>
  <c r="L30" i="3"/>
  <c r="L31" i="3"/>
  <c r="L36" i="3" a="1"/>
  <c r="L36" i="3" s="1"/>
  <c r="L28" i="3"/>
  <c r="L24" i="3"/>
  <c r="L26" i="3"/>
  <c r="L27" i="3"/>
  <c r="AK21" i="1"/>
  <c r="AK9" i="1"/>
  <c r="AK14" i="1"/>
  <c r="AK12" i="1"/>
  <c r="AK18" i="1"/>
  <c r="AK23" i="1"/>
  <c r="AK3" i="1"/>
  <c r="AK11" i="1"/>
  <c r="AK5" i="1"/>
  <c r="AK13" i="1"/>
  <c r="AK10" i="1"/>
  <c r="AK6" i="1"/>
  <c r="AK15" i="1"/>
  <c r="AK17" i="1"/>
  <c r="AK25" i="1"/>
  <c r="AK20" i="1"/>
  <c r="AK22" i="1"/>
  <c r="AK8" i="1"/>
  <c r="AK7" i="1"/>
  <c r="AK16" i="1"/>
  <c r="AK24" i="1"/>
  <c r="AK19" i="1"/>
  <c r="AK4" i="1"/>
  <c r="AL1" i="1"/>
  <c r="AM2" i="1"/>
  <c r="M50" i="2"/>
  <c r="N5" i="3" s="1"/>
  <c r="N4" i="3" s="1"/>
  <c r="N59" i="3" s="1" a="1"/>
  <c r="N59" i="3" s="1"/>
  <c r="I51" i="2"/>
  <c r="AL31" i="1" l="1"/>
  <c r="AL34" i="1"/>
  <c r="AL37" i="1"/>
  <c r="AL40" i="1"/>
  <c r="AL30" i="1"/>
  <c r="AL27" i="1"/>
  <c r="AL33" i="1"/>
  <c r="AL36" i="1"/>
  <c r="AL39" i="1"/>
  <c r="AL29" i="1"/>
  <c r="AL26" i="1"/>
  <c r="AL32" i="1"/>
  <c r="AL35" i="1"/>
  <c r="AL38" i="1"/>
  <c r="AL28" i="1"/>
  <c r="AK41" i="1"/>
  <c r="I17" i="3"/>
  <c r="I18" i="3" s="1"/>
  <c r="I21" i="3" s="1"/>
  <c r="I25" i="3"/>
  <c r="I32" i="3" s="1"/>
  <c r="H34" i="3"/>
  <c r="H37" i="3" s="1"/>
  <c r="H58" i="3" s="1"/>
  <c r="H60" i="3" s="1"/>
  <c r="J8" i="3"/>
  <c r="J7" i="3"/>
  <c r="J20" i="3" s="1"/>
  <c r="J29" i="3" s="1"/>
  <c r="N6" i="3"/>
  <c r="N65" i="3" s="1"/>
  <c r="L16" i="3"/>
  <c r="M31" i="3"/>
  <c r="M30" i="3"/>
  <c r="M26" i="3"/>
  <c r="M27" i="3"/>
  <c r="M28" i="3"/>
  <c r="M36" i="3" a="1"/>
  <c r="M36" i="3" s="1"/>
  <c r="M24" i="3"/>
  <c r="AL16" i="1"/>
  <c r="AL21" i="1"/>
  <c r="AL12" i="1"/>
  <c r="AL15" i="1"/>
  <c r="AL18" i="1"/>
  <c r="AL9" i="1"/>
  <c r="AL6" i="1"/>
  <c r="AL14" i="1"/>
  <c r="AL22" i="1"/>
  <c r="AL24" i="1"/>
  <c r="AL23" i="1"/>
  <c r="AL20" i="1"/>
  <c r="AL11" i="1"/>
  <c r="AL8" i="1"/>
  <c r="AL19" i="1"/>
  <c r="AL5" i="1"/>
  <c r="AL7" i="1"/>
  <c r="AL3" i="1"/>
  <c r="AL13" i="1"/>
  <c r="AL10" i="1"/>
  <c r="AL25" i="1"/>
  <c r="AL17" i="1"/>
  <c r="AL4" i="1"/>
  <c r="AM1" i="1"/>
  <c r="AN2" i="1"/>
  <c r="N50" i="2"/>
  <c r="O5" i="3" s="1"/>
  <c r="O4" i="3" s="1"/>
  <c r="O59" i="3" s="1" a="1"/>
  <c r="O59" i="3" s="1"/>
  <c r="J51" i="2"/>
  <c r="AM38" i="1" l="1"/>
  <c r="AM28" i="1"/>
  <c r="AM31" i="1"/>
  <c r="AM34" i="1"/>
  <c r="AM37" i="1"/>
  <c r="AM40" i="1"/>
  <c r="AM30" i="1"/>
  <c r="AM33" i="1"/>
  <c r="AM36" i="1"/>
  <c r="AM27" i="1"/>
  <c r="AM39" i="1"/>
  <c r="AM29" i="1"/>
  <c r="AM32" i="1"/>
  <c r="AM35" i="1"/>
  <c r="AM26" i="1"/>
  <c r="AL41" i="1"/>
  <c r="J17" i="3"/>
  <c r="J18" i="3" s="1"/>
  <c r="J21" i="3" s="1"/>
  <c r="J25" i="3"/>
  <c r="J32" i="3" s="1"/>
  <c r="K7" i="3"/>
  <c r="K20" i="3" s="1"/>
  <c r="K29" i="3" s="1"/>
  <c r="K8" i="3"/>
  <c r="I34" i="3"/>
  <c r="I37" i="3" s="1"/>
  <c r="I58" i="3" s="1"/>
  <c r="I60" i="3" s="1"/>
  <c r="M16" i="3"/>
  <c r="O6" i="3"/>
  <c r="O65" i="3" s="1"/>
  <c r="N36" i="3" a="1"/>
  <c r="N36" i="3" s="1"/>
  <c r="N28" i="3"/>
  <c r="N24" i="3"/>
  <c r="N31" i="3"/>
  <c r="N26" i="3"/>
  <c r="N27" i="3"/>
  <c r="N30" i="3"/>
  <c r="AM19" i="1"/>
  <c r="AM24" i="1"/>
  <c r="AM21" i="1"/>
  <c r="AM12" i="1"/>
  <c r="AM9" i="1"/>
  <c r="AM3" i="1"/>
  <c r="AM17" i="1"/>
  <c r="AM4" i="1"/>
  <c r="AM22" i="1"/>
  <c r="AM16" i="1"/>
  <c r="AM7" i="1"/>
  <c r="AM18" i="1"/>
  <c r="AM23" i="1"/>
  <c r="AM6" i="1"/>
  <c r="AM14" i="1"/>
  <c r="AM5" i="1"/>
  <c r="AM15" i="1"/>
  <c r="AM10" i="1"/>
  <c r="AM20" i="1"/>
  <c r="AM11" i="1"/>
  <c r="AM13" i="1"/>
  <c r="AM25" i="1"/>
  <c r="AM8" i="1"/>
  <c r="AN1" i="1"/>
  <c r="AO2" i="1"/>
  <c r="O50" i="2"/>
  <c r="P5" i="3" s="1"/>
  <c r="P4" i="3" s="1"/>
  <c r="P59" i="3" s="1" a="1"/>
  <c r="P59" i="3" s="1"/>
  <c r="K51" i="2"/>
  <c r="AM41" i="1" l="1"/>
  <c r="AN35" i="1"/>
  <c r="AN38" i="1"/>
  <c r="AN28" i="1"/>
  <c r="AN26" i="1"/>
  <c r="AN31" i="1"/>
  <c r="AN34" i="1"/>
  <c r="AN37" i="1"/>
  <c r="AN40" i="1"/>
  <c r="AN30" i="1"/>
  <c r="AN33" i="1"/>
  <c r="AN36" i="1"/>
  <c r="AN39" i="1"/>
  <c r="AN29" i="1"/>
  <c r="AN27" i="1"/>
  <c r="AN32" i="1"/>
  <c r="K25" i="3"/>
  <c r="K32" i="3" s="1"/>
  <c r="K17" i="3"/>
  <c r="K18" i="3" s="1"/>
  <c r="K21" i="3" s="1"/>
  <c r="L8" i="3"/>
  <c r="L7" i="3"/>
  <c r="L20" i="3" s="1"/>
  <c r="L29" i="3" s="1"/>
  <c r="J34" i="3"/>
  <c r="J37" i="3" s="1"/>
  <c r="J58" i="3" s="1"/>
  <c r="J60" i="3" s="1"/>
  <c r="N16" i="3"/>
  <c r="P6" i="3"/>
  <c r="P65" i="3" s="1"/>
  <c r="O36" i="3" a="1"/>
  <c r="O36" i="3" s="1"/>
  <c r="O30" i="3"/>
  <c r="O27" i="3"/>
  <c r="O31" i="3"/>
  <c r="O28" i="3"/>
  <c r="O26" i="3"/>
  <c r="O24" i="3"/>
  <c r="AN22" i="1"/>
  <c r="AN19" i="1"/>
  <c r="AN16" i="1"/>
  <c r="AN24" i="1"/>
  <c r="AN21" i="1"/>
  <c r="AN18" i="1"/>
  <c r="AN23" i="1"/>
  <c r="AN9" i="1"/>
  <c r="AN10" i="1"/>
  <c r="AN6" i="1"/>
  <c r="AN15" i="1"/>
  <c r="AN12" i="1"/>
  <c r="AN20" i="1"/>
  <c r="AN13" i="1"/>
  <c r="AN5" i="1"/>
  <c r="AN7" i="1"/>
  <c r="AN17" i="1"/>
  <c r="AN14" i="1"/>
  <c r="AN4" i="1"/>
  <c r="AN11" i="1"/>
  <c r="AN8" i="1"/>
  <c r="AN3" i="1"/>
  <c r="AN25" i="1"/>
  <c r="AP2" i="1"/>
  <c r="AO1" i="1"/>
  <c r="P50" i="2"/>
  <c r="Q5" i="3" s="1"/>
  <c r="Q4" i="3" s="1"/>
  <c r="Q59" i="3" s="1" a="1"/>
  <c r="Q59" i="3" s="1"/>
  <c r="L51" i="2"/>
  <c r="AO32" i="1" l="1"/>
  <c r="AO35" i="1"/>
  <c r="AO27" i="1"/>
  <c r="AO38" i="1"/>
  <c r="AO28" i="1"/>
  <c r="AO31" i="1"/>
  <c r="AO34" i="1"/>
  <c r="AO26" i="1"/>
  <c r="AO37" i="1"/>
  <c r="AO40" i="1"/>
  <c r="AO30" i="1"/>
  <c r="AO33" i="1"/>
  <c r="AO36" i="1"/>
  <c r="AO39" i="1"/>
  <c r="AO29" i="1"/>
  <c r="AN41" i="1"/>
  <c r="K34" i="3"/>
  <c r="K37" i="3" s="1"/>
  <c r="K58" i="3" s="1"/>
  <c r="K60" i="3" s="1"/>
  <c r="L25" i="3"/>
  <c r="L32" i="3" s="1"/>
  <c r="L17" i="3"/>
  <c r="L18" i="3" s="1"/>
  <c r="L21" i="3" s="1"/>
  <c r="M8" i="3"/>
  <c r="M7" i="3"/>
  <c r="M20" i="3" s="1"/>
  <c r="M29" i="3" s="1"/>
  <c r="Q6" i="3"/>
  <c r="Q65" i="3" s="1"/>
  <c r="O16" i="3"/>
  <c r="P36" i="3" a="1"/>
  <c r="P36" i="3" s="1"/>
  <c r="P31" i="3"/>
  <c r="P26" i="3"/>
  <c r="P30" i="3"/>
  <c r="P16" i="3" s="1"/>
  <c r="P28" i="3"/>
  <c r="P27" i="3"/>
  <c r="P24" i="3"/>
  <c r="AP1" i="1"/>
  <c r="AQ2" i="1"/>
  <c r="AO22" i="1"/>
  <c r="AO16" i="1"/>
  <c r="AO24" i="1"/>
  <c r="AO13" i="1"/>
  <c r="AO23" i="1"/>
  <c r="AO9" i="1"/>
  <c r="AO19" i="1"/>
  <c r="AO21" i="1"/>
  <c r="AO15" i="1"/>
  <c r="AO20" i="1"/>
  <c r="AO6" i="1"/>
  <c r="AO10" i="1"/>
  <c r="AO17" i="1"/>
  <c r="AO4" i="1"/>
  <c r="AO18" i="1"/>
  <c r="AO11" i="1"/>
  <c r="AO14" i="1"/>
  <c r="AO8" i="1"/>
  <c r="AO7" i="1"/>
  <c r="AO25" i="1"/>
  <c r="AO12" i="1"/>
  <c r="AO3" i="1"/>
  <c r="AO5" i="1"/>
  <c r="Q50" i="2"/>
  <c r="R5" i="3" s="1"/>
  <c r="R4" i="3" s="1"/>
  <c r="R59" i="3" s="1" a="1"/>
  <c r="R59" i="3" s="1"/>
  <c r="M51" i="2"/>
  <c r="AO41" i="1" l="1"/>
  <c r="AP32" i="1"/>
  <c r="AP35" i="1"/>
  <c r="AP38" i="1"/>
  <c r="AP28" i="1"/>
  <c r="AP31" i="1"/>
  <c r="AP34" i="1"/>
  <c r="AP37" i="1"/>
  <c r="AP40" i="1"/>
  <c r="AP30" i="1"/>
  <c r="AP26" i="1"/>
  <c r="AP33" i="1"/>
  <c r="AP36" i="1"/>
  <c r="AP39" i="1"/>
  <c r="AP27" i="1"/>
  <c r="AP29" i="1"/>
  <c r="M25" i="3"/>
  <c r="M32" i="3" s="1"/>
  <c r="M17" i="3"/>
  <c r="M18" i="3" s="1"/>
  <c r="M21" i="3" s="1"/>
  <c r="N7" i="3"/>
  <c r="N20" i="3" s="1"/>
  <c r="N29" i="3" s="1"/>
  <c r="N8" i="3"/>
  <c r="L34" i="3"/>
  <c r="L37" i="3" s="1"/>
  <c r="L58" i="3" s="1"/>
  <c r="L60" i="3" s="1"/>
  <c r="R6" i="3"/>
  <c r="R65" i="3" s="1"/>
  <c r="Q36" i="3" a="1"/>
  <c r="Q36" i="3" s="1"/>
  <c r="Q30" i="3"/>
  <c r="Q27" i="3"/>
  <c r="Q31" i="3"/>
  <c r="Q26" i="3"/>
  <c r="Q24" i="3"/>
  <c r="Q28" i="3"/>
  <c r="AR2" i="1"/>
  <c r="AQ1" i="1"/>
  <c r="AP19" i="1"/>
  <c r="AP24" i="1"/>
  <c r="AP17" i="1"/>
  <c r="AP23" i="1"/>
  <c r="AP16" i="1"/>
  <c r="AP21" i="1"/>
  <c r="AP12" i="1"/>
  <c r="AP20" i="1"/>
  <c r="AP6" i="1"/>
  <c r="AP14" i="1"/>
  <c r="AP7" i="1"/>
  <c r="AP4" i="1"/>
  <c r="AP11" i="1"/>
  <c r="AP8" i="1"/>
  <c r="AP13" i="1"/>
  <c r="AP18" i="1"/>
  <c r="AP15" i="1"/>
  <c r="AP9" i="1"/>
  <c r="AP10" i="1"/>
  <c r="AP22" i="1"/>
  <c r="AP5" i="1"/>
  <c r="AP25" i="1"/>
  <c r="AP3" i="1"/>
  <c r="R50" i="2"/>
  <c r="S5" i="3" s="1"/>
  <c r="S4" i="3" s="1"/>
  <c r="S59" i="3" s="1" a="1"/>
  <c r="S59" i="3" s="1"/>
  <c r="N51" i="2"/>
  <c r="AP41" i="1" l="1"/>
  <c r="AQ39" i="1"/>
  <c r="AQ29" i="1"/>
  <c r="AQ32" i="1"/>
  <c r="AQ35" i="1"/>
  <c r="AQ38" i="1"/>
  <c r="AQ28" i="1"/>
  <c r="AQ31" i="1"/>
  <c r="AQ34" i="1"/>
  <c r="AQ37" i="1"/>
  <c r="AQ27" i="1"/>
  <c r="AQ40" i="1"/>
  <c r="AQ30" i="1"/>
  <c r="AQ33" i="1"/>
  <c r="AQ26" i="1"/>
  <c r="AQ36" i="1"/>
  <c r="N25" i="3"/>
  <c r="N32" i="3" s="1"/>
  <c r="N17" i="3"/>
  <c r="N18" i="3" s="1"/>
  <c r="N21" i="3" s="1"/>
  <c r="O7" i="3"/>
  <c r="O20" i="3" s="1"/>
  <c r="O29" i="3" s="1"/>
  <c r="O8" i="3"/>
  <c r="M34" i="3"/>
  <c r="M37" i="3" s="1"/>
  <c r="M58" i="3" s="1"/>
  <c r="M60" i="3" s="1"/>
  <c r="S6" i="3"/>
  <c r="S65" i="3" s="1"/>
  <c r="Q16" i="3"/>
  <c r="R36" i="3" a="1"/>
  <c r="R36" i="3" s="1"/>
  <c r="R30" i="3"/>
  <c r="R31" i="3"/>
  <c r="R27" i="3"/>
  <c r="R28" i="3"/>
  <c r="R26" i="3"/>
  <c r="R24" i="3"/>
  <c r="AQ19" i="1"/>
  <c r="AQ12" i="1"/>
  <c r="AQ20" i="1"/>
  <c r="AQ10" i="1"/>
  <c r="AQ16" i="1"/>
  <c r="AQ13" i="1"/>
  <c r="AQ21" i="1"/>
  <c r="AQ7" i="1"/>
  <c r="AQ23" i="1"/>
  <c r="AQ5" i="1"/>
  <c r="AQ24" i="1"/>
  <c r="AQ15" i="1"/>
  <c r="AQ18" i="1"/>
  <c r="AQ9" i="1"/>
  <c r="AQ3" i="1"/>
  <c r="AQ25" i="1"/>
  <c r="AQ11" i="1"/>
  <c r="AQ17" i="1"/>
  <c r="AQ6" i="1"/>
  <c r="AQ8" i="1"/>
  <c r="AQ14" i="1"/>
  <c r="AQ4" i="1"/>
  <c r="AQ22" i="1"/>
  <c r="AR1" i="1"/>
  <c r="AS2" i="1"/>
  <c r="S50" i="2"/>
  <c r="T5" i="3" s="1"/>
  <c r="T4" i="3" s="1"/>
  <c r="T59" i="3" s="1" a="1"/>
  <c r="T59" i="3" s="1"/>
  <c r="O51" i="2"/>
  <c r="AR36" i="1" l="1"/>
  <c r="AR39" i="1"/>
  <c r="AR29" i="1"/>
  <c r="AR26" i="1"/>
  <c r="AR32" i="1"/>
  <c r="AR35" i="1"/>
  <c r="AR38" i="1"/>
  <c r="AR28" i="1"/>
  <c r="AR31" i="1"/>
  <c r="AR34" i="1"/>
  <c r="AR37" i="1"/>
  <c r="AR40" i="1"/>
  <c r="AR30" i="1"/>
  <c r="AR27" i="1"/>
  <c r="AR33" i="1"/>
  <c r="AQ41" i="1"/>
  <c r="N34" i="3"/>
  <c r="N37" i="3" s="1"/>
  <c r="N58" i="3" s="1"/>
  <c r="N60" i="3" s="1"/>
  <c r="P7" i="3"/>
  <c r="P20" i="3" s="1"/>
  <c r="P29" i="3" s="1"/>
  <c r="P8" i="3"/>
  <c r="O17" i="3"/>
  <c r="O18" i="3" s="1"/>
  <c r="O21" i="3" s="1"/>
  <c r="O25" i="3"/>
  <c r="O32" i="3" s="1"/>
  <c r="T6" i="3"/>
  <c r="T65" i="3" s="1"/>
  <c r="R16" i="3"/>
  <c r="S36" i="3" a="1"/>
  <c r="S36" i="3" s="1"/>
  <c r="S30" i="3"/>
  <c r="S31" i="3"/>
  <c r="S28" i="3"/>
  <c r="S27" i="3"/>
  <c r="S26" i="3"/>
  <c r="S24" i="3"/>
  <c r="AR22" i="1"/>
  <c r="AR13" i="1"/>
  <c r="AR18" i="1"/>
  <c r="AR19" i="1"/>
  <c r="AR24" i="1"/>
  <c r="AR4" i="1"/>
  <c r="AR7" i="1"/>
  <c r="AR11" i="1"/>
  <c r="AR8" i="1"/>
  <c r="AR10" i="1"/>
  <c r="AR21" i="1"/>
  <c r="AR15" i="1"/>
  <c r="AR16" i="1"/>
  <c r="AR23" i="1"/>
  <c r="AR6" i="1"/>
  <c r="AR3" i="1"/>
  <c r="AR17" i="1"/>
  <c r="AR20" i="1"/>
  <c r="AR25" i="1"/>
  <c r="AR12" i="1"/>
  <c r="AR9" i="1"/>
  <c r="AR14" i="1"/>
  <c r="AR5" i="1"/>
  <c r="AT2" i="1"/>
  <c r="AS1" i="1"/>
  <c r="T50" i="2"/>
  <c r="U5" i="3" s="1"/>
  <c r="U4" i="3" s="1"/>
  <c r="U59" i="3" s="1" a="1"/>
  <c r="U59" i="3" s="1"/>
  <c r="P51" i="2"/>
  <c r="AS33" i="1" l="1"/>
  <c r="AS36" i="1"/>
  <c r="AS27" i="1"/>
  <c r="AS39" i="1"/>
  <c r="AS29" i="1"/>
  <c r="AS32" i="1"/>
  <c r="AS35" i="1"/>
  <c r="AS26" i="1"/>
  <c r="AS38" i="1"/>
  <c r="AS28" i="1"/>
  <c r="AS31" i="1"/>
  <c r="AS34" i="1"/>
  <c r="AS37" i="1"/>
  <c r="AS40" i="1"/>
  <c r="AS30" i="1"/>
  <c r="AR41" i="1"/>
  <c r="O34" i="3"/>
  <c r="O37" i="3" s="1"/>
  <c r="O58" i="3" s="1"/>
  <c r="O60" i="3" s="1"/>
  <c r="P25" i="3"/>
  <c r="P32" i="3" s="1"/>
  <c r="P17" i="3"/>
  <c r="P18" i="3" s="1"/>
  <c r="P21" i="3" s="1"/>
  <c r="Q7" i="3"/>
  <c r="Q20" i="3" s="1"/>
  <c r="Q29" i="3" s="1"/>
  <c r="Q8" i="3"/>
  <c r="U6" i="3"/>
  <c r="U65" i="3" s="1"/>
  <c r="S16" i="3"/>
  <c r="T30" i="3"/>
  <c r="T31" i="3"/>
  <c r="T36" i="3" a="1"/>
  <c r="T36" i="3" s="1"/>
  <c r="T28" i="3"/>
  <c r="T26" i="3"/>
  <c r="T27" i="3"/>
  <c r="T24" i="3"/>
  <c r="AS17" i="1"/>
  <c r="AS10" i="1"/>
  <c r="AS7" i="1"/>
  <c r="AS21" i="1"/>
  <c r="AS18" i="1"/>
  <c r="AS25" i="1"/>
  <c r="AS19" i="1"/>
  <c r="AS16" i="1"/>
  <c r="AS24" i="1"/>
  <c r="AS4" i="1"/>
  <c r="AS12" i="1"/>
  <c r="AS8" i="1"/>
  <c r="AS22" i="1"/>
  <c r="AS3" i="1"/>
  <c r="AS5" i="1"/>
  <c r="AS13" i="1"/>
  <c r="AS15" i="1"/>
  <c r="AS6" i="1"/>
  <c r="AS14" i="1"/>
  <c r="AS9" i="1"/>
  <c r="AS11" i="1"/>
  <c r="AS20" i="1"/>
  <c r="AS23" i="1"/>
  <c r="AT1" i="1"/>
  <c r="AU2" i="1"/>
  <c r="U50" i="2"/>
  <c r="V5" i="3" s="1"/>
  <c r="V4" i="3" s="1"/>
  <c r="V59" i="3" s="1" a="1"/>
  <c r="V59" i="3" s="1"/>
  <c r="Q51" i="2"/>
  <c r="AT33" i="1" l="1"/>
  <c r="AT36" i="1"/>
  <c r="AT39" i="1"/>
  <c r="AT29" i="1"/>
  <c r="AT32" i="1"/>
  <c r="AT35" i="1"/>
  <c r="AT38" i="1"/>
  <c r="AT28" i="1"/>
  <c r="AT31" i="1"/>
  <c r="AT26" i="1"/>
  <c r="AT34" i="1"/>
  <c r="AT37" i="1"/>
  <c r="AT40" i="1"/>
  <c r="AT27" i="1"/>
  <c r="AT30" i="1"/>
  <c r="AS41" i="1"/>
  <c r="Q17" i="3"/>
  <c r="Q18" i="3" s="1"/>
  <c r="Q21" i="3" s="1"/>
  <c r="Q25" i="3"/>
  <c r="Q32" i="3" s="1"/>
  <c r="R7" i="3"/>
  <c r="R20" i="3" s="1"/>
  <c r="R29" i="3" s="1"/>
  <c r="R8" i="3"/>
  <c r="P34" i="3"/>
  <c r="P37" i="3" s="1"/>
  <c r="P58" i="3" s="1"/>
  <c r="P60" i="3" s="1"/>
  <c r="V6" i="3"/>
  <c r="V65" i="3" s="1"/>
  <c r="T16" i="3"/>
  <c r="U30" i="3"/>
  <c r="U31" i="3"/>
  <c r="U27" i="3"/>
  <c r="U26" i="3"/>
  <c r="U28" i="3"/>
  <c r="U24" i="3"/>
  <c r="U36" i="3" a="1"/>
  <c r="U36" i="3" s="1"/>
  <c r="AU1" i="1"/>
  <c r="AV2" i="1"/>
  <c r="AT20" i="1"/>
  <c r="AT17" i="1"/>
  <c r="AT25" i="1"/>
  <c r="AT16" i="1"/>
  <c r="AT13" i="1"/>
  <c r="AT4" i="1"/>
  <c r="AT8" i="1"/>
  <c r="AT23" i="1"/>
  <c r="AT22" i="1"/>
  <c r="AT19" i="1"/>
  <c r="AT24" i="1"/>
  <c r="AT6" i="1"/>
  <c r="AT3" i="1"/>
  <c r="AT10" i="1"/>
  <c r="AT11" i="1"/>
  <c r="AT7" i="1"/>
  <c r="AT21" i="1"/>
  <c r="AT14" i="1"/>
  <c r="AT5" i="1"/>
  <c r="AT18" i="1"/>
  <c r="AT12" i="1"/>
  <c r="AT9" i="1"/>
  <c r="AT15" i="1"/>
  <c r="V50" i="2"/>
  <c r="W5" i="3" s="1"/>
  <c r="W4" i="3" s="1"/>
  <c r="W59" i="3" s="1" a="1"/>
  <c r="W59" i="3" s="1"/>
  <c r="R51" i="2"/>
  <c r="AU40" i="1" l="1"/>
  <c r="AU30" i="1"/>
  <c r="AU33" i="1"/>
  <c r="AU36" i="1"/>
  <c r="AU39" i="1"/>
  <c r="AU29" i="1"/>
  <c r="AU32" i="1"/>
  <c r="AU35" i="1"/>
  <c r="AU38" i="1"/>
  <c r="AU28" i="1"/>
  <c r="AU27" i="1"/>
  <c r="AU31" i="1"/>
  <c r="AU34" i="1"/>
  <c r="AU37" i="1"/>
  <c r="AU26" i="1"/>
  <c r="AT41" i="1"/>
  <c r="R17" i="3"/>
  <c r="R18" i="3" s="1"/>
  <c r="R21" i="3" s="1"/>
  <c r="R25" i="3"/>
  <c r="R32" i="3" s="1"/>
  <c r="S8" i="3"/>
  <c r="S7" i="3"/>
  <c r="S20" i="3" s="1"/>
  <c r="S29" i="3" s="1"/>
  <c r="Q34" i="3"/>
  <c r="Q37" i="3" s="1"/>
  <c r="Q58" i="3" s="1"/>
  <c r="Q60" i="3" s="1"/>
  <c r="W6" i="3"/>
  <c r="W65" i="3" s="1"/>
  <c r="U16" i="3"/>
  <c r="V30" i="3"/>
  <c r="V31" i="3"/>
  <c r="V24" i="3"/>
  <c r="V28" i="3"/>
  <c r="V27" i="3"/>
  <c r="V26" i="3"/>
  <c r="V36" i="3" a="1"/>
  <c r="V36" i="3" s="1"/>
  <c r="AV1" i="1"/>
  <c r="AW2" i="1"/>
  <c r="AU23" i="1"/>
  <c r="AU22" i="1"/>
  <c r="AU19" i="1"/>
  <c r="AU16" i="1"/>
  <c r="AU21" i="1"/>
  <c r="AU3" i="1"/>
  <c r="AU20" i="1"/>
  <c r="AU24" i="1"/>
  <c r="AU18" i="1"/>
  <c r="AU17" i="1"/>
  <c r="AU10" i="1"/>
  <c r="AU25" i="1"/>
  <c r="AU13" i="1"/>
  <c r="AU5" i="1"/>
  <c r="AU7" i="1"/>
  <c r="AU15" i="1"/>
  <c r="AU9" i="1"/>
  <c r="AU12" i="1"/>
  <c r="AU14" i="1"/>
  <c r="AU8" i="1"/>
  <c r="AU4" i="1"/>
  <c r="AU6" i="1"/>
  <c r="AU11" i="1"/>
  <c r="W50" i="2"/>
  <c r="X5" i="3" s="1"/>
  <c r="X4" i="3" s="1"/>
  <c r="X59" i="3" s="1" a="1"/>
  <c r="X59" i="3" s="1"/>
  <c r="S51" i="2"/>
  <c r="AV40" i="1" l="1"/>
  <c r="AV30" i="1"/>
  <c r="AV33" i="1"/>
  <c r="AV26" i="1"/>
  <c r="AV36" i="1"/>
  <c r="AV39" i="1"/>
  <c r="AV29" i="1"/>
  <c r="AV32" i="1"/>
  <c r="AV35" i="1"/>
  <c r="AV38" i="1"/>
  <c r="AV28" i="1"/>
  <c r="AV31" i="1"/>
  <c r="AV34" i="1"/>
  <c r="AV27" i="1"/>
  <c r="AV37" i="1"/>
  <c r="AU41" i="1"/>
  <c r="S17" i="3"/>
  <c r="S18" i="3" s="1"/>
  <c r="S21" i="3" s="1"/>
  <c r="S25" i="3"/>
  <c r="S32" i="3" s="1"/>
  <c r="T8" i="3"/>
  <c r="T7" i="3"/>
  <c r="T20" i="3" s="1"/>
  <c r="T29" i="3" s="1"/>
  <c r="R34" i="3"/>
  <c r="R37" i="3" s="1"/>
  <c r="R58" i="3" s="1"/>
  <c r="R60" i="3" s="1"/>
  <c r="X6" i="3"/>
  <c r="X65" i="3" s="1"/>
  <c r="V16" i="3"/>
  <c r="W30" i="3"/>
  <c r="W31" i="3"/>
  <c r="W27" i="3"/>
  <c r="W24" i="3"/>
  <c r="W36" i="3" a="1"/>
  <c r="W36" i="3" s="1"/>
  <c r="W26" i="3"/>
  <c r="W28" i="3"/>
  <c r="AX2" i="1"/>
  <c r="AW1" i="1"/>
  <c r="AV23" i="1"/>
  <c r="AV17" i="1"/>
  <c r="AV21" i="1"/>
  <c r="AV20" i="1"/>
  <c r="AV16" i="1"/>
  <c r="AV10" i="1"/>
  <c r="AV3" i="1"/>
  <c r="AV11" i="1"/>
  <c r="AV5" i="1"/>
  <c r="AV22" i="1"/>
  <c r="AV24" i="1"/>
  <c r="AV18" i="1"/>
  <c r="AV15" i="1"/>
  <c r="AV12" i="1"/>
  <c r="AV25" i="1"/>
  <c r="AV19" i="1"/>
  <c r="AV13" i="1"/>
  <c r="AV7" i="1"/>
  <c r="AV14" i="1"/>
  <c r="AV4" i="1"/>
  <c r="AV6" i="1"/>
  <c r="AV9" i="1"/>
  <c r="AV8" i="1"/>
  <c r="X50" i="2"/>
  <c r="Y5" i="3" s="1"/>
  <c r="Y4" i="3" s="1"/>
  <c r="Y59" i="3" s="1" a="1"/>
  <c r="Y59" i="3" s="1"/>
  <c r="T51" i="2"/>
  <c r="AV41" i="1" l="1"/>
  <c r="AW37" i="1"/>
  <c r="AW40" i="1"/>
  <c r="AW30" i="1"/>
  <c r="AW33" i="1"/>
  <c r="AW27" i="1"/>
  <c r="AW36" i="1"/>
  <c r="AW39" i="1"/>
  <c r="AW29" i="1"/>
  <c r="AW32" i="1"/>
  <c r="AW35" i="1"/>
  <c r="AW38" i="1"/>
  <c r="AW28" i="1"/>
  <c r="AW31" i="1"/>
  <c r="AW26" i="1"/>
  <c r="AW34" i="1"/>
  <c r="T17" i="3"/>
  <c r="T18" i="3" s="1"/>
  <c r="T21" i="3" s="1"/>
  <c r="T25" i="3"/>
  <c r="T32" i="3" s="1"/>
  <c r="S34" i="3"/>
  <c r="S37" i="3" s="1"/>
  <c r="S58" i="3" s="1"/>
  <c r="S60" i="3" s="1"/>
  <c r="U7" i="3"/>
  <c r="U20" i="3" s="1"/>
  <c r="U29" i="3" s="1"/>
  <c r="U8" i="3"/>
  <c r="Y6" i="3"/>
  <c r="Y65" i="3" s="1"/>
  <c r="W16" i="3"/>
  <c r="X31" i="3"/>
  <c r="X27" i="3"/>
  <c r="X28" i="3"/>
  <c r="X30" i="3"/>
  <c r="X16" i="3" s="1"/>
  <c r="X24" i="3"/>
  <c r="X26" i="3"/>
  <c r="X36" i="3" a="1"/>
  <c r="X36" i="3" s="1"/>
  <c r="AW11" i="1"/>
  <c r="AW22" i="1"/>
  <c r="AW16" i="1"/>
  <c r="AW10" i="1"/>
  <c r="AW17" i="1"/>
  <c r="AW13" i="1"/>
  <c r="AW4" i="1"/>
  <c r="AW3" i="1"/>
  <c r="AW23" i="1"/>
  <c r="AW25" i="1"/>
  <c r="AW19" i="1"/>
  <c r="AW8" i="1"/>
  <c r="AW7" i="1"/>
  <c r="AW15" i="1"/>
  <c r="AW12" i="1"/>
  <c r="AW6" i="1"/>
  <c r="AW5" i="1"/>
  <c r="AW24" i="1"/>
  <c r="AW14" i="1"/>
  <c r="AW20" i="1"/>
  <c r="AW9" i="1"/>
  <c r="AW18" i="1"/>
  <c r="AW21" i="1"/>
  <c r="AX1" i="1"/>
  <c r="AY2" i="1"/>
  <c r="Y50" i="2"/>
  <c r="Z5" i="3" s="1"/>
  <c r="Z4" i="3" s="1"/>
  <c r="Z59" i="3" s="1" a="1"/>
  <c r="Z59" i="3" s="1"/>
  <c r="U51" i="2"/>
  <c r="AW41" i="1" l="1"/>
  <c r="AX40" i="1"/>
  <c r="AX34" i="1"/>
  <c r="AX28" i="1"/>
  <c r="AX32" i="1"/>
  <c r="AX35" i="1"/>
  <c r="AX31" i="1"/>
  <c r="AX38" i="1"/>
  <c r="AX29" i="1"/>
  <c r="AX37" i="1"/>
  <c r="AX39" i="1"/>
  <c r="AX27" i="1"/>
  <c r="AX26" i="1"/>
  <c r="AX33" i="1"/>
  <c r="AX36" i="1"/>
  <c r="AX30" i="1"/>
  <c r="U25" i="3"/>
  <c r="U32" i="3" s="1"/>
  <c r="U17" i="3"/>
  <c r="U18" i="3" s="1"/>
  <c r="U21" i="3" s="1"/>
  <c r="T34" i="3"/>
  <c r="T37" i="3" s="1"/>
  <c r="T58" i="3" s="1"/>
  <c r="T60" i="3" s="1"/>
  <c r="V8" i="3"/>
  <c r="V7" i="3"/>
  <c r="V20" i="3" s="1"/>
  <c r="V29" i="3" s="1"/>
  <c r="Z6" i="3"/>
  <c r="Z65" i="3" s="1"/>
  <c r="Y27" i="3"/>
  <c r="Y28" i="3"/>
  <c r="Y31" i="3"/>
  <c r="Y24" i="3"/>
  <c r="Y36" i="3" a="1"/>
  <c r="Y36" i="3" s="1"/>
  <c r="Y26" i="3"/>
  <c r="Y30" i="3"/>
  <c r="AY1" i="1"/>
  <c r="AZ2" i="1"/>
  <c r="AX11" i="1"/>
  <c r="AX17" i="1"/>
  <c r="AX5" i="1"/>
  <c r="AX22" i="1"/>
  <c r="AX13" i="1"/>
  <c r="AX24" i="1"/>
  <c r="AX10" i="1"/>
  <c r="AX7" i="1"/>
  <c r="AX4" i="1"/>
  <c r="AX15" i="1"/>
  <c r="AX12" i="1"/>
  <c r="AX25" i="1"/>
  <c r="AX19" i="1"/>
  <c r="AX16" i="1"/>
  <c r="AX21" i="1"/>
  <c r="AX8" i="1"/>
  <c r="AX3" i="1"/>
  <c r="AX9" i="1"/>
  <c r="AX18" i="1"/>
  <c r="AX20" i="1"/>
  <c r="AX6" i="1"/>
  <c r="AX23" i="1"/>
  <c r="AX14" i="1"/>
  <c r="Z50" i="2"/>
  <c r="AA5" i="3" s="1"/>
  <c r="AA4" i="3" s="1"/>
  <c r="AA59" i="3" s="1" a="1"/>
  <c r="AA59" i="3" s="1"/>
  <c r="V51" i="2"/>
  <c r="AY37" i="1" l="1"/>
  <c r="AY40" i="1"/>
  <c r="AY30" i="1"/>
  <c r="AY33" i="1"/>
  <c r="AY26" i="1"/>
  <c r="AY36" i="1"/>
  <c r="AY39" i="1"/>
  <c r="AY29" i="1"/>
  <c r="AY35" i="1"/>
  <c r="AY38" i="1"/>
  <c r="AY28" i="1"/>
  <c r="AY31" i="1"/>
  <c r="AY34" i="1"/>
  <c r="AY32" i="1"/>
  <c r="AY27" i="1"/>
  <c r="AX41" i="1"/>
  <c r="U34" i="3"/>
  <c r="U37" i="3" s="1"/>
  <c r="U58" i="3" s="1"/>
  <c r="U60" i="3" s="1"/>
  <c r="W8" i="3"/>
  <c r="W7" i="3"/>
  <c r="W20" i="3" s="1"/>
  <c r="W29" i="3" s="1"/>
  <c r="V17" i="3"/>
  <c r="V18" i="3" s="1"/>
  <c r="V21" i="3" s="1"/>
  <c r="V25" i="3"/>
  <c r="V32" i="3" s="1"/>
  <c r="Y16" i="3"/>
  <c r="AA6" i="3"/>
  <c r="AA65" i="3" s="1"/>
  <c r="Z27" i="3"/>
  <c r="Z28" i="3"/>
  <c r="Z36" i="3" a="1"/>
  <c r="Z36" i="3" s="1"/>
  <c r="Z26" i="3"/>
  <c r="Z31" i="3"/>
  <c r="Z24" i="3"/>
  <c r="Z30" i="3"/>
  <c r="BA2" i="1"/>
  <c r="AZ1" i="1"/>
  <c r="AY25" i="1"/>
  <c r="AY20" i="1"/>
  <c r="AY11" i="1"/>
  <c r="AY22" i="1"/>
  <c r="AY5" i="1"/>
  <c r="AY23" i="1"/>
  <c r="AY17" i="1"/>
  <c r="AY10" i="1"/>
  <c r="AY8" i="1"/>
  <c r="AY15" i="1"/>
  <c r="AY9" i="1"/>
  <c r="AY21" i="1"/>
  <c r="AY24" i="1"/>
  <c r="AY16" i="1"/>
  <c r="AY13" i="1"/>
  <c r="AY14" i="1"/>
  <c r="AY19" i="1"/>
  <c r="AY7" i="1"/>
  <c r="AY4" i="1"/>
  <c r="AY3" i="1"/>
  <c r="AY18" i="1"/>
  <c r="AY12" i="1"/>
  <c r="AY6" i="1"/>
  <c r="AA50" i="2"/>
  <c r="AB5" i="3" s="1"/>
  <c r="AB4" i="3" s="1"/>
  <c r="AB59" i="3" s="1" a="1"/>
  <c r="AB59" i="3" s="1"/>
  <c r="W51" i="2"/>
  <c r="AZ37" i="1" l="1"/>
  <c r="AZ40" i="1"/>
  <c r="AZ30" i="1"/>
  <c r="AZ33" i="1"/>
  <c r="AZ36" i="1"/>
  <c r="AZ39" i="1"/>
  <c r="AZ29" i="1"/>
  <c r="AZ32" i="1"/>
  <c r="AZ35" i="1"/>
  <c r="AZ31" i="1"/>
  <c r="AZ27" i="1"/>
  <c r="AZ26" i="1"/>
  <c r="AZ28" i="1"/>
  <c r="AZ38" i="1"/>
  <c r="AZ34" i="1"/>
  <c r="AY41" i="1"/>
  <c r="V34" i="3"/>
  <c r="V37" i="3" s="1"/>
  <c r="V58" i="3" s="1"/>
  <c r="V60" i="3" s="1"/>
  <c r="X8" i="3"/>
  <c r="X7" i="3"/>
  <c r="X20" i="3" s="1"/>
  <c r="X29" i="3" s="1"/>
  <c r="W17" i="3"/>
  <c r="W18" i="3" s="1"/>
  <c r="W21" i="3" s="1"/>
  <c r="W25" i="3"/>
  <c r="W32" i="3" s="1"/>
  <c r="Z16" i="3"/>
  <c r="AB6" i="3"/>
  <c r="AB65" i="3" s="1"/>
  <c r="AA27" i="3"/>
  <c r="AA28" i="3"/>
  <c r="AA36" i="3" a="1"/>
  <c r="AA36" i="3" s="1"/>
  <c r="AA26" i="3"/>
  <c r="AA24" i="3"/>
  <c r="AA30" i="3"/>
  <c r="AA31" i="3"/>
  <c r="AZ18" i="1"/>
  <c r="AZ23" i="1"/>
  <c r="AZ3" i="1"/>
  <c r="AZ14" i="1"/>
  <c r="AZ20" i="1"/>
  <c r="AZ11" i="1"/>
  <c r="AZ22" i="1"/>
  <c r="AZ5" i="1"/>
  <c r="AZ16" i="1"/>
  <c r="AZ12" i="1"/>
  <c r="AZ8" i="1"/>
  <c r="AZ19" i="1"/>
  <c r="AZ25" i="1"/>
  <c r="AZ10" i="1"/>
  <c r="AZ7" i="1"/>
  <c r="AZ24" i="1"/>
  <c r="AZ6" i="1"/>
  <c r="AZ17" i="1"/>
  <c r="AZ13" i="1"/>
  <c r="AZ4" i="1"/>
  <c r="AZ15" i="1"/>
  <c r="AZ9" i="1"/>
  <c r="AZ21" i="1"/>
  <c r="BB2" i="1"/>
  <c r="BA1" i="1"/>
  <c r="AB50" i="2"/>
  <c r="AC5" i="3" s="1"/>
  <c r="AC4" i="3" s="1"/>
  <c r="AC59" i="3" s="1" a="1"/>
  <c r="AC59" i="3" s="1"/>
  <c r="X51" i="2"/>
  <c r="AZ41" i="1" l="1"/>
  <c r="BA34" i="1"/>
  <c r="BA27" i="1"/>
  <c r="BA37" i="1"/>
  <c r="BA40" i="1"/>
  <c r="BA30" i="1"/>
  <c r="BA33" i="1"/>
  <c r="BA26" i="1"/>
  <c r="BA36" i="1"/>
  <c r="BA39" i="1"/>
  <c r="BA29" i="1"/>
  <c r="BA32" i="1"/>
  <c r="BA35" i="1"/>
  <c r="BA38" i="1"/>
  <c r="BA28" i="1"/>
  <c r="BA31" i="1"/>
  <c r="W34" i="3"/>
  <c r="W37" i="3" s="1"/>
  <c r="W58" i="3" s="1"/>
  <c r="W60" i="3" s="1"/>
  <c r="Y8" i="3"/>
  <c r="Y7" i="3"/>
  <c r="Y20" i="3" s="1"/>
  <c r="Y29" i="3" s="1"/>
  <c r="X25" i="3"/>
  <c r="X32" i="3" s="1"/>
  <c r="X17" i="3"/>
  <c r="X18" i="3" s="1"/>
  <c r="X21" i="3" s="1"/>
  <c r="AC6" i="3"/>
  <c r="AC65" i="3" s="1"/>
  <c r="AA16" i="3"/>
  <c r="AB27" i="3"/>
  <c r="AB28" i="3"/>
  <c r="AB36" i="3" a="1"/>
  <c r="AB36" i="3" s="1"/>
  <c r="AB24" i="3"/>
  <c r="AB26" i="3"/>
  <c r="AB30" i="3"/>
  <c r="AB31" i="3"/>
  <c r="BA18" i="1"/>
  <c r="BA14" i="1"/>
  <c r="BA25" i="1"/>
  <c r="BA23" i="1"/>
  <c r="BA20" i="1"/>
  <c r="BA13" i="1"/>
  <c r="BA10" i="1"/>
  <c r="BA12" i="1"/>
  <c r="BA6" i="1"/>
  <c r="BA9" i="1"/>
  <c r="BA15" i="1"/>
  <c r="BA22" i="1"/>
  <c r="BA4" i="1"/>
  <c r="BA16" i="1"/>
  <c r="BA11" i="1"/>
  <c r="BA19" i="1"/>
  <c r="BA5" i="1"/>
  <c r="BA17" i="1"/>
  <c r="BA8" i="1"/>
  <c r="BA24" i="1"/>
  <c r="BA21" i="1"/>
  <c r="BA3" i="1"/>
  <c r="BA7" i="1"/>
  <c r="BB1" i="1"/>
  <c r="BC2" i="1"/>
  <c r="AC50" i="2"/>
  <c r="AD5" i="3" s="1"/>
  <c r="AD4" i="3" s="1"/>
  <c r="AD59" i="3" s="1" a="1"/>
  <c r="AD59" i="3" s="1"/>
  <c r="Y51" i="2"/>
  <c r="BB39" i="1" l="1"/>
  <c r="BB35" i="1"/>
  <c r="BB31" i="1"/>
  <c r="BB38" i="1"/>
  <c r="BB34" i="1"/>
  <c r="BB30" i="1"/>
  <c r="BB26" i="1"/>
  <c r="BB37" i="1"/>
  <c r="BB33" i="1"/>
  <c r="BB29" i="1"/>
  <c r="BB27" i="1"/>
  <c r="BB40" i="1"/>
  <c r="BB36" i="1"/>
  <c r="BB32" i="1"/>
  <c r="BB28" i="1"/>
  <c r="BA41" i="1"/>
  <c r="X34" i="3"/>
  <c r="X37" i="3" s="1"/>
  <c r="X58" i="3" s="1"/>
  <c r="X60" i="3" s="1"/>
  <c r="Y25" i="3"/>
  <c r="Y32" i="3" s="1"/>
  <c r="Y17" i="3"/>
  <c r="Y18" i="3" s="1"/>
  <c r="Y21" i="3" s="1"/>
  <c r="Z7" i="3"/>
  <c r="Z20" i="3" s="1"/>
  <c r="Z29" i="3" s="1"/>
  <c r="Z8" i="3"/>
  <c r="AD6" i="3"/>
  <c r="AD65" i="3" s="1"/>
  <c r="AB16" i="3"/>
  <c r="AC27" i="3"/>
  <c r="AC28" i="3"/>
  <c r="AC24" i="3"/>
  <c r="AC36" i="3" a="1"/>
  <c r="AC36" i="3" s="1"/>
  <c r="AC26" i="3"/>
  <c r="AC31" i="3"/>
  <c r="AC30" i="3"/>
  <c r="BC1" i="1"/>
  <c r="BD2" i="1"/>
  <c r="BB5" i="1"/>
  <c r="BB9" i="1"/>
  <c r="BB20" i="1"/>
  <c r="BB13" i="1"/>
  <c r="BB7" i="1"/>
  <c r="BB10" i="1"/>
  <c r="BB16" i="1"/>
  <c r="BB18" i="1"/>
  <c r="BB8" i="1"/>
  <c r="BB3" i="1"/>
  <c r="BB11" i="1"/>
  <c r="BB6" i="1"/>
  <c r="BB4" i="1"/>
  <c r="BB21" i="1"/>
  <c r="BB12" i="1"/>
  <c r="BB24" i="1"/>
  <c r="BB25" i="1"/>
  <c r="BB22" i="1"/>
  <c r="BB15" i="1"/>
  <c r="BB23" i="1"/>
  <c r="BB17" i="1"/>
  <c r="BB14" i="1"/>
  <c r="BB19" i="1"/>
  <c r="AD50" i="2"/>
  <c r="AE5" i="3" s="1"/>
  <c r="AE4" i="3" s="1"/>
  <c r="AE59" i="3" s="1" a="1"/>
  <c r="AE59" i="3" s="1"/>
  <c r="Z51" i="2"/>
  <c r="BC33" i="1" l="1"/>
  <c r="BC36" i="1"/>
  <c r="BC39" i="1"/>
  <c r="BC29" i="1"/>
  <c r="BC32" i="1"/>
  <c r="BC35" i="1"/>
  <c r="BC38" i="1"/>
  <c r="BC28" i="1"/>
  <c r="BC31" i="1"/>
  <c r="BC37" i="1"/>
  <c r="BC40" i="1"/>
  <c r="BC27" i="1"/>
  <c r="BC34" i="1"/>
  <c r="BC26" i="1"/>
  <c r="BC30" i="1"/>
  <c r="BB41" i="1"/>
  <c r="Z17" i="3"/>
  <c r="Z18" i="3" s="1"/>
  <c r="Z21" i="3" s="1"/>
  <c r="Z25" i="3"/>
  <c r="Z32" i="3" s="1"/>
  <c r="Y34" i="3"/>
  <c r="Y37" i="3" s="1"/>
  <c r="Y58" i="3" s="1"/>
  <c r="Y60" i="3" s="1"/>
  <c r="AA7" i="3"/>
  <c r="AA20" i="3" s="1"/>
  <c r="AA29" i="3" s="1"/>
  <c r="AA8" i="3"/>
  <c r="AE6" i="3"/>
  <c r="AE65" i="3" s="1"/>
  <c r="AC16" i="3"/>
  <c r="AD28" i="3"/>
  <c r="AD30" i="3"/>
  <c r="AD24" i="3"/>
  <c r="AD36" i="3" a="1"/>
  <c r="AD36" i="3" s="1"/>
  <c r="AD27" i="3"/>
  <c r="AD26" i="3"/>
  <c r="AD31" i="3"/>
  <c r="BD1" i="1"/>
  <c r="BE2" i="1"/>
  <c r="BC18" i="1"/>
  <c r="BC17" i="1"/>
  <c r="BC24" i="1"/>
  <c r="BC23" i="1"/>
  <c r="BC25" i="1"/>
  <c r="BC22" i="1"/>
  <c r="BC8" i="1"/>
  <c r="BC13" i="1"/>
  <c r="BC15" i="1"/>
  <c r="BC20" i="1"/>
  <c r="BC11" i="1"/>
  <c r="BC16" i="1"/>
  <c r="BC19" i="1"/>
  <c r="BC10" i="1"/>
  <c r="BC5" i="1"/>
  <c r="BC14" i="1"/>
  <c r="BC12" i="1"/>
  <c r="BC7" i="1"/>
  <c r="BC9" i="1"/>
  <c r="BC21" i="1"/>
  <c r="BC4" i="1"/>
  <c r="BC6" i="1"/>
  <c r="BC3" i="1"/>
  <c r="AE50" i="2"/>
  <c r="AF5" i="3" s="1"/>
  <c r="AF4" i="3" s="1"/>
  <c r="AF59" i="3" s="1" a="1"/>
  <c r="AF59" i="3" s="1"/>
  <c r="AA51" i="2"/>
  <c r="BC41" i="1" l="1"/>
  <c r="BD40" i="1"/>
  <c r="BD30" i="1"/>
  <c r="BD33" i="1"/>
  <c r="BD36" i="1"/>
  <c r="BD39" i="1"/>
  <c r="BD29" i="1"/>
  <c r="BD32" i="1"/>
  <c r="BD35" i="1"/>
  <c r="BD38" i="1"/>
  <c r="BD28" i="1"/>
  <c r="BD34" i="1"/>
  <c r="BD26" i="1"/>
  <c r="BD37" i="1"/>
  <c r="BD27" i="1"/>
  <c r="BD31" i="1"/>
  <c r="AA25" i="3"/>
  <c r="AA32" i="3" s="1"/>
  <c r="AA17" i="3"/>
  <c r="AA18" i="3" s="1"/>
  <c r="AA21" i="3" s="1"/>
  <c r="Z34" i="3"/>
  <c r="Z37" i="3" s="1"/>
  <c r="Z58" i="3" s="1"/>
  <c r="Z60" i="3" s="1"/>
  <c r="AB8" i="3"/>
  <c r="AB7" i="3"/>
  <c r="AB20" i="3" s="1"/>
  <c r="AB29" i="3" s="1"/>
  <c r="AF6" i="3"/>
  <c r="AF65" i="3" s="1"/>
  <c r="AD16" i="3"/>
  <c r="AE30" i="3"/>
  <c r="AE31" i="3"/>
  <c r="AE28" i="3"/>
  <c r="AE26" i="3"/>
  <c r="AE36" i="3" a="1"/>
  <c r="AE36" i="3" s="1"/>
  <c r="AE27" i="3"/>
  <c r="AE24" i="3"/>
  <c r="BF2" i="1"/>
  <c r="BE1" i="1"/>
  <c r="BD3" i="1"/>
  <c r="BD20" i="1"/>
  <c r="BD15" i="1"/>
  <c r="BD22" i="1"/>
  <c r="BD5" i="1"/>
  <c r="BD16" i="1"/>
  <c r="BD21" i="1"/>
  <c r="BD23" i="1"/>
  <c r="BD17" i="1"/>
  <c r="BD11" i="1"/>
  <c r="BD19" i="1"/>
  <c r="BD12" i="1"/>
  <c r="BD9" i="1"/>
  <c r="BD25" i="1"/>
  <c r="BD8" i="1"/>
  <c r="BD13" i="1"/>
  <c r="BD10" i="1"/>
  <c r="BD4" i="1"/>
  <c r="BD18" i="1"/>
  <c r="BD14" i="1"/>
  <c r="BD7" i="1"/>
  <c r="BD6" i="1"/>
  <c r="BD24" i="1"/>
  <c r="AF50" i="2"/>
  <c r="AG5" i="3" s="1"/>
  <c r="AG4" i="3" s="1"/>
  <c r="AG59" i="3" s="1" a="1"/>
  <c r="AG59" i="3" s="1"/>
  <c r="AB51" i="2"/>
  <c r="BD41" i="1" l="1"/>
  <c r="BE37" i="1"/>
  <c r="BE40" i="1"/>
  <c r="BE30" i="1"/>
  <c r="BE33" i="1"/>
  <c r="BE36" i="1"/>
  <c r="BE39" i="1"/>
  <c r="BE29" i="1"/>
  <c r="BE32" i="1"/>
  <c r="BE35" i="1"/>
  <c r="BE38" i="1"/>
  <c r="BE31" i="1"/>
  <c r="BE34" i="1"/>
  <c r="BE26" i="1"/>
  <c r="BE27" i="1"/>
  <c r="BE28" i="1"/>
  <c r="AA34" i="3"/>
  <c r="AA37" i="3" s="1"/>
  <c r="AA58" i="3" s="1"/>
  <c r="AA60" i="3" s="1"/>
  <c r="AB25" i="3"/>
  <c r="AB32" i="3" s="1"/>
  <c r="AB17" i="3"/>
  <c r="AB18" i="3" s="1"/>
  <c r="AB21" i="3" s="1"/>
  <c r="AC7" i="3"/>
  <c r="AC20" i="3" s="1"/>
  <c r="AC29" i="3" s="1"/>
  <c r="AC8" i="3"/>
  <c r="AG6" i="3"/>
  <c r="AG65" i="3" s="1"/>
  <c r="AE16" i="3"/>
  <c r="AF36" i="3" a="1"/>
  <c r="AF36" i="3" s="1"/>
  <c r="AF30" i="3"/>
  <c r="AF31" i="3"/>
  <c r="AF24" i="3"/>
  <c r="AF26" i="3"/>
  <c r="AF28" i="3"/>
  <c r="AF27" i="3"/>
  <c r="BE12" i="1"/>
  <c r="BE9" i="1"/>
  <c r="BE15" i="1"/>
  <c r="BE11" i="1"/>
  <c r="BE13" i="1"/>
  <c r="BE7" i="1"/>
  <c r="BE23" i="1"/>
  <c r="BE20" i="1"/>
  <c r="BE16" i="1"/>
  <c r="BE24" i="1"/>
  <c r="BE5" i="1"/>
  <c r="BE17" i="1"/>
  <c r="BE25" i="1"/>
  <c r="BE22" i="1"/>
  <c r="BE8" i="1"/>
  <c r="BE10" i="1"/>
  <c r="BE18" i="1"/>
  <c r="BE14" i="1"/>
  <c r="BE21" i="1"/>
  <c r="BE6" i="1"/>
  <c r="BE3" i="1"/>
  <c r="BE4" i="1"/>
  <c r="BE19" i="1"/>
  <c r="BF1" i="1"/>
  <c r="BG2" i="1"/>
  <c r="AG50" i="2"/>
  <c r="AH5" i="3" s="1"/>
  <c r="AH4" i="3" s="1"/>
  <c r="AH59" i="3" s="1" a="1"/>
  <c r="AH59" i="3" s="1"/>
  <c r="AC51" i="2"/>
  <c r="BF34" i="1" l="1"/>
  <c r="BF37" i="1"/>
  <c r="BF40" i="1"/>
  <c r="BF30" i="1"/>
  <c r="BF33" i="1"/>
  <c r="BF36" i="1"/>
  <c r="BF39" i="1"/>
  <c r="BF29" i="1"/>
  <c r="BF32" i="1"/>
  <c r="BF35" i="1"/>
  <c r="BF38" i="1"/>
  <c r="BF28" i="1"/>
  <c r="BF27" i="1"/>
  <c r="BF26" i="1"/>
  <c r="BF31" i="1"/>
  <c r="BE41" i="1"/>
  <c r="AD8" i="3"/>
  <c r="AD7" i="3"/>
  <c r="AD20" i="3" s="1"/>
  <c r="AD29" i="3" s="1"/>
  <c r="AC25" i="3"/>
  <c r="AC32" i="3" s="1"/>
  <c r="AC17" i="3"/>
  <c r="AC18" i="3" s="1"/>
  <c r="AC21" i="3" s="1"/>
  <c r="AB34" i="3"/>
  <c r="AB37" i="3" s="1"/>
  <c r="AB58" i="3" s="1"/>
  <c r="AB60" i="3" s="1"/>
  <c r="AH6" i="3"/>
  <c r="AH65" i="3" s="1"/>
  <c r="AF16" i="3"/>
  <c r="AG36" i="3" a="1"/>
  <c r="AG36" i="3" s="1"/>
  <c r="AG31" i="3"/>
  <c r="AG26" i="3"/>
  <c r="AG28" i="3"/>
  <c r="AG24" i="3"/>
  <c r="AG27" i="3"/>
  <c r="AG30" i="3"/>
  <c r="BH2" i="1"/>
  <c r="BG1" i="1"/>
  <c r="BF21" i="1"/>
  <c r="BF18" i="1"/>
  <c r="BF22" i="1"/>
  <c r="BF15" i="1"/>
  <c r="BF11" i="1"/>
  <c r="BF5" i="1"/>
  <c r="BF13" i="1"/>
  <c r="BF12" i="1"/>
  <c r="BF9" i="1"/>
  <c r="BF17" i="1"/>
  <c r="BF4" i="1"/>
  <c r="BF24" i="1"/>
  <c r="BF6" i="1"/>
  <c r="BF20" i="1"/>
  <c r="BF14" i="1"/>
  <c r="BF8" i="1"/>
  <c r="BF7" i="1"/>
  <c r="BF23" i="1"/>
  <c r="BF3" i="1"/>
  <c r="BF25" i="1"/>
  <c r="BF16" i="1"/>
  <c r="BF10" i="1"/>
  <c r="BF19" i="1"/>
  <c r="AH50" i="2"/>
  <c r="AI5" i="3" s="1"/>
  <c r="AI4" i="3" s="1"/>
  <c r="AI59" i="3" s="1" a="1"/>
  <c r="AI59" i="3" s="1"/>
  <c r="AD51" i="2"/>
  <c r="BG31" i="1" l="1"/>
  <c r="BG34" i="1"/>
  <c r="BG37" i="1"/>
  <c r="BG40" i="1"/>
  <c r="BG30" i="1"/>
  <c r="BG33" i="1"/>
  <c r="BG36" i="1"/>
  <c r="BG39" i="1"/>
  <c r="BG29" i="1"/>
  <c r="BG32" i="1"/>
  <c r="BG35" i="1"/>
  <c r="BG38" i="1"/>
  <c r="BG27" i="1"/>
  <c r="BG26" i="1"/>
  <c r="BG28" i="1"/>
  <c r="BF41" i="1"/>
  <c r="AC34" i="3"/>
  <c r="AC37" i="3" s="1"/>
  <c r="AC58" i="3" s="1"/>
  <c r="AC60" i="3" s="1"/>
  <c r="AE7" i="3"/>
  <c r="AE20" i="3" s="1"/>
  <c r="AE29" i="3" s="1"/>
  <c r="AE8" i="3"/>
  <c r="AD17" i="3"/>
  <c r="AD18" i="3" s="1"/>
  <c r="AD21" i="3" s="1"/>
  <c r="AD25" i="3"/>
  <c r="AD32" i="3" s="1"/>
  <c r="AG16" i="3"/>
  <c r="AI6" i="3"/>
  <c r="AI65" i="3" s="1"/>
  <c r="AH36" i="3" a="1"/>
  <c r="AH36" i="3" s="1"/>
  <c r="AH24" i="3"/>
  <c r="AH26" i="3"/>
  <c r="AH28" i="3"/>
  <c r="AH30" i="3"/>
  <c r="AH27" i="3"/>
  <c r="AH31" i="3"/>
  <c r="BG25" i="1"/>
  <c r="BG18" i="1"/>
  <c r="BG23" i="1"/>
  <c r="BG24" i="1"/>
  <c r="BG21" i="1"/>
  <c r="BG12" i="1"/>
  <c r="BG15" i="1"/>
  <c r="BG19" i="1"/>
  <c r="BG6" i="1"/>
  <c r="BG8" i="1"/>
  <c r="BG5" i="1"/>
  <c r="BG9" i="1"/>
  <c r="BG20" i="1"/>
  <c r="BG14" i="1"/>
  <c r="BG3" i="1"/>
  <c r="BG11" i="1"/>
  <c r="BG7" i="1"/>
  <c r="BG16" i="1"/>
  <c r="BG17" i="1"/>
  <c r="BG13" i="1"/>
  <c r="BG22" i="1"/>
  <c r="BG10" i="1"/>
  <c r="BG4" i="1"/>
  <c r="BI2" i="1"/>
  <c r="BH1" i="1"/>
  <c r="AI50" i="2"/>
  <c r="AJ5" i="3" s="1"/>
  <c r="AJ4" i="3" s="1"/>
  <c r="AJ59" i="3" s="1" a="1"/>
  <c r="AJ59" i="3" s="1"/>
  <c r="AE51" i="2"/>
  <c r="BH38" i="1" l="1"/>
  <c r="BH28" i="1"/>
  <c r="BH26" i="1"/>
  <c r="BH31" i="1"/>
  <c r="BH34" i="1"/>
  <c r="BH37" i="1"/>
  <c r="BH40" i="1"/>
  <c r="BH30" i="1"/>
  <c r="BH33" i="1"/>
  <c r="BH36" i="1"/>
  <c r="BH39" i="1"/>
  <c r="BH29" i="1"/>
  <c r="BH27" i="1"/>
  <c r="BH32" i="1"/>
  <c r="BH35" i="1"/>
  <c r="BG41" i="1"/>
  <c r="AD34" i="3"/>
  <c r="AD37" i="3" s="1"/>
  <c r="AD58" i="3" s="1"/>
  <c r="AD60" i="3" s="1"/>
  <c r="AE25" i="3"/>
  <c r="AE32" i="3" s="1"/>
  <c r="AE17" i="3"/>
  <c r="AE18" i="3" s="1"/>
  <c r="AE21" i="3" s="1"/>
  <c r="AF8" i="3"/>
  <c r="AF7" i="3"/>
  <c r="AF20" i="3" s="1"/>
  <c r="AF29" i="3" s="1"/>
  <c r="AH16" i="3"/>
  <c r="AJ6" i="3"/>
  <c r="AJ65" i="3" s="1"/>
  <c r="AI36" i="3" a="1"/>
  <c r="AI36" i="3" s="1"/>
  <c r="AI30" i="3"/>
  <c r="AI26" i="3"/>
  <c r="AI27" i="3"/>
  <c r="AI31" i="3"/>
  <c r="AI24" i="3"/>
  <c r="AI28" i="3"/>
  <c r="BH19" i="1"/>
  <c r="BH24" i="1"/>
  <c r="BH12" i="1"/>
  <c r="BH9" i="1"/>
  <c r="BH7" i="1"/>
  <c r="BH16" i="1"/>
  <c r="BH21" i="1"/>
  <c r="BH18" i="1"/>
  <c r="BH14" i="1"/>
  <c r="BH8" i="1"/>
  <c r="BH23" i="1"/>
  <c r="BH6" i="1"/>
  <c r="BH13" i="1"/>
  <c r="BH4" i="1"/>
  <c r="BH15" i="1"/>
  <c r="BH17" i="1"/>
  <c r="BH11" i="1"/>
  <c r="BH20" i="1"/>
  <c r="BH3" i="1"/>
  <c r="BH5" i="1"/>
  <c r="BH25" i="1"/>
  <c r="BH10" i="1"/>
  <c r="BH22" i="1"/>
  <c r="BJ2" i="1"/>
  <c r="BI1" i="1"/>
  <c r="AJ50" i="2"/>
  <c r="AK5" i="3" s="1"/>
  <c r="AK4" i="3" s="1"/>
  <c r="AK59" i="3" s="1" a="1"/>
  <c r="AK59" i="3" s="1"/>
  <c r="AF51" i="2"/>
  <c r="BH41" i="1" l="1"/>
  <c r="BI35" i="1"/>
  <c r="BI38" i="1"/>
  <c r="BI28" i="1"/>
  <c r="BI31" i="1"/>
  <c r="BI34" i="1"/>
  <c r="BI37" i="1"/>
  <c r="BI40" i="1"/>
  <c r="BI30" i="1"/>
  <c r="BI33" i="1"/>
  <c r="BI36" i="1"/>
  <c r="BI39" i="1"/>
  <c r="BI29" i="1"/>
  <c r="BI26" i="1"/>
  <c r="BI32" i="1"/>
  <c r="BI27" i="1"/>
  <c r="AE34" i="3"/>
  <c r="AE37" i="3" s="1"/>
  <c r="AE58" i="3" s="1"/>
  <c r="AE60" i="3" s="1"/>
  <c r="AF25" i="3"/>
  <c r="AF32" i="3" s="1"/>
  <c r="AF17" i="3"/>
  <c r="AF18" i="3" s="1"/>
  <c r="AF21" i="3" s="1"/>
  <c r="AG7" i="3"/>
  <c r="AG20" i="3" s="1"/>
  <c r="AG29" i="3" s="1"/>
  <c r="AG8" i="3"/>
  <c r="AK6" i="3"/>
  <c r="AK65" i="3" s="1"/>
  <c r="AI16" i="3"/>
  <c r="AJ36" i="3" a="1"/>
  <c r="AJ36" i="3" s="1"/>
  <c r="AJ26" i="3"/>
  <c r="AJ31" i="3"/>
  <c r="AJ27" i="3"/>
  <c r="AJ28" i="3"/>
  <c r="AJ30" i="3"/>
  <c r="AJ24" i="3"/>
  <c r="BI22" i="1"/>
  <c r="BI24" i="1"/>
  <c r="BI15" i="1"/>
  <c r="BI3" i="1"/>
  <c r="BI4" i="1"/>
  <c r="BI19" i="1"/>
  <c r="BI21" i="1"/>
  <c r="BI18" i="1"/>
  <c r="BI23" i="1"/>
  <c r="BI12" i="1"/>
  <c r="BI20" i="1"/>
  <c r="BI9" i="1"/>
  <c r="BI17" i="1"/>
  <c r="BI16" i="1"/>
  <c r="BI25" i="1"/>
  <c r="BI6" i="1"/>
  <c r="BI14" i="1"/>
  <c r="BI11" i="1"/>
  <c r="BI8" i="1"/>
  <c r="BI13" i="1"/>
  <c r="BI7" i="1"/>
  <c r="BI10" i="1"/>
  <c r="BI5" i="1"/>
  <c r="BK2" i="1"/>
  <c r="BJ1" i="1"/>
  <c r="AK50" i="2"/>
  <c r="AL5" i="3" s="1"/>
  <c r="AL4" i="3" s="1"/>
  <c r="AL59" i="3" s="1" a="1"/>
  <c r="AL59" i="3" s="1"/>
  <c r="AG51" i="2"/>
  <c r="BJ32" i="1" l="1"/>
  <c r="BJ35" i="1"/>
  <c r="BJ38" i="1"/>
  <c r="BJ28" i="1"/>
  <c r="BJ31" i="1"/>
  <c r="BJ27" i="1"/>
  <c r="BJ34" i="1"/>
  <c r="BJ37" i="1"/>
  <c r="BJ40" i="1"/>
  <c r="BJ30" i="1"/>
  <c r="BJ26" i="1"/>
  <c r="BJ33" i="1"/>
  <c r="BJ36" i="1"/>
  <c r="BJ39" i="1"/>
  <c r="BJ29" i="1"/>
  <c r="BI41" i="1"/>
  <c r="AG25" i="3"/>
  <c r="AG32" i="3" s="1"/>
  <c r="AG17" i="3"/>
  <c r="AG18" i="3" s="1"/>
  <c r="AG21" i="3" s="1"/>
  <c r="AF34" i="3"/>
  <c r="AF37" i="3" s="1"/>
  <c r="AF58" i="3" s="1"/>
  <c r="AF60" i="3" s="1"/>
  <c r="AH7" i="3"/>
  <c r="AH20" i="3" s="1"/>
  <c r="AH29" i="3" s="1"/>
  <c r="AH8" i="3"/>
  <c r="AL6" i="3"/>
  <c r="AL65" i="3" s="1"/>
  <c r="AJ16" i="3"/>
  <c r="AK36" i="3" a="1"/>
  <c r="AK36" i="3" s="1"/>
  <c r="AK30" i="3"/>
  <c r="AK27" i="3"/>
  <c r="AK28" i="3"/>
  <c r="AK26" i="3"/>
  <c r="AK24" i="3"/>
  <c r="AK31" i="3"/>
  <c r="BJ22" i="1"/>
  <c r="BJ17" i="1"/>
  <c r="BJ19" i="1"/>
  <c r="BJ24" i="1"/>
  <c r="BJ21" i="1"/>
  <c r="BJ13" i="1"/>
  <c r="BJ15" i="1"/>
  <c r="BJ11" i="1"/>
  <c r="BJ8" i="1"/>
  <c r="BJ16" i="1"/>
  <c r="BJ18" i="1"/>
  <c r="BJ23" i="1"/>
  <c r="BJ20" i="1"/>
  <c r="BJ6" i="1"/>
  <c r="BJ25" i="1"/>
  <c r="BJ9" i="1"/>
  <c r="BJ3" i="1"/>
  <c r="BJ10" i="1"/>
  <c r="BJ4" i="1"/>
  <c r="BJ14" i="1"/>
  <c r="BJ5" i="1"/>
  <c r="BJ7" i="1"/>
  <c r="BJ12" i="1"/>
  <c r="BK1" i="1"/>
  <c r="BL2" i="1"/>
  <c r="AL50" i="2"/>
  <c r="AM5" i="3" s="1"/>
  <c r="AM4" i="3" s="1"/>
  <c r="AM59" i="3" s="1" a="1"/>
  <c r="AM59" i="3" s="1"/>
  <c r="AH51" i="2"/>
  <c r="BK32" i="1" l="1"/>
  <c r="BK35" i="1"/>
  <c r="BK38" i="1"/>
  <c r="BK28" i="1"/>
  <c r="BK31" i="1"/>
  <c r="BK34" i="1"/>
  <c r="BK37" i="1"/>
  <c r="BK27" i="1"/>
  <c r="BK40" i="1"/>
  <c r="BK30" i="1"/>
  <c r="BK33" i="1"/>
  <c r="BK36" i="1"/>
  <c r="BK39" i="1"/>
  <c r="BK26" i="1"/>
  <c r="BK29" i="1"/>
  <c r="BJ41" i="1"/>
  <c r="AH17" i="3"/>
  <c r="AH18" i="3" s="1"/>
  <c r="AH21" i="3" s="1"/>
  <c r="AH25" i="3"/>
  <c r="AH32" i="3" s="1"/>
  <c r="AI8" i="3"/>
  <c r="AI7" i="3"/>
  <c r="AI20" i="3" s="1"/>
  <c r="AI29" i="3" s="1"/>
  <c r="AG34" i="3"/>
  <c r="AG37" i="3" s="1"/>
  <c r="AG58" i="3" s="1"/>
  <c r="AG60" i="3" s="1"/>
  <c r="AM6" i="3"/>
  <c r="AM65" i="3" s="1"/>
  <c r="AK16" i="3"/>
  <c r="AL36" i="3" a="1"/>
  <c r="AL36" i="3" s="1"/>
  <c r="AL30" i="3"/>
  <c r="AL31" i="3"/>
  <c r="AL27" i="3"/>
  <c r="AL28" i="3"/>
  <c r="AL26" i="3"/>
  <c r="AL24" i="3"/>
  <c r="BK25" i="1"/>
  <c r="BK22" i="1"/>
  <c r="BK24" i="1"/>
  <c r="BK21" i="1"/>
  <c r="BK18" i="1"/>
  <c r="BK15" i="1"/>
  <c r="BK23" i="1"/>
  <c r="BK9" i="1"/>
  <c r="BK13" i="1"/>
  <c r="BK4" i="1"/>
  <c r="BK19" i="1"/>
  <c r="BK7" i="1"/>
  <c r="BK6" i="1"/>
  <c r="BK5" i="1"/>
  <c r="BK10" i="1"/>
  <c r="BK16" i="1"/>
  <c r="BK20" i="1"/>
  <c r="BK8" i="1"/>
  <c r="BK12" i="1"/>
  <c r="BK3" i="1"/>
  <c r="BK14" i="1"/>
  <c r="BK17" i="1"/>
  <c r="BK11" i="1"/>
  <c r="BL1" i="1"/>
  <c r="BM2" i="1"/>
  <c r="AM50" i="2"/>
  <c r="AN5" i="3" s="1"/>
  <c r="AN4" i="3" s="1"/>
  <c r="AN59" i="3" s="1" a="1"/>
  <c r="AN59" i="3" s="1"/>
  <c r="AI51" i="2"/>
  <c r="BK41" i="1" l="1"/>
  <c r="BL39" i="1"/>
  <c r="BL29" i="1"/>
  <c r="BL26" i="1"/>
  <c r="BL32" i="1"/>
  <c r="BL35" i="1"/>
  <c r="BL38" i="1"/>
  <c r="BL28" i="1"/>
  <c r="BL31" i="1"/>
  <c r="BL34" i="1"/>
  <c r="BL37" i="1"/>
  <c r="BL40" i="1"/>
  <c r="BL30" i="1"/>
  <c r="BL27" i="1"/>
  <c r="BL33" i="1"/>
  <c r="BL36" i="1"/>
  <c r="AJ8" i="3"/>
  <c r="AJ7" i="3"/>
  <c r="AJ20" i="3" s="1"/>
  <c r="AJ29" i="3" s="1"/>
  <c r="AI17" i="3"/>
  <c r="AI18" i="3" s="1"/>
  <c r="AI21" i="3" s="1"/>
  <c r="AI25" i="3"/>
  <c r="AI32" i="3" s="1"/>
  <c r="AH34" i="3"/>
  <c r="AH37" i="3" s="1"/>
  <c r="AH58" i="3" s="1"/>
  <c r="AH60" i="3" s="1"/>
  <c r="AN6" i="3"/>
  <c r="AN65" i="3" s="1"/>
  <c r="AL16" i="3"/>
  <c r="AM30" i="3"/>
  <c r="AM31" i="3"/>
  <c r="AM28" i="3"/>
  <c r="AM24" i="3"/>
  <c r="AM36" i="3" a="1"/>
  <c r="AM36" i="3" s="1"/>
  <c r="AM27" i="3"/>
  <c r="AM26" i="3"/>
  <c r="BM1" i="1"/>
  <c r="BN2" i="1"/>
  <c r="BL22" i="1"/>
  <c r="BL19" i="1"/>
  <c r="BL10" i="1"/>
  <c r="BL15" i="1"/>
  <c r="BL23" i="1"/>
  <c r="BL3" i="1"/>
  <c r="BL14" i="1"/>
  <c r="BL20" i="1"/>
  <c r="BL16" i="1"/>
  <c r="BL18" i="1"/>
  <c r="BL12" i="1"/>
  <c r="BL6" i="1"/>
  <c r="BL25" i="1"/>
  <c r="BL21" i="1"/>
  <c r="BL13" i="1"/>
  <c r="BL7" i="1"/>
  <c r="BL9" i="1"/>
  <c r="BL17" i="1"/>
  <c r="BL8" i="1"/>
  <c r="BL24" i="1"/>
  <c r="BL4" i="1"/>
  <c r="BL11" i="1"/>
  <c r="BL5" i="1"/>
  <c r="AN50" i="2"/>
  <c r="AO5" i="3" s="1"/>
  <c r="AO4" i="3" s="1"/>
  <c r="AO59" i="3" s="1" a="1"/>
  <c r="AO59" i="3" s="1"/>
  <c r="AJ51" i="2"/>
  <c r="BL41" i="1" l="1"/>
  <c r="BM36" i="1"/>
  <c r="BM27" i="1"/>
  <c r="BM39" i="1"/>
  <c r="BM29" i="1"/>
  <c r="BM32" i="1"/>
  <c r="BM35" i="1"/>
  <c r="BM38" i="1"/>
  <c r="BM28" i="1"/>
  <c r="BM31" i="1"/>
  <c r="BM34" i="1"/>
  <c r="BM37" i="1"/>
  <c r="BM40" i="1"/>
  <c r="BM30" i="1"/>
  <c r="BM26" i="1"/>
  <c r="BM33" i="1"/>
  <c r="AK7" i="3"/>
  <c r="AK20" i="3" s="1"/>
  <c r="AK29" i="3" s="1"/>
  <c r="AK8" i="3"/>
  <c r="AI34" i="3"/>
  <c r="AI37" i="3" s="1"/>
  <c r="AI58" i="3" s="1"/>
  <c r="AI60" i="3" s="1"/>
  <c r="AJ25" i="3"/>
  <c r="AJ32" i="3" s="1"/>
  <c r="AJ17" i="3"/>
  <c r="AJ18" i="3" s="1"/>
  <c r="AJ21" i="3" s="1"/>
  <c r="AO6" i="3"/>
  <c r="AO65" i="3" s="1"/>
  <c r="AM16" i="3"/>
  <c r="AN30" i="3"/>
  <c r="AN31" i="3"/>
  <c r="AN28" i="3"/>
  <c r="AN27" i="3"/>
  <c r="AN26" i="3"/>
  <c r="AN36" i="3" a="1"/>
  <c r="AN36" i="3" s="1"/>
  <c r="AN24" i="3"/>
  <c r="BO2" i="1"/>
  <c r="BN1" i="1"/>
  <c r="BM17" i="1"/>
  <c r="BM22" i="1"/>
  <c r="BM25" i="1"/>
  <c r="BM19" i="1"/>
  <c r="BM16" i="1"/>
  <c r="BM10" i="1"/>
  <c r="BM21" i="1"/>
  <c r="BM12" i="1"/>
  <c r="BM9" i="1"/>
  <c r="BM24" i="1"/>
  <c r="BM15" i="1"/>
  <c r="BM6" i="1"/>
  <c r="BM13" i="1"/>
  <c r="BM4" i="1"/>
  <c r="BM23" i="1"/>
  <c r="BM18" i="1"/>
  <c r="BM14" i="1"/>
  <c r="BM20" i="1"/>
  <c r="BM3" i="1"/>
  <c r="BM11" i="1"/>
  <c r="BM5" i="1"/>
  <c r="BM8" i="1"/>
  <c r="BM7" i="1"/>
  <c r="AO50" i="2"/>
  <c r="AP5" i="3" s="1"/>
  <c r="AP4" i="3" s="1"/>
  <c r="AP59" i="3" s="1" a="1"/>
  <c r="AP59" i="3" s="1"/>
  <c r="AK51" i="2"/>
  <c r="BN33" i="1" l="1"/>
  <c r="BN36" i="1"/>
  <c r="BN39" i="1"/>
  <c r="BN29" i="1"/>
  <c r="BN32" i="1"/>
  <c r="BN27" i="1"/>
  <c r="BN35" i="1"/>
  <c r="BN38" i="1"/>
  <c r="BN28" i="1"/>
  <c r="BN31" i="1"/>
  <c r="BN26" i="1"/>
  <c r="BN34" i="1"/>
  <c r="BN37" i="1"/>
  <c r="BN40" i="1"/>
  <c r="BN30" i="1"/>
  <c r="BM41" i="1"/>
  <c r="AJ34" i="3"/>
  <c r="AJ37" i="3" s="1"/>
  <c r="AJ58" i="3" s="1"/>
  <c r="AJ60" i="3" s="1"/>
  <c r="AL8" i="3"/>
  <c r="AL7" i="3"/>
  <c r="AL20" i="3" s="1"/>
  <c r="AL29" i="3" s="1"/>
  <c r="AK25" i="3"/>
  <c r="AK32" i="3" s="1"/>
  <c r="AK17" i="3"/>
  <c r="AK18" i="3" s="1"/>
  <c r="AK21" i="3" s="1"/>
  <c r="AP6" i="3"/>
  <c r="AP65" i="3" s="1"/>
  <c r="AN16" i="3"/>
  <c r="AO30" i="3"/>
  <c r="AO31" i="3"/>
  <c r="AO28" i="3"/>
  <c r="AO36" i="3" a="1"/>
  <c r="AO36" i="3" s="1"/>
  <c r="AO26" i="3"/>
  <c r="AO24" i="3"/>
  <c r="AO27" i="3"/>
  <c r="BN17" i="1"/>
  <c r="BN19" i="1"/>
  <c r="BN4" i="1"/>
  <c r="BN12" i="1"/>
  <c r="BN25" i="1"/>
  <c r="BN24" i="1"/>
  <c r="BN7" i="1"/>
  <c r="BN21" i="1"/>
  <c r="BN18" i="1"/>
  <c r="BN15" i="1"/>
  <c r="BN3" i="1"/>
  <c r="BN11" i="1"/>
  <c r="BN8" i="1"/>
  <c r="BN20" i="1"/>
  <c r="BN22" i="1"/>
  <c r="BN16" i="1"/>
  <c r="BN10" i="1"/>
  <c r="BN23" i="1"/>
  <c r="BN9" i="1"/>
  <c r="BN5" i="1"/>
  <c r="BN14" i="1"/>
  <c r="BN13" i="1"/>
  <c r="BN6" i="1"/>
  <c r="BO1" i="1"/>
  <c r="BP2" i="1"/>
  <c r="AP50" i="2"/>
  <c r="AQ5" i="3" s="1"/>
  <c r="AQ4" i="3" s="1"/>
  <c r="AQ59" i="3" s="1" a="1"/>
  <c r="AQ59" i="3" s="1"/>
  <c r="AL51" i="2"/>
  <c r="BO33" i="1" l="1"/>
  <c r="BO36" i="1"/>
  <c r="BO39" i="1"/>
  <c r="BO29" i="1"/>
  <c r="BO32" i="1"/>
  <c r="BO35" i="1"/>
  <c r="BO38" i="1"/>
  <c r="BO28" i="1"/>
  <c r="BO27" i="1"/>
  <c r="BO31" i="1"/>
  <c r="BO34" i="1"/>
  <c r="BO37" i="1"/>
  <c r="BO40" i="1"/>
  <c r="BO26" i="1"/>
  <c r="BO30" i="1"/>
  <c r="BN41" i="1"/>
  <c r="AM7" i="3"/>
  <c r="AM20" i="3" s="1"/>
  <c r="AM29" i="3" s="1"/>
  <c r="AM8" i="3"/>
  <c r="AK34" i="3"/>
  <c r="AK37" i="3" s="1"/>
  <c r="AK58" i="3" s="1"/>
  <c r="AK60" i="3" s="1"/>
  <c r="AL25" i="3"/>
  <c r="AL32" i="3" s="1"/>
  <c r="AL17" i="3"/>
  <c r="AL18" i="3" s="1"/>
  <c r="AL21" i="3" s="1"/>
  <c r="AQ6" i="3"/>
  <c r="AQ65" i="3" s="1"/>
  <c r="AO16" i="3"/>
  <c r="AP30" i="3"/>
  <c r="AP31" i="3"/>
  <c r="AP36" i="3" a="1"/>
  <c r="AP36" i="3" s="1"/>
  <c r="AP24" i="3"/>
  <c r="AP27" i="3"/>
  <c r="AP28" i="3"/>
  <c r="AP26" i="3"/>
  <c r="BQ2" i="1"/>
  <c r="BP1" i="1"/>
  <c r="BO20" i="1"/>
  <c r="BO17" i="1"/>
  <c r="BO25" i="1"/>
  <c r="BO16" i="1"/>
  <c r="BO7" i="1"/>
  <c r="BO21" i="1"/>
  <c r="BO19" i="1"/>
  <c r="BO10" i="1"/>
  <c r="BO13" i="1"/>
  <c r="BO18" i="1"/>
  <c r="BO12" i="1"/>
  <c r="BO9" i="1"/>
  <c r="BO3" i="1"/>
  <c r="BO14" i="1"/>
  <c r="BO23" i="1"/>
  <c r="BO22" i="1"/>
  <c r="BO24" i="1"/>
  <c r="BO4" i="1"/>
  <c r="BO15" i="1"/>
  <c r="BO11" i="1"/>
  <c r="BO5" i="1"/>
  <c r="BO6" i="1"/>
  <c r="BO8" i="1"/>
  <c r="AQ50" i="2"/>
  <c r="AR5" i="3" s="1"/>
  <c r="AR4" i="3" s="1"/>
  <c r="AR59" i="3" s="1" a="1"/>
  <c r="AR59" i="3" s="1"/>
  <c r="AM51" i="2"/>
  <c r="BP40" i="1" l="1"/>
  <c r="BP30" i="1"/>
  <c r="BP33" i="1"/>
  <c r="BP26" i="1"/>
  <c r="BP36" i="1"/>
  <c r="BP39" i="1"/>
  <c r="BP29" i="1"/>
  <c r="BP32" i="1"/>
  <c r="BP35" i="1"/>
  <c r="BP38" i="1"/>
  <c r="BP28" i="1"/>
  <c r="BP31" i="1"/>
  <c r="BP34" i="1"/>
  <c r="BP27" i="1"/>
  <c r="BP37" i="1"/>
  <c r="BO41" i="1"/>
  <c r="AN7" i="3"/>
  <c r="AN20" i="3" s="1"/>
  <c r="AN29" i="3" s="1"/>
  <c r="AN8" i="3"/>
  <c r="AL34" i="3"/>
  <c r="AL37" i="3" s="1"/>
  <c r="AL58" i="3" s="1"/>
  <c r="AL60" i="3" s="1"/>
  <c r="AM17" i="3"/>
  <c r="AM18" i="3" s="1"/>
  <c r="AM21" i="3" s="1"/>
  <c r="AM25" i="3"/>
  <c r="AM32" i="3" s="1"/>
  <c r="AR6" i="3"/>
  <c r="AR65" i="3" s="1"/>
  <c r="AP16" i="3"/>
  <c r="AQ30" i="3"/>
  <c r="AQ31" i="3"/>
  <c r="AQ27" i="3"/>
  <c r="AQ28" i="3"/>
  <c r="AQ36" i="3" a="1"/>
  <c r="AQ36" i="3" s="1"/>
  <c r="AQ24" i="3"/>
  <c r="AQ26" i="3"/>
  <c r="BP23" i="1"/>
  <c r="BP17" i="1"/>
  <c r="BP19" i="1"/>
  <c r="BP13" i="1"/>
  <c r="BP18" i="1"/>
  <c r="BP20" i="1"/>
  <c r="BP25" i="1"/>
  <c r="BP4" i="1"/>
  <c r="BP7" i="1"/>
  <c r="BP16" i="1"/>
  <c r="BP21" i="1"/>
  <c r="BP11" i="1"/>
  <c r="BP22" i="1"/>
  <c r="BP24" i="1"/>
  <c r="BP10" i="1"/>
  <c r="BP15" i="1"/>
  <c r="BP12" i="1"/>
  <c r="BP3" i="1"/>
  <c r="BP8" i="1"/>
  <c r="BP6" i="1"/>
  <c r="BP9" i="1"/>
  <c r="BP14" i="1"/>
  <c r="BP5" i="1"/>
  <c r="BR2" i="1"/>
  <c r="BQ1" i="1"/>
  <c r="AR50" i="2"/>
  <c r="AS5" i="3" s="1"/>
  <c r="AS4" i="3" s="1"/>
  <c r="AS59" i="3" s="1" a="1"/>
  <c r="AS59" i="3" s="1"/>
  <c r="AN51" i="2"/>
  <c r="BQ40" i="1" l="1"/>
  <c r="BQ30" i="1"/>
  <c r="BQ33" i="1"/>
  <c r="BQ27" i="1"/>
  <c r="BQ36" i="1"/>
  <c r="BQ39" i="1"/>
  <c r="BQ29" i="1"/>
  <c r="BQ32" i="1"/>
  <c r="BQ35" i="1"/>
  <c r="BQ38" i="1"/>
  <c r="BQ28" i="1"/>
  <c r="BQ31" i="1"/>
  <c r="BQ34" i="1"/>
  <c r="BQ37" i="1"/>
  <c r="BQ26" i="1"/>
  <c r="BP41" i="1"/>
  <c r="AM34" i="3"/>
  <c r="AM37" i="3" s="1"/>
  <c r="AM58" i="3" s="1"/>
  <c r="AM60" i="3" s="1"/>
  <c r="AO8" i="3"/>
  <c r="AO7" i="3"/>
  <c r="AO20" i="3" s="1"/>
  <c r="AO29" i="3" s="1"/>
  <c r="AN25" i="3"/>
  <c r="AN32" i="3" s="1"/>
  <c r="AN17" i="3"/>
  <c r="AN18" i="3" s="1"/>
  <c r="AN21" i="3" s="1"/>
  <c r="AS6" i="3"/>
  <c r="AS65" i="3" s="1"/>
  <c r="AQ16" i="3"/>
  <c r="AR31" i="3"/>
  <c r="AR27" i="3"/>
  <c r="AR28" i="3"/>
  <c r="AR36" i="3" a="1"/>
  <c r="AR36" i="3" s="1"/>
  <c r="AR30" i="3"/>
  <c r="AR16" i="3" s="1"/>
  <c r="AR24" i="3"/>
  <c r="AR26" i="3"/>
  <c r="BQ20" i="1"/>
  <c r="BQ14" i="1"/>
  <c r="BQ16" i="1"/>
  <c r="BQ10" i="1"/>
  <c r="BQ4" i="1"/>
  <c r="BQ15" i="1"/>
  <c r="BQ25" i="1"/>
  <c r="BQ22" i="1"/>
  <c r="BQ19" i="1"/>
  <c r="BQ24" i="1"/>
  <c r="BQ6" i="1"/>
  <c r="BQ11" i="1"/>
  <c r="BQ5" i="1"/>
  <c r="BQ17" i="1"/>
  <c r="BQ13" i="1"/>
  <c r="BQ7" i="1"/>
  <c r="BQ9" i="1"/>
  <c r="BQ21" i="1"/>
  <c r="BQ18" i="1"/>
  <c r="BQ8" i="1"/>
  <c r="BQ12" i="1"/>
  <c r="BQ3" i="1"/>
  <c r="BQ23" i="1"/>
  <c r="BR1" i="1"/>
  <c r="BS2" i="1"/>
  <c r="AS50" i="2"/>
  <c r="AT5" i="3" s="1"/>
  <c r="AT4" i="3" s="1"/>
  <c r="AT59" i="3" s="1" a="1"/>
  <c r="AT59" i="3" s="1"/>
  <c r="AO51" i="2"/>
  <c r="BR40" i="1" l="1"/>
  <c r="BR32" i="1"/>
  <c r="BR39" i="1"/>
  <c r="BR34" i="1"/>
  <c r="BR27" i="1"/>
  <c r="BR28" i="1"/>
  <c r="BR38" i="1"/>
  <c r="BR26" i="1"/>
  <c r="BR29" i="1"/>
  <c r="BR31" i="1"/>
  <c r="BR36" i="1"/>
  <c r="BR37" i="1"/>
  <c r="BR33" i="1"/>
  <c r="BR30" i="1"/>
  <c r="BR35" i="1"/>
  <c r="BQ41" i="1"/>
  <c r="AN34" i="3"/>
  <c r="AN37" i="3" s="1"/>
  <c r="AN58" i="3" s="1"/>
  <c r="AN60" i="3" s="1"/>
  <c r="AO25" i="3"/>
  <c r="AO32" i="3" s="1"/>
  <c r="AO17" i="3"/>
  <c r="AO18" i="3" s="1"/>
  <c r="AO21" i="3" s="1"/>
  <c r="AP7" i="3"/>
  <c r="AP20" i="3" s="1"/>
  <c r="AP29" i="3" s="1"/>
  <c r="AP8" i="3"/>
  <c r="AT6" i="3"/>
  <c r="AT65" i="3" s="1"/>
  <c r="AS27" i="3"/>
  <c r="AS28" i="3"/>
  <c r="AS36" i="3" a="1"/>
  <c r="AS36" i="3" s="1"/>
  <c r="AS31" i="3"/>
  <c r="AS24" i="3"/>
  <c r="AS30" i="3"/>
  <c r="AS26" i="3"/>
  <c r="BS1" i="1"/>
  <c r="BT2" i="1"/>
  <c r="BR11" i="1"/>
  <c r="BR22" i="1"/>
  <c r="BR18" i="1"/>
  <c r="BR5" i="1"/>
  <c r="BR16" i="1"/>
  <c r="BR13" i="1"/>
  <c r="BR4" i="1"/>
  <c r="BR12" i="1"/>
  <c r="BR9" i="1"/>
  <c r="BR25" i="1"/>
  <c r="BR19" i="1"/>
  <c r="BR24" i="1"/>
  <c r="BR3" i="1"/>
  <c r="BR8" i="1"/>
  <c r="BR7" i="1"/>
  <c r="BR14" i="1"/>
  <c r="BR17" i="1"/>
  <c r="BR10" i="1"/>
  <c r="BR15" i="1"/>
  <c r="BR21" i="1"/>
  <c r="BR23" i="1"/>
  <c r="BR6" i="1"/>
  <c r="BR20" i="1"/>
  <c r="AT50" i="2"/>
  <c r="AU5" i="3" s="1"/>
  <c r="AU4" i="3" s="1"/>
  <c r="AU59" i="3" s="1" a="1"/>
  <c r="AU59" i="3" s="1"/>
  <c r="AP51" i="2"/>
  <c r="BS27" i="1" l="1"/>
  <c r="BS40" i="1"/>
  <c r="BS30" i="1"/>
  <c r="BS33" i="1"/>
  <c r="BS36" i="1"/>
  <c r="BS39" i="1"/>
  <c r="BS29" i="1"/>
  <c r="BS35" i="1"/>
  <c r="BS38" i="1"/>
  <c r="BS28" i="1"/>
  <c r="BS34" i="1"/>
  <c r="BS32" i="1"/>
  <c r="BS26" i="1"/>
  <c r="BS31" i="1"/>
  <c r="BS37" i="1"/>
  <c r="BR41" i="1"/>
  <c r="AP25" i="3"/>
  <c r="AP32" i="3" s="1"/>
  <c r="AP17" i="3"/>
  <c r="AP18" i="3" s="1"/>
  <c r="AP21" i="3" s="1"/>
  <c r="AQ7" i="3"/>
  <c r="AQ20" i="3" s="1"/>
  <c r="AQ29" i="3" s="1"/>
  <c r="AQ8" i="3"/>
  <c r="AO34" i="3"/>
  <c r="AO37" i="3" s="1"/>
  <c r="AO58" i="3" s="1"/>
  <c r="AO60" i="3" s="1"/>
  <c r="AS16" i="3"/>
  <c r="AU6" i="3"/>
  <c r="AU65" i="3" s="1"/>
  <c r="AT27" i="3"/>
  <c r="AT28" i="3"/>
  <c r="AT36" i="3" a="1"/>
  <c r="AT36" i="3" s="1"/>
  <c r="AT26" i="3"/>
  <c r="AT30" i="3"/>
  <c r="AT31" i="3"/>
  <c r="AT24" i="3"/>
  <c r="BT1" i="1"/>
  <c r="BU2" i="1"/>
  <c r="BS17" i="1"/>
  <c r="BS25" i="1"/>
  <c r="BS8" i="1"/>
  <c r="BS18" i="1"/>
  <c r="BS11" i="1"/>
  <c r="BS22" i="1"/>
  <c r="BS19" i="1"/>
  <c r="BS7" i="1"/>
  <c r="BS5" i="1"/>
  <c r="BS16" i="1"/>
  <c r="BS21" i="1"/>
  <c r="BS10" i="1"/>
  <c r="BS13" i="1"/>
  <c r="BS4" i="1"/>
  <c r="BS15" i="1"/>
  <c r="BS9" i="1"/>
  <c r="BS3" i="1"/>
  <c r="BS24" i="1"/>
  <c r="BS23" i="1"/>
  <c r="BS12" i="1"/>
  <c r="BS14" i="1"/>
  <c r="BS6" i="1"/>
  <c r="BS20" i="1"/>
  <c r="AU50" i="2"/>
  <c r="AV5" i="3" s="1"/>
  <c r="AV4" i="3" s="1"/>
  <c r="AV59" i="3" s="1" a="1"/>
  <c r="AV59" i="3" s="1"/>
  <c r="AQ51" i="2"/>
  <c r="BS41" i="1" l="1"/>
  <c r="BT37" i="1"/>
  <c r="BT26" i="1"/>
  <c r="BT40" i="1"/>
  <c r="BT30" i="1"/>
  <c r="BT33" i="1"/>
  <c r="BT36" i="1"/>
  <c r="BT39" i="1"/>
  <c r="BT29" i="1"/>
  <c r="BT32" i="1"/>
  <c r="BT35" i="1"/>
  <c r="BT38" i="1"/>
  <c r="BT28" i="1"/>
  <c r="BT31" i="1"/>
  <c r="BT27" i="1"/>
  <c r="BT34" i="1"/>
  <c r="AR8" i="3"/>
  <c r="AR7" i="3"/>
  <c r="AR20" i="3" s="1"/>
  <c r="AR29" i="3" s="1"/>
  <c r="AQ17" i="3"/>
  <c r="AQ18" i="3" s="1"/>
  <c r="AQ21" i="3" s="1"/>
  <c r="AQ25" i="3"/>
  <c r="AQ32" i="3" s="1"/>
  <c r="AP34" i="3"/>
  <c r="AP37" i="3" s="1"/>
  <c r="AP58" i="3" s="1"/>
  <c r="AP60" i="3" s="1"/>
  <c r="AV6" i="3"/>
  <c r="AV65" i="3" s="1"/>
  <c r="AT16" i="3"/>
  <c r="AU27" i="3"/>
  <c r="AU28" i="3"/>
  <c r="AU36" i="3" a="1"/>
  <c r="AU36" i="3" s="1"/>
  <c r="AU30" i="3"/>
  <c r="AU26" i="3"/>
  <c r="AU31" i="3"/>
  <c r="AU24" i="3"/>
  <c r="BU1" i="1"/>
  <c r="BV2" i="1"/>
  <c r="BT14" i="1"/>
  <c r="BT17" i="1"/>
  <c r="BT24" i="1"/>
  <c r="BT11" i="1"/>
  <c r="BT5" i="1"/>
  <c r="BT20" i="1"/>
  <c r="BT22" i="1"/>
  <c r="BT10" i="1"/>
  <c r="BT15" i="1"/>
  <c r="BT9" i="1"/>
  <c r="BT25" i="1"/>
  <c r="BT13" i="1"/>
  <c r="BT8" i="1"/>
  <c r="BT19" i="1"/>
  <c r="BT16" i="1"/>
  <c r="BT3" i="1"/>
  <c r="BT7" i="1"/>
  <c r="BT23" i="1"/>
  <c r="BT21" i="1"/>
  <c r="BT4" i="1"/>
  <c r="BT18" i="1"/>
  <c r="BT12" i="1"/>
  <c r="BT6" i="1"/>
  <c r="AV50" i="2"/>
  <c r="AW5" i="3" s="1"/>
  <c r="AW4" i="3" s="1"/>
  <c r="AW59" i="3" s="1" a="1"/>
  <c r="AW59" i="3" s="1"/>
  <c r="AR51" i="2"/>
  <c r="BU37" i="1" l="1"/>
  <c r="BU40" i="1"/>
  <c r="BU30" i="1"/>
  <c r="BU33" i="1"/>
  <c r="BU36" i="1"/>
  <c r="BU39" i="1"/>
  <c r="BU29" i="1"/>
  <c r="BU32" i="1"/>
  <c r="BU35" i="1"/>
  <c r="BU31" i="1"/>
  <c r="BU34" i="1"/>
  <c r="BU28" i="1"/>
  <c r="BU27" i="1"/>
  <c r="BU26" i="1"/>
  <c r="BU38" i="1"/>
  <c r="BT41" i="1"/>
  <c r="AS8" i="3"/>
  <c r="AS7" i="3"/>
  <c r="AS20" i="3" s="1"/>
  <c r="AS29" i="3" s="1"/>
  <c r="AQ34" i="3"/>
  <c r="AQ37" i="3" s="1"/>
  <c r="AQ58" i="3" s="1"/>
  <c r="AQ60" i="3" s="1"/>
  <c r="AR25" i="3"/>
  <c r="AR32" i="3" s="1"/>
  <c r="AR17" i="3"/>
  <c r="AR18" i="3" s="1"/>
  <c r="AR21" i="3" s="1"/>
  <c r="AU16" i="3"/>
  <c r="AW6" i="3"/>
  <c r="AW65" i="3" s="1"/>
  <c r="AV27" i="3"/>
  <c r="AV28" i="3"/>
  <c r="AV30" i="3"/>
  <c r="AV24" i="3"/>
  <c r="AV26" i="3"/>
  <c r="AV31" i="3"/>
  <c r="AV36" i="3" a="1"/>
  <c r="AV36" i="3" s="1"/>
  <c r="BW2" i="1"/>
  <c r="BV1" i="1"/>
  <c r="BU18" i="1"/>
  <c r="BU17" i="1"/>
  <c r="BU25" i="1"/>
  <c r="BU22" i="1"/>
  <c r="BU23" i="1"/>
  <c r="BU14" i="1"/>
  <c r="BU20" i="1"/>
  <c r="BU8" i="1"/>
  <c r="BU11" i="1"/>
  <c r="BU10" i="1"/>
  <c r="BU5" i="1"/>
  <c r="BU19" i="1"/>
  <c r="BU16" i="1"/>
  <c r="BU3" i="1"/>
  <c r="BU21" i="1"/>
  <c r="BU13" i="1"/>
  <c r="BU7" i="1"/>
  <c r="BU15" i="1"/>
  <c r="BU6" i="1"/>
  <c r="BU4" i="1"/>
  <c r="BU9" i="1"/>
  <c r="BU24" i="1"/>
  <c r="BU12" i="1"/>
  <c r="AW50" i="2"/>
  <c r="AX5" i="3" s="1"/>
  <c r="AX4" i="3" s="1"/>
  <c r="AX59" i="3" s="1" a="1"/>
  <c r="AX59" i="3" s="1"/>
  <c r="AS51" i="2"/>
  <c r="BU41" i="1" l="1"/>
  <c r="BV39" i="1"/>
  <c r="BV35" i="1"/>
  <c r="BV31" i="1"/>
  <c r="BV27" i="1"/>
  <c r="BV38" i="1"/>
  <c r="BV34" i="1"/>
  <c r="BV30" i="1"/>
  <c r="BV37" i="1"/>
  <c r="BV33" i="1"/>
  <c r="BV29" i="1"/>
  <c r="BV40" i="1"/>
  <c r="BV36" i="1"/>
  <c r="BV32" i="1"/>
  <c r="BV28" i="1"/>
  <c r="BV26" i="1"/>
  <c r="AR34" i="3"/>
  <c r="AR37" i="3" s="1"/>
  <c r="AR58" i="3" s="1"/>
  <c r="AR60" i="3" s="1"/>
  <c r="AT7" i="3"/>
  <c r="AT20" i="3" s="1"/>
  <c r="AT29" i="3" s="1"/>
  <c r="AT8" i="3"/>
  <c r="AS17" i="3"/>
  <c r="AS18" i="3" s="1"/>
  <c r="AS21" i="3" s="1"/>
  <c r="AS25" i="3"/>
  <c r="AS32" i="3" s="1"/>
  <c r="AX6" i="3"/>
  <c r="AX65" i="3" s="1"/>
  <c r="AV16" i="3"/>
  <c r="AW27" i="3"/>
  <c r="AW28" i="3"/>
  <c r="AW30" i="3"/>
  <c r="AW31" i="3"/>
  <c r="AW36" i="3" a="1"/>
  <c r="AW36" i="3" s="1"/>
  <c r="AW26" i="3"/>
  <c r="AW24" i="3"/>
  <c r="BV14" i="1"/>
  <c r="BV7" i="1"/>
  <c r="BV18" i="1"/>
  <c r="BV22" i="1"/>
  <c r="BV5" i="1"/>
  <c r="BV9" i="1"/>
  <c r="BV25" i="1"/>
  <c r="BV23" i="1"/>
  <c r="BV15" i="1"/>
  <c r="BV13" i="1"/>
  <c r="BV24" i="1"/>
  <c r="BV12" i="1"/>
  <c r="BV10" i="1"/>
  <c r="BV8" i="1"/>
  <c r="BV4" i="1"/>
  <c r="BV21" i="1"/>
  <c r="BV3" i="1"/>
  <c r="BV6" i="1"/>
  <c r="BV17" i="1"/>
  <c r="BV20" i="1"/>
  <c r="BV19" i="1"/>
  <c r="BV11" i="1"/>
  <c r="BV16" i="1"/>
  <c r="BW1" i="1"/>
  <c r="BX2" i="1"/>
  <c r="AX50" i="2"/>
  <c r="AY5" i="3" s="1"/>
  <c r="AY4" i="3" s="1"/>
  <c r="AY59" i="3" s="1" a="1"/>
  <c r="AY59" i="3" s="1"/>
  <c r="AT51" i="2"/>
  <c r="BV41" i="1" l="1"/>
  <c r="BW33" i="1"/>
  <c r="BW36" i="1"/>
  <c r="BW39" i="1"/>
  <c r="BW29" i="1"/>
  <c r="BW32" i="1"/>
  <c r="BW35" i="1"/>
  <c r="BW38" i="1"/>
  <c r="BW28" i="1"/>
  <c r="BW31" i="1"/>
  <c r="BW34" i="1"/>
  <c r="BW37" i="1"/>
  <c r="BW26" i="1"/>
  <c r="BW40" i="1"/>
  <c r="BW27" i="1"/>
  <c r="BW30" i="1"/>
  <c r="AS34" i="3"/>
  <c r="AS37" i="3" s="1"/>
  <c r="AS58" i="3" s="1"/>
  <c r="AS60" i="3" s="1"/>
  <c r="AT25" i="3"/>
  <c r="AT32" i="3" s="1"/>
  <c r="AT17" i="3"/>
  <c r="AT18" i="3" s="1"/>
  <c r="AT21" i="3" s="1"/>
  <c r="AU8" i="3"/>
  <c r="AU7" i="3"/>
  <c r="AU20" i="3" s="1"/>
  <c r="AU29" i="3" s="1"/>
  <c r="AY6" i="3"/>
  <c r="AY65" i="3" s="1"/>
  <c r="AW16" i="3"/>
  <c r="AX28" i="3"/>
  <c r="AX36" i="3" a="1"/>
  <c r="AX36" i="3" s="1"/>
  <c r="AX30" i="3"/>
  <c r="AX24" i="3"/>
  <c r="AX31" i="3"/>
  <c r="AX26" i="3"/>
  <c r="AX27" i="3"/>
  <c r="BY2" i="1"/>
  <c r="BX1" i="1"/>
  <c r="BW23" i="1"/>
  <c r="BW20" i="1"/>
  <c r="BW17" i="1"/>
  <c r="BW22" i="1"/>
  <c r="BW19" i="1"/>
  <c r="BW16" i="1"/>
  <c r="BW13" i="1"/>
  <c r="BW4" i="1"/>
  <c r="BW14" i="1"/>
  <c r="BW11" i="1"/>
  <c r="BW8" i="1"/>
  <c r="BW7" i="1"/>
  <c r="BW15" i="1"/>
  <c r="BW9" i="1"/>
  <c r="BW5" i="1"/>
  <c r="BW10" i="1"/>
  <c r="BW21" i="1"/>
  <c r="BW12" i="1"/>
  <c r="BW3" i="1"/>
  <c r="BW24" i="1"/>
  <c r="BW18" i="1"/>
  <c r="BW25" i="1"/>
  <c r="BW6" i="1"/>
  <c r="AY50" i="2"/>
  <c r="AZ5" i="3" s="1"/>
  <c r="AZ4" i="3" s="1"/>
  <c r="AZ59" i="3" s="1" a="1"/>
  <c r="AZ59" i="3" s="1"/>
  <c r="AU51" i="2"/>
  <c r="BX40" i="1" l="1"/>
  <c r="BX30" i="1"/>
  <c r="BX26" i="1"/>
  <c r="BX33" i="1"/>
  <c r="BX36" i="1"/>
  <c r="BX39" i="1"/>
  <c r="BX29" i="1"/>
  <c r="BX32" i="1"/>
  <c r="BX35" i="1"/>
  <c r="BX38" i="1"/>
  <c r="BX28" i="1"/>
  <c r="BX31" i="1"/>
  <c r="BX34" i="1"/>
  <c r="BX37" i="1"/>
  <c r="BX27" i="1"/>
  <c r="BW41" i="1"/>
  <c r="AT34" i="3"/>
  <c r="AT37" i="3" s="1"/>
  <c r="AT58" i="3" s="1"/>
  <c r="AT60" i="3" s="1"/>
  <c r="AV7" i="3"/>
  <c r="AV20" i="3" s="1"/>
  <c r="AV29" i="3" s="1"/>
  <c r="AV8" i="3"/>
  <c r="AU17" i="3"/>
  <c r="AU18" i="3" s="1"/>
  <c r="AU21" i="3" s="1"/>
  <c r="AU25" i="3"/>
  <c r="AU32" i="3" s="1"/>
  <c r="AZ6" i="3"/>
  <c r="AZ65" i="3" s="1"/>
  <c r="AX16" i="3"/>
  <c r="AY36" i="3" a="1"/>
  <c r="AY36" i="3" s="1"/>
  <c r="AY30" i="3"/>
  <c r="AY31" i="3"/>
  <c r="AY27" i="3"/>
  <c r="AY24" i="3"/>
  <c r="AY28" i="3"/>
  <c r="AY26" i="3"/>
  <c r="BX24" i="1"/>
  <c r="BX18" i="1"/>
  <c r="BX23" i="1"/>
  <c r="BX20" i="1"/>
  <c r="BX17" i="1"/>
  <c r="BX14" i="1"/>
  <c r="BX8" i="1"/>
  <c r="BX7" i="1"/>
  <c r="BX21" i="1"/>
  <c r="BX9" i="1"/>
  <c r="BX25" i="1"/>
  <c r="BX11" i="1"/>
  <c r="BX12" i="1"/>
  <c r="BX3" i="1"/>
  <c r="BX22" i="1"/>
  <c r="BX16" i="1"/>
  <c r="BX19" i="1"/>
  <c r="BX5" i="1"/>
  <c r="BX13" i="1"/>
  <c r="BX15" i="1"/>
  <c r="BX6" i="1"/>
  <c r="BX4" i="1"/>
  <c r="BX10" i="1"/>
  <c r="BY1" i="1"/>
  <c r="BZ2" i="1"/>
  <c r="AZ50" i="2"/>
  <c r="BA5" i="3" s="1"/>
  <c r="BA4" i="3" s="1"/>
  <c r="BA59" i="3" s="1" a="1"/>
  <c r="BA59" i="3" s="1"/>
  <c r="AV51" i="2"/>
  <c r="BX41" i="1" l="1"/>
  <c r="BY37" i="1"/>
  <c r="BY40" i="1"/>
  <c r="BY30" i="1"/>
  <c r="BY33" i="1"/>
  <c r="BY26" i="1"/>
  <c r="BY36" i="1"/>
  <c r="BY39" i="1"/>
  <c r="BY29" i="1"/>
  <c r="BY32" i="1"/>
  <c r="BY35" i="1"/>
  <c r="BY38" i="1"/>
  <c r="BY28" i="1"/>
  <c r="BY31" i="1"/>
  <c r="BY34" i="1"/>
  <c r="BY27" i="1"/>
  <c r="AW7" i="3"/>
  <c r="AW20" i="3" s="1"/>
  <c r="AW29" i="3" s="1"/>
  <c r="AW8" i="3"/>
  <c r="AU34" i="3"/>
  <c r="AU37" i="3" s="1"/>
  <c r="AU58" i="3" s="1"/>
  <c r="AU60" i="3" s="1"/>
  <c r="AV25" i="3"/>
  <c r="AV32" i="3" s="1"/>
  <c r="AV17" i="3"/>
  <c r="AV18" i="3" s="1"/>
  <c r="AV21" i="3" s="1"/>
  <c r="BA6" i="3"/>
  <c r="BA65" i="3" s="1"/>
  <c r="AY16" i="3"/>
  <c r="AZ36" i="3" a="1"/>
  <c r="AZ36" i="3" s="1"/>
  <c r="AZ30" i="3"/>
  <c r="AZ31" i="3"/>
  <c r="AZ28" i="3"/>
  <c r="AZ24" i="3"/>
  <c r="AZ27" i="3"/>
  <c r="AZ26" i="3"/>
  <c r="BY18" i="1"/>
  <c r="BY3" i="1"/>
  <c r="BY23" i="1"/>
  <c r="BY20" i="1"/>
  <c r="BY17" i="1"/>
  <c r="BY15" i="1"/>
  <c r="BY16" i="1"/>
  <c r="BY14" i="1"/>
  <c r="BY10" i="1"/>
  <c r="BY9" i="1"/>
  <c r="BY25" i="1"/>
  <c r="BY8" i="1"/>
  <c r="BY11" i="1"/>
  <c r="BY5" i="1"/>
  <c r="BY13" i="1"/>
  <c r="BY7" i="1"/>
  <c r="BY22" i="1"/>
  <c r="BY19" i="1"/>
  <c r="BY12" i="1"/>
  <c r="BY24" i="1"/>
  <c r="BY4" i="1"/>
  <c r="BY6" i="1"/>
  <c r="BY21" i="1"/>
  <c r="BZ1" i="1"/>
  <c r="CA2" i="1"/>
  <c r="BA50" i="2"/>
  <c r="BB5" i="3" s="1"/>
  <c r="BB4" i="3" s="1"/>
  <c r="BB59" i="3" s="1" a="1"/>
  <c r="BB59" i="3" s="1"/>
  <c r="AW51" i="2"/>
  <c r="BZ34" i="1" l="1"/>
  <c r="BZ37" i="1"/>
  <c r="BZ40" i="1"/>
  <c r="BZ30" i="1"/>
  <c r="BZ27" i="1"/>
  <c r="BZ33" i="1"/>
  <c r="BZ36" i="1"/>
  <c r="BZ39" i="1"/>
  <c r="BZ29" i="1"/>
  <c r="BZ32" i="1"/>
  <c r="BZ35" i="1"/>
  <c r="BZ38" i="1"/>
  <c r="BZ28" i="1"/>
  <c r="BZ26" i="1"/>
  <c r="BZ31" i="1"/>
  <c r="BY41" i="1"/>
  <c r="AV34" i="3"/>
  <c r="AV37" i="3" s="1"/>
  <c r="AV58" i="3" s="1"/>
  <c r="AV60" i="3" s="1"/>
  <c r="AW17" i="3"/>
  <c r="AW18" i="3" s="1"/>
  <c r="AW21" i="3" s="1"/>
  <c r="AW25" i="3"/>
  <c r="AW32" i="3" s="1"/>
  <c r="AX8" i="3"/>
  <c r="AX7" i="3"/>
  <c r="AX20" i="3" s="1"/>
  <c r="AX29" i="3" s="1"/>
  <c r="BB6" i="3"/>
  <c r="BB65" i="3" s="1"/>
  <c r="AZ16" i="3"/>
  <c r="BA36" i="3" a="1"/>
  <c r="BA36" i="3" s="1"/>
  <c r="BA31" i="3"/>
  <c r="BA30" i="3"/>
  <c r="BA27" i="3"/>
  <c r="BA26" i="3"/>
  <c r="BA28" i="3"/>
  <c r="BA24" i="3"/>
  <c r="CB2" i="1"/>
  <c r="CA1" i="1"/>
  <c r="BZ18" i="1"/>
  <c r="BZ3" i="1"/>
  <c r="BZ20" i="1"/>
  <c r="BZ9" i="1"/>
  <c r="BZ23" i="1"/>
  <c r="BZ17" i="1"/>
  <c r="BZ11" i="1"/>
  <c r="BZ13" i="1"/>
  <c r="BZ14" i="1"/>
  <c r="BZ5" i="1"/>
  <c r="BZ21" i="1"/>
  <c r="BZ12" i="1"/>
  <c r="BZ25" i="1"/>
  <c r="BZ8" i="1"/>
  <c r="BZ6" i="1"/>
  <c r="BZ19" i="1"/>
  <c r="BZ22" i="1"/>
  <c r="BZ15" i="1"/>
  <c r="BZ10" i="1"/>
  <c r="BZ16" i="1"/>
  <c r="BZ4" i="1"/>
  <c r="BZ7" i="1"/>
  <c r="BZ24" i="1"/>
  <c r="BB50" i="2"/>
  <c r="BC5" i="3" s="1"/>
  <c r="BC4" i="3" s="1"/>
  <c r="BC59" i="3" s="1" a="1"/>
  <c r="BC59" i="3" s="1"/>
  <c r="AX51" i="2"/>
  <c r="CA31" i="1" l="1"/>
  <c r="CA34" i="1"/>
  <c r="CA37" i="1"/>
  <c r="CA40" i="1"/>
  <c r="CA30" i="1"/>
  <c r="CA33" i="1"/>
  <c r="CA36" i="1"/>
  <c r="CA39" i="1"/>
  <c r="CA29" i="1"/>
  <c r="CA32" i="1"/>
  <c r="CA35" i="1"/>
  <c r="CA26" i="1"/>
  <c r="CA38" i="1"/>
  <c r="CA27" i="1"/>
  <c r="CA28" i="1"/>
  <c r="BZ41" i="1"/>
  <c r="AX25" i="3"/>
  <c r="AX32" i="3" s="1"/>
  <c r="AX17" i="3"/>
  <c r="AX18" i="3" s="1"/>
  <c r="AX21" i="3" s="1"/>
  <c r="AW34" i="3"/>
  <c r="AW37" i="3" s="1"/>
  <c r="AW58" i="3" s="1"/>
  <c r="AW60" i="3" s="1"/>
  <c r="AY7" i="3"/>
  <c r="AY20" i="3" s="1"/>
  <c r="AY29" i="3" s="1"/>
  <c r="AY8" i="3"/>
  <c r="BA16" i="3"/>
  <c r="BC6" i="3"/>
  <c r="BC65" i="3" s="1"/>
  <c r="BB36" i="3" a="1"/>
  <c r="BB36" i="3" s="1"/>
  <c r="BB24" i="3"/>
  <c r="BB31" i="3"/>
  <c r="BB26" i="3"/>
  <c r="BB28" i="3"/>
  <c r="BB30" i="3"/>
  <c r="BB16" i="3" s="1"/>
  <c r="BB27" i="3"/>
  <c r="CA6" i="1"/>
  <c r="CA21" i="1"/>
  <c r="CA18" i="1"/>
  <c r="CA23" i="1"/>
  <c r="CA20" i="1"/>
  <c r="CA14" i="1"/>
  <c r="CA22" i="1"/>
  <c r="CA15" i="1"/>
  <c r="CA3" i="1"/>
  <c r="CA8" i="1"/>
  <c r="CA17" i="1"/>
  <c r="CA25" i="1"/>
  <c r="CA9" i="1"/>
  <c r="CA12" i="1"/>
  <c r="CA11" i="1"/>
  <c r="CA5" i="1"/>
  <c r="CA10" i="1"/>
  <c r="CA16" i="1"/>
  <c r="CA13" i="1"/>
  <c r="CA7" i="1"/>
  <c r="CA19" i="1"/>
  <c r="CA24" i="1"/>
  <c r="CA4" i="1"/>
  <c r="CC2" i="1"/>
  <c r="CB1" i="1"/>
  <c r="BC50" i="2"/>
  <c r="BD5" i="3" s="1"/>
  <c r="BD4" i="3" s="1"/>
  <c r="BD59" i="3" s="1" a="1"/>
  <c r="BD59" i="3" s="1"/>
  <c r="AY51" i="2"/>
  <c r="CB38" i="1" l="1"/>
  <c r="CB28" i="1"/>
  <c r="CB31" i="1"/>
  <c r="CB34" i="1"/>
  <c r="CB37" i="1"/>
  <c r="CB40" i="1"/>
  <c r="CB30" i="1"/>
  <c r="CB33" i="1"/>
  <c r="CB36" i="1"/>
  <c r="CB39" i="1"/>
  <c r="CB29" i="1"/>
  <c r="CB32" i="1"/>
  <c r="CB27" i="1"/>
  <c r="CB26" i="1"/>
  <c r="CB35" i="1"/>
  <c r="CA41" i="1"/>
  <c r="AY17" i="3"/>
  <c r="AY18" i="3" s="1"/>
  <c r="AY21" i="3" s="1"/>
  <c r="AY25" i="3"/>
  <c r="AY32" i="3" s="1"/>
  <c r="AZ7" i="3"/>
  <c r="AZ20" i="3" s="1"/>
  <c r="AZ29" i="3" s="1"/>
  <c r="AZ8" i="3"/>
  <c r="AX34" i="3"/>
  <c r="AX37" i="3" s="1"/>
  <c r="AX58" i="3" s="1"/>
  <c r="AX60" i="3" s="1"/>
  <c r="BD6" i="3"/>
  <c r="BD65" i="3" s="1"/>
  <c r="BC36" i="3" a="1"/>
  <c r="BC36" i="3" s="1"/>
  <c r="BC30" i="3"/>
  <c r="BC27" i="3"/>
  <c r="BC28" i="3"/>
  <c r="BC31" i="3"/>
  <c r="BC24" i="3"/>
  <c r="BC26" i="3"/>
  <c r="CB16" i="1"/>
  <c r="CB24" i="1"/>
  <c r="CB25" i="1"/>
  <c r="CB21" i="1"/>
  <c r="CB9" i="1"/>
  <c r="CB7" i="1"/>
  <c r="CB20" i="1"/>
  <c r="CB3" i="1"/>
  <c r="CB10" i="1"/>
  <c r="CB6" i="1"/>
  <c r="CB14" i="1"/>
  <c r="CB8" i="1"/>
  <c r="CB5" i="1"/>
  <c r="CB13" i="1"/>
  <c r="CB15" i="1"/>
  <c r="CB18" i="1"/>
  <c r="CB17" i="1"/>
  <c r="CB12" i="1"/>
  <c r="CB23" i="1"/>
  <c r="CB11" i="1"/>
  <c r="CB4" i="1"/>
  <c r="CB19" i="1"/>
  <c r="CB22" i="1"/>
  <c r="CD2" i="1"/>
  <c r="CC1" i="1"/>
  <c r="BD50" i="2"/>
  <c r="BE5" i="3" s="1"/>
  <c r="BE4" i="3" s="1"/>
  <c r="BE59" i="3" s="1" a="1"/>
  <c r="BE59" i="3" s="1"/>
  <c r="AZ51" i="2"/>
  <c r="CC35" i="1" l="1"/>
  <c r="CC27" i="1"/>
  <c r="CC38" i="1"/>
  <c r="CC28" i="1"/>
  <c r="CC31" i="1"/>
  <c r="CC34" i="1"/>
  <c r="CC26" i="1"/>
  <c r="CC37" i="1"/>
  <c r="CC40" i="1"/>
  <c r="CC30" i="1"/>
  <c r="CC33" i="1"/>
  <c r="CC36" i="1"/>
  <c r="CC39" i="1"/>
  <c r="CC29" i="1"/>
  <c r="CC32" i="1"/>
  <c r="CB41" i="1"/>
  <c r="AZ25" i="3"/>
  <c r="AZ32" i="3" s="1"/>
  <c r="AZ17" i="3"/>
  <c r="AZ18" i="3" s="1"/>
  <c r="AZ21" i="3" s="1"/>
  <c r="BA8" i="3"/>
  <c r="BA7" i="3"/>
  <c r="BA20" i="3" s="1"/>
  <c r="BA29" i="3" s="1"/>
  <c r="AY34" i="3"/>
  <c r="AY37" i="3" s="1"/>
  <c r="AY58" i="3" s="1"/>
  <c r="AY60" i="3" s="1"/>
  <c r="BE6" i="3"/>
  <c r="BE65" i="3" s="1"/>
  <c r="BC16" i="3"/>
  <c r="BD36" i="3" a="1"/>
  <c r="BD36" i="3" s="1"/>
  <c r="BD31" i="3"/>
  <c r="BD26" i="3"/>
  <c r="BD27" i="3"/>
  <c r="BD30" i="3"/>
  <c r="BD16" i="3" s="1"/>
  <c r="BD28" i="3"/>
  <c r="BD24" i="3"/>
  <c r="CC19" i="1"/>
  <c r="CC15" i="1"/>
  <c r="CC16" i="1"/>
  <c r="CC9" i="1"/>
  <c r="CC21" i="1"/>
  <c r="CC18" i="1"/>
  <c r="CC23" i="1"/>
  <c r="CC20" i="1"/>
  <c r="CC12" i="1"/>
  <c r="CC10" i="1"/>
  <c r="CC25" i="1"/>
  <c r="CC13" i="1"/>
  <c r="CC4" i="1"/>
  <c r="CC24" i="1"/>
  <c r="CC17" i="1"/>
  <c r="CC5" i="1"/>
  <c r="CC6" i="1"/>
  <c r="CC14" i="1"/>
  <c r="CC11" i="1"/>
  <c r="CC8" i="1"/>
  <c r="CC7" i="1"/>
  <c r="CC3" i="1"/>
  <c r="CC22" i="1"/>
  <c r="CD1" i="1"/>
  <c r="CE2" i="1"/>
  <c r="BE50" i="2"/>
  <c r="BF5" i="3" s="1"/>
  <c r="BF4" i="3" s="1"/>
  <c r="BF59" i="3" s="1" a="1"/>
  <c r="BF59" i="3" s="1"/>
  <c r="BA51" i="2"/>
  <c r="CC41" i="1" l="1"/>
  <c r="CD35" i="1"/>
  <c r="CD38" i="1"/>
  <c r="CD28" i="1"/>
  <c r="CD31" i="1"/>
  <c r="CD34" i="1"/>
  <c r="CD37" i="1"/>
  <c r="CD40" i="1"/>
  <c r="CD30" i="1"/>
  <c r="CD33" i="1"/>
  <c r="CD36" i="1"/>
  <c r="CD39" i="1"/>
  <c r="CD29" i="1"/>
  <c r="CD27" i="1"/>
  <c r="CD26" i="1"/>
  <c r="CD32" i="1"/>
  <c r="AZ34" i="3"/>
  <c r="AZ37" i="3" s="1"/>
  <c r="AZ58" i="3" s="1"/>
  <c r="AZ60" i="3" s="1"/>
  <c r="BB8" i="3"/>
  <c r="BB7" i="3"/>
  <c r="BB20" i="3" s="1"/>
  <c r="BB29" i="3" s="1"/>
  <c r="BA17" i="3"/>
  <c r="BA18" i="3" s="1"/>
  <c r="BA21" i="3" s="1"/>
  <c r="BA25" i="3"/>
  <c r="BA32" i="3" s="1"/>
  <c r="BF6" i="3"/>
  <c r="BF65" i="3" s="1"/>
  <c r="BE30" i="3"/>
  <c r="BE27" i="3"/>
  <c r="BE36" i="3" a="1"/>
  <c r="BE36" i="3" s="1"/>
  <c r="BE26" i="3"/>
  <c r="BE31" i="3"/>
  <c r="BE28" i="3"/>
  <c r="BE24" i="3"/>
  <c r="CE1" i="1"/>
  <c r="CF2" i="1"/>
  <c r="CD22" i="1"/>
  <c r="CD24" i="1"/>
  <c r="CD21" i="1"/>
  <c r="CD12" i="1"/>
  <c r="CD17" i="1"/>
  <c r="CD19" i="1"/>
  <c r="CD16" i="1"/>
  <c r="CD9" i="1"/>
  <c r="CD10" i="1"/>
  <c r="CD15" i="1"/>
  <c r="CD18" i="1"/>
  <c r="CD20" i="1"/>
  <c r="CD3" i="1"/>
  <c r="CD4" i="1"/>
  <c r="CD23" i="1"/>
  <c r="CD6" i="1"/>
  <c r="CD7" i="1"/>
  <c r="CD14" i="1"/>
  <c r="CD8" i="1"/>
  <c r="CD11" i="1"/>
  <c r="CD13" i="1"/>
  <c r="CD5" i="1"/>
  <c r="CD25" i="1"/>
  <c r="BF50" i="2"/>
  <c r="BG5" i="3" s="1"/>
  <c r="BG4" i="3" s="1"/>
  <c r="BG59" i="3" s="1" a="1"/>
  <c r="BG59" i="3" s="1"/>
  <c r="BB51" i="2"/>
  <c r="CE32" i="1" l="1"/>
  <c r="CE35" i="1"/>
  <c r="CE38" i="1"/>
  <c r="CE28" i="1"/>
  <c r="CE31" i="1"/>
  <c r="CE34" i="1"/>
  <c r="CE37" i="1"/>
  <c r="CE40" i="1"/>
  <c r="CE30" i="1"/>
  <c r="CE33" i="1"/>
  <c r="CE36" i="1"/>
  <c r="CE26" i="1"/>
  <c r="CE39" i="1"/>
  <c r="CE27" i="1"/>
  <c r="CE29" i="1"/>
  <c r="CD41" i="1"/>
  <c r="BC7" i="3"/>
  <c r="BC20" i="3" s="1"/>
  <c r="BC29" i="3" s="1"/>
  <c r="BC8" i="3"/>
  <c r="BA34" i="3"/>
  <c r="BA37" i="3" s="1"/>
  <c r="BA58" i="3" s="1"/>
  <c r="BA60" i="3" s="1"/>
  <c r="BB25" i="3"/>
  <c r="BB32" i="3" s="1"/>
  <c r="BB17" i="3"/>
  <c r="BB18" i="3" s="1"/>
  <c r="BB21" i="3" s="1"/>
  <c r="BG6" i="3"/>
  <c r="BG65" i="3" s="1"/>
  <c r="BE16" i="3"/>
  <c r="BF30" i="3"/>
  <c r="BF31" i="3"/>
  <c r="BF27" i="3"/>
  <c r="BF28" i="3"/>
  <c r="BF26" i="3"/>
  <c r="BF36" i="3" a="1"/>
  <c r="BF36" i="3" s="1"/>
  <c r="BF24" i="3"/>
  <c r="CF1" i="1"/>
  <c r="CG2" i="1"/>
  <c r="CE25" i="1"/>
  <c r="CE22" i="1"/>
  <c r="CE16" i="1"/>
  <c r="CE24" i="1"/>
  <c r="CE21" i="1"/>
  <c r="CE15" i="1"/>
  <c r="CE9" i="1"/>
  <c r="CE18" i="1"/>
  <c r="CE20" i="1"/>
  <c r="CE19" i="1"/>
  <c r="CE23" i="1"/>
  <c r="CE12" i="1"/>
  <c r="CE3" i="1"/>
  <c r="CE8" i="1"/>
  <c r="CE17" i="1"/>
  <c r="CE6" i="1"/>
  <c r="CE7" i="1"/>
  <c r="CE14" i="1"/>
  <c r="CE4" i="1"/>
  <c r="CE10" i="1"/>
  <c r="CE11" i="1"/>
  <c r="CE5" i="1"/>
  <c r="CE13" i="1"/>
  <c r="BG50" i="2"/>
  <c r="BH5" i="3" s="1"/>
  <c r="BH4" i="3" s="1"/>
  <c r="BH59" i="3" s="1" a="1"/>
  <c r="BH59" i="3" s="1"/>
  <c r="BC51" i="2"/>
  <c r="CE41" i="1" l="1"/>
  <c r="CF39" i="1"/>
  <c r="CF29" i="1"/>
  <c r="CF26" i="1"/>
  <c r="CF32" i="1"/>
  <c r="CF35" i="1"/>
  <c r="CF38" i="1"/>
  <c r="CF28" i="1"/>
  <c r="CF31" i="1"/>
  <c r="CF34" i="1"/>
  <c r="CF37" i="1"/>
  <c r="CF40" i="1"/>
  <c r="CF30" i="1"/>
  <c r="CF33" i="1"/>
  <c r="CF36" i="1"/>
  <c r="CF27" i="1"/>
  <c r="BB34" i="3"/>
  <c r="BB37" i="3" s="1"/>
  <c r="BB58" i="3" s="1"/>
  <c r="BB60" i="3" s="1"/>
  <c r="BD7" i="3"/>
  <c r="BD20" i="3" s="1"/>
  <c r="BD29" i="3" s="1"/>
  <c r="BD8" i="3"/>
  <c r="BC17" i="3"/>
  <c r="BC18" i="3" s="1"/>
  <c r="BC21" i="3" s="1"/>
  <c r="BC25" i="3"/>
  <c r="BC32" i="3" s="1"/>
  <c r="BH6" i="3"/>
  <c r="BH65" i="3" s="1"/>
  <c r="BF16" i="3"/>
  <c r="BG30" i="3"/>
  <c r="BG31" i="3"/>
  <c r="BG28" i="3"/>
  <c r="BG27" i="3"/>
  <c r="BG36" i="3" a="1"/>
  <c r="BG36" i="3" s="1"/>
  <c r="BG26" i="3"/>
  <c r="BG24" i="3"/>
  <c r="CG1" i="1"/>
  <c r="CH2" i="1"/>
  <c r="CF25" i="1"/>
  <c r="CF22" i="1"/>
  <c r="CF19" i="1"/>
  <c r="CF24" i="1"/>
  <c r="CF15" i="1"/>
  <c r="CF20" i="1"/>
  <c r="CF3" i="1"/>
  <c r="CF11" i="1"/>
  <c r="CF13" i="1"/>
  <c r="CF17" i="1"/>
  <c r="CF12" i="1"/>
  <c r="CF5" i="1"/>
  <c r="CF4" i="1"/>
  <c r="CF16" i="1"/>
  <c r="CF21" i="1"/>
  <c r="CF18" i="1"/>
  <c r="CF9" i="1"/>
  <c r="CF23" i="1"/>
  <c r="CF6" i="1"/>
  <c r="CF14" i="1"/>
  <c r="CF8" i="1"/>
  <c r="CF7" i="1"/>
  <c r="CF10" i="1"/>
  <c r="BH50" i="2"/>
  <c r="BI5" i="3" s="1"/>
  <c r="BI4" i="3" s="1"/>
  <c r="BI59" i="3" s="1" a="1"/>
  <c r="BI59" i="3" s="1"/>
  <c r="BD51" i="2"/>
  <c r="CF41" i="1" l="1"/>
  <c r="CG36" i="1"/>
  <c r="CG27" i="1"/>
  <c r="CG39" i="1"/>
  <c r="CG29" i="1"/>
  <c r="CG32" i="1"/>
  <c r="CG35" i="1"/>
  <c r="CG26" i="1"/>
  <c r="CG38" i="1"/>
  <c r="CG28" i="1"/>
  <c r="CG31" i="1"/>
  <c r="CG34" i="1"/>
  <c r="CG37" i="1"/>
  <c r="CG40" i="1"/>
  <c r="CG30" i="1"/>
  <c r="CG33" i="1"/>
  <c r="BE7" i="3"/>
  <c r="BE20" i="3" s="1"/>
  <c r="BE29" i="3" s="1"/>
  <c r="BE8" i="3"/>
  <c r="BC34" i="3"/>
  <c r="BC37" i="3" s="1"/>
  <c r="BC58" i="3" s="1"/>
  <c r="BC60" i="3" s="1"/>
  <c r="BD17" i="3"/>
  <c r="BD18" i="3" s="1"/>
  <c r="BD21" i="3" s="1"/>
  <c r="BD25" i="3"/>
  <c r="BD32" i="3" s="1"/>
  <c r="BI6" i="3"/>
  <c r="BI65" i="3" s="1"/>
  <c r="BG16" i="3"/>
  <c r="BH30" i="3"/>
  <c r="BH31" i="3"/>
  <c r="BH27" i="3"/>
  <c r="BH26" i="3"/>
  <c r="BH24" i="3"/>
  <c r="BH36" i="3" a="1"/>
  <c r="BH36" i="3" s="1"/>
  <c r="BH28" i="3"/>
  <c r="CH1" i="1"/>
  <c r="CI2" i="1"/>
  <c r="CG4" i="1"/>
  <c r="CG25" i="1"/>
  <c r="CG22" i="1"/>
  <c r="CG16" i="1"/>
  <c r="CG24" i="1"/>
  <c r="CG21" i="1"/>
  <c r="CG18" i="1"/>
  <c r="CG8" i="1"/>
  <c r="CG13" i="1"/>
  <c r="CG19" i="1"/>
  <c r="CG15" i="1"/>
  <c r="CG23" i="1"/>
  <c r="CG3" i="1"/>
  <c r="CG9" i="1"/>
  <c r="CG17" i="1"/>
  <c r="CG10" i="1"/>
  <c r="CG12" i="1"/>
  <c r="CG5" i="1"/>
  <c r="CG6" i="1"/>
  <c r="CG14" i="1"/>
  <c r="CG11" i="1"/>
  <c r="CG20" i="1"/>
  <c r="CG7" i="1"/>
  <c r="BI50" i="2"/>
  <c r="BJ5" i="3" s="1"/>
  <c r="BJ4" i="3" s="1"/>
  <c r="BJ59" i="3" s="1" a="1"/>
  <c r="BJ59" i="3" s="1"/>
  <c r="BE51" i="2"/>
  <c r="CH36" i="1" l="1"/>
  <c r="CH39" i="1"/>
  <c r="CH29" i="1"/>
  <c r="CH32" i="1"/>
  <c r="CH27" i="1"/>
  <c r="CH35" i="1"/>
  <c r="CH38" i="1"/>
  <c r="CH28" i="1"/>
  <c r="CH31" i="1"/>
  <c r="CH26" i="1"/>
  <c r="CH34" i="1"/>
  <c r="CH37" i="1"/>
  <c r="CH40" i="1"/>
  <c r="CH30" i="1"/>
  <c r="CH33" i="1"/>
  <c r="CG41" i="1"/>
  <c r="BF7" i="3"/>
  <c r="BF20" i="3" s="1"/>
  <c r="BF29" i="3" s="1"/>
  <c r="BF8" i="3"/>
  <c r="BD34" i="3"/>
  <c r="BD37" i="3" s="1"/>
  <c r="BD58" i="3" s="1"/>
  <c r="BD60" i="3" s="1"/>
  <c r="BE17" i="3"/>
  <c r="BE18" i="3" s="1"/>
  <c r="BE21" i="3" s="1"/>
  <c r="BE25" i="3"/>
  <c r="BE32" i="3" s="1"/>
  <c r="BJ6" i="3"/>
  <c r="BJ65" i="3" s="1"/>
  <c r="BH16" i="3"/>
  <c r="BI30" i="3"/>
  <c r="BI31" i="3"/>
  <c r="BI27" i="3"/>
  <c r="BI36" i="3" a="1"/>
  <c r="BI36" i="3" s="1"/>
  <c r="BI28" i="3"/>
  <c r="BI26" i="3"/>
  <c r="BI24" i="3"/>
  <c r="CI1" i="1"/>
  <c r="CJ2" i="1"/>
  <c r="CH23" i="1"/>
  <c r="CH19" i="1"/>
  <c r="CH16" i="1"/>
  <c r="CH4" i="1"/>
  <c r="CH8" i="1"/>
  <c r="CH17" i="1"/>
  <c r="CH7" i="1"/>
  <c r="CH25" i="1"/>
  <c r="CH11" i="1"/>
  <c r="CH12" i="1"/>
  <c r="CH20" i="1"/>
  <c r="CH22" i="1"/>
  <c r="CH21" i="1"/>
  <c r="CH18" i="1"/>
  <c r="CH6" i="1"/>
  <c r="CH24" i="1"/>
  <c r="CH15" i="1"/>
  <c r="CH9" i="1"/>
  <c r="CH3" i="1"/>
  <c r="CH14" i="1"/>
  <c r="CH10" i="1"/>
  <c r="CH5" i="1"/>
  <c r="CH13" i="1"/>
  <c r="BJ50" i="2"/>
  <c r="BK5" i="3" s="1"/>
  <c r="BK4" i="3" s="1"/>
  <c r="BK59" i="3" s="1" a="1"/>
  <c r="BK59" i="3" s="1"/>
  <c r="BF51" i="2"/>
  <c r="CI33" i="1" l="1"/>
  <c r="CI36" i="1"/>
  <c r="CI39" i="1"/>
  <c r="CI29" i="1"/>
  <c r="CI32" i="1"/>
  <c r="CI35" i="1"/>
  <c r="CI38" i="1"/>
  <c r="CI28" i="1"/>
  <c r="CI31" i="1"/>
  <c r="CI34" i="1"/>
  <c r="CI37" i="1"/>
  <c r="CI26" i="1"/>
  <c r="CI40" i="1"/>
  <c r="CI27" i="1"/>
  <c r="CI30" i="1"/>
  <c r="CH41" i="1"/>
  <c r="BE34" i="3"/>
  <c r="BE37" i="3" s="1"/>
  <c r="BE58" i="3" s="1"/>
  <c r="BE60" i="3" s="1"/>
  <c r="BF17" i="3"/>
  <c r="BF18" i="3" s="1"/>
  <c r="BF21" i="3" s="1"/>
  <c r="BF25" i="3"/>
  <c r="BF32" i="3" s="1"/>
  <c r="BG7" i="3"/>
  <c r="BG20" i="3" s="1"/>
  <c r="BG29" i="3" s="1"/>
  <c r="BG8" i="3"/>
  <c r="BK6" i="3"/>
  <c r="BK65" i="3" s="1"/>
  <c r="BI16" i="3"/>
  <c r="BJ30" i="3"/>
  <c r="BJ31" i="3"/>
  <c r="BJ36" i="3" a="1"/>
  <c r="BJ36" i="3" s="1"/>
  <c r="BJ28" i="3"/>
  <c r="BJ24" i="3"/>
  <c r="BJ27" i="3"/>
  <c r="BJ26" i="3"/>
  <c r="CJ1" i="1"/>
  <c r="CK2" i="1"/>
  <c r="CI17" i="1"/>
  <c r="CI13" i="1"/>
  <c r="CI4" i="1"/>
  <c r="CI19" i="1"/>
  <c r="CI24" i="1"/>
  <c r="CI21" i="1"/>
  <c r="CI18" i="1"/>
  <c r="CI9" i="1"/>
  <c r="CI14" i="1"/>
  <c r="CI11" i="1"/>
  <c r="CI25" i="1"/>
  <c r="CI16" i="1"/>
  <c r="CI7" i="1"/>
  <c r="CI15" i="1"/>
  <c r="CI22" i="1"/>
  <c r="CI20" i="1"/>
  <c r="CI23" i="1"/>
  <c r="CI10" i="1"/>
  <c r="CI12" i="1"/>
  <c r="CI5" i="1"/>
  <c r="CI3" i="1"/>
  <c r="CI8" i="1"/>
  <c r="CI6" i="1"/>
  <c r="BK50" i="2"/>
  <c r="BL5" i="3" s="1"/>
  <c r="BL4" i="3" s="1"/>
  <c r="BG51" i="2"/>
  <c r="BL59" i="3" l="1" a="1"/>
  <c r="BL59" i="3" s="1"/>
  <c r="CJ33" i="1"/>
  <c r="CJ26" i="1"/>
  <c r="CJ36" i="1"/>
  <c r="CJ39" i="1"/>
  <c r="CJ29" i="1"/>
  <c r="CJ32" i="1"/>
  <c r="CJ35" i="1"/>
  <c r="CJ38" i="1"/>
  <c r="CJ28" i="1"/>
  <c r="CJ31" i="1"/>
  <c r="CJ34" i="1"/>
  <c r="CJ27" i="1"/>
  <c r="CJ37" i="1"/>
  <c r="CJ40" i="1"/>
  <c r="CJ30" i="1"/>
  <c r="CI41" i="1"/>
  <c r="BF34" i="3"/>
  <c r="BF37" i="3" s="1"/>
  <c r="BF58" i="3" s="1"/>
  <c r="BF60" i="3" s="1"/>
  <c r="BH8" i="3"/>
  <c r="BH7" i="3"/>
  <c r="BH20" i="3" s="1"/>
  <c r="BH29" i="3" s="1"/>
  <c r="BG17" i="3"/>
  <c r="BG18" i="3" s="1"/>
  <c r="BG21" i="3" s="1"/>
  <c r="BG25" i="3"/>
  <c r="BG32" i="3" s="1"/>
  <c r="BL6" i="3"/>
  <c r="BL65" i="3" s="1"/>
  <c r="BJ16" i="3"/>
  <c r="BK30" i="3"/>
  <c r="BK31" i="3"/>
  <c r="BK27" i="3"/>
  <c r="BK36" i="3" a="1"/>
  <c r="BK36" i="3" s="1"/>
  <c r="BK26" i="3"/>
  <c r="BK28" i="3"/>
  <c r="BK24" i="3"/>
  <c r="CL2" i="1"/>
  <c r="CK1" i="1"/>
  <c r="CJ20" i="1"/>
  <c r="CJ17" i="1"/>
  <c r="CJ13" i="1"/>
  <c r="CJ22" i="1"/>
  <c r="CJ24" i="1"/>
  <c r="CJ18" i="1"/>
  <c r="CJ25" i="1"/>
  <c r="CJ19" i="1"/>
  <c r="CJ16" i="1"/>
  <c r="CJ10" i="1"/>
  <c r="CJ3" i="1"/>
  <c r="CJ15" i="1"/>
  <c r="CJ21" i="1"/>
  <c r="CJ12" i="1"/>
  <c r="CJ9" i="1"/>
  <c r="CJ7" i="1"/>
  <c r="CJ4" i="1"/>
  <c r="CJ11" i="1"/>
  <c r="CJ5" i="1"/>
  <c r="CJ14" i="1"/>
  <c r="CJ6" i="1"/>
  <c r="CJ8" i="1"/>
  <c r="CJ23" i="1"/>
  <c r="BL50" i="2"/>
  <c r="BM5" i="3" s="1"/>
  <c r="BM4" i="3" s="1"/>
  <c r="BH51" i="2"/>
  <c r="BM59" i="3" l="1" a="1"/>
  <c r="BM59" i="3" s="1"/>
  <c r="CJ41" i="1"/>
  <c r="CK40" i="1"/>
  <c r="CK30" i="1"/>
  <c r="CK33" i="1"/>
  <c r="CK27" i="1"/>
  <c r="CK36" i="1"/>
  <c r="CK39" i="1"/>
  <c r="CK29" i="1"/>
  <c r="CK32" i="1"/>
  <c r="CK26" i="1"/>
  <c r="CK35" i="1"/>
  <c r="CK38" i="1"/>
  <c r="CK28" i="1"/>
  <c r="CK31" i="1"/>
  <c r="CK34" i="1"/>
  <c r="CK37" i="1"/>
  <c r="BI7" i="3"/>
  <c r="BI20" i="3" s="1"/>
  <c r="BI29" i="3" s="1"/>
  <c r="BI8" i="3"/>
  <c r="BG34" i="3"/>
  <c r="BG37" i="3" s="1"/>
  <c r="BG58" i="3" s="1"/>
  <c r="BG60" i="3" s="1"/>
  <c r="BH25" i="3"/>
  <c r="BH32" i="3" s="1"/>
  <c r="BH17" i="3"/>
  <c r="BH18" i="3" s="1"/>
  <c r="BH21" i="3" s="1"/>
  <c r="BM6" i="3"/>
  <c r="BM65" i="3" s="1"/>
  <c r="BK16" i="3"/>
  <c r="BL31" i="3"/>
  <c r="BL27" i="3"/>
  <c r="BL28" i="3"/>
  <c r="BL36" i="3" a="1"/>
  <c r="BL36" i="3" s="1"/>
  <c r="BL7" i="3"/>
  <c r="BL30" i="3"/>
  <c r="BL16" i="3" s="1"/>
  <c r="BL24" i="3"/>
  <c r="BL26" i="3"/>
  <c r="BL8" i="3"/>
  <c r="BL25" i="3" s="1"/>
  <c r="CK23" i="1"/>
  <c r="CK20" i="1"/>
  <c r="CK16" i="1"/>
  <c r="CK15" i="1"/>
  <c r="CK17" i="1"/>
  <c r="CK25" i="1"/>
  <c r="CK22" i="1"/>
  <c r="CK19" i="1"/>
  <c r="CK10" i="1"/>
  <c r="CK13" i="1"/>
  <c r="CK14" i="1"/>
  <c r="CK5" i="1"/>
  <c r="CK24" i="1"/>
  <c r="CK21" i="1"/>
  <c r="CK18" i="1"/>
  <c r="CK9" i="1"/>
  <c r="CK4" i="1"/>
  <c r="CK7" i="1"/>
  <c r="CK3" i="1"/>
  <c r="CK8" i="1"/>
  <c r="CK12" i="1"/>
  <c r="CK6" i="1"/>
  <c r="CK11" i="1"/>
  <c r="CL1" i="1"/>
  <c r="CM2" i="1"/>
  <c r="BM50" i="2"/>
  <c r="BN5" i="3" s="1"/>
  <c r="BN4" i="3" s="1"/>
  <c r="BI51" i="2"/>
  <c r="CL33" i="1" l="1"/>
  <c r="CL31" i="1"/>
  <c r="CL35" i="1"/>
  <c r="CL39" i="1"/>
  <c r="CL38" i="1"/>
  <c r="CL34" i="1"/>
  <c r="CL30" i="1"/>
  <c r="CL26" i="1"/>
  <c r="CL28" i="1"/>
  <c r="CL37" i="1"/>
  <c r="CL27" i="1"/>
  <c r="CL36" i="1"/>
  <c r="CL29" i="1"/>
  <c r="CL40" i="1"/>
  <c r="CL32" i="1"/>
  <c r="CK41" i="1"/>
  <c r="BN59" i="3" a="1"/>
  <c r="BN59" i="3" s="1"/>
  <c r="BH34" i="3"/>
  <c r="BH37" i="3" s="1"/>
  <c r="BH58" i="3" s="1"/>
  <c r="BH60" i="3" s="1"/>
  <c r="BJ8" i="3"/>
  <c r="BJ7" i="3"/>
  <c r="BJ20" i="3" s="1"/>
  <c r="BJ29" i="3" s="1"/>
  <c r="BI25" i="3"/>
  <c r="BI32" i="3" s="1"/>
  <c r="BI17" i="3"/>
  <c r="BI18" i="3" s="1"/>
  <c r="BI21" i="3" s="1"/>
  <c r="BN6" i="3"/>
  <c r="BN65" i="3" s="1"/>
  <c r="BL17" i="3"/>
  <c r="BL18" i="3" s="1"/>
  <c r="BL20" i="3"/>
  <c r="BL29" i="3" s="1"/>
  <c r="BL32" i="3" s="1"/>
  <c r="BM27" i="3"/>
  <c r="BM28" i="3"/>
  <c r="BM7" i="3"/>
  <c r="BM8" i="3"/>
  <c r="BM31" i="3"/>
  <c r="BM25" i="3"/>
  <c r="BM17" i="3"/>
  <c r="BM26" i="3"/>
  <c r="BM24" i="3"/>
  <c r="BM30" i="3"/>
  <c r="BM36" i="3" a="1"/>
  <c r="BM36" i="3" s="1"/>
  <c r="CM1" i="1"/>
  <c r="CN2" i="1"/>
  <c r="CL20" i="1"/>
  <c r="CL22" i="1"/>
  <c r="CL16" i="1"/>
  <c r="CL10" i="1"/>
  <c r="CL6" i="1"/>
  <c r="CL17" i="1"/>
  <c r="CL13" i="1"/>
  <c r="CL7" i="1"/>
  <c r="CL25" i="1"/>
  <c r="CL14" i="1"/>
  <c r="CL24" i="1"/>
  <c r="CL21" i="1"/>
  <c r="CL18" i="1"/>
  <c r="CL3" i="1"/>
  <c r="CL23" i="1"/>
  <c r="CL9" i="1"/>
  <c r="CL19" i="1"/>
  <c r="CL4" i="1"/>
  <c r="CL12" i="1"/>
  <c r="CL15" i="1"/>
  <c r="CL11" i="1"/>
  <c r="CL8" i="1"/>
  <c r="CL5" i="1"/>
  <c r="BN50" i="2"/>
  <c r="BO5" i="3" s="1"/>
  <c r="BO4" i="3" s="1"/>
  <c r="BJ51" i="2"/>
  <c r="BO59" i="3" l="1" a="1"/>
  <c r="BO59" i="3" s="1"/>
  <c r="CM40" i="1"/>
  <c r="CM30" i="1"/>
  <c r="CM33" i="1"/>
  <c r="CM36" i="1"/>
  <c r="CM39" i="1"/>
  <c r="CM29" i="1"/>
  <c r="CM32" i="1"/>
  <c r="CM38" i="1"/>
  <c r="CM28" i="1"/>
  <c r="CM31" i="1"/>
  <c r="CM34" i="1"/>
  <c r="CM27" i="1"/>
  <c r="CM35" i="1"/>
  <c r="CM26" i="1"/>
  <c r="CM37" i="1"/>
  <c r="CL41" i="1"/>
  <c r="BI34" i="3"/>
  <c r="BI37" i="3" s="1"/>
  <c r="BI58" i="3" s="1"/>
  <c r="BI60" i="3" s="1"/>
  <c r="BK8" i="3"/>
  <c r="BK7" i="3"/>
  <c r="BK20" i="3" s="1"/>
  <c r="BK29" i="3" s="1"/>
  <c r="BJ25" i="3"/>
  <c r="BJ32" i="3" s="1"/>
  <c r="BJ17" i="3"/>
  <c r="BJ18" i="3" s="1"/>
  <c r="BJ21" i="3" s="1"/>
  <c r="BM16" i="3"/>
  <c r="BO6" i="3"/>
  <c r="BO65" i="3" s="1"/>
  <c r="BM18" i="3"/>
  <c r="BM20" i="3"/>
  <c r="BM29" i="3" s="1"/>
  <c r="BM32" i="3" s="1"/>
  <c r="BL21" i="3"/>
  <c r="BL34" i="3" s="1"/>
  <c r="BN27" i="3"/>
  <c r="BN28" i="3"/>
  <c r="BN7" i="3"/>
  <c r="BN8" i="3"/>
  <c r="BN17" i="3" s="1"/>
  <c r="BN26" i="3"/>
  <c r="BN30" i="3"/>
  <c r="BN31" i="3"/>
  <c r="BN24" i="3"/>
  <c r="BN36" i="3" a="1"/>
  <c r="BN36" i="3" s="1"/>
  <c r="CN1" i="1"/>
  <c r="CO2" i="1"/>
  <c r="CM17" i="1"/>
  <c r="CM19" i="1"/>
  <c r="CM16" i="1"/>
  <c r="CM13" i="1"/>
  <c r="CM18" i="1"/>
  <c r="CM15" i="1"/>
  <c r="CM6" i="1"/>
  <c r="CM25" i="1"/>
  <c r="CM22" i="1"/>
  <c r="CM5" i="1"/>
  <c r="CM24" i="1"/>
  <c r="CM14" i="1"/>
  <c r="CM11" i="1"/>
  <c r="CM10" i="1"/>
  <c r="CM4" i="1"/>
  <c r="CM9" i="1"/>
  <c r="CM8" i="1"/>
  <c r="CM21" i="1"/>
  <c r="CM12" i="1"/>
  <c r="CM3" i="1"/>
  <c r="CM20" i="1"/>
  <c r="CM7" i="1"/>
  <c r="CM23" i="1"/>
  <c r="BO50" i="2"/>
  <c r="BP5" i="3" s="1"/>
  <c r="BP4" i="3" s="1"/>
  <c r="BK51" i="2"/>
  <c r="CM41" i="1" l="1"/>
  <c r="CN40" i="1"/>
  <c r="CN30" i="1"/>
  <c r="CN33" i="1"/>
  <c r="CN36" i="1"/>
  <c r="CN39" i="1"/>
  <c r="CN29" i="1"/>
  <c r="CN32" i="1"/>
  <c r="CN35" i="1"/>
  <c r="CN38" i="1"/>
  <c r="CN28" i="1"/>
  <c r="CN34" i="1"/>
  <c r="CN31" i="1"/>
  <c r="CN26" i="1"/>
  <c r="CN27" i="1"/>
  <c r="CN37" i="1"/>
  <c r="BP59" i="3" a="1"/>
  <c r="BP59" i="3" s="1"/>
  <c r="BJ34" i="3"/>
  <c r="BJ37" i="3" s="1"/>
  <c r="BJ58" i="3" s="1"/>
  <c r="BJ60" i="3" s="1"/>
  <c r="BK25" i="3"/>
  <c r="BK32" i="3" s="1"/>
  <c r="BK17" i="3"/>
  <c r="BK18" i="3" s="1"/>
  <c r="BK21" i="3" s="1"/>
  <c r="BL37" i="3"/>
  <c r="BL58" i="3" s="1"/>
  <c r="BL60" i="3" s="1"/>
  <c r="BP6" i="3"/>
  <c r="BP65" i="3" s="1"/>
  <c r="BN16" i="3"/>
  <c r="BN20" i="3" s="1"/>
  <c r="BN29" i="3" s="1"/>
  <c r="BN25" i="3"/>
  <c r="BM21" i="3"/>
  <c r="BM34" i="3" s="1"/>
  <c r="BO27" i="3"/>
  <c r="BO28" i="3"/>
  <c r="BO7" i="3"/>
  <c r="BO8" i="3"/>
  <c r="BO25" i="3"/>
  <c r="BO17" i="3"/>
  <c r="BO36" i="3" a="1"/>
  <c r="BO36" i="3" s="1"/>
  <c r="BO24" i="3"/>
  <c r="BO30" i="3"/>
  <c r="BO26" i="3"/>
  <c r="BO31" i="3"/>
  <c r="CO1" i="1"/>
  <c r="CP2" i="1"/>
  <c r="CN17" i="1"/>
  <c r="CN14" i="1"/>
  <c r="CN19" i="1"/>
  <c r="CN16" i="1"/>
  <c r="CN11" i="1"/>
  <c r="CN9" i="1"/>
  <c r="CN21" i="1"/>
  <c r="CN25" i="1"/>
  <c r="CN10" i="1"/>
  <c r="CN24" i="1"/>
  <c r="CN6" i="1"/>
  <c r="CN23" i="1"/>
  <c r="CN22" i="1"/>
  <c r="CN13" i="1"/>
  <c r="CN5" i="1"/>
  <c r="CN7" i="1"/>
  <c r="CN4" i="1"/>
  <c r="CN3" i="1"/>
  <c r="CN8" i="1"/>
  <c r="CN15" i="1"/>
  <c r="CN12" i="1"/>
  <c r="CN18" i="1"/>
  <c r="CN20" i="1"/>
  <c r="BP50" i="2"/>
  <c r="BQ5" i="3" s="1"/>
  <c r="BQ4" i="3" s="1"/>
  <c r="BL51" i="2"/>
  <c r="CN41" i="1" l="1"/>
  <c r="CO37" i="1"/>
  <c r="CO40" i="1"/>
  <c r="CO30" i="1"/>
  <c r="CO33" i="1"/>
  <c r="CO36" i="1"/>
  <c r="CO39" i="1"/>
  <c r="CO29" i="1"/>
  <c r="CO32" i="1"/>
  <c r="CO35" i="1"/>
  <c r="CO38" i="1"/>
  <c r="CO28" i="1"/>
  <c r="CO31" i="1"/>
  <c r="CO27" i="1"/>
  <c r="CO26" i="1"/>
  <c r="CO34" i="1"/>
  <c r="BQ59" i="3" a="1"/>
  <c r="BQ59" i="3" s="1"/>
  <c r="BK34" i="3"/>
  <c r="BK37" i="3" s="1"/>
  <c r="BK58" i="3" s="1"/>
  <c r="BK60" i="3" s="1"/>
  <c r="BN18" i="3"/>
  <c r="BM37" i="3"/>
  <c r="BM58" i="3" s="1"/>
  <c r="BM60" i="3" s="1"/>
  <c r="BQ6" i="3"/>
  <c r="BQ65" i="3" s="1"/>
  <c r="BN32" i="3"/>
  <c r="BN21" i="3"/>
  <c r="BO16" i="3"/>
  <c r="BO18" i="3" s="1"/>
  <c r="BP27" i="3"/>
  <c r="BP28" i="3"/>
  <c r="BP8" i="3"/>
  <c r="BP25" i="3" s="1"/>
  <c r="BP24" i="3"/>
  <c r="BP26" i="3"/>
  <c r="BP30" i="3"/>
  <c r="BP31" i="3"/>
  <c r="BP17" i="3"/>
  <c r="BP7" i="3"/>
  <c r="BP36" i="3" a="1"/>
  <c r="BP36" i="3" s="1"/>
  <c r="CQ2" i="1"/>
  <c r="CP1" i="1"/>
  <c r="CO8" i="1"/>
  <c r="CO23" i="1"/>
  <c r="CO3" i="1"/>
  <c r="CO19" i="1"/>
  <c r="CO10" i="1"/>
  <c r="CO20" i="1"/>
  <c r="CO13" i="1"/>
  <c r="CO17" i="1"/>
  <c r="CO5" i="1"/>
  <c r="CO16" i="1"/>
  <c r="CO9" i="1"/>
  <c r="CO18" i="1"/>
  <c r="CO24" i="1"/>
  <c r="CO11" i="1"/>
  <c r="CO4" i="1"/>
  <c r="CO14" i="1"/>
  <c r="CO7" i="1"/>
  <c r="CO22" i="1"/>
  <c r="CO15" i="1"/>
  <c r="CO21" i="1"/>
  <c r="CO6" i="1"/>
  <c r="CO25" i="1"/>
  <c r="CO12" i="1"/>
  <c r="BQ50" i="2"/>
  <c r="BR5" i="3" s="1"/>
  <c r="BR4" i="3" s="1"/>
  <c r="BM51" i="2"/>
  <c r="CP39" i="1" l="1"/>
  <c r="CP35" i="1"/>
  <c r="CP31" i="1"/>
  <c r="CP38" i="1"/>
  <c r="CP34" i="1"/>
  <c r="CP30" i="1"/>
  <c r="CP37" i="1"/>
  <c r="CP33" i="1"/>
  <c r="CP29" i="1"/>
  <c r="CP40" i="1"/>
  <c r="CP36" i="1"/>
  <c r="CP32" i="1"/>
  <c r="CP28" i="1"/>
  <c r="CP26" i="1"/>
  <c r="CP27" i="1"/>
  <c r="BR59" i="3" a="1"/>
  <c r="BR59" i="3" s="1"/>
  <c r="CO41" i="1"/>
  <c r="BN34" i="3"/>
  <c r="BN37" i="3" s="1"/>
  <c r="BN58" i="3" s="1"/>
  <c r="BN60" i="3" s="1"/>
  <c r="BO20" i="3"/>
  <c r="BO29" i="3" s="1"/>
  <c r="BO32" i="3" s="1"/>
  <c r="BP16" i="3"/>
  <c r="BP20" i="3" s="1"/>
  <c r="BP29" i="3" s="1"/>
  <c r="BP32" i="3" s="1"/>
  <c r="BR6" i="3"/>
  <c r="BR65" i="3" s="1"/>
  <c r="BO21" i="3"/>
  <c r="BQ27" i="3"/>
  <c r="BQ28" i="3"/>
  <c r="BQ36" i="3" a="1"/>
  <c r="BQ36" i="3" s="1"/>
  <c r="BQ30" i="3"/>
  <c r="BQ31" i="3"/>
  <c r="BQ7" i="3"/>
  <c r="BQ8" i="3"/>
  <c r="BQ25" i="3" s="1"/>
  <c r="BQ17" i="3"/>
  <c r="BQ26" i="3"/>
  <c r="BQ24" i="3"/>
  <c r="CP9" i="1"/>
  <c r="CP18" i="1"/>
  <c r="CP24" i="1"/>
  <c r="CP17" i="1"/>
  <c r="CP5" i="1"/>
  <c r="CP11" i="1"/>
  <c r="CP22" i="1"/>
  <c r="CP16" i="1"/>
  <c r="CP13" i="1"/>
  <c r="CP6" i="1"/>
  <c r="CP4" i="1"/>
  <c r="CP15" i="1"/>
  <c r="CP25" i="1"/>
  <c r="CP3" i="1"/>
  <c r="CP8" i="1"/>
  <c r="CP10" i="1"/>
  <c r="CP12" i="1"/>
  <c r="CP20" i="1"/>
  <c r="CP19" i="1"/>
  <c r="CP21" i="1"/>
  <c r="CP7" i="1"/>
  <c r="CP14" i="1"/>
  <c r="CP23" i="1"/>
  <c r="CQ1" i="1"/>
  <c r="CR2" i="1"/>
  <c r="BR50" i="2"/>
  <c r="BS5" i="3" s="1"/>
  <c r="BS4" i="3" s="1"/>
  <c r="BN51" i="2"/>
  <c r="CQ36" i="1" l="1"/>
  <c r="CQ39" i="1"/>
  <c r="CQ29" i="1"/>
  <c r="CQ32" i="1"/>
  <c r="CQ35" i="1"/>
  <c r="CQ38" i="1"/>
  <c r="CQ28" i="1"/>
  <c r="CQ31" i="1"/>
  <c r="CQ34" i="1"/>
  <c r="CQ40" i="1"/>
  <c r="CQ30" i="1"/>
  <c r="CQ27" i="1"/>
  <c r="CQ37" i="1"/>
  <c r="CQ26" i="1"/>
  <c r="CQ33" i="1"/>
  <c r="CP41" i="1"/>
  <c r="BS59" i="3" a="1"/>
  <c r="BS59" i="3" s="1"/>
  <c r="BO34" i="3"/>
  <c r="BO37" i="3" s="1"/>
  <c r="BO58" i="3" s="1"/>
  <c r="BO60" i="3" s="1"/>
  <c r="BP18" i="3"/>
  <c r="BS6" i="3"/>
  <c r="BS65" i="3" s="1"/>
  <c r="BQ16" i="3"/>
  <c r="BQ20" i="3" s="1"/>
  <c r="BQ29" i="3" s="1"/>
  <c r="BQ32" i="3" s="1"/>
  <c r="BP21" i="3"/>
  <c r="BP34" i="3" s="1"/>
  <c r="BR28" i="3"/>
  <c r="BR36" i="3" a="1"/>
  <c r="BR36" i="3" s="1"/>
  <c r="BR7" i="3"/>
  <c r="BR30" i="3"/>
  <c r="BR24" i="3"/>
  <c r="BR31" i="3"/>
  <c r="BR8" i="3"/>
  <c r="BR25" i="3" s="1"/>
  <c r="BR26" i="3"/>
  <c r="BR27" i="3"/>
  <c r="CR1" i="1"/>
  <c r="CS2" i="1"/>
  <c r="CQ20" i="1"/>
  <c r="CQ17" i="1"/>
  <c r="CQ25" i="1"/>
  <c r="CQ22" i="1"/>
  <c r="CQ16" i="1"/>
  <c r="CQ11" i="1"/>
  <c r="CQ9" i="1"/>
  <c r="CQ6" i="1"/>
  <c r="CQ14" i="1"/>
  <c r="CQ5" i="1"/>
  <c r="CQ15" i="1"/>
  <c r="CQ3" i="1"/>
  <c r="CQ13" i="1"/>
  <c r="CQ4" i="1"/>
  <c r="CQ12" i="1"/>
  <c r="CQ24" i="1"/>
  <c r="CQ8" i="1"/>
  <c r="CQ19" i="1"/>
  <c r="CQ10" i="1"/>
  <c r="CQ18" i="1"/>
  <c r="CQ21" i="1"/>
  <c r="CQ7" i="1"/>
  <c r="CQ23" i="1"/>
  <c r="BS50" i="2"/>
  <c r="BT5" i="3" s="1"/>
  <c r="BT4" i="3" s="1"/>
  <c r="BO51" i="2"/>
  <c r="CR33" i="1" l="1"/>
  <c r="CR36" i="1"/>
  <c r="CR39" i="1"/>
  <c r="CR29" i="1"/>
  <c r="CR32" i="1"/>
  <c r="CR35" i="1"/>
  <c r="CR38" i="1"/>
  <c r="CR28" i="1"/>
  <c r="CR31" i="1"/>
  <c r="CR27" i="1"/>
  <c r="CR37" i="1"/>
  <c r="CR26" i="1"/>
  <c r="CR40" i="1"/>
  <c r="CR34" i="1"/>
  <c r="CR30" i="1"/>
  <c r="BT59" i="3" a="1"/>
  <c r="BT59" i="3" s="1"/>
  <c r="CQ41" i="1"/>
  <c r="BQ18" i="3"/>
  <c r="BQ21" i="3" s="1"/>
  <c r="BQ34" i="3" s="1"/>
  <c r="BP37" i="3"/>
  <c r="BP58" i="3" s="1"/>
  <c r="BP60" i="3" s="1"/>
  <c r="BT6" i="3"/>
  <c r="BT65" i="3" s="1"/>
  <c r="BR16" i="3"/>
  <c r="BR20" i="3" s="1"/>
  <c r="BR29" i="3" s="1"/>
  <c r="BR32" i="3" s="1"/>
  <c r="BR17" i="3"/>
  <c r="BS36" i="3" a="1"/>
  <c r="BS36" i="3" s="1"/>
  <c r="BS8" i="3"/>
  <c r="BS30" i="3"/>
  <c r="BS31" i="3"/>
  <c r="BS25" i="3"/>
  <c r="BS17" i="3"/>
  <c r="BS28" i="3"/>
  <c r="BS26" i="3"/>
  <c r="BS24" i="3"/>
  <c r="BS7" i="3"/>
  <c r="BS27" i="3"/>
  <c r="CT2" i="1"/>
  <c r="CS1" i="1"/>
  <c r="CR18" i="1"/>
  <c r="CR23" i="1"/>
  <c r="CR14" i="1"/>
  <c r="CR8" i="1"/>
  <c r="CR12" i="1"/>
  <c r="CR3" i="1"/>
  <c r="CR15" i="1"/>
  <c r="CR17" i="1"/>
  <c r="CR11" i="1"/>
  <c r="CR13" i="1"/>
  <c r="CR7" i="1"/>
  <c r="CR4" i="1"/>
  <c r="CR5" i="1"/>
  <c r="CR20" i="1"/>
  <c r="CR22" i="1"/>
  <c r="CR16" i="1"/>
  <c r="CR10" i="1"/>
  <c r="CR25" i="1"/>
  <c r="CR19" i="1"/>
  <c r="CR6" i="1"/>
  <c r="CR9" i="1"/>
  <c r="CR21" i="1"/>
  <c r="CR24" i="1"/>
  <c r="BT50" i="2"/>
  <c r="BU5" i="3" s="1"/>
  <c r="BU4" i="3" s="1"/>
  <c r="BP51" i="2"/>
  <c r="CS40" i="1" l="1"/>
  <c r="CS30" i="1"/>
  <c r="CS33" i="1"/>
  <c r="CS26" i="1"/>
  <c r="CS36" i="1"/>
  <c r="CS39" i="1"/>
  <c r="CS29" i="1"/>
  <c r="CS32" i="1"/>
  <c r="CS35" i="1"/>
  <c r="CS38" i="1"/>
  <c r="CS28" i="1"/>
  <c r="CS34" i="1"/>
  <c r="CS37" i="1"/>
  <c r="CS27" i="1"/>
  <c r="CS31" i="1"/>
  <c r="CR41" i="1"/>
  <c r="BU59" i="3" a="1"/>
  <c r="BU59" i="3" s="1"/>
  <c r="BR18" i="3"/>
  <c r="BR21" i="3" s="1"/>
  <c r="BR34" i="3" s="1"/>
  <c r="BQ37" i="3"/>
  <c r="BQ58" i="3" s="1"/>
  <c r="BQ60" i="3" s="1"/>
  <c r="BU6" i="3"/>
  <c r="BU65" i="3" s="1"/>
  <c r="BS16" i="3"/>
  <c r="BS20" i="3" s="1"/>
  <c r="BS29" i="3" s="1"/>
  <c r="BS32" i="3" s="1"/>
  <c r="BT36" i="3" a="1"/>
  <c r="BT36" i="3" s="1"/>
  <c r="BT7" i="3"/>
  <c r="BT30" i="3"/>
  <c r="BT31" i="3"/>
  <c r="BT24" i="3"/>
  <c r="BT26" i="3"/>
  <c r="BT8" i="3"/>
  <c r="BT25" i="3" s="1"/>
  <c r="BT17" i="3"/>
  <c r="BT28" i="3"/>
  <c r="BT27" i="3"/>
  <c r="CS24" i="1"/>
  <c r="CS21" i="1"/>
  <c r="CS18" i="1"/>
  <c r="CS20" i="1"/>
  <c r="CS17" i="1"/>
  <c r="CS14" i="1"/>
  <c r="CS19" i="1"/>
  <c r="CS5" i="1"/>
  <c r="CS25" i="1"/>
  <c r="CS8" i="1"/>
  <c r="CS15" i="1"/>
  <c r="CS16" i="1"/>
  <c r="CS13" i="1"/>
  <c r="CS23" i="1"/>
  <c r="CS22" i="1"/>
  <c r="CS12" i="1"/>
  <c r="CS11" i="1"/>
  <c r="CS6" i="1"/>
  <c r="CS10" i="1"/>
  <c r="CS3" i="1"/>
  <c r="CS7" i="1"/>
  <c r="CS9" i="1"/>
  <c r="CS4" i="1"/>
  <c r="CU2" i="1"/>
  <c r="CT1" i="1"/>
  <c r="BU50" i="2"/>
  <c r="BV5" i="3" s="1"/>
  <c r="BV4" i="3" s="1"/>
  <c r="BQ51" i="2"/>
  <c r="CT37" i="1" l="1"/>
  <c r="CT40" i="1"/>
  <c r="CT30" i="1"/>
  <c r="CT27" i="1"/>
  <c r="CT33" i="1"/>
  <c r="CT36" i="1"/>
  <c r="CT39" i="1"/>
  <c r="CT29" i="1"/>
  <c r="CT32" i="1"/>
  <c r="CT35" i="1"/>
  <c r="CT38" i="1"/>
  <c r="CT28" i="1"/>
  <c r="CT31" i="1"/>
  <c r="CT26" i="1"/>
  <c r="CT34" i="1"/>
  <c r="CS41" i="1"/>
  <c r="BV59" i="3" a="1"/>
  <c r="BV59" i="3" s="1"/>
  <c r="BS18" i="3"/>
  <c r="BS21" i="3" s="1"/>
  <c r="BS34" i="3" s="1"/>
  <c r="BR37" i="3"/>
  <c r="BR58" i="3" s="1"/>
  <c r="BR60" i="3" s="1"/>
  <c r="BV6" i="3"/>
  <c r="BV65" i="3" s="1"/>
  <c r="BT16" i="3"/>
  <c r="BT20" i="3" s="1"/>
  <c r="BT29" i="3" s="1"/>
  <c r="BT32" i="3" s="1"/>
  <c r="BU36" i="3" a="1"/>
  <c r="BU36" i="3" s="1"/>
  <c r="BU7" i="3"/>
  <c r="BU8" i="3"/>
  <c r="BU31" i="3"/>
  <c r="BU25" i="3"/>
  <c r="BU17" i="3"/>
  <c r="BU26" i="3"/>
  <c r="BU28" i="3"/>
  <c r="BU24" i="3"/>
  <c r="BU30" i="3"/>
  <c r="BU16" i="3" s="1"/>
  <c r="BU27" i="3"/>
  <c r="CV2" i="1"/>
  <c r="CU1" i="1"/>
  <c r="CT18" i="1"/>
  <c r="CT4" i="1"/>
  <c r="CT16" i="1"/>
  <c r="CT15" i="1"/>
  <c r="CT20" i="1"/>
  <c r="CT17" i="1"/>
  <c r="CT14" i="1"/>
  <c r="CT19" i="1"/>
  <c r="CT6" i="1"/>
  <c r="CT11" i="1"/>
  <c r="CT23" i="1"/>
  <c r="CT3" i="1"/>
  <c r="CT25" i="1"/>
  <c r="CT22" i="1"/>
  <c r="CT7" i="1"/>
  <c r="CT13" i="1"/>
  <c r="CT5" i="1"/>
  <c r="CT10" i="1"/>
  <c r="CT12" i="1"/>
  <c r="CT8" i="1"/>
  <c r="CT9" i="1"/>
  <c r="CT21" i="1"/>
  <c r="CT24" i="1"/>
  <c r="BV50" i="2"/>
  <c r="BW5" i="3" s="1"/>
  <c r="BW4" i="3" s="1"/>
  <c r="BR51" i="2"/>
  <c r="CU34" i="1" l="1"/>
  <c r="CU37" i="1"/>
  <c r="CU40" i="1"/>
  <c r="CU30" i="1"/>
  <c r="CU33" i="1"/>
  <c r="CU36" i="1"/>
  <c r="CU39" i="1"/>
  <c r="CU29" i="1"/>
  <c r="CU32" i="1"/>
  <c r="CU35" i="1"/>
  <c r="CU38" i="1"/>
  <c r="CU28" i="1"/>
  <c r="CU27" i="1"/>
  <c r="CU31" i="1"/>
  <c r="CU26" i="1"/>
  <c r="BW59" i="3" a="1"/>
  <c r="BW59" i="3" s="1"/>
  <c r="CT41" i="1"/>
  <c r="BS37" i="3"/>
  <c r="BS58" i="3" s="1"/>
  <c r="BS60" i="3" s="1"/>
  <c r="BT18" i="3"/>
  <c r="BW6" i="3"/>
  <c r="BW65" i="3" s="1"/>
  <c r="BT21" i="3"/>
  <c r="BT34" i="3" s="1"/>
  <c r="BU18" i="3"/>
  <c r="BU20" i="3"/>
  <c r="BU29" i="3" s="1"/>
  <c r="BU32" i="3" s="1"/>
  <c r="BV36" i="3" a="1"/>
  <c r="BV36" i="3" s="1"/>
  <c r="BV7" i="3"/>
  <c r="BV8" i="3"/>
  <c r="BV17" i="3" s="1"/>
  <c r="BV24" i="3"/>
  <c r="BV26" i="3"/>
  <c r="BV27" i="3"/>
  <c r="BV31" i="3"/>
  <c r="BV28" i="3"/>
  <c r="BV30" i="3"/>
  <c r="BV25" i="3"/>
  <c r="CU6" i="1"/>
  <c r="CU23" i="1"/>
  <c r="CU10" i="1"/>
  <c r="CU7" i="1"/>
  <c r="CU19" i="1"/>
  <c r="CU9" i="1"/>
  <c r="CU12" i="1"/>
  <c r="CU5" i="1"/>
  <c r="CU20" i="1"/>
  <c r="CU3" i="1"/>
  <c r="CU25" i="1"/>
  <c r="CU14" i="1"/>
  <c r="CU11" i="1"/>
  <c r="CU4" i="1"/>
  <c r="CU17" i="1"/>
  <c r="CU22" i="1"/>
  <c r="CU24" i="1"/>
  <c r="CU8" i="1"/>
  <c r="CU13" i="1"/>
  <c r="CU16" i="1"/>
  <c r="CU21" i="1"/>
  <c r="CU18" i="1"/>
  <c r="CU15" i="1"/>
  <c r="CW2" i="1"/>
  <c r="CV1" i="1"/>
  <c r="BW50" i="2"/>
  <c r="BX5" i="3" s="1"/>
  <c r="BX4" i="3" s="1"/>
  <c r="BS51" i="2"/>
  <c r="CV26" i="1" l="1"/>
  <c r="CV31" i="1"/>
  <c r="CV34" i="1"/>
  <c r="CV37" i="1"/>
  <c r="CV40" i="1"/>
  <c r="CV30" i="1"/>
  <c r="CV33" i="1"/>
  <c r="CV36" i="1"/>
  <c r="CV39" i="1"/>
  <c r="CV29" i="1"/>
  <c r="CV32" i="1"/>
  <c r="CV35" i="1"/>
  <c r="CV27" i="1"/>
  <c r="CV38" i="1"/>
  <c r="CV28" i="1"/>
  <c r="CU41" i="1"/>
  <c r="BX59" i="3" a="1"/>
  <c r="BX59" i="3" s="1"/>
  <c r="BT37" i="3"/>
  <c r="BT58" i="3" s="1"/>
  <c r="BT60" i="3" s="1"/>
  <c r="BX6" i="3"/>
  <c r="BX65" i="3" s="1"/>
  <c r="BV16" i="3"/>
  <c r="BV20" i="3" s="1"/>
  <c r="BV29" i="3" s="1"/>
  <c r="BV32" i="3" s="1"/>
  <c r="BU21" i="3"/>
  <c r="BU34" i="3" s="1"/>
  <c r="BW7" i="3"/>
  <c r="BW8" i="3"/>
  <c r="BW25" i="3" s="1"/>
  <c r="BW17" i="3"/>
  <c r="BW28" i="3"/>
  <c r="BW36" i="3" a="1"/>
  <c r="BW36" i="3" s="1"/>
  <c r="BW30" i="3"/>
  <c r="BW24" i="3"/>
  <c r="BW26" i="3"/>
  <c r="BW27" i="3"/>
  <c r="BW31" i="3"/>
  <c r="CV21" i="1"/>
  <c r="CV17" i="1"/>
  <c r="CV18" i="1"/>
  <c r="CV22" i="1"/>
  <c r="CV23" i="1"/>
  <c r="CV20" i="1"/>
  <c r="CV25" i="1"/>
  <c r="CV15" i="1"/>
  <c r="CV12" i="1"/>
  <c r="CV11" i="1"/>
  <c r="CV13" i="1"/>
  <c r="CV6" i="1"/>
  <c r="CV3" i="1"/>
  <c r="CV10" i="1"/>
  <c r="CV7" i="1"/>
  <c r="CV16" i="1"/>
  <c r="CV14" i="1"/>
  <c r="CV5" i="1"/>
  <c r="CV19" i="1"/>
  <c r="CV4" i="1"/>
  <c r="CV8" i="1"/>
  <c r="CV9" i="1"/>
  <c r="CV24" i="1"/>
  <c r="CX2" i="1"/>
  <c r="CW1" i="1"/>
  <c r="BX50" i="2"/>
  <c r="BY5" i="3" s="1"/>
  <c r="BY4" i="3" s="1"/>
  <c r="BT51" i="2"/>
  <c r="BY59" i="3" l="1" a="1"/>
  <c r="BY59" i="3" s="1"/>
  <c r="CW38" i="1"/>
  <c r="CW28" i="1"/>
  <c r="CW31" i="1"/>
  <c r="CW34" i="1"/>
  <c r="CW37" i="1"/>
  <c r="CW40" i="1"/>
  <c r="CW30" i="1"/>
  <c r="CW33" i="1"/>
  <c r="CW36" i="1"/>
  <c r="CW39" i="1"/>
  <c r="CW29" i="1"/>
  <c r="CW32" i="1"/>
  <c r="CW35" i="1"/>
  <c r="CW27" i="1"/>
  <c r="CW26" i="1"/>
  <c r="CV41" i="1"/>
  <c r="BU37" i="3"/>
  <c r="BU58" i="3" s="1"/>
  <c r="BU60" i="3" s="1"/>
  <c r="BV18" i="3"/>
  <c r="BY6" i="3"/>
  <c r="BY65" i="3" s="1"/>
  <c r="BV21" i="3"/>
  <c r="BW16" i="3"/>
  <c r="BW18" i="3" s="1"/>
  <c r="BV34" i="3"/>
  <c r="BX7" i="3"/>
  <c r="BX8" i="3"/>
  <c r="BX25" i="3" s="1"/>
  <c r="BX26" i="3"/>
  <c r="BX28" i="3"/>
  <c r="BX27" i="3"/>
  <c r="BX31" i="3"/>
  <c r="BX17" i="3"/>
  <c r="BX30" i="3"/>
  <c r="BX24" i="3"/>
  <c r="BX36" i="3" a="1"/>
  <c r="BX36" i="3" s="1"/>
  <c r="CW19" i="1"/>
  <c r="CW25" i="1"/>
  <c r="CW15" i="1"/>
  <c r="CW3" i="1"/>
  <c r="CW41" i="1" s="1"/>
  <c r="CW16" i="1"/>
  <c r="CW24" i="1"/>
  <c r="CW23" i="1"/>
  <c r="CW21" i="1"/>
  <c r="CW18" i="1"/>
  <c r="CW6" i="1"/>
  <c r="CW20" i="1"/>
  <c r="CW17" i="1"/>
  <c r="CW8" i="1"/>
  <c r="CW5" i="1"/>
  <c r="CW14" i="1"/>
  <c r="CW13" i="1"/>
  <c r="CW4" i="1"/>
  <c r="CW11" i="1"/>
  <c r="CW7" i="1"/>
  <c r="CW12" i="1"/>
  <c r="CW10" i="1"/>
  <c r="CW9" i="1"/>
  <c r="CW22" i="1"/>
  <c r="CY2" i="1"/>
  <c r="CX1" i="1"/>
  <c r="BY50" i="2"/>
  <c r="BZ5" i="3" s="1"/>
  <c r="BZ4" i="3" s="1"/>
  <c r="BU51" i="2"/>
  <c r="CX35" i="1" l="1"/>
  <c r="CX38" i="1"/>
  <c r="CX28" i="1"/>
  <c r="CX31" i="1"/>
  <c r="CX27" i="1"/>
  <c r="CX34" i="1"/>
  <c r="CX37" i="1"/>
  <c r="CX40" i="1"/>
  <c r="CX30" i="1"/>
  <c r="CX33" i="1"/>
  <c r="CX36" i="1"/>
  <c r="CX39" i="1"/>
  <c r="CX29" i="1"/>
  <c r="CX26" i="1"/>
  <c r="CX32" i="1"/>
  <c r="BZ59" i="3" a="1"/>
  <c r="BZ59" i="3" s="1"/>
  <c r="BW20" i="3"/>
  <c r="BW29" i="3" s="1"/>
  <c r="BW32" i="3" s="1"/>
  <c r="BV37" i="3"/>
  <c r="BV58" i="3" s="1"/>
  <c r="BV60" i="3" s="1"/>
  <c r="BZ6" i="3"/>
  <c r="BZ65" i="3" s="1"/>
  <c r="BX16" i="3"/>
  <c r="BX20" i="3"/>
  <c r="BX29" i="3" s="1"/>
  <c r="BX32" i="3" s="1"/>
  <c r="BX18" i="3"/>
  <c r="BY7" i="3"/>
  <c r="BY8" i="3"/>
  <c r="BY30" i="3"/>
  <c r="BY27" i="3"/>
  <c r="BY28" i="3"/>
  <c r="BY25" i="3"/>
  <c r="BY17" i="3"/>
  <c r="BY26" i="3"/>
  <c r="BY24" i="3"/>
  <c r="BY31" i="3"/>
  <c r="BY36" i="3" a="1"/>
  <c r="BY36" i="3" s="1"/>
  <c r="CX22" i="1"/>
  <c r="CX16" i="1"/>
  <c r="CX15" i="1"/>
  <c r="CX25" i="1"/>
  <c r="CX19" i="1"/>
  <c r="CX21" i="1"/>
  <c r="CX3" i="1"/>
  <c r="CX11" i="1"/>
  <c r="CX9" i="1"/>
  <c r="CX17" i="1"/>
  <c r="CX24" i="1"/>
  <c r="CX23" i="1"/>
  <c r="CX10" i="1"/>
  <c r="CX20" i="1"/>
  <c r="CX4" i="1"/>
  <c r="CX18" i="1"/>
  <c r="CX14" i="1"/>
  <c r="CX5" i="1"/>
  <c r="CX7" i="1"/>
  <c r="CX12" i="1"/>
  <c r="CX6" i="1"/>
  <c r="CX8" i="1"/>
  <c r="CX13" i="1"/>
  <c r="CY1" i="1"/>
  <c r="CZ2" i="1"/>
  <c r="BZ50" i="2"/>
  <c r="CA5" i="3" s="1"/>
  <c r="CA4" i="3" s="1"/>
  <c r="BV51" i="2"/>
  <c r="CY35" i="1" l="1"/>
  <c r="CY38" i="1"/>
  <c r="CY28" i="1"/>
  <c r="CY31" i="1"/>
  <c r="CY34" i="1"/>
  <c r="CY37" i="1"/>
  <c r="CY40" i="1"/>
  <c r="CY30" i="1"/>
  <c r="CY33" i="1"/>
  <c r="CY36" i="1"/>
  <c r="CY39" i="1"/>
  <c r="CY29" i="1"/>
  <c r="CY32" i="1"/>
  <c r="CY27" i="1"/>
  <c r="CY26" i="1"/>
  <c r="CX41" i="1"/>
  <c r="CA59" i="3" a="1"/>
  <c r="CA59" i="3" s="1"/>
  <c r="BW21" i="3"/>
  <c r="BW34" i="3" s="1"/>
  <c r="BW37" i="3" s="1"/>
  <c r="BW58" i="3" s="1"/>
  <c r="BW60" i="3" s="1"/>
  <c r="BX21" i="3"/>
  <c r="CA6" i="3"/>
  <c r="CA65" i="3" s="1"/>
  <c r="BY16" i="3"/>
  <c r="BY20" i="3" s="1"/>
  <c r="BY29" i="3" s="1"/>
  <c r="BY32" i="3" s="1"/>
  <c r="BX34" i="3"/>
  <c r="BZ7" i="3"/>
  <c r="BZ8" i="3"/>
  <c r="BZ17" i="3" s="1"/>
  <c r="BZ30" i="3"/>
  <c r="BZ31" i="3"/>
  <c r="BZ27" i="3"/>
  <c r="BZ28" i="3"/>
  <c r="BZ26" i="3"/>
  <c r="BZ25" i="3"/>
  <c r="BZ36" i="3" a="1"/>
  <c r="BZ36" i="3" s="1"/>
  <c r="BZ24" i="3"/>
  <c r="DA2" i="1"/>
  <c r="CZ1" i="1"/>
  <c r="CY22" i="1"/>
  <c r="CY16" i="1"/>
  <c r="CY9" i="1"/>
  <c r="CY19" i="1"/>
  <c r="CY24" i="1"/>
  <c r="CY21" i="1"/>
  <c r="CY12" i="1"/>
  <c r="CY23" i="1"/>
  <c r="CY6" i="1"/>
  <c r="CY15" i="1"/>
  <c r="CY3" i="1"/>
  <c r="CY8" i="1"/>
  <c r="CY7" i="1"/>
  <c r="CY18" i="1"/>
  <c r="CY17" i="1"/>
  <c r="CY10" i="1"/>
  <c r="CY25" i="1"/>
  <c r="CY14" i="1"/>
  <c r="CY11" i="1"/>
  <c r="CY13" i="1"/>
  <c r="CY4" i="1"/>
  <c r="CY20" i="1"/>
  <c r="CY5" i="1"/>
  <c r="CA50" i="2"/>
  <c r="CB5" i="3" s="1"/>
  <c r="CB4" i="3" s="1"/>
  <c r="BW51" i="2"/>
  <c r="CZ26" i="1" l="1"/>
  <c r="CZ32" i="1"/>
  <c r="CZ35" i="1"/>
  <c r="CZ38" i="1"/>
  <c r="CZ28" i="1"/>
  <c r="CZ31" i="1"/>
  <c r="CZ34" i="1"/>
  <c r="CZ37" i="1"/>
  <c r="CZ40" i="1"/>
  <c r="CZ30" i="1"/>
  <c r="CZ27" i="1"/>
  <c r="CZ33" i="1"/>
  <c r="CZ36" i="1"/>
  <c r="CZ39" i="1"/>
  <c r="CZ29" i="1"/>
  <c r="CY41" i="1"/>
  <c r="CB59" i="3" a="1"/>
  <c r="CB59" i="3" s="1"/>
  <c r="BY18" i="3"/>
  <c r="BY21" i="3" s="1"/>
  <c r="BY34" i="3" s="1"/>
  <c r="BX37" i="3"/>
  <c r="BX58" i="3" s="1"/>
  <c r="BX60" i="3" s="1"/>
  <c r="BZ16" i="3"/>
  <c r="CB6" i="3"/>
  <c r="CB65" i="3" s="1"/>
  <c r="BZ20" i="3"/>
  <c r="BZ18" i="3"/>
  <c r="BZ21" i="3" s="1"/>
  <c r="BZ29" i="3"/>
  <c r="BZ32" i="3" s="1"/>
  <c r="CA8" i="3"/>
  <c r="CA17" i="3" s="1"/>
  <c r="CA30" i="3"/>
  <c r="CA31" i="3"/>
  <c r="CA28" i="3"/>
  <c r="CA36" i="3" a="1"/>
  <c r="CA36" i="3" s="1"/>
  <c r="CA7" i="3"/>
  <c r="CA25" i="3"/>
  <c r="CA24" i="3"/>
  <c r="CA26" i="3"/>
  <c r="CA27" i="3"/>
  <c r="CZ19" i="1"/>
  <c r="CZ24" i="1"/>
  <c r="CZ18" i="1"/>
  <c r="CZ23" i="1"/>
  <c r="CZ6" i="1"/>
  <c r="CZ13" i="1"/>
  <c r="CZ3" i="1"/>
  <c r="CZ16" i="1"/>
  <c r="CZ21" i="1"/>
  <c r="CZ20" i="1"/>
  <c r="CZ14" i="1"/>
  <c r="CZ11" i="1"/>
  <c r="CZ8" i="1"/>
  <c r="CZ15" i="1"/>
  <c r="CZ12" i="1"/>
  <c r="CZ10" i="1"/>
  <c r="CZ9" i="1"/>
  <c r="CZ25" i="1"/>
  <c r="CZ22" i="1"/>
  <c r="CZ5" i="1"/>
  <c r="CZ4" i="1"/>
  <c r="CZ17" i="1"/>
  <c r="CZ7" i="1"/>
  <c r="DB2" i="1"/>
  <c r="DA1" i="1"/>
  <c r="CB50" i="2"/>
  <c r="CC5" i="3" s="1"/>
  <c r="CC4" i="3" s="1"/>
  <c r="BX51" i="2"/>
  <c r="CC59" i="3" l="1" a="1"/>
  <c r="CC59" i="3" s="1"/>
  <c r="DA39" i="1"/>
  <c r="DA29" i="1"/>
  <c r="DA32" i="1"/>
  <c r="DA35" i="1"/>
  <c r="DA26" i="1"/>
  <c r="DA38" i="1"/>
  <c r="DA28" i="1"/>
  <c r="DA31" i="1"/>
  <c r="DA34" i="1"/>
  <c r="DA37" i="1"/>
  <c r="DA40" i="1"/>
  <c r="DA30" i="1"/>
  <c r="DA33" i="1"/>
  <c r="DA27" i="1"/>
  <c r="DA36" i="1"/>
  <c r="CZ41" i="1"/>
  <c r="BY37" i="3"/>
  <c r="BY58" i="3" s="1"/>
  <c r="BY60" i="3" s="1"/>
  <c r="CC6" i="3"/>
  <c r="CC65" i="3" s="1"/>
  <c r="CA16" i="3"/>
  <c r="BZ34" i="3"/>
  <c r="CA18" i="3"/>
  <c r="CA20" i="3"/>
  <c r="CA29" i="3" s="1"/>
  <c r="CA32" i="3" s="1"/>
  <c r="CB30" i="3"/>
  <c r="CB31" i="3"/>
  <c r="CB36" i="3" a="1"/>
  <c r="CB36" i="3" s="1"/>
  <c r="CB28" i="3"/>
  <c r="CB8" i="3"/>
  <c r="CB17" i="3" s="1"/>
  <c r="CB7" i="3"/>
  <c r="CB25" i="3"/>
  <c r="CB26" i="3"/>
  <c r="CB24" i="3"/>
  <c r="CB27" i="3"/>
  <c r="DA7" i="1"/>
  <c r="DA19" i="1"/>
  <c r="DA16" i="1"/>
  <c r="DA24" i="1"/>
  <c r="DA21" i="1"/>
  <c r="DA12" i="1"/>
  <c r="DA6" i="1"/>
  <c r="DA20" i="1"/>
  <c r="DA8" i="1"/>
  <c r="DA10" i="1"/>
  <c r="DA25" i="1"/>
  <c r="DA18" i="1"/>
  <c r="DA17" i="1"/>
  <c r="DA23" i="1"/>
  <c r="DA3" i="1"/>
  <c r="DA15" i="1"/>
  <c r="DA9" i="1"/>
  <c r="DA14" i="1"/>
  <c r="DA11" i="1"/>
  <c r="DA13" i="1"/>
  <c r="DA22" i="1"/>
  <c r="DA5" i="1"/>
  <c r="DA4" i="1"/>
  <c r="DC2" i="1"/>
  <c r="DB1" i="1"/>
  <c r="CC50" i="2"/>
  <c r="CD5" i="3" s="1"/>
  <c r="CD4" i="3" s="1"/>
  <c r="BY51" i="2"/>
  <c r="DB36" i="1" l="1"/>
  <c r="DB39" i="1"/>
  <c r="DB29" i="1"/>
  <c r="DB32" i="1"/>
  <c r="DB27" i="1"/>
  <c r="DB35" i="1"/>
  <c r="DB38" i="1"/>
  <c r="DB28" i="1"/>
  <c r="DB31" i="1"/>
  <c r="DB34" i="1"/>
  <c r="DB37" i="1"/>
  <c r="DB40" i="1"/>
  <c r="DB30" i="1"/>
  <c r="DB33" i="1"/>
  <c r="DB26" i="1"/>
  <c r="DA41" i="1"/>
  <c r="CD59" i="3" a="1"/>
  <c r="CD59" i="3" s="1"/>
  <c r="BZ37" i="3"/>
  <c r="BZ58" i="3" s="1"/>
  <c r="BZ60" i="3" s="1"/>
  <c r="CD6" i="3"/>
  <c r="CD65" i="3" s="1"/>
  <c r="CB16" i="3"/>
  <c r="CB18" i="3" s="1"/>
  <c r="CA21" i="3"/>
  <c r="CA34" i="3" s="1"/>
  <c r="CC30" i="3"/>
  <c r="CC31" i="3"/>
  <c r="CC36" i="3" a="1"/>
  <c r="CC36" i="3" s="1"/>
  <c r="CC7" i="3"/>
  <c r="CC8" i="3"/>
  <c r="CC17" i="3" s="1"/>
  <c r="CC24" i="3"/>
  <c r="CC28" i="3"/>
  <c r="CC27" i="3"/>
  <c r="CC26" i="3"/>
  <c r="DB13" i="1"/>
  <c r="DB21" i="1"/>
  <c r="DB10" i="1"/>
  <c r="DB19" i="1"/>
  <c r="DB16" i="1"/>
  <c r="DB24" i="1"/>
  <c r="DB23" i="1"/>
  <c r="DB14" i="1"/>
  <c r="DB17" i="1"/>
  <c r="DB4" i="1"/>
  <c r="DB15" i="1"/>
  <c r="DB9" i="1"/>
  <c r="DB12" i="1"/>
  <c r="DB6" i="1"/>
  <c r="DB22" i="1"/>
  <c r="DB20" i="1"/>
  <c r="DB11" i="1"/>
  <c r="DB18" i="1"/>
  <c r="DB3" i="1"/>
  <c r="DB5" i="1"/>
  <c r="DB8" i="1"/>
  <c r="DB25" i="1"/>
  <c r="DB7" i="1"/>
  <c r="DD2" i="1"/>
  <c r="DC1" i="1"/>
  <c r="CD50" i="2"/>
  <c r="CE5" i="3" s="1"/>
  <c r="CE4" i="3" s="1"/>
  <c r="BZ51" i="2"/>
  <c r="DC36" i="1" l="1"/>
  <c r="DC39" i="1"/>
  <c r="DC29" i="1"/>
  <c r="DC32" i="1"/>
  <c r="DC35" i="1"/>
  <c r="DC38" i="1"/>
  <c r="DC28" i="1"/>
  <c r="DC31" i="1"/>
  <c r="DC34" i="1"/>
  <c r="DC37" i="1"/>
  <c r="DC40" i="1"/>
  <c r="DC30" i="1"/>
  <c r="DC27" i="1"/>
  <c r="DC26" i="1"/>
  <c r="DC33" i="1"/>
  <c r="CE59" i="3" a="1"/>
  <c r="CE59" i="3" s="1"/>
  <c r="DB41" i="1"/>
  <c r="CA37" i="3"/>
  <c r="CA58" i="3" s="1"/>
  <c r="CA60" i="3" s="1"/>
  <c r="CC16" i="3"/>
  <c r="CE6" i="3"/>
  <c r="CE65" i="3" s="1"/>
  <c r="CB20" i="3"/>
  <c r="CB29" i="3" s="1"/>
  <c r="CB32" i="3" s="1"/>
  <c r="CC20" i="3"/>
  <c r="CC29" i="3" s="1"/>
  <c r="CC18" i="3"/>
  <c r="CC21" i="3" s="1"/>
  <c r="CC25" i="3"/>
  <c r="CB21" i="3"/>
  <c r="CD7" i="3"/>
  <c r="CD30" i="3"/>
  <c r="CD31" i="3"/>
  <c r="CD36" i="3" a="1"/>
  <c r="CD36" i="3" s="1"/>
  <c r="CD28" i="3"/>
  <c r="CD27" i="3"/>
  <c r="CD8" i="3"/>
  <c r="CD17" i="3" s="1"/>
  <c r="CD24" i="3"/>
  <c r="CD26" i="3"/>
  <c r="DC7" i="1"/>
  <c r="DC19" i="1"/>
  <c r="DC25" i="1"/>
  <c r="DC13" i="1"/>
  <c r="DC16" i="1"/>
  <c r="DC24" i="1"/>
  <c r="DC4" i="1"/>
  <c r="DC21" i="1"/>
  <c r="DC18" i="1"/>
  <c r="DC15" i="1"/>
  <c r="DC6" i="1"/>
  <c r="DC3" i="1"/>
  <c r="DC17" i="1"/>
  <c r="DC12" i="1"/>
  <c r="DC23" i="1"/>
  <c r="DC9" i="1"/>
  <c r="DC10" i="1"/>
  <c r="DC11" i="1"/>
  <c r="DC5" i="1"/>
  <c r="DC14" i="1"/>
  <c r="DC20" i="1"/>
  <c r="DC8" i="1"/>
  <c r="DC22" i="1"/>
  <c r="DD1" i="1"/>
  <c r="DE2" i="1"/>
  <c r="CE50" i="2"/>
  <c r="CF5" i="3" s="1"/>
  <c r="CF4" i="3" s="1"/>
  <c r="CA51" i="2"/>
  <c r="DD33" i="1" l="1"/>
  <c r="DD26" i="1"/>
  <c r="DD36" i="1"/>
  <c r="DD39" i="1"/>
  <c r="DD29" i="1"/>
  <c r="DD32" i="1"/>
  <c r="DD35" i="1"/>
  <c r="DD38" i="1"/>
  <c r="DD28" i="1"/>
  <c r="DD31" i="1"/>
  <c r="DD34" i="1"/>
  <c r="DD37" i="1"/>
  <c r="DD40" i="1"/>
  <c r="DD27" i="1"/>
  <c r="DD30" i="1"/>
  <c r="CF59" i="3" a="1"/>
  <c r="CF59" i="3" s="1"/>
  <c r="DC41" i="1"/>
  <c r="CB34" i="3"/>
  <c r="CF6" i="3"/>
  <c r="CF65" i="3" s="1"/>
  <c r="CC32" i="3"/>
  <c r="CC34" i="3" s="1"/>
  <c r="CD16" i="3"/>
  <c r="CD20" i="3" s="1"/>
  <c r="CD29" i="3" s="1"/>
  <c r="CD25" i="3"/>
  <c r="CE8" i="3"/>
  <c r="CE17" i="3" s="1"/>
  <c r="CE30" i="3"/>
  <c r="CE31" i="3"/>
  <c r="CE27" i="3"/>
  <c r="CE36" i="3" a="1"/>
  <c r="CE36" i="3" s="1"/>
  <c r="CE25" i="3"/>
  <c r="CE28" i="3"/>
  <c r="CE26" i="3"/>
  <c r="CE24" i="3"/>
  <c r="CE7" i="3"/>
  <c r="DE1" i="1"/>
  <c r="DF2" i="1"/>
  <c r="DD25" i="1"/>
  <c r="DD19" i="1"/>
  <c r="DD8" i="1"/>
  <c r="DD20" i="1"/>
  <c r="DD22" i="1"/>
  <c r="DD7" i="1"/>
  <c r="DD12" i="1"/>
  <c r="DD13" i="1"/>
  <c r="DD16" i="1"/>
  <c r="DD24" i="1"/>
  <c r="DD21" i="1"/>
  <c r="DD18" i="1"/>
  <c r="DD17" i="1"/>
  <c r="DD4" i="1"/>
  <c r="DD14" i="1"/>
  <c r="DD5" i="1"/>
  <c r="DD10" i="1"/>
  <c r="DD6" i="1"/>
  <c r="DD3" i="1"/>
  <c r="DD9" i="1"/>
  <c r="DD11" i="1"/>
  <c r="DD15" i="1"/>
  <c r="DD23" i="1"/>
  <c r="CF50" i="2"/>
  <c r="CG5" i="3" s="1"/>
  <c r="CG4" i="3" s="1"/>
  <c r="CB51" i="2"/>
  <c r="DD41" i="1" l="1"/>
  <c r="DE33" i="1"/>
  <c r="DE27" i="1"/>
  <c r="DE36" i="1"/>
  <c r="DE39" i="1"/>
  <c r="DE29" i="1"/>
  <c r="DE32" i="1"/>
  <c r="DE35" i="1"/>
  <c r="DE38" i="1"/>
  <c r="DE28" i="1"/>
  <c r="DE31" i="1"/>
  <c r="DE34" i="1"/>
  <c r="DE37" i="1"/>
  <c r="DE40" i="1"/>
  <c r="DE30" i="1"/>
  <c r="DE26" i="1"/>
  <c r="CG59" i="3" a="1"/>
  <c r="CG59" i="3" s="1"/>
  <c r="CC37" i="3"/>
  <c r="CC58" i="3" s="1"/>
  <c r="CC60" i="3" s="1"/>
  <c r="CB37" i="3"/>
  <c r="CB58" i="3" s="1"/>
  <c r="CB60" i="3" s="1"/>
  <c r="CD18" i="3"/>
  <c r="CD21" i="3" s="1"/>
  <c r="CG6" i="3"/>
  <c r="CG65" i="3" s="1"/>
  <c r="CE16" i="3"/>
  <c r="CE18" i="3" s="1"/>
  <c r="CD32" i="3"/>
  <c r="CF31" i="3"/>
  <c r="CF27" i="3"/>
  <c r="CF28" i="3"/>
  <c r="CF7" i="3"/>
  <c r="CF30" i="3"/>
  <c r="CF16" i="3" s="1"/>
  <c r="CF24" i="3"/>
  <c r="CF8" i="3"/>
  <c r="CF25" i="3" s="1"/>
  <c r="CF36" i="3" a="1"/>
  <c r="CF36" i="3" s="1"/>
  <c r="CF26" i="3"/>
  <c r="DF1" i="1"/>
  <c r="DG2" i="1"/>
  <c r="DE17" i="1"/>
  <c r="DE13" i="1"/>
  <c r="DE21" i="1"/>
  <c r="DE7" i="1"/>
  <c r="DE25" i="1"/>
  <c r="DE22" i="1"/>
  <c r="DE19" i="1"/>
  <c r="DE3" i="1"/>
  <c r="DE5" i="1"/>
  <c r="DE16" i="1"/>
  <c r="DE24" i="1"/>
  <c r="DE18" i="1"/>
  <c r="DE12" i="1"/>
  <c r="DE9" i="1"/>
  <c r="DE6" i="1"/>
  <c r="DE11" i="1"/>
  <c r="DE10" i="1"/>
  <c r="DE15" i="1"/>
  <c r="DE4" i="1"/>
  <c r="DE20" i="1"/>
  <c r="DE23" i="1"/>
  <c r="DE14" i="1"/>
  <c r="DE8" i="1"/>
  <c r="CG50" i="2"/>
  <c r="CH5" i="3" s="1"/>
  <c r="CH4" i="3" s="1"/>
  <c r="CC51" i="2"/>
  <c r="DF28" i="1" l="1"/>
  <c r="DF36" i="1"/>
  <c r="DF39" i="1"/>
  <c r="DF27" i="1"/>
  <c r="DF33" i="1"/>
  <c r="DF26" i="1"/>
  <c r="DF37" i="1"/>
  <c r="DF34" i="1"/>
  <c r="DF38" i="1"/>
  <c r="DF31" i="1"/>
  <c r="DF32" i="1"/>
  <c r="DF35" i="1"/>
  <c r="DF29" i="1"/>
  <c r="DF30" i="1"/>
  <c r="DF40" i="1"/>
  <c r="CH59" i="3" a="1"/>
  <c r="CH59" i="3" s="1"/>
  <c r="DE41" i="1"/>
  <c r="CE20" i="3"/>
  <c r="CE29" i="3" s="1"/>
  <c r="CE32" i="3" s="1"/>
  <c r="CD34" i="3"/>
  <c r="CH6" i="3"/>
  <c r="CH65" i="3" s="1"/>
  <c r="CF20" i="3"/>
  <c r="CF29" i="3" s="1"/>
  <c r="CF32" i="3" s="1"/>
  <c r="CF17" i="3"/>
  <c r="CF18" i="3" s="1"/>
  <c r="CF21" i="3" s="1"/>
  <c r="CG27" i="3"/>
  <c r="CG28" i="3"/>
  <c r="CG7" i="3"/>
  <c r="CG8" i="3"/>
  <c r="CG25" i="3" s="1"/>
  <c r="CG36" i="3" a="1"/>
  <c r="CG36" i="3" s="1"/>
  <c r="CG31" i="3"/>
  <c r="CG26" i="3"/>
  <c r="CG24" i="3"/>
  <c r="CG30" i="3"/>
  <c r="DH2" i="1"/>
  <c r="DG1" i="1"/>
  <c r="DF20" i="1"/>
  <c r="DF3" i="1"/>
  <c r="DF17" i="1"/>
  <c r="DF25" i="1"/>
  <c r="DF19" i="1"/>
  <c r="DF16" i="1"/>
  <c r="DF24" i="1"/>
  <c r="DF21" i="1"/>
  <c r="DF7" i="1"/>
  <c r="DF12" i="1"/>
  <c r="DF9" i="1"/>
  <c r="DF6" i="1"/>
  <c r="DF8" i="1"/>
  <c r="DF23" i="1"/>
  <c r="DF22" i="1"/>
  <c r="DF13" i="1"/>
  <c r="DF18" i="1"/>
  <c r="DF15" i="1"/>
  <c r="DF10" i="1"/>
  <c r="DF11" i="1"/>
  <c r="DF14" i="1"/>
  <c r="DF5" i="1"/>
  <c r="DF4" i="1"/>
  <c r="CH50" i="2"/>
  <c r="CI5" i="3" s="1"/>
  <c r="CI4" i="3" s="1"/>
  <c r="CD51" i="2"/>
  <c r="CE21" i="3" l="1"/>
  <c r="CE34" i="3" s="1"/>
  <c r="DG27" i="1"/>
  <c r="DG33" i="1"/>
  <c r="DG36" i="1"/>
  <c r="DG26" i="1"/>
  <c r="DG39" i="1"/>
  <c r="DG29" i="1"/>
  <c r="DG32" i="1"/>
  <c r="DG35" i="1"/>
  <c r="DG38" i="1"/>
  <c r="DG28" i="1"/>
  <c r="DG31" i="1"/>
  <c r="DG37" i="1"/>
  <c r="DG34" i="1"/>
  <c r="DG40" i="1"/>
  <c r="DG30" i="1"/>
  <c r="CI59" i="3" a="1"/>
  <c r="CI59" i="3" s="1"/>
  <c r="DF41" i="1"/>
  <c r="CD37" i="3"/>
  <c r="CD58" i="3" s="1"/>
  <c r="CD60" i="3" s="1"/>
  <c r="CE37" i="3"/>
  <c r="CE58" i="3" s="1"/>
  <c r="CE60" i="3" s="1"/>
  <c r="CG16" i="3"/>
  <c r="CF34" i="3"/>
  <c r="CI6" i="3"/>
  <c r="CI65" i="3" s="1"/>
  <c r="CG20" i="3"/>
  <c r="CG29" i="3" s="1"/>
  <c r="CG32" i="3" s="1"/>
  <c r="CG17" i="3"/>
  <c r="CG18" i="3" s="1"/>
  <c r="CH27" i="3"/>
  <c r="CH28" i="3"/>
  <c r="CH7" i="3"/>
  <c r="CH8" i="3"/>
  <c r="CH17" i="3" s="1"/>
  <c r="CH26" i="3"/>
  <c r="CH25" i="3"/>
  <c r="CH24" i="3"/>
  <c r="CH36" i="3" a="1"/>
  <c r="CH36" i="3" s="1"/>
  <c r="CH30" i="3"/>
  <c r="CH31" i="3"/>
  <c r="DG17" i="1"/>
  <c r="DG16" i="1"/>
  <c r="DG13" i="1"/>
  <c r="DG18" i="1"/>
  <c r="DG8" i="1"/>
  <c r="DG25" i="1"/>
  <c r="DG19" i="1"/>
  <c r="DG14" i="1"/>
  <c r="DG24" i="1"/>
  <c r="DG22" i="1"/>
  <c r="DG15" i="1"/>
  <c r="DG20" i="1"/>
  <c r="DG10" i="1"/>
  <c r="DG4" i="1"/>
  <c r="DG7" i="1"/>
  <c r="DG12" i="1"/>
  <c r="DG5" i="1"/>
  <c r="DG6" i="1"/>
  <c r="DG3" i="1"/>
  <c r="DG21" i="1"/>
  <c r="DG9" i="1"/>
  <c r="DG23" i="1"/>
  <c r="DG11" i="1"/>
  <c r="DH1" i="1"/>
  <c r="DI2" i="1"/>
  <c r="CI50" i="2"/>
  <c r="CJ5" i="3" s="1"/>
  <c r="CJ4" i="3" s="1"/>
  <c r="CE51" i="2"/>
  <c r="DH40" i="1" l="1"/>
  <c r="DH30" i="1"/>
  <c r="DH33" i="1"/>
  <c r="DH36" i="1"/>
  <c r="DH39" i="1"/>
  <c r="DH29" i="1"/>
  <c r="DH32" i="1"/>
  <c r="DH35" i="1"/>
  <c r="DH38" i="1"/>
  <c r="DH28" i="1"/>
  <c r="DH27" i="1"/>
  <c r="DH31" i="1"/>
  <c r="DH34" i="1"/>
  <c r="DH26" i="1"/>
  <c r="DH37" i="1"/>
  <c r="DG41" i="1"/>
  <c r="CJ59" i="3" a="1"/>
  <c r="CJ59" i="3" s="1"/>
  <c r="CF37" i="3"/>
  <c r="CF58" i="3" s="1"/>
  <c r="CF60" i="3" s="1"/>
  <c r="CH16" i="3"/>
  <c r="CJ6" i="3"/>
  <c r="CJ65" i="3" s="1"/>
  <c r="CH18" i="3"/>
  <c r="CH20" i="3"/>
  <c r="CH29" i="3" s="1"/>
  <c r="CH32" i="3" s="1"/>
  <c r="CG21" i="3"/>
  <c r="CG34" i="3" s="1"/>
  <c r="CI27" i="3"/>
  <c r="CI28" i="3"/>
  <c r="CI36" i="3" a="1"/>
  <c r="CI36" i="3" s="1"/>
  <c r="CI7" i="3"/>
  <c r="CI8" i="3"/>
  <c r="CI25" i="3"/>
  <c r="CI17" i="3"/>
  <c r="CI26" i="3"/>
  <c r="CI24" i="3"/>
  <c r="CI31" i="3"/>
  <c r="CI30" i="3"/>
  <c r="DJ2" i="1"/>
  <c r="DI1" i="1"/>
  <c r="DH20" i="1"/>
  <c r="DH25" i="1"/>
  <c r="DH22" i="1"/>
  <c r="DH16" i="1"/>
  <c r="DH11" i="1"/>
  <c r="DH21" i="1"/>
  <c r="DH17" i="1"/>
  <c r="DH19" i="1"/>
  <c r="DH13" i="1"/>
  <c r="DH15" i="1"/>
  <c r="DH5" i="1"/>
  <c r="DH24" i="1"/>
  <c r="DH7" i="1"/>
  <c r="DH10" i="1"/>
  <c r="DH3" i="1"/>
  <c r="DH12" i="1"/>
  <c r="DH6" i="1"/>
  <c r="DH4" i="1"/>
  <c r="DH9" i="1"/>
  <c r="DH18" i="1"/>
  <c r="DH23" i="1"/>
  <c r="DH14" i="1"/>
  <c r="DH8" i="1"/>
  <c r="CJ50" i="2"/>
  <c r="CK5" i="3" s="1"/>
  <c r="CK4" i="3" s="1"/>
  <c r="CF51" i="2"/>
  <c r="DH41" i="1" l="1"/>
  <c r="DI40" i="1"/>
  <c r="DI30" i="1"/>
  <c r="DI33" i="1"/>
  <c r="DI36" i="1"/>
  <c r="DI39" i="1"/>
  <c r="DI29" i="1"/>
  <c r="DI32" i="1"/>
  <c r="DI35" i="1"/>
  <c r="DI38" i="1"/>
  <c r="DI28" i="1"/>
  <c r="DI34" i="1"/>
  <c r="DI31" i="1"/>
  <c r="DI27" i="1"/>
  <c r="DI26" i="1"/>
  <c r="DI37" i="1"/>
  <c r="CK59" i="3" a="1"/>
  <c r="CK59" i="3" s="1"/>
  <c r="CG37" i="3"/>
  <c r="CG58" i="3" s="1"/>
  <c r="CG60" i="3" s="1"/>
  <c r="CK6" i="3"/>
  <c r="CK65" i="3" s="1"/>
  <c r="CI16" i="3"/>
  <c r="CI18" i="3" s="1"/>
  <c r="CH21" i="3"/>
  <c r="CH34" i="3" s="1"/>
  <c r="CJ27" i="3"/>
  <c r="CJ28" i="3"/>
  <c r="CJ36" i="3" a="1"/>
  <c r="CJ36" i="3" s="1"/>
  <c r="CJ8" i="3"/>
  <c r="CJ25" i="3" s="1"/>
  <c r="CJ30" i="3"/>
  <c r="CJ24" i="3"/>
  <c r="CJ7" i="3"/>
  <c r="CJ26" i="3"/>
  <c r="CJ31" i="3"/>
  <c r="DI20" i="1"/>
  <c r="DI19" i="1"/>
  <c r="DI21" i="1"/>
  <c r="DI10" i="1"/>
  <c r="DI12" i="1"/>
  <c r="DI8" i="1"/>
  <c r="DI17" i="1"/>
  <c r="DI22" i="1"/>
  <c r="DI16" i="1"/>
  <c r="DI5" i="1"/>
  <c r="DI4" i="1"/>
  <c r="DI25" i="1"/>
  <c r="DI15" i="1"/>
  <c r="DI14" i="1"/>
  <c r="DI24" i="1"/>
  <c r="DI6" i="1"/>
  <c r="DI13" i="1"/>
  <c r="DI9" i="1"/>
  <c r="DI23" i="1"/>
  <c r="DI7" i="1"/>
  <c r="DI18" i="1"/>
  <c r="DI3" i="1"/>
  <c r="DI11" i="1"/>
  <c r="DK2" i="1"/>
  <c r="DJ1" i="1"/>
  <c r="CK50" i="2"/>
  <c r="CL5" i="3" s="1"/>
  <c r="CL4" i="3" s="1"/>
  <c r="CG51" i="2"/>
  <c r="CL59" i="3" l="1" a="1"/>
  <c r="CL59" i="3" s="1"/>
  <c r="DJ39" i="1"/>
  <c r="DJ35" i="1"/>
  <c r="DJ31" i="1"/>
  <c r="DJ27" i="1"/>
  <c r="DJ38" i="1"/>
  <c r="DJ34" i="1"/>
  <c r="DJ30" i="1"/>
  <c r="DJ37" i="1"/>
  <c r="DJ33" i="1"/>
  <c r="DJ29" i="1"/>
  <c r="DJ26" i="1"/>
  <c r="DJ40" i="1"/>
  <c r="DJ36" i="1"/>
  <c r="DJ32" i="1"/>
  <c r="DJ28" i="1"/>
  <c r="DI41" i="1"/>
  <c r="CH37" i="3"/>
  <c r="CH58" i="3" s="1"/>
  <c r="CH60" i="3" s="1"/>
  <c r="CL6" i="3"/>
  <c r="CL65" i="3" s="1"/>
  <c r="CI20" i="3"/>
  <c r="CI29" i="3" s="1"/>
  <c r="CI32" i="3" s="1"/>
  <c r="CJ16" i="3"/>
  <c r="CJ20" i="3" s="1"/>
  <c r="CJ29" i="3" s="1"/>
  <c r="CJ32" i="3" s="1"/>
  <c r="CJ17" i="3"/>
  <c r="CI21" i="3"/>
  <c r="CK27" i="3"/>
  <c r="CK28" i="3"/>
  <c r="CK36" i="3" a="1"/>
  <c r="CK36" i="3" s="1"/>
  <c r="CK30" i="3"/>
  <c r="CK31" i="3"/>
  <c r="CK7" i="3"/>
  <c r="CK26" i="3"/>
  <c r="CK24" i="3"/>
  <c r="CK8" i="3"/>
  <c r="CK17" i="3" s="1"/>
  <c r="CK25" i="3"/>
  <c r="DJ4" i="1"/>
  <c r="DJ16" i="1"/>
  <c r="DJ8" i="1"/>
  <c r="DJ24" i="1"/>
  <c r="DJ6" i="1"/>
  <c r="DJ25" i="1"/>
  <c r="DJ10" i="1"/>
  <c r="DJ9" i="1"/>
  <c r="DJ22" i="1"/>
  <c r="DJ7" i="1"/>
  <c r="DJ13" i="1"/>
  <c r="DJ3" i="1"/>
  <c r="DJ12" i="1"/>
  <c r="DJ20" i="1"/>
  <c r="DJ18" i="1"/>
  <c r="DJ14" i="1"/>
  <c r="DJ17" i="1"/>
  <c r="DJ23" i="1"/>
  <c r="DJ15" i="1"/>
  <c r="DJ11" i="1"/>
  <c r="DJ5" i="1"/>
  <c r="DJ21" i="1"/>
  <c r="DJ19" i="1"/>
  <c r="DL2" i="1"/>
  <c r="DK1" i="1"/>
  <c r="CL50" i="2"/>
  <c r="CM5" i="3" s="1"/>
  <c r="CM4" i="3" s="1"/>
  <c r="CH51" i="2"/>
  <c r="DK36" i="1" l="1"/>
  <c r="DK39" i="1"/>
  <c r="DK29" i="1"/>
  <c r="DK32" i="1"/>
  <c r="DK35" i="1"/>
  <c r="DK38" i="1"/>
  <c r="DK28" i="1"/>
  <c r="DK27" i="1"/>
  <c r="DK31" i="1"/>
  <c r="DK34" i="1"/>
  <c r="DK37" i="1"/>
  <c r="DK40" i="1"/>
  <c r="DK30" i="1"/>
  <c r="DK26" i="1"/>
  <c r="DK33" i="1"/>
  <c r="DJ41" i="1"/>
  <c r="CM59" i="3" a="1"/>
  <c r="CM59" i="3" s="1"/>
  <c r="CJ18" i="3"/>
  <c r="CJ21" i="3" s="1"/>
  <c r="CJ34" i="3" s="1"/>
  <c r="CI34" i="3"/>
  <c r="CM6" i="3"/>
  <c r="CM65" i="3" s="1"/>
  <c r="CK16" i="3"/>
  <c r="CK18" i="3" s="1"/>
  <c r="CL28" i="3"/>
  <c r="CL36" i="3" a="1"/>
  <c r="CL36" i="3" s="1"/>
  <c r="CL7" i="3"/>
  <c r="CL30" i="3"/>
  <c r="CL24" i="3"/>
  <c r="CL31" i="3"/>
  <c r="CL27" i="3"/>
  <c r="CL8" i="3"/>
  <c r="CL25" i="3" s="1"/>
  <c r="CL26" i="3"/>
  <c r="CL17" i="3"/>
  <c r="DK23" i="1"/>
  <c r="DK17" i="1"/>
  <c r="DK22" i="1"/>
  <c r="DK5" i="1"/>
  <c r="DK10" i="1"/>
  <c r="DK4" i="1"/>
  <c r="DK15" i="1"/>
  <c r="DK8" i="1"/>
  <c r="DK20" i="1"/>
  <c r="DK19" i="1"/>
  <c r="DK13" i="1"/>
  <c r="DK24" i="1"/>
  <c r="DK3" i="1"/>
  <c r="DK14" i="1"/>
  <c r="DK7" i="1"/>
  <c r="DK16" i="1"/>
  <c r="DK6" i="1"/>
  <c r="DK12" i="1"/>
  <c r="DK21" i="1"/>
  <c r="DK11" i="1"/>
  <c r="DK25" i="1"/>
  <c r="DK9" i="1"/>
  <c r="DK18" i="1"/>
  <c r="DM2" i="1"/>
  <c r="DL1" i="1"/>
  <c r="CM50" i="2"/>
  <c r="CN5" i="3" s="1"/>
  <c r="CN4" i="3" s="1"/>
  <c r="CI51" i="2"/>
  <c r="DL33" i="1" l="1"/>
  <c r="DL36" i="1"/>
  <c r="DL39" i="1"/>
  <c r="DL29" i="1"/>
  <c r="DL32" i="1"/>
  <c r="DL35" i="1"/>
  <c r="DL38" i="1"/>
  <c r="DL28" i="1"/>
  <c r="DL31" i="1"/>
  <c r="DL27" i="1"/>
  <c r="DL34" i="1"/>
  <c r="DL37" i="1"/>
  <c r="DL26" i="1"/>
  <c r="DL40" i="1"/>
  <c r="DL30" i="1"/>
  <c r="CN59" i="3" a="1"/>
  <c r="CN59" i="3" s="1"/>
  <c r="DK41" i="1"/>
  <c r="CJ37" i="3"/>
  <c r="CJ58" i="3" s="1"/>
  <c r="CJ60" i="3" s="1"/>
  <c r="CI37" i="3"/>
  <c r="CI58" i="3" s="1"/>
  <c r="CI60" i="3" s="1"/>
  <c r="CN6" i="3"/>
  <c r="CN65" i="3" s="1"/>
  <c r="CK20" i="3"/>
  <c r="CK29" i="3" s="1"/>
  <c r="CK32" i="3" s="1"/>
  <c r="CL16" i="3"/>
  <c r="CL18" i="3" s="1"/>
  <c r="CK21" i="3"/>
  <c r="CM36" i="3" a="1"/>
  <c r="CM36" i="3" s="1"/>
  <c r="CM8" i="3"/>
  <c r="CM30" i="3"/>
  <c r="CM31" i="3"/>
  <c r="CM28" i="3"/>
  <c r="CM27" i="3"/>
  <c r="CM25" i="3"/>
  <c r="CM17" i="3"/>
  <c r="CM24" i="3"/>
  <c r="CM7" i="3"/>
  <c r="CM26" i="3"/>
  <c r="DL18" i="1"/>
  <c r="DL23" i="1"/>
  <c r="DL11" i="1"/>
  <c r="DL15" i="1"/>
  <c r="DL20" i="1"/>
  <c r="DL17" i="1"/>
  <c r="DL22" i="1"/>
  <c r="DL19" i="1"/>
  <c r="DL5" i="1"/>
  <c r="DL12" i="1"/>
  <c r="DL9" i="1"/>
  <c r="DL25" i="1"/>
  <c r="DL8" i="1"/>
  <c r="DL16" i="1"/>
  <c r="DL10" i="1"/>
  <c r="DL7" i="1"/>
  <c r="DL6" i="1"/>
  <c r="DL21" i="1"/>
  <c r="DL13" i="1"/>
  <c r="DL3" i="1"/>
  <c r="DL24" i="1"/>
  <c r="DL4" i="1"/>
  <c r="DL14" i="1"/>
  <c r="DM1" i="1"/>
  <c r="DN2" i="1"/>
  <c r="CN50" i="2"/>
  <c r="CO5" i="3" s="1"/>
  <c r="CO4" i="3" s="1"/>
  <c r="CJ51" i="2"/>
  <c r="DL41" i="1" l="1"/>
  <c r="CO59" i="3" a="1"/>
  <c r="CO59" i="3" s="1"/>
  <c r="DM40" i="1"/>
  <c r="DM30" i="1"/>
  <c r="DM33" i="1"/>
  <c r="DM26" i="1"/>
  <c r="DM36" i="1"/>
  <c r="DM39" i="1"/>
  <c r="DM29" i="1"/>
  <c r="DM32" i="1"/>
  <c r="DM35" i="1"/>
  <c r="DM38" i="1"/>
  <c r="DM28" i="1"/>
  <c r="DM31" i="1"/>
  <c r="DM34" i="1"/>
  <c r="DM27" i="1"/>
  <c r="DM37" i="1"/>
  <c r="CK34" i="3"/>
  <c r="CO6" i="3"/>
  <c r="CO65" i="3" s="1"/>
  <c r="CL20" i="3"/>
  <c r="CL29" i="3" s="1"/>
  <c r="CL32" i="3" s="1"/>
  <c r="CM16" i="3"/>
  <c r="CM18" i="3" s="1"/>
  <c r="CL21" i="3"/>
  <c r="CN36" i="3" a="1"/>
  <c r="CN36" i="3" s="1"/>
  <c r="CN7" i="3"/>
  <c r="CN30" i="3"/>
  <c r="CN31" i="3"/>
  <c r="CN24" i="3"/>
  <c r="CN8" i="3"/>
  <c r="CN17" i="3" s="1"/>
  <c r="CN26" i="3"/>
  <c r="CN27" i="3"/>
  <c r="CN28" i="3"/>
  <c r="DN1" i="1"/>
  <c r="DO2" i="1"/>
  <c r="DM21" i="1"/>
  <c r="DM23" i="1"/>
  <c r="DM20" i="1"/>
  <c r="DM11" i="1"/>
  <c r="DM16" i="1"/>
  <c r="DM10" i="1"/>
  <c r="DM18" i="1"/>
  <c r="DM14" i="1"/>
  <c r="DM5" i="1"/>
  <c r="DM4" i="1"/>
  <c r="DM17" i="1"/>
  <c r="DM19" i="1"/>
  <c r="DM6" i="1"/>
  <c r="DM25" i="1"/>
  <c r="DM15" i="1"/>
  <c r="DM22" i="1"/>
  <c r="DM8" i="1"/>
  <c r="DM13" i="1"/>
  <c r="DM12" i="1"/>
  <c r="DM7" i="1"/>
  <c r="DM9" i="1"/>
  <c r="DM3" i="1"/>
  <c r="DM24" i="1"/>
  <c r="CO50" i="2"/>
  <c r="CP5" i="3" s="1"/>
  <c r="CP4" i="3" s="1"/>
  <c r="CK51" i="2"/>
  <c r="DM41" i="1" l="1"/>
  <c r="DN37" i="1"/>
  <c r="DN40" i="1"/>
  <c r="DN30" i="1"/>
  <c r="DN27" i="1"/>
  <c r="DN33" i="1"/>
  <c r="DN36" i="1"/>
  <c r="DN39" i="1"/>
  <c r="DN29" i="1"/>
  <c r="DN26" i="1"/>
  <c r="DN32" i="1"/>
  <c r="DN35" i="1"/>
  <c r="DN38" i="1"/>
  <c r="DN28" i="1"/>
  <c r="DN31" i="1"/>
  <c r="DN34" i="1"/>
  <c r="CP59" i="3" a="1"/>
  <c r="CP59" i="3" s="1"/>
  <c r="CK37" i="3"/>
  <c r="CK58" i="3" s="1"/>
  <c r="CK60" i="3" s="1"/>
  <c r="CM20" i="3"/>
  <c r="CM29" i="3" s="1"/>
  <c r="CM32" i="3" s="1"/>
  <c r="CL34" i="3"/>
  <c r="CP6" i="3"/>
  <c r="CP65" i="3" s="1"/>
  <c r="CN16" i="3"/>
  <c r="CN18" i="3" s="1"/>
  <c r="CN25" i="3"/>
  <c r="CM21" i="3"/>
  <c r="CO7" i="3"/>
  <c r="CO8" i="3"/>
  <c r="CO31" i="3"/>
  <c r="CO36" i="3" a="1"/>
  <c r="CO36" i="3" s="1"/>
  <c r="CO27" i="3"/>
  <c r="CO30" i="3"/>
  <c r="CO25" i="3"/>
  <c r="CO17" i="3"/>
  <c r="CO26" i="3"/>
  <c r="CO28" i="3"/>
  <c r="CO24" i="3"/>
  <c r="DO1" i="1"/>
  <c r="DP2" i="1"/>
  <c r="DN21" i="1"/>
  <c r="DN15" i="1"/>
  <c r="DN19" i="1"/>
  <c r="DN16" i="1"/>
  <c r="DN18" i="1"/>
  <c r="DN23" i="1"/>
  <c r="DN20" i="1"/>
  <c r="DN17" i="1"/>
  <c r="DN25" i="1"/>
  <c r="DN11" i="1"/>
  <c r="DN22" i="1"/>
  <c r="DN8" i="1"/>
  <c r="DN9" i="1"/>
  <c r="DN14" i="1"/>
  <c r="DN12" i="1"/>
  <c r="DN24" i="1"/>
  <c r="DN5" i="1"/>
  <c r="DN10" i="1"/>
  <c r="DN3" i="1"/>
  <c r="DN13" i="1"/>
  <c r="DN7" i="1"/>
  <c r="DN4" i="1"/>
  <c r="DN6" i="1"/>
  <c r="CP50" i="2"/>
  <c r="CQ5" i="3" s="1"/>
  <c r="CQ4" i="3" s="1"/>
  <c r="CL51" i="2"/>
  <c r="DN41" i="1" l="1"/>
  <c r="DO34" i="1"/>
  <c r="DO37" i="1"/>
  <c r="DO40" i="1"/>
  <c r="DO30" i="1"/>
  <c r="DO33" i="1"/>
  <c r="DO36" i="1"/>
  <c r="DO27" i="1"/>
  <c r="DO39" i="1"/>
  <c r="DO29" i="1"/>
  <c r="DO32" i="1"/>
  <c r="DO35" i="1"/>
  <c r="DO38" i="1"/>
  <c r="DO28" i="1"/>
  <c r="DO31" i="1"/>
  <c r="DO26" i="1"/>
  <c r="CQ59" i="3" a="1"/>
  <c r="CQ59" i="3" s="1"/>
  <c r="CM34" i="3"/>
  <c r="CM37" i="3" s="1"/>
  <c r="CM58" i="3" s="1"/>
  <c r="CM60" i="3" s="1"/>
  <c r="CN20" i="3"/>
  <c r="CN29" i="3" s="1"/>
  <c r="CN32" i="3" s="1"/>
  <c r="CL37" i="3"/>
  <c r="CL58" i="3" s="1"/>
  <c r="CL60" i="3" s="1"/>
  <c r="CO16" i="3"/>
  <c r="CO18" i="3" s="1"/>
  <c r="CQ6" i="3"/>
  <c r="CQ65" i="3" s="1"/>
  <c r="CN21" i="3"/>
  <c r="CP7" i="3"/>
  <c r="CP8" i="3"/>
  <c r="CP17" i="3" s="1"/>
  <c r="CP24" i="3"/>
  <c r="CP31" i="3"/>
  <c r="CP26" i="3"/>
  <c r="CP28" i="3"/>
  <c r="CP30" i="3"/>
  <c r="CP27" i="3"/>
  <c r="CP36" i="3" a="1"/>
  <c r="CP36" i="3" s="1"/>
  <c r="DQ2" i="1"/>
  <c r="DP1" i="1"/>
  <c r="DO15" i="1"/>
  <c r="DO16" i="1"/>
  <c r="DO25" i="1"/>
  <c r="DO11" i="1"/>
  <c r="DO13" i="1"/>
  <c r="DO10" i="1"/>
  <c r="DO4" i="1"/>
  <c r="DO6" i="1"/>
  <c r="DO20" i="1"/>
  <c r="DO19" i="1"/>
  <c r="DO5" i="1"/>
  <c r="DO23" i="1"/>
  <c r="DO17" i="1"/>
  <c r="DO7" i="1"/>
  <c r="DO9" i="1"/>
  <c r="DO21" i="1"/>
  <c r="DO3" i="1"/>
  <c r="DO14" i="1"/>
  <c r="DO22" i="1"/>
  <c r="DO8" i="1"/>
  <c r="DO24" i="1"/>
  <c r="DO18" i="1"/>
  <c r="DO12" i="1"/>
  <c r="CQ50" i="2"/>
  <c r="CR5" i="3" s="1"/>
  <c r="CR4" i="3" s="1"/>
  <c r="CM51" i="2"/>
  <c r="DP31" i="1" l="1"/>
  <c r="DP34" i="1"/>
  <c r="DP37" i="1"/>
  <c r="DP40" i="1"/>
  <c r="DP30" i="1"/>
  <c r="DP33" i="1"/>
  <c r="DP36" i="1"/>
  <c r="DP39" i="1"/>
  <c r="DP29" i="1"/>
  <c r="DP27" i="1"/>
  <c r="DP32" i="1"/>
  <c r="DP35" i="1"/>
  <c r="DP38" i="1"/>
  <c r="DP26" i="1"/>
  <c r="DP28" i="1"/>
  <c r="DO41" i="1"/>
  <c r="CR59" i="3" a="1"/>
  <c r="CR59" i="3" s="1"/>
  <c r="CO20" i="3"/>
  <c r="CO29" i="3" s="1"/>
  <c r="CO32" i="3" s="1"/>
  <c r="CN34" i="3"/>
  <c r="CP25" i="3"/>
  <c r="CN37" i="3"/>
  <c r="CN58" i="3" s="1"/>
  <c r="CN60" i="3" s="1"/>
  <c r="CR6" i="3"/>
  <c r="CR65" i="3" s="1"/>
  <c r="CP16" i="3"/>
  <c r="CP20" i="3" s="1"/>
  <c r="CP29" i="3" s="1"/>
  <c r="CP32" i="3" s="1"/>
  <c r="CQ7" i="3"/>
  <c r="CQ8" i="3"/>
  <c r="CQ27" i="3"/>
  <c r="CQ30" i="3"/>
  <c r="CQ25" i="3"/>
  <c r="CQ17" i="3"/>
  <c r="CQ26" i="3"/>
  <c r="CQ24" i="3"/>
  <c r="CQ36" i="3" a="1"/>
  <c r="CQ36" i="3" s="1"/>
  <c r="CQ31" i="3"/>
  <c r="CQ28" i="3"/>
  <c r="DP21" i="1"/>
  <c r="DP15" i="1"/>
  <c r="DP6" i="1"/>
  <c r="DP23" i="1"/>
  <c r="DP10" i="1"/>
  <c r="DP18" i="1"/>
  <c r="DP14" i="1"/>
  <c r="DP8" i="1"/>
  <c r="DP16" i="1"/>
  <c r="DP17" i="1"/>
  <c r="DP7" i="1"/>
  <c r="DP3" i="1"/>
  <c r="DP19" i="1"/>
  <c r="DP24" i="1"/>
  <c r="DP11" i="1"/>
  <c r="DP5" i="1"/>
  <c r="DP4" i="1"/>
  <c r="DP20" i="1"/>
  <c r="DP22" i="1"/>
  <c r="DP9" i="1"/>
  <c r="DP12" i="1"/>
  <c r="DP13" i="1"/>
  <c r="DP25" i="1"/>
  <c r="DQ1" i="1"/>
  <c r="DR2" i="1"/>
  <c r="CR50" i="2"/>
  <c r="CS5" i="3" s="1"/>
  <c r="CS4" i="3" s="1"/>
  <c r="CN51" i="2"/>
  <c r="CO21" i="3" l="1"/>
  <c r="CO34" i="3" s="1"/>
  <c r="CS59" i="3" a="1"/>
  <c r="CS59" i="3" s="1"/>
  <c r="DP41" i="1"/>
  <c r="DQ38" i="1"/>
  <c r="DQ28" i="1"/>
  <c r="DQ31" i="1"/>
  <c r="DQ34" i="1"/>
  <c r="DQ26" i="1"/>
  <c r="DQ37" i="1"/>
  <c r="DQ40" i="1"/>
  <c r="DQ30" i="1"/>
  <c r="DQ33" i="1"/>
  <c r="DQ36" i="1"/>
  <c r="DQ39" i="1"/>
  <c r="DQ29" i="1"/>
  <c r="DQ32" i="1"/>
  <c r="DQ35" i="1"/>
  <c r="DQ27" i="1"/>
  <c r="CO37" i="3"/>
  <c r="CO58" i="3" s="1"/>
  <c r="CO60" i="3" s="1"/>
  <c r="CS6" i="3"/>
  <c r="CS65" i="3" s="1"/>
  <c r="CP18" i="3"/>
  <c r="CP21" i="3" s="1"/>
  <c r="CP34" i="3" s="1"/>
  <c r="CQ16" i="3"/>
  <c r="CQ18" i="3" s="1"/>
  <c r="CR7" i="3"/>
  <c r="CR8" i="3"/>
  <c r="CR25" i="3" s="1"/>
  <c r="CR31" i="3"/>
  <c r="CR26" i="3"/>
  <c r="CR28" i="3"/>
  <c r="CR36" i="3" a="1"/>
  <c r="CR36" i="3" s="1"/>
  <c r="CR27" i="3"/>
  <c r="CR17" i="3"/>
  <c r="CR30" i="3"/>
  <c r="CR16" i="3" s="1"/>
  <c r="CR24" i="3"/>
  <c r="DS2" i="1"/>
  <c r="DR1" i="1"/>
  <c r="DQ12" i="1"/>
  <c r="DQ25" i="1"/>
  <c r="DQ5" i="1"/>
  <c r="DQ24" i="1"/>
  <c r="DQ15" i="1"/>
  <c r="DQ6" i="1"/>
  <c r="DQ3" i="1"/>
  <c r="DQ14" i="1"/>
  <c r="DQ8" i="1"/>
  <c r="DQ21" i="1"/>
  <c r="DQ18" i="1"/>
  <c r="DQ23" i="1"/>
  <c r="DQ16" i="1"/>
  <c r="DQ20" i="1"/>
  <c r="DQ17" i="1"/>
  <c r="DQ4" i="1"/>
  <c r="DQ11" i="1"/>
  <c r="DQ13" i="1"/>
  <c r="DQ19" i="1"/>
  <c r="DQ22" i="1"/>
  <c r="DQ10" i="1"/>
  <c r="DQ9" i="1"/>
  <c r="DQ7" i="1"/>
  <c r="CS50" i="2"/>
  <c r="CT5" i="3" s="1"/>
  <c r="CT4" i="3" s="1"/>
  <c r="CO51" i="2"/>
  <c r="CT59" i="3" l="1" a="1"/>
  <c r="CT59" i="3" s="1"/>
  <c r="DR38" i="1"/>
  <c r="DR28" i="1"/>
  <c r="DR31" i="1"/>
  <c r="DR34" i="1"/>
  <c r="DR37" i="1"/>
  <c r="DR27" i="1"/>
  <c r="DR40" i="1"/>
  <c r="DR30" i="1"/>
  <c r="DR33" i="1"/>
  <c r="DR36" i="1"/>
  <c r="DR39" i="1"/>
  <c r="DR29" i="1"/>
  <c r="DR32" i="1"/>
  <c r="DR26" i="1"/>
  <c r="DR35" i="1"/>
  <c r="DQ41" i="1"/>
  <c r="CQ20" i="3"/>
  <c r="CQ29" i="3" s="1"/>
  <c r="CQ32" i="3" s="1"/>
  <c r="CP37" i="3"/>
  <c r="CP58" i="3" s="1"/>
  <c r="CP60" i="3" s="1"/>
  <c r="CT6" i="3"/>
  <c r="CT65" i="3" s="1"/>
  <c r="CR18" i="3"/>
  <c r="CR20" i="3"/>
  <c r="CR29" i="3" s="1"/>
  <c r="CR32" i="3" s="1"/>
  <c r="CS7" i="3"/>
  <c r="CS8" i="3"/>
  <c r="CS30" i="3"/>
  <c r="CS27" i="3"/>
  <c r="CS28" i="3"/>
  <c r="CS25" i="3"/>
  <c r="CS17" i="3"/>
  <c r="CS24" i="3"/>
  <c r="CS26" i="3"/>
  <c r="CS31" i="3"/>
  <c r="CS36" i="3" a="1"/>
  <c r="CS36" i="3" s="1"/>
  <c r="DR9" i="1"/>
  <c r="DR24" i="1"/>
  <c r="DR21" i="1"/>
  <c r="DR13" i="1"/>
  <c r="DR4" i="1"/>
  <c r="DR12" i="1"/>
  <c r="DR14" i="1"/>
  <c r="DR5" i="1"/>
  <c r="DR16" i="1"/>
  <c r="DR18" i="1"/>
  <c r="DR15" i="1"/>
  <c r="DR23" i="1"/>
  <c r="DR3" i="1"/>
  <c r="DR20" i="1"/>
  <c r="DR10" i="1"/>
  <c r="DR25" i="1"/>
  <c r="DR11" i="1"/>
  <c r="DR17" i="1"/>
  <c r="DR8" i="1"/>
  <c r="DR7" i="1"/>
  <c r="DR19" i="1"/>
  <c r="DR6" i="1"/>
  <c r="DR22" i="1"/>
  <c r="DS1" i="1"/>
  <c r="DT2" i="1"/>
  <c r="CT50" i="2"/>
  <c r="CU5" i="3" s="1"/>
  <c r="CU4" i="3" s="1"/>
  <c r="CP51" i="2"/>
  <c r="DS35" i="1" l="1"/>
  <c r="DS38" i="1"/>
  <c r="DS28" i="1"/>
  <c r="DS31" i="1"/>
  <c r="DS34" i="1"/>
  <c r="DS37" i="1"/>
  <c r="DS27" i="1"/>
  <c r="DS40" i="1"/>
  <c r="DS30" i="1"/>
  <c r="DS33" i="1"/>
  <c r="DS36" i="1"/>
  <c r="DS39" i="1"/>
  <c r="DS29" i="1"/>
  <c r="DS26" i="1"/>
  <c r="DS32" i="1"/>
  <c r="DR41" i="1"/>
  <c r="CU59" i="3" a="1"/>
  <c r="CU59" i="3" s="1"/>
  <c r="CQ21" i="3"/>
  <c r="CQ34" i="3" s="1"/>
  <c r="CU6" i="3"/>
  <c r="CU65" i="3" s="1"/>
  <c r="CS16" i="3"/>
  <c r="CS20" i="3" s="1"/>
  <c r="CS29" i="3" s="1"/>
  <c r="CS32" i="3" s="1"/>
  <c r="CR21" i="3"/>
  <c r="CR34" i="3" s="1"/>
  <c r="CT7" i="3"/>
  <c r="CT8" i="3"/>
  <c r="CT17" i="3" s="1"/>
  <c r="CT30" i="3"/>
  <c r="CT31" i="3"/>
  <c r="CT27" i="3"/>
  <c r="CT28" i="3"/>
  <c r="CT26" i="3"/>
  <c r="CT36" i="3" a="1"/>
  <c r="CT36" i="3" s="1"/>
  <c r="CT25" i="3"/>
  <c r="CT24" i="3"/>
  <c r="DU2" i="1"/>
  <c r="DT1" i="1"/>
  <c r="DS19" i="1"/>
  <c r="DS23" i="1"/>
  <c r="DS17" i="1"/>
  <c r="DS16" i="1"/>
  <c r="DS24" i="1"/>
  <c r="DS12" i="1"/>
  <c r="DS21" i="1"/>
  <c r="DS18" i="1"/>
  <c r="DS9" i="1"/>
  <c r="DS3" i="1"/>
  <c r="DS11" i="1"/>
  <c r="DS22" i="1"/>
  <c r="DS6" i="1"/>
  <c r="DS15" i="1"/>
  <c r="DS20" i="1"/>
  <c r="DS14" i="1"/>
  <c r="DS8" i="1"/>
  <c r="DS5" i="1"/>
  <c r="DS13" i="1"/>
  <c r="DS7" i="1"/>
  <c r="DS10" i="1"/>
  <c r="DS4" i="1"/>
  <c r="DS25" i="1"/>
  <c r="CU50" i="2"/>
  <c r="CV5" i="3" s="1"/>
  <c r="CV4" i="3" s="1"/>
  <c r="CQ51" i="2"/>
  <c r="CV59" i="3" l="1" a="1"/>
  <c r="CV59" i="3" s="1"/>
  <c r="DT32" i="1"/>
  <c r="DT35" i="1"/>
  <c r="DT27" i="1"/>
  <c r="DT38" i="1"/>
  <c r="DT28" i="1"/>
  <c r="DT31" i="1"/>
  <c r="DT34" i="1"/>
  <c r="DT37" i="1"/>
  <c r="DT40" i="1"/>
  <c r="DT30" i="1"/>
  <c r="DT33" i="1"/>
  <c r="DT36" i="1"/>
  <c r="DT39" i="1"/>
  <c r="DT26" i="1"/>
  <c r="DT29" i="1"/>
  <c r="DS41" i="1"/>
  <c r="CR37" i="3"/>
  <c r="CR58" i="3" s="1"/>
  <c r="CR60" i="3" s="1"/>
  <c r="CQ37" i="3"/>
  <c r="CQ58" i="3" s="1"/>
  <c r="CQ60" i="3" s="1"/>
  <c r="CS18" i="3"/>
  <c r="CS21" i="3" s="1"/>
  <c r="CS34" i="3" s="1"/>
  <c r="CV6" i="3"/>
  <c r="CV65" i="3" s="1"/>
  <c r="CT16" i="3"/>
  <c r="CT20" i="3" s="1"/>
  <c r="CT29" i="3" s="1"/>
  <c r="CT32" i="3" s="1"/>
  <c r="CU8" i="3"/>
  <c r="CU17" i="3" s="1"/>
  <c r="CU30" i="3"/>
  <c r="CU31" i="3"/>
  <c r="CU28" i="3"/>
  <c r="CU36" i="3" a="1"/>
  <c r="CU36" i="3" s="1"/>
  <c r="CU26" i="3"/>
  <c r="CU7" i="3"/>
  <c r="CU27" i="3"/>
  <c r="CU24" i="3"/>
  <c r="DT22" i="1"/>
  <c r="DT19" i="1"/>
  <c r="DT24" i="1"/>
  <c r="DT18" i="1"/>
  <c r="DT15" i="1"/>
  <c r="DT23" i="1"/>
  <c r="DT12" i="1"/>
  <c r="DT3" i="1"/>
  <c r="DT14" i="1"/>
  <c r="DT13" i="1"/>
  <c r="DT7" i="1"/>
  <c r="DT16" i="1"/>
  <c r="DT21" i="1"/>
  <c r="DT11" i="1"/>
  <c r="DT5" i="1"/>
  <c r="DT10" i="1"/>
  <c r="DT9" i="1"/>
  <c r="DT4" i="1"/>
  <c r="DT20" i="1"/>
  <c r="DT17" i="1"/>
  <c r="DT25" i="1"/>
  <c r="DT6" i="1"/>
  <c r="DT8" i="1"/>
  <c r="DU1" i="1"/>
  <c r="DV2" i="1"/>
  <c r="CV50" i="2"/>
  <c r="CW5" i="3" s="1"/>
  <c r="CW4" i="3" s="1"/>
  <c r="CR51" i="2"/>
  <c r="DT41" i="1" l="1"/>
  <c r="DU39" i="1"/>
  <c r="DU29" i="1"/>
  <c r="DU32" i="1"/>
  <c r="DU35" i="1"/>
  <c r="DU26" i="1"/>
  <c r="DU38" i="1"/>
  <c r="DU28" i="1"/>
  <c r="DU31" i="1"/>
  <c r="DU27" i="1"/>
  <c r="DU34" i="1"/>
  <c r="DU37" i="1"/>
  <c r="DU40" i="1"/>
  <c r="DU30" i="1"/>
  <c r="DU33" i="1"/>
  <c r="DU36" i="1"/>
  <c r="CW59" i="3" a="1"/>
  <c r="CW59" i="3" s="1"/>
  <c r="CT18" i="3"/>
  <c r="CT21" i="3" s="1"/>
  <c r="CT34" i="3" s="1"/>
  <c r="CU25" i="3"/>
  <c r="CS37" i="3"/>
  <c r="CS58" i="3" s="1"/>
  <c r="CS60" i="3" s="1"/>
  <c r="CU16" i="3"/>
  <c r="CW6" i="3"/>
  <c r="CW65" i="3" s="1"/>
  <c r="CU18" i="3"/>
  <c r="CU20" i="3"/>
  <c r="CU29" i="3" s="1"/>
  <c r="CU32" i="3" s="1"/>
  <c r="CV30" i="3"/>
  <c r="CV31" i="3"/>
  <c r="CV36" i="3" a="1"/>
  <c r="CV36" i="3" s="1"/>
  <c r="CV8" i="3"/>
  <c r="CV25" i="3" s="1"/>
  <c r="CV7" i="3"/>
  <c r="CV17" i="3"/>
  <c r="CV27" i="3"/>
  <c r="CV28" i="3"/>
  <c r="CV24" i="3"/>
  <c r="CV26" i="3"/>
  <c r="DV1" i="1"/>
  <c r="DW2" i="1"/>
  <c r="DU19" i="1"/>
  <c r="DU16" i="1"/>
  <c r="DU13" i="1"/>
  <c r="DU23" i="1"/>
  <c r="DU6" i="1"/>
  <c r="DU14" i="1"/>
  <c r="DU22" i="1"/>
  <c r="DU17" i="1"/>
  <c r="DU8" i="1"/>
  <c r="DU10" i="1"/>
  <c r="DU24" i="1"/>
  <c r="DU21" i="1"/>
  <c r="DU18" i="1"/>
  <c r="DU15" i="1"/>
  <c r="DU12" i="1"/>
  <c r="DU9" i="1"/>
  <c r="DU20" i="1"/>
  <c r="DU3" i="1"/>
  <c r="DU7" i="1"/>
  <c r="DU4" i="1"/>
  <c r="DU5" i="1"/>
  <c r="DU25" i="1"/>
  <c r="DU11" i="1"/>
  <c r="CW50" i="2"/>
  <c r="CX5" i="3" s="1"/>
  <c r="CX4" i="3" s="1"/>
  <c r="CS51" i="2"/>
  <c r="DU41" i="1" l="1"/>
  <c r="CX59" i="3" a="1"/>
  <c r="CX59" i="3" s="1"/>
  <c r="DV39" i="1"/>
  <c r="DV29" i="1"/>
  <c r="DV32" i="1"/>
  <c r="DV35" i="1"/>
  <c r="DV38" i="1"/>
  <c r="DV28" i="1"/>
  <c r="DV31" i="1"/>
  <c r="DV34" i="1"/>
  <c r="DV37" i="1"/>
  <c r="DV27" i="1"/>
  <c r="DV40" i="1"/>
  <c r="DV30" i="1"/>
  <c r="DV33" i="1"/>
  <c r="DV36" i="1"/>
  <c r="DV26" i="1"/>
  <c r="CT37" i="3"/>
  <c r="CT58" i="3" s="1"/>
  <c r="CT60" i="3" s="1"/>
  <c r="CX6" i="3"/>
  <c r="CX65" i="3" s="1"/>
  <c r="CV16" i="3"/>
  <c r="CV20" i="3" s="1"/>
  <c r="CU21" i="3"/>
  <c r="CU34" i="3" s="1"/>
  <c r="CW30" i="3"/>
  <c r="CW31" i="3"/>
  <c r="CW8" i="3"/>
  <c r="CW17" i="3" s="1"/>
  <c r="CW7" i="3"/>
  <c r="CW27" i="3"/>
  <c r="CW28" i="3"/>
  <c r="CW26" i="3"/>
  <c r="CW36" i="3" a="1"/>
  <c r="CW36" i="3" s="1"/>
  <c r="CW24" i="3"/>
  <c r="DX2" i="1"/>
  <c r="DW1" i="1"/>
  <c r="DV16" i="1"/>
  <c r="DV4" i="1"/>
  <c r="DV24" i="1"/>
  <c r="DV21" i="1"/>
  <c r="DV12" i="1"/>
  <c r="DV20" i="1"/>
  <c r="DV17" i="1"/>
  <c r="DV7" i="1"/>
  <c r="DV23" i="1"/>
  <c r="DV3" i="1"/>
  <c r="DV8" i="1"/>
  <c r="DV14" i="1"/>
  <c r="DV15" i="1"/>
  <c r="DV6" i="1"/>
  <c r="DV5" i="1"/>
  <c r="DV10" i="1"/>
  <c r="DV22" i="1"/>
  <c r="DV18" i="1"/>
  <c r="DV9" i="1"/>
  <c r="DV19" i="1"/>
  <c r="DV11" i="1"/>
  <c r="DV13" i="1"/>
  <c r="DV25" i="1"/>
  <c r="CX50" i="2"/>
  <c r="CY5" i="3" s="1"/>
  <c r="CY4" i="3" s="1"/>
  <c r="CT51" i="2"/>
  <c r="DW36" i="1" l="1"/>
  <c r="DW39" i="1"/>
  <c r="DW29" i="1"/>
  <c r="DW32" i="1"/>
  <c r="DW35" i="1"/>
  <c r="DW38" i="1"/>
  <c r="DW28" i="1"/>
  <c r="DW31" i="1"/>
  <c r="DW34" i="1"/>
  <c r="DW37" i="1"/>
  <c r="DW27" i="1"/>
  <c r="DW26" i="1"/>
  <c r="DW40" i="1"/>
  <c r="DW30" i="1"/>
  <c r="DW33" i="1"/>
  <c r="CY59" i="3" a="1"/>
  <c r="CY59" i="3" s="1"/>
  <c r="DV41" i="1"/>
  <c r="CU37" i="3"/>
  <c r="CU58" i="3" s="1"/>
  <c r="CU60" i="3" s="1"/>
  <c r="CV18" i="3"/>
  <c r="CY6" i="3"/>
  <c r="CY65" i="3" s="1"/>
  <c r="CV21" i="3"/>
  <c r="CV29" i="3"/>
  <c r="CV32" i="3" s="1"/>
  <c r="CW16" i="3"/>
  <c r="CW18" i="3" s="1"/>
  <c r="CW25" i="3"/>
  <c r="CX7" i="3"/>
  <c r="CX30" i="3"/>
  <c r="CX31" i="3"/>
  <c r="CX8" i="3"/>
  <c r="CX25" i="3" s="1"/>
  <c r="CX28" i="3"/>
  <c r="CX24" i="3"/>
  <c r="CX36" i="3" a="1"/>
  <c r="CX36" i="3" s="1"/>
  <c r="CX27" i="3"/>
  <c r="CX26" i="3"/>
  <c r="DW16" i="1"/>
  <c r="DW7" i="1"/>
  <c r="DW13" i="1"/>
  <c r="DW24" i="1"/>
  <c r="DW12" i="1"/>
  <c r="DW6" i="1"/>
  <c r="DW25" i="1"/>
  <c r="DW4" i="1"/>
  <c r="DW10" i="1"/>
  <c r="DW3" i="1"/>
  <c r="DW22" i="1"/>
  <c r="DW21" i="1"/>
  <c r="DW18" i="1"/>
  <c r="DW9" i="1"/>
  <c r="DW19" i="1"/>
  <c r="DW15" i="1"/>
  <c r="DW23" i="1"/>
  <c r="DW11" i="1"/>
  <c r="DW14" i="1"/>
  <c r="DW8" i="1"/>
  <c r="DW17" i="1"/>
  <c r="DW5" i="1"/>
  <c r="DW20" i="1"/>
  <c r="DX1" i="1"/>
  <c r="DY2" i="1"/>
  <c r="CY50" i="2"/>
  <c r="CZ5" i="3" s="1"/>
  <c r="CZ4" i="3" s="1"/>
  <c r="CU51" i="2"/>
  <c r="DX26" i="1" l="1"/>
  <c r="DX36" i="1"/>
  <c r="DX39" i="1"/>
  <c r="DX29" i="1"/>
  <c r="DX32" i="1"/>
  <c r="DX35" i="1"/>
  <c r="DX38" i="1"/>
  <c r="DX28" i="1"/>
  <c r="DX31" i="1"/>
  <c r="DX34" i="1"/>
  <c r="DX37" i="1"/>
  <c r="DX27" i="1"/>
  <c r="DX40" i="1"/>
  <c r="DX30" i="1"/>
  <c r="DX33" i="1"/>
  <c r="DW41" i="1"/>
  <c r="CZ59" i="3" a="1"/>
  <c r="CZ59" i="3" s="1"/>
  <c r="CW20" i="3"/>
  <c r="CW29" i="3" s="1"/>
  <c r="CW32" i="3" s="1"/>
  <c r="CZ6" i="3"/>
  <c r="CZ65" i="3" s="1"/>
  <c r="CV34" i="3"/>
  <c r="CX16" i="3"/>
  <c r="CX20" i="3" s="1"/>
  <c r="CX29" i="3" s="1"/>
  <c r="CX32" i="3" s="1"/>
  <c r="CX17" i="3"/>
  <c r="CX18" i="3" s="1"/>
  <c r="CY8" i="3"/>
  <c r="CY17" i="3" s="1"/>
  <c r="CY30" i="3"/>
  <c r="CY31" i="3"/>
  <c r="CY27" i="3"/>
  <c r="CY7" i="3"/>
  <c r="CY36" i="3" a="1"/>
  <c r="CY36" i="3" s="1"/>
  <c r="CY28" i="3"/>
  <c r="CY25" i="3"/>
  <c r="CY24" i="3"/>
  <c r="CY26" i="3"/>
  <c r="DZ2" i="1"/>
  <c r="DY1" i="1"/>
  <c r="DX22" i="1"/>
  <c r="DX19" i="1"/>
  <c r="DX23" i="1"/>
  <c r="DX16" i="1"/>
  <c r="DX7" i="1"/>
  <c r="DX4" i="1"/>
  <c r="DX15" i="1"/>
  <c r="DX24" i="1"/>
  <c r="DX13" i="1"/>
  <c r="DX21" i="1"/>
  <c r="DX18" i="1"/>
  <c r="DX6" i="1"/>
  <c r="DX3" i="1"/>
  <c r="DX14" i="1"/>
  <c r="DX17" i="1"/>
  <c r="DX5" i="1"/>
  <c r="DX9" i="1"/>
  <c r="DX8" i="1"/>
  <c r="DX11" i="1"/>
  <c r="DX10" i="1"/>
  <c r="DX25" i="1"/>
  <c r="DX20" i="1"/>
  <c r="DX12" i="1"/>
  <c r="CZ50" i="2"/>
  <c r="DA5" i="3" s="1"/>
  <c r="DA4" i="3" s="1"/>
  <c r="CV51" i="2"/>
  <c r="CW21" i="3" l="1"/>
  <c r="DX41" i="1"/>
  <c r="DY33" i="1"/>
  <c r="DY36" i="1"/>
  <c r="DY39" i="1"/>
  <c r="DY29" i="1"/>
  <c r="DY32" i="1"/>
  <c r="DY26" i="1"/>
  <c r="DY35" i="1"/>
  <c r="DY38" i="1"/>
  <c r="DY28" i="1"/>
  <c r="DY31" i="1"/>
  <c r="DY34" i="1"/>
  <c r="DY37" i="1"/>
  <c r="DY27" i="1"/>
  <c r="DY40" i="1"/>
  <c r="DY30" i="1"/>
  <c r="DA59" i="3" a="1"/>
  <c r="DA59" i="3" s="1"/>
  <c r="CV37" i="3"/>
  <c r="CV58" i="3" s="1"/>
  <c r="CV60" i="3" s="1"/>
  <c r="CW34" i="3"/>
  <c r="DA6" i="3"/>
  <c r="DA65" i="3" s="1"/>
  <c r="CX21" i="3"/>
  <c r="CX34" i="3" s="1"/>
  <c r="CY16" i="3"/>
  <c r="CY18" i="3" s="1"/>
  <c r="CZ31" i="3"/>
  <c r="CZ27" i="3"/>
  <c r="CZ28" i="3"/>
  <c r="CZ7" i="3"/>
  <c r="CZ30" i="3"/>
  <c r="CZ16" i="3" s="1"/>
  <c r="CZ8" i="3"/>
  <c r="CZ24" i="3"/>
  <c r="CZ36" i="3" a="1"/>
  <c r="CZ36" i="3" s="1"/>
  <c r="CZ25" i="3"/>
  <c r="CZ17" i="3"/>
  <c r="CZ26" i="3"/>
  <c r="DY17" i="1"/>
  <c r="DY16" i="1"/>
  <c r="DY13" i="1"/>
  <c r="DY4" i="1"/>
  <c r="DY10" i="1"/>
  <c r="DY25" i="1"/>
  <c r="DY19" i="1"/>
  <c r="DY18" i="1"/>
  <c r="DY11" i="1"/>
  <c r="DY8" i="1"/>
  <c r="DY23" i="1"/>
  <c r="DY22" i="1"/>
  <c r="DY12" i="1"/>
  <c r="DY24" i="1"/>
  <c r="DY21" i="1"/>
  <c r="DY15" i="1"/>
  <c r="DY9" i="1"/>
  <c r="DY6" i="1"/>
  <c r="DY3" i="1"/>
  <c r="DY7" i="1"/>
  <c r="DY5" i="1"/>
  <c r="DY20" i="1"/>
  <c r="DY14" i="1"/>
  <c r="EA2" i="1"/>
  <c r="DZ1" i="1"/>
  <c r="DA50" i="2"/>
  <c r="DB5" i="3" s="1"/>
  <c r="DB4" i="3" s="1"/>
  <c r="CW51" i="2"/>
  <c r="DZ36" i="1" l="1"/>
  <c r="DZ34" i="1"/>
  <c r="DZ30" i="1"/>
  <c r="DZ32" i="1"/>
  <c r="DZ39" i="1"/>
  <c r="DZ28" i="1"/>
  <c r="DZ26" i="1"/>
  <c r="DZ31" i="1"/>
  <c r="DZ27" i="1"/>
  <c r="DZ40" i="1"/>
  <c r="DZ38" i="1"/>
  <c r="DZ33" i="1"/>
  <c r="DZ37" i="1"/>
  <c r="DZ35" i="1"/>
  <c r="DZ29" i="1"/>
  <c r="DY41" i="1"/>
  <c r="DB59" i="3" a="1"/>
  <c r="DB59" i="3" s="1"/>
  <c r="CX37" i="3"/>
  <c r="CX58" i="3" s="1"/>
  <c r="CX60" i="3" s="1"/>
  <c r="CW37" i="3"/>
  <c r="CW58" i="3" s="1"/>
  <c r="CW60" i="3" s="1"/>
  <c r="CY20" i="3"/>
  <c r="CY29" i="3" s="1"/>
  <c r="CY32" i="3" s="1"/>
  <c r="DB6" i="3"/>
  <c r="DB65" i="3" s="1"/>
  <c r="CZ18" i="3"/>
  <c r="CZ20" i="3"/>
  <c r="CZ29" i="3" s="1"/>
  <c r="CZ32" i="3" s="1"/>
  <c r="CY21" i="3"/>
  <c r="DA27" i="3"/>
  <c r="DA28" i="3"/>
  <c r="DA36" i="3" a="1"/>
  <c r="DA36" i="3" s="1"/>
  <c r="DA7" i="3"/>
  <c r="DA8" i="3"/>
  <c r="DA31" i="3"/>
  <c r="DA25" i="3"/>
  <c r="DA17" i="3"/>
  <c r="DA30" i="3"/>
  <c r="DA26" i="3"/>
  <c r="DA24" i="3"/>
  <c r="DZ17" i="1"/>
  <c r="DZ25" i="1"/>
  <c r="DZ22" i="1"/>
  <c r="DZ16" i="1"/>
  <c r="DZ13" i="1"/>
  <c r="DZ24" i="1"/>
  <c r="DZ21" i="1"/>
  <c r="DZ18" i="1"/>
  <c r="DZ19" i="1"/>
  <c r="DZ10" i="1"/>
  <c r="DZ15" i="1"/>
  <c r="DZ7" i="1"/>
  <c r="DZ4" i="1"/>
  <c r="DZ12" i="1"/>
  <c r="DZ9" i="1"/>
  <c r="DZ6" i="1"/>
  <c r="DZ14" i="1"/>
  <c r="DZ23" i="1"/>
  <c r="DZ8" i="1"/>
  <c r="DZ5" i="1"/>
  <c r="DZ3" i="1"/>
  <c r="DZ11" i="1"/>
  <c r="DZ20" i="1"/>
  <c r="EA1" i="1"/>
  <c r="EB2" i="1"/>
  <c r="DB50" i="2"/>
  <c r="DC5" i="3" s="1"/>
  <c r="DC4" i="3" s="1"/>
  <c r="CX51" i="2"/>
  <c r="DZ41" i="1" l="1"/>
  <c r="DC59" i="3" a="1"/>
  <c r="DC59" i="3" s="1"/>
  <c r="EA33" i="1"/>
  <c r="EA36" i="1"/>
  <c r="EA39" i="1"/>
  <c r="EA29" i="1"/>
  <c r="EA32" i="1"/>
  <c r="EA35" i="1"/>
  <c r="EA26" i="1"/>
  <c r="EA38" i="1"/>
  <c r="EA31" i="1"/>
  <c r="EA34" i="1"/>
  <c r="EA37" i="1"/>
  <c r="EA27" i="1"/>
  <c r="EA40" i="1"/>
  <c r="EA30" i="1"/>
  <c r="EA28" i="1"/>
  <c r="CY34" i="3"/>
  <c r="CY37" i="3" s="1"/>
  <c r="CY58" i="3" s="1"/>
  <c r="CY60" i="3" s="1"/>
  <c r="DA16" i="3"/>
  <c r="DA18" i="3" s="1"/>
  <c r="DC6" i="3"/>
  <c r="DC65" i="3" s="1"/>
  <c r="CZ21" i="3"/>
  <c r="CZ34" i="3" s="1"/>
  <c r="DB27" i="3"/>
  <c r="DB28" i="3"/>
  <c r="DB36" i="3" a="1"/>
  <c r="DB36" i="3" s="1"/>
  <c r="DB7" i="3"/>
  <c r="DB8" i="3"/>
  <c r="DB17" i="3" s="1"/>
  <c r="DB26" i="3"/>
  <c r="DB30" i="3"/>
  <c r="DB25" i="3"/>
  <c r="DB31" i="3"/>
  <c r="DB24" i="3"/>
  <c r="EB1" i="1"/>
  <c r="EC2" i="1"/>
  <c r="EC1" i="1" s="1"/>
  <c r="EA20" i="1"/>
  <c r="EA17" i="1"/>
  <c r="EA25" i="1"/>
  <c r="EA22" i="1"/>
  <c r="EA10" i="1"/>
  <c r="EA3" i="1"/>
  <c r="EA11" i="1"/>
  <c r="EA19" i="1"/>
  <c r="EA16" i="1"/>
  <c r="EA24" i="1"/>
  <c r="EA21" i="1"/>
  <c r="EA15" i="1"/>
  <c r="EA12" i="1"/>
  <c r="EA13" i="1"/>
  <c r="EA7" i="1"/>
  <c r="EA6" i="1"/>
  <c r="EA14" i="1"/>
  <c r="EA18" i="1"/>
  <c r="EA23" i="1"/>
  <c r="EA4" i="1"/>
  <c r="EA9" i="1"/>
  <c r="EA8" i="1"/>
  <c r="EA5" i="1"/>
  <c r="DC50" i="2"/>
  <c r="DD5" i="3" s="1"/>
  <c r="DD4" i="3" s="1"/>
  <c r="CY51" i="2"/>
  <c r="DD59" i="3" l="1" a="1"/>
  <c r="DD59" i="3" s="1"/>
  <c r="EB33" i="1"/>
  <c r="EB36" i="1"/>
  <c r="EB39" i="1"/>
  <c r="EB29" i="1"/>
  <c r="EB32" i="1"/>
  <c r="EB35" i="1"/>
  <c r="EB38" i="1"/>
  <c r="EB28" i="1"/>
  <c r="EB31" i="1"/>
  <c r="EB37" i="1"/>
  <c r="EB27" i="1"/>
  <c r="EB26" i="1"/>
  <c r="EB30" i="1"/>
  <c r="EB40" i="1"/>
  <c r="EB34" i="1"/>
  <c r="EC40" i="1"/>
  <c r="EC30" i="1"/>
  <c r="EC33" i="1"/>
  <c r="EC26" i="1"/>
  <c r="EC36" i="1"/>
  <c r="EC39" i="1"/>
  <c r="EC29" i="1"/>
  <c r="EC32" i="1"/>
  <c r="EC35" i="1"/>
  <c r="EC38" i="1"/>
  <c r="EC28" i="1"/>
  <c r="EC31" i="1"/>
  <c r="EC34" i="1"/>
  <c r="EC27" i="1"/>
  <c r="EC37" i="1"/>
  <c r="EA41" i="1"/>
  <c r="DA20" i="3"/>
  <c r="DA29" i="3" s="1"/>
  <c r="DA32" i="3" s="1"/>
  <c r="CZ37" i="3"/>
  <c r="CZ58" i="3" s="1"/>
  <c r="CZ60" i="3" s="1"/>
  <c r="DD6" i="3"/>
  <c r="DD65" i="3" s="1"/>
  <c r="DB16" i="3"/>
  <c r="DB18" i="3" s="1"/>
  <c r="DA21" i="3"/>
  <c r="DA34" i="3" s="1"/>
  <c r="DC27" i="3"/>
  <c r="DC28" i="3"/>
  <c r="DC36" i="3" a="1"/>
  <c r="DC36" i="3" s="1"/>
  <c r="DC7" i="3"/>
  <c r="DC8" i="3"/>
  <c r="DC25" i="3" s="1"/>
  <c r="DC17" i="3"/>
  <c r="DC31" i="3"/>
  <c r="DC24" i="3"/>
  <c r="DC30" i="3"/>
  <c r="DC26" i="3"/>
  <c r="EC17" i="1"/>
  <c r="EC22" i="1"/>
  <c r="EC13" i="1"/>
  <c r="EC25" i="1"/>
  <c r="EC19" i="1"/>
  <c r="EC24" i="1"/>
  <c r="EC3" i="1"/>
  <c r="EC11" i="1"/>
  <c r="EC21" i="1"/>
  <c r="EC12" i="1"/>
  <c r="EC23" i="1"/>
  <c r="EC16" i="1"/>
  <c r="EC10" i="1"/>
  <c r="EC4" i="1"/>
  <c r="EC5" i="1"/>
  <c r="EC9" i="1"/>
  <c r="EC7" i="1"/>
  <c r="EC6" i="1"/>
  <c r="EC14" i="1"/>
  <c r="EC8" i="1"/>
  <c r="EC15" i="1"/>
  <c r="EC18" i="1"/>
  <c r="EC20" i="1"/>
  <c r="EB23" i="1"/>
  <c r="EB15" i="1"/>
  <c r="EB25" i="1"/>
  <c r="EB20" i="1"/>
  <c r="EB22" i="1"/>
  <c r="EB16" i="1"/>
  <c r="EB24" i="1"/>
  <c r="EB10" i="1"/>
  <c r="EB18" i="1"/>
  <c r="EB4" i="1"/>
  <c r="EB17" i="1"/>
  <c r="EB19" i="1"/>
  <c r="EB13" i="1"/>
  <c r="EB21" i="1"/>
  <c r="EB7" i="1"/>
  <c r="EB12" i="1"/>
  <c r="EB8" i="1"/>
  <c r="EB9" i="1"/>
  <c r="EB6" i="1"/>
  <c r="EB3" i="1"/>
  <c r="EB5" i="1"/>
  <c r="EB11" i="1"/>
  <c r="EB14" i="1"/>
  <c r="DD50" i="2"/>
  <c r="DE5" i="3" s="1"/>
  <c r="DE4" i="3" s="1"/>
  <c r="CZ51" i="2"/>
  <c r="EB41" i="1" l="1"/>
  <c r="DE59" i="3" a="1"/>
  <c r="DE59" i="3" s="1"/>
  <c r="EC41" i="1"/>
  <c r="DC16" i="3"/>
  <c r="DA37" i="3"/>
  <c r="DA58" i="3" s="1"/>
  <c r="DA60" i="3" s="1"/>
  <c r="DB20" i="3"/>
  <c r="DB29" i="3" s="1"/>
  <c r="DB32" i="3" s="1"/>
  <c r="DE6" i="3"/>
  <c r="DE65" i="3" s="1"/>
  <c r="DC18" i="3"/>
  <c r="DC20" i="3"/>
  <c r="DC29" i="3" s="1"/>
  <c r="DC32" i="3" s="1"/>
  <c r="DB21" i="3"/>
  <c r="DD27" i="3"/>
  <c r="DD28" i="3"/>
  <c r="DD36" i="3" a="1"/>
  <c r="DD36" i="3" s="1"/>
  <c r="DD8" i="3"/>
  <c r="DD25" i="3" s="1"/>
  <c r="DD24" i="3"/>
  <c r="DD26" i="3"/>
  <c r="DD7" i="3"/>
  <c r="DD17" i="3"/>
  <c r="DD30" i="3"/>
  <c r="DD31" i="3"/>
  <c r="DE50" i="2"/>
  <c r="DF5" i="3" s="1"/>
  <c r="DF4" i="3" s="1"/>
  <c r="DA51" i="2"/>
  <c r="DF59" i="3" l="1" a="1"/>
  <c r="DF59" i="3" s="1"/>
  <c r="DB34" i="3"/>
  <c r="DF6" i="3"/>
  <c r="DF65" i="3" s="1"/>
  <c r="DD16" i="3"/>
  <c r="DD20" i="3" s="1"/>
  <c r="DC21" i="3"/>
  <c r="DC34" i="3" s="1"/>
  <c r="DE27" i="3"/>
  <c r="DE36" i="3" a="1"/>
  <c r="DE36" i="3" s="1"/>
  <c r="DE28" i="3"/>
  <c r="DE8" i="3"/>
  <c r="DE17" i="3" s="1"/>
  <c r="DE7" i="3"/>
  <c r="DE30" i="3"/>
  <c r="DE24" i="3"/>
  <c r="DE26" i="3"/>
  <c r="DE31" i="3"/>
  <c r="DF50" i="2"/>
  <c r="DG5" i="3" s="1"/>
  <c r="DG4" i="3" s="1"/>
  <c r="DB51" i="2"/>
  <c r="DG59" i="3" l="1" a="1"/>
  <c r="DG59" i="3" s="1"/>
  <c r="DC37" i="3"/>
  <c r="DC58" i="3" s="1"/>
  <c r="DC60" i="3" s="1"/>
  <c r="DB37" i="3"/>
  <c r="DB58" i="3" s="1"/>
  <c r="DB60" i="3" s="1"/>
  <c r="DG6" i="3"/>
  <c r="DG65" i="3" s="1"/>
  <c r="DE16" i="3"/>
  <c r="DE18" i="3" s="1"/>
  <c r="DD18" i="3"/>
  <c r="DD21" i="3" s="1"/>
  <c r="DD29" i="3"/>
  <c r="DD32" i="3" s="1"/>
  <c r="DE25" i="3"/>
  <c r="DF36" i="3" a="1"/>
  <c r="DF36" i="3" s="1"/>
  <c r="DF28" i="3"/>
  <c r="DF7" i="3"/>
  <c r="DF30" i="3"/>
  <c r="DF8" i="3"/>
  <c r="DF25" i="3" s="1"/>
  <c r="DF24" i="3"/>
  <c r="DF17" i="3"/>
  <c r="DF31" i="3"/>
  <c r="DF26" i="3"/>
  <c r="DF27" i="3"/>
  <c r="DG50" i="2"/>
  <c r="DH5" i="3" s="1"/>
  <c r="DH4" i="3" s="1"/>
  <c r="DC51" i="2"/>
  <c r="DH59" i="3" l="1" a="1"/>
  <c r="DH59" i="3" s="1"/>
  <c r="DE20" i="3"/>
  <c r="DE29" i="3" s="1"/>
  <c r="DE32" i="3" s="1"/>
  <c r="DH6" i="3"/>
  <c r="DH65" i="3" s="1"/>
  <c r="DD34" i="3"/>
  <c r="DF16" i="3"/>
  <c r="DF18" i="3" s="1"/>
  <c r="DE21" i="3"/>
  <c r="DG8" i="3"/>
  <c r="DG30" i="3"/>
  <c r="DG31" i="3"/>
  <c r="DG25" i="3"/>
  <c r="DG17" i="3"/>
  <c r="DG36" i="3" a="1"/>
  <c r="DG36" i="3" s="1"/>
  <c r="DG28" i="3"/>
  <c r="DG7" i="3"/>
  <c r="DG27" i="3"/>
  <c r="DG26" i="3"/>
  <c r="DG24" i="3"/>
  <c r="DH50" i="2"/>
  <c r="DI5" i="3" s="1"/>
  <c r="DI4" i="3" s="1"/>
  <c r="DD51" i="2"/>
  <c r="DI59" i="3" l="1" a="1"/>
  <c r="DI59" i="3" s="1"/>
  <c r="DE34" i="3"/>
  <c r="DD37" i="3"/>
  <c r="DD58" i="3" s="1"/>
  <c r="DD60" i="3" s="1"/>
  <c r="DE37" i="3"/>
  <c r="DE58" i="3" s="1"/>
  <c r="DE60" i="3" s="1"/>
  <c r="DI6" i="3"/>
  <c r="DI65" i="3" s="1"/>
  <c r="DF20" i="3"/>
  <c r="DF29" i="3" s="1"/>
  <c r="DF32" i="3" s="1"/>
  <c r="DG16" i="3"/>
  <c r="DG20" i="3" s="1"/>
  <c r="DG29" i="3" s="1"/>
  <c r="DG32" i="3" s="1"/>
  <c r="DH7" i="3"/>
  <c r="DH30" i="3"/>
  <c r="DH31" i="3"/>
  <c r="DH24" i="3"/>
  <c r="DH26" i="3"/>
  <c r="DH27" i="3"/>
  <c r="DH36" i="3" a="1"/>
  <c r="DH36" i="3" s="1"/>
  <c r="DH28" i="3"/>
  <c r="DH8" i="3"/>
  <c r="DH17" i="3" s="1"/>
  <c r="DI50" i="2"/>
  <c r="DJ5" i="3" s="1"/>
  <c r="DJ4" i="3" s="1"/>
  <c r="DE51" i="2"/>
  <c r="DJ59" i="3" l="1" a="1"/>
  <c r="DJ59" i="3" s="1"/>
  <c r="DG18" i="3"/>
  <c r="DJ6" i="3"/>
  <c r="DJ65" i="3" s="1"/>
  <c r="DF21" i="3"/>
  <c r="DF34" i="3" s="1"/>
  <c r="DG21" i="3"/>
  <c r="DG34" i="3" s="1"/>
  <c r="DH16" i="3"/>
  <c r="DH20" i="3" s="1"/>
  <c r="DH29" i="3" s="1"/>
  <c r="DH25" i="3"/>
  <c r="DI7" i="3"/>
  <c r="DI8" i="3"/>
  <c r="DI17" i="3" s="1"/>
  <c r="DI31" i="3"/>
  <c r="DI26" i="3"/>
  <c r="DI36" i="3" a="1"/>
  <c r="DI36" i="3" s="1"/>
  <c r="DI28" i="3"/>
  <c r="DI27" i="3"/>
  <c r="DI30" i="3"/>
  <c r="DI24" i="3"/>
  <c r="DJ50" i="2"/>
  <c r="DK5" i="3" s="1"/>
  <c r="DK4" i="3" s="1"/>
  <c r="DF51" i="2"/>
  <c r="DK59" i="3" l="1" a="1"/>
  <c r="DK59" i="3" s="1"/>
  <c r="DH18" i="3"/>
  <c r="DG37" i="3"/>
  <c r="DG58" i="3" s="1"/>
  <c r="DG60" i="3" s="1"/>
  <c r="DF37" i="3"/>
  <c r="DF58" i="3" s="1"/>
  <c r="DF60" i="3" s="1"/>
  <c r="DH21" i="3"/>
  <c r="DI25" i="3"/>
  <c r="DI16" i="3"/>
  <c r="DI18" i="3" s="1"/>
  <c r="DK6" i="3"/>
  <c r="DK65" i="3" s="1"/>
  <c r="DH32" i="3"/>
  <c r="DJ7" i="3"/>
  <c r="DJ8" i="3"/>
  <c r="DJ25" i="3" s="1"/>
  <c r="DJ24" i="3"/>
  <c r="DJ26" i="3"/>
  <c r="DJ27" i="3"/>
  <c r="DJ30" i="3"/>
  <c r="DJ31" i="3"/>
  <c r="DJ28" i="3"/>
  <c r="DJ36" i="3" a="1"/>
  <c r="DJ36" i="3" s="1"/>
  <c r="DK50" i="2"/>
  <c r="DL5" i="3" s="1"/>
  <c r="DL4" i="3" s="1"/>
  <c r="DG51" i="2"/>
  <c r="DL59" i="3" l="1" a="1"/>
  <c r="DL59" i="3" s="1"/>
  <c r="DH34" i="3"/>
  <c r="DH37" i="3" s="1"/>
  <c r="DH58" i="3" s="1"/>
  <c r="DH60" i="3" s="1"/>
  <c r="DI20" i="3"/>
  <c r="DI29" i="3" s="1"/>
  <c r="DI32" i="3" s="1"/>
  <c r="DL6" i="3"/>
  <c r="DL65" i="3" s="1"/>
  <c r="DJ16" i="3"/>
  <c r="DJ20" i="3" s="1"/>
  <c r="DJ29" i="3" s="1"/>
  <c r="DJ32" i="3" s="1"/>
  <c r="DJ17" i="3"/>
  <c r="DI21" i="3"/>
  <c r="DK7" i="3"/>
  <c r="DK8" i="3"/>
  <c r="DK25" i="3" s="1"/>
  <c r="DK17" i="3"/>
  <c r="DK36" i="3" a="1"/>
  <c r="DK36" i="3" s="1"/>
  <c r="DK28" i="3"/>
  <c r="DK30" i="3"/>
  <c r="DK27" i="3"/>
  <c r="DK31" i="3"/>
  <c r="DK24" i="3"/>
  <c r="DK26" i="3"/>
  <c r="DL50" i="2"/>
  <c r="DM5" i="3" s="1"/>
  <c r="DM4" i="3" s="1"/>
  <c r="DH51" i="2"/>
  <c r="DM59" i="3" l="1" a="1"/>
  <c r="DM59" i="3" s="1"/>
  <c r="DJ18" i="3"/>
  <c r="DI34" i="3"/>
  <c r="DM6" i="3"/>
  <c r="DM65" i="3" s="1"/>
  <c r="DK16" i="3"/>
  <c r="DK20" i="3" s="1"/>
  <c r="DK29" i="3" s="1"/>
  <c r="DK32" i="3" s="1"/>
  <c r="DJ21" i="3"/>
  <c r="DJ34" i="3" s="1"/>
  <c r="DL7" i="3"/>
  <c r="DL8" i="3"/>
  <c r="DL25" i="3" s="1"/>
  <c r="DL26" i="3"/>
  <c r="DL36" i="3" a="1"/>
  <c r="DL36" i="3" s="1"/>
  <c r="DL28" i="3"/>
  <c r="DL31" i="3"/>
  <c r="DL24" i="3"/>
  <c r="DL30" i="3"/>
  <c r="DL27" i="3"/>
  <c r="DM50" i="2"/>
  <c r="DN5" i="3" s="1"/>
  <c r="DN4" i="3" s="1"/>
  <c r="DI51" i="2"/>
  <c r="DN59" i="3" l="1" a="1"/>
  <c r="DN59" i="3" s="1"/>
  <c r="DJ37" i="3"/>
  <c r="DJ58" i="3" s="1"/>
  <c r="DJ60" i="3" s="1"/>
  <c r="DI37" i="3"/>
  <c r="DI58" i="3" s="1"/>
  <c r="DI60" i="3" s="1"/>
  <c r="DL16" i="3"/>
  <c r="DL20" i="3" s="1"/>
  <c r="DL29" i="3" s="1"/>
  <c r="DL32" i="3" s="1"/>
  <c r="DN6" i="3"/>
  <c r="DN65" i="3" s="1"/>
  <c r="DK18" i="3"/>
  <c r="DK21" i="3" s="1"/>
  <c r="DK34" i="3" s="1"/>
  <c r="DL17" i="3"/>
  <c r="DM7" i="3"/>
  <c r="DM8" i="3"/>
  <c r="DM17" i="3" s="1"/>
  <c r="DM30" i="3"/>
  <c r="DM27" i="3"/>
  <c r="DM36" i="3" a="1"/>
  <c r="DM36" i="3" s="1"/>
  <c r="DM28" i="3"/>
  <c r="DM25" i="3"/>
  <c r="DM31" i="3"/>
  <c r="DM26" i="3"/>
  <c r="DM24" i="3"/>
  <c r="DN50" i="2"/>
  <c r="DO5" i="3" s="1"/>
  <c r="DO4" i="3" s="1"/>
  <c r="DJ51" i="2"/>
  <c r="DO59" i="3" l="1" a="1"/>
  <c r="DO59" i="3" s="1"/>
  <c r="DL18" i="3"/>
  <c r="DK37" i="3"/>
  <c r="DK58" i="3" s="1"/>
  <c r="DK60" i="3" s="1"/>
  <c r="DO6" i="3"/>
  <c r="DO65" i="3" s="1"/>
  <c r="DM16" i="3"/>
  <c r="DM18" i="3" s="1"/>
  <c r="DL21" i="3"/>
  <c r="DL34" i="3" s="1"/>
  <c r="DN7" i="3"/>
  <c r="DN8" i="3"/>
  <c r="DN25" i="3" s="1"/>
  <c r="DN30" i="3"/>
  <c r="DN31" i="3"/>
  <c r="DN27" i="3"/>
  <c r="DN36" i="3" a="1"/>
  <c r="DN36" i="3" s="1"/>
  <c r="DN28" i="3"/>
  <c r="DN26" i="3"/>
  <c r="DN24" i="3"/>
  <c r="DN17" i="3"/>
  <c r="DO50" i="2"/>
  <c r="DP5" i="3" s="1"/>
  <c r="DP4" i="3" s="1"/>
  <c r="DK51" i="2"/>
  <c r="DP59" i="3" l="1" a="1"/>
  <c r="DP59" i="3" s="1"/>
  <c r="DL37" i="3"/>
  <c r="DL58" i="3" s="1"/>
  <c r="DL60" i="3" s="1"/>
  <c r="DP6" i="3"/>
  <c r="DP65" i="3" s="1"/>
  <c r="DM20" i="3"/>
  <c r="DM29" i="3" s="1"/>
  <c r="DM32" i="3" s="1"/>
  <c r="DN16" i="3"/>
  <c r="DN20" i="3" s="1"/>
  <c r="DN29" i="3" s="1"/>
  <c r="DN32" i="3" s="1"/>
  <c r="DO8" i="3"/>
  <c r="DO30" i="3"/>
  <c r="DO31" i="3"/>
  <c r="DO28" i="3"/>
  <c r="DO7" i="3"/>
  <c r="DO36" i="3" a="1"/>
  <c r="DO36" i="3" s="1"/>
  <c r="DO26" i="3"/>
  <c r="DO27" i="3"/>
  <c r="DO24" i="3"/>
  <c r="DO25" i="3"/>
  <c r="DO17" i="3"/>
  <c r="DP50" i="2"/>
  <c r="DQ5" i="3" s="1"/>
  <c r="DQ4" i="3" s="1"/>
  <c r="DL51" i="2"/>
  <c r="DQ59" i="3" l="1" a="1"/>
  <c r="DQ59" i="3" s="1"/>
  <c r="DM21" i="3"/>
  <c r="DM34" i="3" s="1"/>
  <c r="DQ6" i="3"/>
  <c r="DQ65" i="3" s="1"/>
  <c r="DO16" i="3"/>
  <c r="DN18" i="3"/>
  <c r="DN21" i="3" s="1"/>
  <c r="DN34" i="3" s="1"/>
  <c r="DO18" i="3"/>
  <c r="DO20" i="3"/>
  <c r="DO29" i="3" s="1"/>
  <c r="DO32" i="3" s="1"/>
  <c r="DP30" i="3"/>
  <c r="DP31" i="3"/>
  <c r="DP28" i="3"/>
  <c r="DP27" i="3"/>
  <c r="DP7" i="3"/>
  <c r="DP24" i="3"/>
  <c r="DP36" i="3" a="1"/>
  <c r="DP36" i="3" s="1"/>
  <c r="DP26" i="3"/>
  <c r="DP8" i="3"/>
  <c r="DP17" i="3" s="1"/>
  <c r="DQ50" i="2"/>
  <c r="DR5" i="3" s="1"/>
  <c r="DR4" i="3" s="1"/>
  <c r="DM51" i="2"/>
  <c r="DR59" i="3" l="1" a="1"/>
  <c r="DR59" i="3" s="1"/>
  <c r="DN37" i="3"/>
  <c r="DN58" i="3" s="1"/>
  <c r="DN60" i="3" s="1"/>
  <c r="DM37" i="3"/>
  <c r="DM58" i="3" s="1"/>
  <c r="DM60" i="3" s="1"/>
  <c r="DP25" i="3"/>
  <c r="DR6" i="3"/>
  <c r="DR65" i="3" s="1"/>
  <c r="DP16" i="3"/>
  <c r="DP18" i="3" s="1"/>
  <c r="DO21" i="3"/>
  <c r="DO34" i="3" s="1"/>
  <c r="DQ30" i="3"/>
  <c r="DQ31" i="3"/>
  <c r="DQ36" i="3" a="1"/>
  <c r="DQ36" i="3" s="1"/>
  <c r="DQ27" i="3"/>
  <c r="DQ24" i="3"/>
  <c r="DQ26" i="3"/>
  <c r="DQ28" i="3"/>
  <c r="DQ8" i="3"/>
  <c r="DQ25" i="3" s="1"/>
  <c r="DQ7" i="3"/>
  <c r="DQ17" i="3"/>
  <c r="DR50" i="2"/>
  <c r="DS5" i="3" s="1"/>
  <c r="DS4" i="3" s="1"/>
  <c r="DN51" i="2"/>
  <c r="DS59" i="3" l="1" a="1"/>
  <c r="DS59" i="3" s="1"/>
  <c r="D56" i="4"/>
  <c r="G55" i="4"/>
  <c r="K56" i="4"/>
  <c r="H55" i="4"/>
  <c r="F57" i="4"/>
  <c r="G56" i="4"/>
  <c r="E62" i="4"/>
  <c r="L56" i="4"/>
  <c r="E57" i="4"/>
  <c r="H56" i="4"/>
  <c r="G62" i="4"/>
  <c r="I56" i="4"/>
  <c r="G57" i="4"/>
  <c r="F62" i="4"/>
  <c r="E56" i="4"/>
  <c r="H57" i="4"/>
  <c r="J56" i="4"/>
  <c r="F56" i="4"/>
  <c r="C56" i="4"/>
  <c r="N56" i="4"/>
  <c r="M56" i="4"/>
  <c r="E55" i="4"/>
  <c r="H62" i="4"/>
  <c r="F55" i="4"/>
  <c r="DO37" i="3"/>
  <c r="DO58" i="3" s="1"/>
  <c r="DO60" i="3" s="1"/>
  <c r="DS6" i="3"/>
  <c r="DS65" i="3" s="1"/>
  <c r="D62" i="4" s="1"/>
  <c r="DP20" i="3"/>
  <c r="DP29" i="3" s="1"/>
  <c r="DP32" i="3" s="1"/>
  <c r="DQ16" i="3"/>
  <c r="DQ20" i="3" s="1"/>
  <c r="DQ29" i="3" s="1"/>
  <c r="DQ32" i="3" s="1"/>
  <c r="DP21" i="3"/>
  <c r="DS8" i="3"/>
  <c r="DS30" i="3"/>
  <c r="DS31" i="3"/>
  <c r="DS36" i="3" a="1"/>
  <c r="DS36" i="3" s="1"/>
  <c r="DS27" i="3"/>
  <c r="DS25" i="3"/>
  <c r="DS17" i="3"/>
  <c r="DS28" i="3"/>
  <c r="DS26" i="3"/>
  <c r="DS24" i="3"/>
  <c r="DS7" i="3"/>
  <c r="DR7" i="3"/>
  <c r="DR30" i="3"/>
  <c r="DR31" i="3"/>
  <c r="DR28" i="3"/>
  <c r="DR27" i="3"/>
  <c r="DR24" i="3"/>
  <c r="DR26" i="3"/>
  <c r="DR36" i="3" a="1"/>
  <c r="DR36" i="3" s="1"/>
  <c r="DR8" i="3"/>
  <c r="DR25" i="3" s="1"/>
  <c r="DO51" i="2"/>
  <c r="K62" i="4" l="1"/>
  <c r="C62" i="4"/>
  <c r="M62" i="4"/>
  <c r="N62" i="4"/>
  <c r="I62" i="4"/>
  <c r="L62" i="4"/>
  <c r="J62" i="4"/>
  <c r="DP34" i="3"/>
  <c r="DQ18" i="3"/>
  <c r="DS16" i="3"/>
  <c r="DS18" i="3" s="1"/>
  <c r="DR17" i="3"/>
  <c r="DQ21" i="3"/>
  <c r="DQ34" i="3" s="1"/>
  <c r="DR16" i="3"/>
  <c r="DP51" i="2"/>
  <c r="DS20" i="3" l="1"/>
  <c r="DS29" i="3" s="1"/>
  <c r="DS32" i="3" s="1"/>
  <c r="DQ37" i="3"/>
  <c r="DQ58" i="3" s="1"/>
  <c r="DQ60" i="3" s="1"/>
  <c r="DP37" i="3"/>
  <c r="DP58" i="3" s="1"/>
  <c r="DP60" i="3" s="1"/>
  <c r="DR18" i="3"/>
  <c r="DR20" i="3"/>
  <c r="DR29" i="3" s="1"/>
  <c r="DR32" i="3" s="1"/>
  <c r="DS21" i="3"/>
  <c r="DQ51" i="2"/>
  <c r="DS34" i="3" l="1"/>
  <c r="DR21" i="3"/>
  <c r="DS37" i="3"/>
  <c r="DS58" i="3" s="1"/>
  <c r="DS60" i="3" s="1"/>
  <c r="DR34" i="3"/>
  <c r="DR51" i="2"/>
  <c r="L27" i="4"/>
  <c r="DR37" i="3" l="1"/>
  <c r="DR58" i="3" s="1"/>
  <c r="DR60" i="3" s="1"/>
  <c r="L5" i="4"/>
  <c r="I33" i="4"/>
  <c r="F26" i="4"/>
  <c r="L23" i="4"/>
  <c r="M31" i="4"/>
  <c r="Q6" i="11" s="1"/>
  <c r="F18" i="4"/>
  <c r="J21" i="4"/>
  <c r="C8" i="4"/>
  <c r="J29" i="4"/>
  <c r="L26" i="4"/>
  <c r="D31" i="3"/>
  <c r="D28" i="4" s="1"/>
  <c r="I14" i="4"/>
  <c r="I22" i="4"/>
  <c r="E15" i="4"/>
  <c r="M23" i="4"/>
  <c r="G31" i="4"/>
  <c r="K6" i="11" s="1"/>
  <c r="E21" i="4"/>
  <c r="H34" i="4"/>
  <c r="K24" i="4"/>
  <c r="L17" i="4"/>
  <c r="E13" i="4"/>
  <c r="H19" i="4"/>
  <c r="M29" i="4"/>
  <c r="E40" i="3"/>
  <c r="E63" i="3" s="1"/>
  <c r="E41" i="3"/>
  <c r="E64" i="3" s="1"/>
  <c r="J18" i="4"/>
  <c r="H18" i="4"/>
  <c r="H15" i="4"/>
  <c r="K31" i="4"/>
  <c r="O6" i="11" s="1"/>
  <c r="D7" i="3"/>
  <c r="D5" i="4" s="1"/>
  <c r="E24" i="4"/>
  <c r="M16" i="4"/>
  <c r="H23" i="4"/>
  <c r="J22" i="4"/>
  <c r="D28" i="3"/>
  <c r="E28" i="4"/>
  <c r="G29" i="4"/>
  <c r="G16" i="4"/>
  <c r="I21" i="4"/>
  <c r="M26" i="4"/>
  <c r="I27" i="4"/>
  <c r="M24" i="4"/>
  <c r="F5" i="4"/>
  <c r="E29" i="4"/>
  <c r="M17" i="4"/>
  <c r="I28" i="4"/>
  <c r="G25" i="4"/>
  <c r="F14" i="4"/>
  <c r="H24" i="4"/>
  <c r="M15" i="4"/>
  <c r="I24" i="4"/>
  <c r="M25" i="4"/>
  <c r="J23" i="4"/>
  <c r="D30" i="3"/>
  <c r="I18" i="4"/>
  <c r="L28" i="4"/>
  <c r="G28" i="4"/>
  <c r="F23" i="4"/>
  <c r="C9" i="4"/>
  <c r="D40" i="3"/>
  <c r="D63" i="3" s="1"/>
  <c r="J17" i="4"/>
  <c r="K17" i="4"/>
  <c r="E16" i="4"/>
  <c r="H26" i="4"/>
  <c r="M19" i="4"/>
  <c r="K21" i="4"/>
  <c r="C2" i="8"/>
  <c r="I19" i="4"/>
  <c r="K23" i="4"/>
  <c r="M27" i="4"/>
  <c r="J28" i="4"/>
  <c r="I17" i="4"/>
  <c r="E14" i="4"/>
  <c r="H21" i="4"/>
  <c r="H29" i="4"/>
  <c r="L18" i="4"/>
  <c r="C10" i="4"/>
  <c r="G13" i="4"/>
  <c r="H13" i="4"/>
  <c r="F33" i="4"/>
  <c r="L16" i="4"/>
  <c r="I31" i="4"/>
  <c r="M6" i="11" s="1"/>
  <c r="F27" i="4"/>
  <c r="L13" i="4"/>
  <c r="F13" i="4"/>
  <c r="J13" i="4"/>
  <c r="H27" i="4"/>
  <c r="J26" i="4"/>
  <c r="L31" i="4"/>
  <c r="P6" i="11" s="1"/>
  <c r="K28" i="4"/>
  <c r="I5" i="4"/>
  <c r="G22" i="4"/>
  <c r="G15" i="4"/>
  <c r="E23" i="4"/>
  <c r="K22" i="4"/>
  <c r="L14" i="4"/>
  <c r="G23" i="4"/>
  <c r="I26" i="4"/>
  <c r="F29" i="4"/>
  <c r="D36" i="3" a="1"/>
  <c r="D36" i="3" s="1"/>
  <c r="D33" i="4" s="1"/>
  <c r="G17" i="4"/>
  <c r="K26" i="4"/>
  <c r="F17" i="4"/>
  <c r="G21" i="4"/>
  <c r="I25" i="4"/>
  <c r="H25" i="4"/>
  <c r="F25" i="4"/>
  <c r="D16" i="4"/>
  <c r="I29" i="4"/>
  <c r="M18" i="4"/>
  <c r="H28" i="4"/>
  <c r="J16" i="4"/>
  <c r="F15" i="4"/>
  <c r="H22" i="4"/>
  <c r="F28" i="4"/>
  <c r="J15" i="4"/>
  <c r="G14" i="4"/>
  <c r="I23" i="4"/>
  <c r="F31" i="4"/>
  <c r="J6" i="11" s="1"/>
  <c r="L15" i="4"/>
  <c r="J19" i="4"/>
  <c r="G18" i="4"/>
  <c r="K13" i="4"/>
  <c r="D26" i="3"/>
  <c r="D23" i="4" s="1"/>
  <c r="E25" i="4"/>
  <c r="F22" i="4"/>
  <c r="M28" i="4"/>
  <c r="E19" i="4"/>
  <c r="H33" i="4"/>
  <c r="J5" i="4"/>
  <c r="H14" i="4"/>
  <c r="E34" i="4"/>
  <c r="L22" i="4"/>
  <c r="J24" i="4"/>
  <c r="E27" i="4"/>
  <c r="J14" i="4"/>
  <c r="H5" i="4"/>
  <c r="M34" i="4"/>
  <c r="K27" i="4"/>
  <c r="I13" i="4"/>
  <c r="H17" i="4"/>
  <c r="L25" i="4"/>
  <c r="K19" i="4"/>
  <c r="L33" i="4"/>
  <c r="M33" i="4"/>
  <c r="K25" i="4"/>
  <c r="D27" i="3"/>
  <c r="D24" i="4" s="1"/>
  <c r="G34" i="4"/>
  <c r="M5" i="4"/>
  <c r="K29" i="4"/>
  <c r="I15" i="4"/>
  <c r="E31" i="4"/>
  <c r="I6" i="11" s="1"/>
  <c r="I34" i="4"/>
  <c r="E26" i="4"/>
  <c r="G19" i="4"/>
  <c r="K5" i="4"/>
  <c r="D24" i="3"/>
  <c r="D21" i="4" s="1"/>
  <c r="D19" i="4"/>
  <c r="J34" i="4"/>
  <c r="L21" i="4"/>
  <c r="J33" i="4"/>
  <c r="E33" i="4"/>
  <c r="K33" i="4"/>
  <c r="J27" i="4"/>
  <c r="M13" i="4"/>
  <c r="G33" i="4"/>
  <c r="H31" i="4"/>
  <c r="L6" i="11" s="1"/>
  <c r="K16" i="4"/>
  <c r="E22" i="4"/>
  <c r="D41" i="3"/>
  <c r="F21" i="4"/>
  <c r="C5" i="4"/>
  <c r="M14" i="4"/>
  <c r="M22" i="4"/>
  <c r="G27" i="4"/>
  <c r="F19" i="4"/>
  <c r="I16" i="4"/>
  <c r="F34" i="4"/>
  <c r="K18" i="4"/>
  <c r="K15" i="4"/>
  <c r="L29" i="4"/>
  <c r="G5" i="4"/>
  <c r="F16" i="4"/>
  <c r="E18" i="4"/>
  <c r="E17" i="4"/>
  <c r="K14" i="4"/>
  <c r="K34" i="4"/>
  <c r="L34" i="4"/>
  <c r="E5" i="4"/>
  <c r="J31" i="4"/>
  <c r="N6" i="11" s="1"/>
  <c r="G24" i="4"/>
  <c r="H16" i="4"/>
  <c r="J25" i="4"/>
  <c r="D8" i="3"/>
  <c r="D25" i="3" s="1"/>
  <c r="D22" i="4" s="1"/>
  <c r="G26" i="4"/>
  <c r="F24" i="4"/>
  <c r="M21" i="4"/>
  <c r="L19" i="4"/>
  <c r="L24" i="4"/>
  <c r="C42" i="4" l="1"/>
  <c r="E17" i="5"/>
  <c r="J7" i="11"/>
  <c r="J8" i="11"/>
  <c r="K7" i="11"/>
  <c r="K8" i="11"/>
  <c r="I8" i="11"/>
  <c r="I7" i="11"/>
  <c r="N8" i="11"/>
  <c r="N7" i="11"/>
  <c r="P8" i="11"/>
  <c r="P7" i="11"/>
  <c r="O8" i="11"/>
  <c r="O7" i="11"/>
  <c r="L8" i="11"/>
  <c r="L7" i="11"/>
  <c r="Q8" i="11"/>
  <c r="Q7" i="11"/>
  <c r="M8" i="11"/>
  <c r="M7" i="11"/>
  <c r="D27" i="4"/>
  <c r="D16" i="3"/>
  <c r="D20" i="3" s="1"/>
  <c r="D17" i="4" s="1"/>
  <c r="J55" i="4"/>
  <c r="N55" i="4"/>
  <c r="C55" i="4"/>
  <c r="L55" i="4"/>
  <c r="K55" i="4"/>
  <c r="M55" i="4"/>
  <c r="I55" i="4"/>
  <c r="D42" i="3"/>
  <c r="D64" i="3"/>
  <c r="D66" i="3" s="1"/>
  <c r="E66" i="3"/>
  <c r="E69" i="3" s="1"/>
  <c r="D25" i="4"/>
  <c r="E42" i="3"/>
  <c r="E45" i="3" s="1"/>
  <c r="D17" i="3"/>
  <c r="D14" i="4" s="1"/>
  <c r="F41" i="3"/>
  <c r="F64" i="3" s="1"/>
  <c r="F40" i="3"/>
  <c r="F63" i="3" s="1"/>
  <c r="C14" i="8"/>
  <c r="D14" i="8" s="1"/>
  <c r="C13" i="8"/>
  <c r="D13" i="8" s="1"/>
  <c r="D2" i="8"/>
  <c r="G13" i="5" s="1"/>
  <c r="G15" i="5" s="1"/>
  <c r="C6" i="8"/>
  <c r="D6" i="8" s="1"/>
  <c r="C17" i="8"/>
  <c r="D17" i="8" s="1"/>
  <c r="C16" i="8"/>
  <c r="D16" i="8" s="1"/>
  <c r="C19" i="8"/>
  <c r="D19" i="8" s="1"/>
  <c r="C5" i="8"/>
  <c r="D5" i="8" s="1"/>
  <c r="C9" i="8"/>
  <c r="D9" i="8" s="1"/>
  <c r="C15" i="8"/>
  <c r="D15" i="8" s="1"/>
  <c r="C20" i="8"/>
  <c r="D20" i="8" s="1"/>
  <c r="D5" i="9" l="1"/>
  <c r="D6" i="9"/>
  <c r="D7" i="9" s="1"/>
  <c r="E29" i="9"/>
  <c r="M57" i="4"/>
  <c r="J57" i="4"/>
  <c r="K57" i="4"/>
  <c r="N57" i="4"/>
  <c r="I57" i="4"/>
  <c r="L57" i="4"/>
  <c r="C57" i="4"/>
  <c r="F66" i="3"/>
  <c r="F69" i="3" s="1"/>
  <c r="D13" i="4"/>
  <c r="D29" i="3"/>
  <c r="C18" i="8" s="1"/>
  <c r="D18" i="8" s="1"/>
  <c r="D21" i="8" s="1"/>
  <c r="G20" i="5" s="1"/>
  <c r="F42" i="3"/>
  <c r="F45" i="3" s="1"/>
  <c r="G41" i="3"/>
  <c r="G64" i="3" s="1"/>
  <c r="G40" i="3"/>
  <c r="G63" i="3" s="1"/>
  <c r="D18" i="3"/>
  <c r="D7" i="8"/>
  <c r="E37" i="9" l="1"/>
  <c r="E38" i="9"/>
  <c r="E42" i="9"/>
  <c r="D10" i="8"/>
  <c r="G19" i="5" s="1"/>
  <c r="G18" i="5"/>
  <c r="G66" i="3"/>
  <c r="G69" i="3" s="1"/>
  <c r="D26" i="4"/>
  <c r="D23" i="8"/>
  <c r="D32" i="3"/>
  <c r="G42" i="3"/>
  <c r="G45" i="3" s="1"/>
  <c r="D21" i="3"/>
  <c r="D15" i="4"/>
  <c r="C7" i="8"/>
  <c r="D29" i="4"/>
  <c r="F20" i="5" s="1"/>
  <c r="C21" i="8"/>
  <c r="H40" i="3"/>
  <c r="H63" i="3" s="1"/>
  <c r="H41" i="3"/>
  <c r="H64" i="3" s="1"/>
  <c r="E43" i="9" l="1"/>
  <c r="E47" i="9" s="1"/>
  <c r="E22" i="9"/>
  <c r="E44" i="9"/>
  <c r="E40" i="9"/>
  <c r="E15" i="9"/>
  <c r="E39" i="9"/>
  <c r="F35" i="9" s="1"/>
  <c r="D14" i="2"/>
  <c r="D15" i="2" s="1"/>
  <c r="F18" i="5"/>
  <c r="D26" i="8"/>
  <c r="G21" i="5"/>
  <c r="H66" i="3"/>
  <c r="H69" i="3" s="1"/>
  <c r="I41" i="3"/>
  <c r="I64" i="3" s="1"/>
  <c r="I40" i="3"/>
  <c r="H42" i="3"/>
  <c r="H45" i="3" s="1"/>
  <c r="D18" i="4"/>
  <c r="F19" i="5" s="1"/>
  <c r="D34" i="3"/>
  <c r="C10" i="8"/>
  <c r="E48" i="9" l="1"/>
  <c r="E16" i="9" s="1"/>
  <c r="E49" i="9"/>
  <c r="E23" i="9" s="1"/>
  <c r="E18" i="9"/>
  <c r="F36" i="9"/>
  <c r="E25" i="9"/>
  <c r="D27" i="8"/>
  <c r="D28" i="8" s="1"/>
  <c r="G23" i="5" s="1"/>
  <c r="G22" i="5"/>
  <c r="I42" i="3"/>
  <c r="I45" i="3" s="1"/>
  <c r="I63" i="3"/>
  <c r="I66" i="3" s="1"/>
  <c r="I69" i="3" s="1"/>
  <c r="D31" i="4"/>
  <c r="D37" i="3"/>
  <c r="D58" i="3" s="1"/>
  <c r="D60" i="3" s="1"/>
  <c r="D69" i="3" s="1"/>
  <c r="C23" i="8"/>
  <c r="J40" i="3"/>
  <c r="J63" i="3" s="1"/>
  <c r="J41" i="3"/>
  <c r="J64" i="3" s="1"/>
  <c r="E50" i="9" l="1"/>
  <c r="F21" i="5"/>
  <c r="H6" i="11"/>
  <c r="J66" i="3"/>
  <c r="J69" i="3" s="1"/>
  <c r="D45" i="3"/>
  <c r="K40" i="3"/>
  <c r="K63" i="3" s="1"/>
  <c r="K41" i="3"/>
  <c r="K64" i="3" s="1"/>
  <c r="J42" i="3"/>
  <c r="J45" i="3" s="1"/>
  <c r="D34" i="4"/>
  <c r="H7" i="11" l="1"/>
  <c r="H8" i="11"/>
  <c r="D55" i="4"/>
  <c r="K66" i="3"/>
  <c r="K69" i="3" s="1"/>
  <c r="L40" i="3"/>
  <c r="L63" i="3" s="1"/>
  <c r="L41" i="3"/>
  <c r="L64" i="3" s="1"/>
  <c r="K42" i="3"/>
  <c r="K45" i="3" s="1"/>
  <c r="G33" i="5" l="1"/>
  <c r="G32" i="5"/>
  <c r="D33" i="5"/>
  <c r="D32" i="5"/>
  <c r="D57" i="4"/>
  <c r="L66" i="3"/>
  <c r="L69" i="3" s="1"/>
  <c r="L42" i="3"/>
  <c r="L45" i="3" s="1"/>
  <c r="M41" i="3"/>
  <c r="M64" i="3" s="1"/>
  <c r="M40" i="3"/>
  <c r="M63" i="3" s="1"/>
  <c r="M66" i="3" l="1"/>
  <c r="M69" i="3" s="1"/>
  <c r="M42" i="3"/>
  <c r="M45" i="3" s="1"/>
  <c r="N41" i="3"/>
  <c r="N64" i="3" s="1"/>
  <c r="N40" i="3"/>
  <c r="N63" i="3" s="1"/>
  <c r="N66" i="3" l="1"/>
  <c r="N69" i="3" s="1"/>
  <c r="N42" i="3"/>
  <c r="N45" i="3" s="1"/>
  <c r="P40" i="3"/>
  <c r="P63" i="3" s="1"/>
  <c r="P41" i="3"/>
  <c r="P64" i="3" s="1"/>
  <c r="O40" i="3"/>
  <c r="O63" i="3" s="1"/>
  <c r="O41" i="3"/>
  <c r="D38" i="4" l="1"/>
  <c r="O64" i="3"/>
  <c r="O66" i="3" s="1"/>
  <c r="O69" i="3" s="1"/>
  <c r="P66" i="3"/>
  <c r="P69" i="3" s="1"/>
  <c r="P42" i="3"/>
  <c r="P45" i="3" s="1"/>
  <c r="Q41" i="3"/>
  <c r="Q64" i="3" s="1"/>
  <c r="Q40" i="3"/>
  <c r="Q63" i="3" s="1"/>
  <c r="O42" i="3"/>
  <c r="O45" i="3" s="1"/>
  <c r="D37" i="4"/>
  <c r="Q66" i="3" l="1"/>
  <c r="Q69" i="3" s="1"/>
  <c r="R40" i="3"/>
  <c r="R63" i="3" s="1"/>
  <c r="R41" i="3"/>
  <c r="R64" i="3" s="1"/>
  <c r="Q42" i="3"/>
  <c r="Q45" i="3" s="1"/>
  <c r="D39" i="4"/>
  <c r="D42" i="4" s="1"/>
  <c r="F29" i="9" s="1"/>
  <c r="F37" i="9" l="1"/>
  <c r="F38" i="9"/>
  <c r="F43" i="9" s="1"/>
  <c r="R66" i="3"/>
  <c r="R69" i="3" s="1"/>
  <c r="R42" i="3"/>
  <c r="R45" i="3" s="1"/>
  <c r="S40" i="3"/>
  <c r="S63" i="3" s="1"/>
  <c r="S41" i="3"/>
  <c r="S64" i="3" s="1"/>
  <c r="F42" i="9" l="1"/>
  <c r="F22" i="9" s="1"/>
  <c r="F15" i="9"/>
  <c r="F40" i="9"/>
  <c r="F39" i="9"/>
  <c r="G35" i="9" s="1"/>
  <c r="F44" i="9"/>
  <c r="F47" i="9"/>
  <c r="S66" i="3"/>
  <c r="S69" i="3" s="1"/>
  <c r="S42" i="3"/>
  <c r="S45" i="3" s="1"/>
  <c r="T41" i="3"/>
  <c r="T64" i="3" s="1"/>
  <c r="T40" i="3"/>
  <c r="T63" i="3" s="1"/>
  <c r="G36" i="9" l="1"/>
  <c r="F48" i="9"/>
  <c r="F16" i="9" s="1"/>
  <c r="F49" i="9"/>
  <c r="F23" i="9" s="1"/>
  <c r="T66" i="3"/>
  <c r="T69" i="3" s="1"/>
  <c r="T42" i="3"/>
  <c r="T45" i="3" s="1"/>
  <c r="U40" i="3"/>
  <c r="U63" i="3" s="1"/>
  <c r="U41" i="3"/>
  <c r="U64" i="3" s="1"/>
  <c r="F50" i="9" l="1"/>
  <c r="F25" i="9"/>
  <c r="F18" i="9"/>
  <c r="U66" i="3"/>
  <c r="U69" i="3" s="1"/>
  <c r="U42" i="3"/>
  <c r="U45" i="3" s="1"/>
  <c r="V41" i="3"/>
  <c r="V64" i="3" s="1"/>
  <c r="V40" i="3"/>
  <c r="V63" i="3" s="1"/>
  <c r="V66" i="3" l="1"/>
  <c r="V69" i="3" s="1"/>
  <c r="V42" i="3"/>
  <c r="V45" i="3" s="1"/>
  <c r="W41" i="3"/>
  <c r="W64" i="3" s="1"/>
  <c r="W40" i="3"/>
  <c r="W63" i="3" s="1"/>
  <c r="W66" i="3" l="1"/>
  <c r="W69" i="3" s="1"/>
  <c r="X41" i="3"/>
  <c r="X64" i="3" s="1"/>
  <c r="X40" i="3"/>
  <c r="X63" i="3" s="1"/>
  <c r="W42" i="3"/>
  <c r="W45" i="3" s="1"/>
  <c r="X66" i="3" l="1"/>
  <c r="X69" i="3" s="1"/>
  <c r="X42" i="3"/>
  <c r="X45" i="3" s="1"/>
  <c r="Y41" i="3"/>
  <c r="Y64" i="3" s="1"/>
  <c r="Y40" i="3"/>
  <c r="Y63" i="3" s="1"/>
  <c r="Y66" i="3" l="1"/>
  <c r="Y69" i="3" s="1"/>
  <c r="Y42" i="3"/>
  <c r="Y45" i="3" s="1"/>
  <c r="Z41" i="3"/>
  <c r="Z64" i="3" s="1"/>
  <c r="Z40" i="3"/>
  <c r="Z63" i="3" s="1"/>
  <c r="Z66" i="3" l="1"/>
  <c r="Z69" i="3" s="1"/>
  <c r="Z42" i="3"/>
  <c r="Z45" i="3" s="1"/>
  <c r="AA40" i="3"/>
  <c r="AA63" i="3" s="1"/>
  <c r="AA41" i="3"/>
  <c r="AA64" i="3" s="1"/>
  <c r="AA66" i="3" l="1"/>
  <c r="AA69" i="3" s="1"/>
  <c r="AA42" i="3"/>
  <c r="AA45" i="3" s="1"/>
  <c r="AB41" i="3"/>
  <c r="AB64" i="3" s="1"/>
  <c r="AB40" i="3"/>
  <c r="AB63" i="3" s="1"/>
  <c r="AB66" i="3" l="1"/>
  <c r="AB69" i="3" s="1"/>
  <c r="AB42" i="3"/>
  <c r="AB45" i="3" s="1"/>
  <c r="AC40" i="3"/>
  <c r="AC63" i="3" s="1"/>
  <c r="AC41" i="3"/>
  <c r="AC64" i="3" s="1"/>
  <c r="AC66" i="3" l="1"/>
  <c r="AC69" i="3" s="1"/>
  <c r="AC42" i="3"/>
  <c r="AC45" i="3" s="1"/>
  <c r="AD40" i="3"/>
  <c r="AD63" i="3" s="1"/>
  <c r="AD41" i="3"/>
  <c r="AD64" i="3" s="1"/>
  <c r="AD66" i="3" l="1"/>
  <c r="AD69" i="3" s="1"/>
  <c r="AE40" i="3"/>
  <c r="AE63" i="3" s="1"/>
  <c r="AE41" i="3"/>
  <c r="AE64" i="3" s="1"/>
  <c r="AD42" i="3"/>
  <c r="AD45" i="3" s="1"/>
  <c r="AE66" i="3" l="1"/>
  <c r="AE69" i="3" s="1"/>
  <c r="AE42" i="3"/>
  <c r="AE45" i="3" s="1"/>
  <c r="AF41" i="3"/>
  <c r="AF64" i="3" s="1"/>
  <c r="AF40" i="3"/>
  <c r="AF63" i="3" s="1"/>
  <c r="AF66" i="3" l="1"/>
  <c r="AF69" i="3" s="1"/>
  <c r="AF42" i="3"/>
  <c r="AF45" i="3" s="1"/>
  <c r="AG40" i="3"/>
  <c r="AG63" i="3" s="1"/>
  <c r="AG41" i="3"/>
  <c r="AG64" i="3" s="1"/>
  <c r="AG66" i="3" l="1"/>
  <c r="AG69" i="3" s="1"/>
  <c r="AG42" i="3"/>
  <c r="AG45" i="3" s="1"/>
  <c r="AH40" i="3"/>
  <c r="AH63" i="3" s="1"/>
  <c r="AH41" i="3"/>
  <c r="AH64" i="3" s="1"/>
  <c r="AH66" i="3" l="1"/>
  <c r="AH69" i="3" s="1"/>
  <c r="AH42" i="3"/>
  <c r="AH45" i="3" s="1"/>
  <c r="AI41" i="3"/>
  <c r="AI64" i="3" s="1"/>
  <c r="AI40" i="3"/>
  <c r="AI63" i="3" s="1"/>
  <c r="AI66" i="3" l="1"/>
  <c r="AI69" i="3" s="1"/>
  <c r="AI42" i="3"/>
  <c r="AI45" i="3" s="1"/>
  <c r="AJ40" i="3"/>
  <c r="AJ63" i="3" s="1"/>
  <c r="AJ41" i="3"/>
  <c r="AJ64" i="3" s="1"/>
  <c r="AJ66" i="3" l="1"/>
  <c r="AJ69" i="3" s="1"/>
  <c r="AJ42" i="3"/>
  <c r="AJ45" i="3" s="1"/>
  <c r="AK41" i="3"/>
  <c r="AK64" i="3" s="1"/>
  <c r="AK40" i="3"/>
  <c r="AK63" i="3" s="1"/>
  <c r="AK66" i="3" l="1"/>
  <c r="AK69" i="3" s="1"/>
  <c r="AK42" i="3"/>
  <c r="AK45" i="3" s="1"/>
  <c r="AL40" i="3"/>
  <c r="AL63" i="3" s="1"/>
  <c r="AL41" i="3"/>
  <c r="AL64" i="3" s="1"/>
  <c r="AL66" i="3" l="1"/>
  <c r="AL69" i="3" s="1"/>
  <c r="AL42" i="3"/>
  <c r="AL45" i="3" s="1"/>
  <c r="AM40" i="3"/>
  <c r="AM63" i="3" s="1"/>
  <c r="AM41" i="3"/>
  <c r="AM64" i="3" s="1"/>
  <c r="AM66" i="3" l="1"/>
  <c r="AM69" i="3" s="1"/>
  <c r="AN41" i="3"/>
  <c r="AN64" i="3" s="1"/>
  <c r="AN40" i="3"/>
  <c r="AN63" i="3" s="1"/>
  <c r="AM42" i="3"/>
  <c r="AM45" i="3" s="1"/>
  <c r="AN66" i="3" l="1"/>
  <c r="AN69" i="3" s="1"/>
  <c r="AN42" i="3"/>
  <c r="AN45" i="3" s="1"/>
  <c r="AO41" i="3"/>
  <c r="AO64" i="3" s="1"/>
  <c r="AO40" i="3"/>
  <c r="AO63" i="3" s="1"/>
  <c r="AO66" i="3" l="1"/>
  <c r="AO69" i="3" s="1"/>
  <c r="AO42" i="3"/>
  <c r="AO45" i="3" s="1"/>
  <c r="AP41" i="3"/>
  <c r="AP64" i="3" s="1"/>
  <c r="AP40" i="3"/>
  <c r="AP63" i="3" s="1"/>
  <c r="AP66" i="3" l="1"/>
  <c r="AP69" i="3" s="1"/>
  <c r="AQ41" i="3"/>
  <c r="AQ64" i="3" s="1"/>
  <c r="AQ40" i="3"/>
  <c r="AQ63" i="3" s="1"/>
  <c r="AP42" i="3"/>
  <c r="AP45" i="3" s="1"/>
  <c r="AQ66" i="3" l="1"/>
  <c r="AQ69" i="3" s="1"/>
  <c r="AQ42" i="3"/>
  <c r="AQ45" i="3" s="1"/>
  <c r="AR40" i="3"/>
  <c r="AR63" i="3" s="1"/>
  <c r="AR41" i="3"/>
  <c r="AR64" i="3" s="1"/>
  <c r="AR66" i="3" l="1"/>
  <c r="AR69" i="3" s="1"/>
  <c r="AR42" i="3"/>
  <c r="AR45" i="3" s="1"/>
  <c r="AS40" i="3"/>
  <c r="AS63" i="3" s="1"/>
  <c r="AS41" i="3"/>
  <c r="AS64" i="3" s="1"/>
  <c r="AS66" i="3" l="1"/>
  <c r="AS69" i="3" s="1"/>
  <c r="AS42" i="3"/>
  <c r="AS45" i="3" s="1"/>
  <c r="AT40" i="3"/>
  <c r="AT63" i="3" s="1"/>
  <c r="AT41" i="3"/>
  <c r="AT64" i="3" s="1"/>
  <c r="AT66" i="3" l="1"/>
  <c r="AT69" i="3" s="1"/>
  <c r="AT42" i="3"/>
  <c r="AT45" i="3" s="1"/>
  <c r="AU40" i="3"/>
  <c r="AU63" i="3" s="1"/>
  <c r="AU41" i="3"/>
  <c r="AU64" i="3" s="1"/>
  <c r="AU66" i="3" l="1"/>
  <c r="AU69" i="3" s="1"/>
  <c r="AV40" i="3"/>
  <c r="AV63" i="3" s="1"/>
  <c r="AV41" i="3"/>
  <c r="AV64" i="3" s="1"/>
  <c r="AU42" i="3"/>
  <c r="AU45" i="3" s="1"/>
  <c r="AV66" i="3" l="1"/>
  <c r="AV69" i="3" s="1"/>
  <c r="AV42" i="3"/>
  <c r="AV45" i="3" s="1"/>
  <c r="AW41" i="3"/>
  <c r="AW64" i="3" s="1"/>
  <c r="AW40" i="3"/>
  <c r="AW63" i="3" s="1"/>
  <c r="AW66" i="3" l="1"/>
  <c r="AW69" i="3" s="1"/>
  <c r="AW42" i="3"/>
  <c r="AW45" i="3" s="1"/>
  <c r="AX41" i="3"/>
  <c r="AX64" i="3" s="1"/>
  <c r="AX40" i="3"/>
  <c r="AX63" i="3" s="1"/>
  <c r="AX66" i="3" l="1"/>
  <c r="AX69" i="3" s="1"/>
  <c r="AX42" i="3"/>
  <c r="AX45" i="3" s="1"/>
  <c r="AY40" i="3"/>
  <c r="AY63" i="3" s="1"/>
  <c r="AY41" i="3"/>
  <c r="AY64" i="3" s="1"/>
  <c r="AY66" i="3" l="1"/>
  <c r="AY69" i="3" s="1"/>
  <c r="AY42" i="3"/>
  <c r="AY45" i="3" s="1"/>
  <c r="AZ41" i="3"/>
  <c r="AZ64" i="3" s="1"/>
  <c r="AZ40" i="3"/>
  <c r="AZ63" i="3" s="1"/>
  <c r="AZ66" i="3" l="1"/>
  <c r="AZ69" i="3" s="1"/>
  <c r="AZ42" i="3"/>
  <c r="AZ45" i="3" s="1"/>
  <c r="BA40" i="3"/>
  <c r="BA63" i="3" s="1"/>
  <c r="BA41" i="3"/>
  <c r="BA64" i="3" s="1"/>
  <c r="BA66" i="3" l="1"/>
  <c r="BA69" i="3" s="1"/>
  <c r="BA42" i="3"/>
  <c r="BA45" i="3" s="1"/>
  <c r="BB41" i="3"/>
  <c r="BB64" i="3" s="1"/>
  <c r="BB40" i="3"/>
  <c r="BB63" i="3" s="1"/>
  <c r="BB66" i="3" l="1"/>
  <c r="BB69" i="3" s="1"/>
  <c r="BB42" i="3"/>
  <c r="BB45" i="3" s="1"/>
  <c r="BC40" i="3"/>
  <c r="BC63" i="3" s="1"/>
  <c r="BC41" i="3"/>
  <c r="BC64" i="3" s="1"/>
  <c r="BC66" i="3" l="1"/>
  <c r="BC69" i="3" s="1"/>
  <c r="BC42" i="3"/>
  <c r="BC45" i="3" s="1"/>
  <c r="BD40" i="3"/>
  <c r="BD63" i="3" s="1"/>
  <c r="BD41" i="3"/>
  <c r="BD64" i="3" s="1"/>
  <c r="BD66" i="3" l="1"/>
  <c r="BD69" i="3" s="1"/>
  <c r="BD42" i="3"/>
  <c r="BD45" i="3" s="1"/>
  <c r="BE40" i="3"/>
  <c r="BE63" i="3" s="1"/>
  <c r="BE41" i="3"/>
  <c r="BE64" i="3" s="1"/>
  <c r="BE66" i="3" l="1"/>
  <c r="BE69" i="3" s="1"/>
  <c r="BE42" i="3"/>
  <c r="BE45" i="3" s="1"/>
  <c r="BF41" i="3"/>
  <c r="BF64" i="3" s="1"/>
  <c r="BF40" i="3"/>
  <c r="BF63" i="3" s="1"/>
  <c r="BF66" i="3" l="1"/>
  <c r="BF69" i="3" s="1"/>
  <c r="BG40" i="3"/>
  <c r="BG63" i="3" s="1"/>
  <c r="BG41" i="3"/>
  <c r="BG64" i="3" s="1"/>
  <c r="BF42" i="3"/>
  <c r="BF45" i="3" s="1"/>
  <c r="BG66" i="3" l="1"/>
  <c r="BG69" i="3" s="1"/>
  <c r="BG42" i="3"/>
  <c r="BG45" i="3" s="1"/>
  <c r="BH41" i="3"/>
  <c r="BH64" i="3" s="1"/>
  <c r="BH40" i="3"/>
  <c r="BH63" i="3" s="1"/>
  <c r="BH66" i="3" l="1"/>
  <c r="BH69" i="3" s="1"/>
  <c r="BH42" i="3"/>
  <c r="BH45" i="3" s="1"/>
  <c r="BI41" i="3"/>
  <c r="BI64" i="3" s="1"/>
  <c r="BI40" i="3"/>
  <c r="BI63" i="3" s="1"/>
  <c r="BI66" i="3" l="1"/>
  <c r="BI69" i="3" s="1"/>
  <c r="BJ41" i="3"/>
  <c r="BJ64" i="3" s="1"/>
  <c r="BJ40" i="3"/>
  <c r="BI42" i="3"/>
  <c r="BI45" i="3" s="1"/>
  <c r="BJ42" i="3" l="1"/>
  <c r="BJ45" i="3" s="1"/>
  <c r="BJ63" i="3"/>
  <c r="BJ66" i="3" s="1"/>
  <c r="BJ69" i="3" s="1"/>
  <c r="BK41" i="3"/>
  <c r="BK64" i="3" s="1"/>
  <c r="BK40" i="3"/>
  <c r="BK63" i="3" s="1"/>
  <c r="BK66" i="3" l="1"/>
  <c r="BK69" i="3" s="1"/>
  <c r="BL41" i="3"/>
  <c r="BL64" i="3" s="1"/>
  <c r="BL40" i="3"/>
  <c r="BL63" i="3" s="1"/>
  <c r="BK42" i="3"/>
  <c r="BK45" i="3" s="1"/>
  <c r="BL66" i="3" l="1"/>
  <c r="BL69" i="3" s="1"/>
  <c r="BL42" i="3"/>
  <c r="BL45" i="3" s="1"/>
  <c r="BM41" i="3"/>
  <c r="BM64" i="3" s="1"/>
  <c r="BM40" i="3"/>
  <c r="BM63" i="3" s="1"/>
  <c r="BM66" i="3" l="1"/>
  <c r="BM69" i="3" s="1"/>
  <c r="BM42" i="3"/>
  <c r="BN40" i="3"/>
  <c r="BN63" i="3" s="1"/>
  <c r="BN41" i="3"/>
  <c r="BN64" i="3" s="1"/>
  <c r="BN66" i="3" l="1"/>
  <c r="BN69" i="3" s="1"/>
  <c r="BM45" i="3"/>
  <c r="BN42" i="3"/>
  <c r="BN45" i="3" s="1"/>
  <c r="BO40" i="3"/>
  <c r="BO63" i="3" s="1"/>
  <c r="BO41" i="3"/>
  <c r="BO64" i="3" s="1"/>
  <c r="BO66" i="3" l="1"/>
  <c r="BO69" i="3" s="1"/>
  <c r="BO42" i="3"/>
  <c r="BP40" i="3"/>
  <c r="BP63" i="3" s="1"/>
  <c r="BP41" i="3"/>
  <c r="BP64" i="3" s="1"/>
  <c r="BP66" i="3" l="1"/>
  <c r="BP69" i="3" s="1"/>
  <c r="BO45" i="3"/>
  <c r="BP42" i="3"/>
  <c r="BP45" i="3" s="1"/>
  <c r="BQ40" i="3"/>
  <c r="BQ63" i="3" s="1"/>
  <c r="BQ41" i="3"/>
  <c r="BQ64" i="3" s="1"/>
  <c r="BQ66" i="3" l="1"/>
  <c r="BQ69" i="3" s="1"/>
  <c r="BQ42" i="3"/>
  <c r="BR40" i="3"/>
  <c r="BR63" i="3" s="1"/>
  <c r="BR41" i="3"/>
  <c r="BR64" i="3" s="1"/>
  <c r="BR66" i="3" l="1"/>
  <c r="BR69" i="3" s="1"/>
  <c r="BQ45" i="3"/>
  <c r="BR42" i="3"/>
  <c r="BR45" i="3" s="1"/>
  <c r="BS40" i="3"/>
  <c r="BS63" i="3" s="1"/>
  <c r="BS41" i="3"/>
  <c r="BS64" i="3" s="1"/>
  <c r="BS66" i="3" l="1"/>
  <c r="BS69" i="3" s="1"/>
  <c r="BS42" i="3"/>
  <c r="BT41" i="3"/>
  <c r="BT64" i="3" s="1"/>
  <c r="BT40" i="3"/>
  <c r="BT63" i="3" s="1"/>
  <c r="BT66" i="3" l="1"/>
  <c r="BT69" i="3" s="1"/>
  <c r="BS45" i="3"/>
  <c r="BT42" i="3"/>
  <c r="BT45" i="3" s="1"/>
  <c r="BU41" i="3"/>
  <c r="BU64" i="3" s="1"/>
  <c r="BU40" i="3"/>
  <c r="BU42" i="3" l="1"/>
  <c r="BU45" i="3" s="1"/>
  <c r="BU63" i="3"/>
  <c r="BU66" i="3" s="1"/>
  <c r="BU69" i="3" s="1"/>
  <c r="BV41" i="3"/>
  <c r="BV64" i="3" s="1"/>
  <c r="BV40" i="3"/>
  <c r="BV63" i="3" s="1"/>
  <c r="BV66" i="3" l="1"/>
  <c r="BV69" i="3" s="1"/>
  <c r="BV42" i="3"/>
  <c r="BW40" i="3"/>
  <c r="BW63" i="3" s="1"/>
  <c r="BW41" i="3"/>
  <c r="BW64" i="3" s="1"/>
  <c r="BW66" i="3" l="1"/>
  <c r="BW69" i="3" s="1"/>
  <c r="BV45" i="3"/>
  <c r="BW42" i="3"/>
  <c r="BW45" i="3" s="1"/>
  <c r="BX40" i="3"/>
  <c r="BX63" i="3" s="1"/>
  <c r="BX41" i="3"/>
  <c r="BX64" i="3" s="1"/>
  <c r="BX66" i="3" l="1"/>
  <c r="BX69" i="3" s="1"/>
  <c r="BX42" i="3"/>
  <c r="BX45" i="3" s="1"/>
  <c r="BY40" i="3"/>
  <c r="BY63" i="3" s="1"/>
  <c r="BY41" i="3"/>
  <c r="BY64" i="3" s="1"/>
  <c r="BY66" i="3" l="1"/>
  <c r="BY69" i="3" s="1"/>
  <c r="BY42" i="3"/>
  <c r="BY45" i="3" s="1"/>
  <c r="BZ41" i="3"/>
  <c r="BZ64" i="3" s="1"/>
  <c r="BZ40" i="3"/>
  <c r="BZ63" i="3" s="1"/>
  <c r="BZ66" i="3" s="1"/>
  <c r="BZ69" i="3" s="1"/>
  <c r="BZ42" i="3" l="1"/>
  <c r="BZ45" i="3" s="1"/>
  <c r="CA41" i="3"/>
  <c r="CA64" i="3" s="1"/>
  <c r="CA40" i="3"/>
  <c r="CA63" i="3" s="1"/>
  <c r="CA66" i="3" s="1"/>
  <c r="CA69" i="3" s="1"/>
  <c r="CA42" i="3" l="1"/>
  <c r="CA45" i="3" s="1"/>
  <c r="CB41" i="3"/>
  <c r="CB64" i="3" s="1"/>
  <c r="CB40" i="3"/>
  <c r="CB63" i="3" s="1"/>
  <c r="CB66" i="3" l="1"/>
  <c r="CB69" i="3" s="1"/>
  <c r="CB42" i="3"/>
  <c r="CB45" i="3" s="1"/>
  <c r="CC41" i="3"/>
  <c r="CC64" i="3" s="1"/>
  <c r="CC40" i="3"/>
  <c r="CC63" i="3" s="1"/>
  <c r="CC66" i="3" l="1"/>
  <c r="CC69" i="3" s="1"/>
  <c r="CC42" i="3"/>
  <c r="CC45" i="3" s="1"/>
  <c r="CD40" i="3"/>
  <c r="CD63" i="3" s="1"/>
  <c r="CD41" i="3"/>
  <c r="CD64" i="3" s="1"/>
  <c r="CD66" i="3" l="1"/>
  <c r="CD69" i="3" s="1"/>
  <c r="CD42" i="3"/>
  <c r="CD45" i="3" s="1"/>
  <c r="CE41" i="3"/>
  <c r="CE64" i="3" s="1"/>
  <c r="CE40" i="3"/>
  <c r="CE63" i="3" s="1"/>
  <c r="CE66" i="3" l="1"/>
  <c r="CE69" i="3" s="1"/>
  <c r="CE42" i="3"/>
  <c r="CE45" i="3" s="1"/>
  <c r="CF40" i="3"/>
  <c r="CF63" i="3" s="1"/>
  <c r="CF41" i="3"/>
  <c r="CF64" i="3" s="1"/>
  <c r="CF66" i="3" l="1"/>
  <c r="CF69" i="3" s="1"/>
  <c r="CF42" i="3"/>
  <c r="CF45" i="3" s="1"/>
  <c r="CG41" i="3"/>
  <c r="CG64" i="3" s="1"/>
  <c r="CG40" i="3"/>
  <c r="CG63" i="3" s="1"/>
  <c r="CG66" i="3" l="1"/>
  <c r="CG69" i="3" s="1"/>
  <c r="CG42" i="3"/>
  <c r="CG45" i="3" s="1"/>
  <c r="CH40" i="3"/>
  <c r="CH63" i="3" s="1"/>
  <c r="CH41" i="3"/>
  <c r="CH64" i="3" s="1"/>
  <c r="CH66" i="3" l="1"/>
  <c r="CH69" i="3" s="1"/>
  <c r="CH42" i="3"/>
  <c r="CH45" i="3" s="1"/>
  <c r="CI40" i="3"/>
  <c r="CI63" i="3" s="1"/>
  <c r="CI41" i="3"/>
  <c r="CI64" i="3" s="1"/>
  <c r="CI66" i="3" l="1"/>
  <c r="CI69" i="3" s="1"/>
  <c r="CJ41" i="3"/>
  <c r="CJ64" i="3" s="1"/>
  <c r="CJ40" i="3"/>
  <c r="CJ63" i="3" s="1"/>
  <c r="CI42" i="3"/>
  <c r="CI45" i="3" s="1"/>
  <c r="CJ66" i="3" l="1"/>
  <c r="CJ69" i="3" s="1"/>
  <c r="CJ42" i="3"/>
  <c r="CJ45" i="3" s="1"/>
  <c r="CK41" i="3"/>
  <c r="CK64" i="3" s="1"/>
  <c r="CK40" i="3"/>
  <c r="CK42" i="3" l="1"/>
  <c r="CK45" i="3" s="1"/>
  <c r="CK63" i="3"/>
  <c r="CK66" i="3" s="1"/>
  <c r="CK69" i="3" s="1"/>
  <c r="CL41" i="3"/>
  <c r="CL64" i="3" s="1"/>
  <c r="CL40" i="3"/>
  <c r="CL63" i="3" s="1"/>
  <c r="CL66" i="3" s="1"/>
  <c r="CL69" i="3" s="1"/>
  <c r="CL42" i="3" l="1"/>
  <c r="CL45" i="3" s="1"/>
  <c r="CM41" i="3"/>
  <c r="CM64" i="3" s="1"/>
  <c r="CM40" i="3"/>
  <c r="CM63" i="3" s="1"/>
  <c r="CM66" i="3" s="1"/>
  <c r="CM69" i="3" s="1"/>
  <c r="CM42" i="3" l="1"/>
  <c r="CM45" i="3" s="1"/>
  <c r="CN40" i="3"/>
  <c r="CN63" i="3" s="1"/>
  <c r="CN41" i="3"/>
  <c r="CN64" i="3" s="1"/>
  <c r="CN66" i="3" l="1"/>
  <c r="CN69" i="3" s="1"/>
  <c r="CN42" i="3"/>
  <c r="CN45" i="3" s="1"/>
  <c r="CO40" i="3"/>
  <c r="CO63" i="3" s="1"/>
  <c r="CO41" i="3"/>
  <c r="CO64" i="3" s="1"/>
  <c r="CO66" i="3" l="1"/>
  <c r="CO69" i="3" s="1"/>
  <c r="CO42" i="3"/>
  <c r="CO45" i="3" s="1"/>
  <c r="CP41" i="3"/>
  <c r="CP64" i="3" s="1"/>
  <c r="CP40" i="3"/>
  <c r="CP63" i="3" s="1"/>
  <c r="CP66" i="3" s="1"/>
  <c r="CP69" i="3" s="1"/>
  <c r="CP42" i="3" l="1"/>
  <c r="CP45" i="3" s="1"/>
  <c r="CQ41" i="3"/>
  <c r="CQ64" i="3" s="1"/>
  <c r="CQ40" i="3"/>
  <c r="CQ63" i="3" s="1"/>
  <c r="CQ66" i="3" l="1"/>
  <c r="CQ69" i="3" s="1"/>
  <c r="CQ42" i="3"/>
  <c r="CQ45" i="3" s="1"/>
  <c r="CR41" i="3"/>
  <c r="CR64" i="3" s="1"/>
  <c r="CR40" i="3"/>
  <c r="CR63" i="3" s="1"/>
  <c r="CR66" i="3" l="1"/>
  <c r="CR69" i="3" s="1"/>
  <c r="CR42" i="3"/>
  <c r="CR45" i="3" s="1"/>
  <c r="CS41" i="3"/>
  <c r="CS64" i="3" s="1"/>
  <c r="CS40" i="3"/>
  <c r="CS63" i="3" s="1"/>
  <c r="CS66" i="3" l="1"/>
  <c r="CS69" i="3" s="1"/>
  <c r="CS42" i="3"/>
  <c r="CS45" i="3" s="1"/>
  <c r="CT40" i="3"/>
  <c r="CT63" i="3" s="1"/>
  <c r="CT41" i="3"/>
  <c r="CT64" i="3" s="1"/>
  <c r="CT66" i="3" l="1"/>
  <c r="CT69" i="3" s="1"/>
  <c r="CT42" i="3"/>
  <c r="CT45" i="3" s="1"/>
  <c r="CU41" i="3"/>
  <c r="CU64" i="3" s="1"/>
  <c r="CU40" i="3"/>
  <c r="CU63" i="3" s="1"/>
  <c r="CU66" i="3" s="1"/>
  <c r="CU69" i="3" s="1"/>
  <c r="CU42" i="3" l="1"/>
  <c r="CU45" i="3" s="1"/>
  <c r="CV41" i="3"/>
  <c r="CV64" i="3" s="1"/>
  <c r="CV40" i="3"/>
  <c r="CV63" i="3" s="1"/>
  <c r="CV66" i="3" l="1"/>
  <c r="CV69" i="3" s="1"/>
  <c r="CW41" i="3"/>
  <c r="CW64" i="3" s="1"/>
  <c r="CW40" i="3"/>
  <c r="CW63" i="3" s="1"/>
  <c r="CW66" i="3" s="1"/>
  <c r="CW69" i="3" s="1"/>
  <c r="CV42" i="3"/>
  <c r="CV45" i="3" s="1"/>
  <c r="CW42" i="3" l="1"/>
  <c r="CW45" i="3" s="1"/>
  <c r="CX40" i="3"/>
  <c r="CX63" i="3" s="1"/>
  <c r="CX41" i="3"/>
  <c r="CX64" i="3" s="1"/>
  <c r="CX66" i="3" l="1"/>
  <c r="CX69" i="3" s="1"/>
  <c r="CX42" i="3"/>
  <c r="CX45" i="3" s="1"/>
  <c r="CY41" i="3"/>
  <c r="CY64" i="3" s="1"/>
  <c r="CY40" i="3"/>
  <c r="CY63" i="3" s="1"/>
  <c r="CY66" i="3" l="1"/>
  <c r="CY69" i="3" s="1"/>
  <c r="CY42" i="3"/>
  <c r="CY45" i="3" s="1"/>
  <c r="CZ40" i="3"/>
  <c r="CZ63" i="3" s="1"/>
  <c r="CZ41" i="3"/>
  <c r="CZ64" i="3" s="1"/>
  <c r="CZ66" i="3" l="1"/>
  <c r="CZ69" i="3" s="1"/>
  <c r="CZ42" i="3"/>
  <c r="CZ45" i="3" s="1"/>
  <c r="DA41" i="3"/>
  <c r="DA64" i="3" s="1"/>
  <c r="DA40" i="3"/>
  <c r="DA63" i="3" s="1"/>
  <c r="DA66" i="3" l="1"/>
  <c r="DA69" i="3" s="1"/>
  <c r="DA42" i="3"/>
  <c r="DA45" i="3" s="1"/>
  <c r="DB40" i="3"/>
  <c r="DB63" i="3" s="1"/>
  <c r="DB41" i="3"/>
  <c r="DB64" i="3" s="1"/>
  <c r="DB66" i="3" l="1"/>
  <c r="DB69" i="3" s="1"/>
  <c r="DB42" i="3"/>
  <c r="DB45" i="3" s="1"/>
  <c r="DC40" i="3"/>
  <c r="DC63" i="3" s="1"/>
  <c r="DC41" i="3"/>
  <c r="DC64" i="3" s="1"/>
  <c r="DC66" i="3" l="1"/>
  <c r="DC69" i="3" s="1"/>
  <c r="DC42" i="3"/>
  <c r="DC45" i="3" s="1"/>
  <c r="DD40" i="3"/>
  <c r="DD63" i="3" s="1"/>
  <c r="DD41" i="3"/>
  <c r="DD64" i="3" s="1"/>
  <c r="DD66" i="3" l="1"/>
  <c r="DD69" i="3" s="1"/>
  <c r="DD42" i="3"/>
  <c r="DD45" i="3" s="1"/>
  <c r="DE41" i="3"/>
  <c r="DE64" i="3" s="1"/>
  <c r="DE40" i="3"/>
  <c r="DE63" i="3" s="1"/>
  <c r="DE66" i="3" l="1"/>
  <c r="DE69" i="3" s="1"/>
  <c r="DE42" i="3"/>
  <c r="DE45" i="3" s="1"/>
  <c r="DF41" i="3"/>
  <c r="DF64" i="3" s="1"/>
  <c r="DF40" i="3"/>
  <c r="DF63" i="3" s="1"/>
  <c r="DF66" i="3" s="1"/>
  <c r="DF69" i="3" s="1"/>
  <c r="DF42" i="3" l="1"/>
  <c r="DF45" i="3" s="1"/>
  <c r="DG40" i="3"/>
  <c r="DG63" i="3" s="1"/>
  <c r="DG41" i="3"/>
  <c r="DG64" i="3" s="1"/>
  <c r="DG66" i="3" l="1"/>
  <c r="DG69" i="3" s="1"/>
  <c r="DG42" i="3"/>
  <c r="DG45" i="3" s="1"/>
  <c r="DH41" i="3"/>
  <c r="DH64" i="3" s="1"/>
  <c r="DH40" i="3"/>
  <c r="DH63" i="3" s="1"/>
  <c r="DH66" i="3" s="1"/>
  <c r="DH69" i="3" s="1"/>
  <c r="DI41" i="3" l="1"/>
  <c r="DI64" i="3" s="1"/>
  <c r="DI40" i="3"/>
  <c r="DH42" i="3"/>
  <c r="DH45" i="3" s="1"/>
  <c r="DI42" i="3" l="1"/>
  <c r="DI45" i="3" s="1"/>
  <c r="DI63" i="3"/>
  <c r="DI66" i="3" s="1"/>
  <c r="DI69" i="3" s="1"/>
  <c r="DJ41" i="3"/>
  <c r="DJ64" i="3" s="1"/>
  <c r="DJ40" i="3"/>
  <c r="DJ63" i="3" s="1"/>
  <c r="DJ66" i="3" l="1"/>
  <c r="DJ69" i="3" s="1"/>
  <c r="DJ42" i="3"/>
  <c r="DJ45" i="3" s="1"/>
  <c r="DK40" i="3"/>
  <c r="DK63" i="3" s="1"/>
  <c r="DK41" i="3"/>
  <c r="DK64" i="3" s="1"/>
  <c r="DK66" i="3" l="1"/>
  <c r="DK69" i="3" s="1"/>
  <c r="DK42" i="3"/>
  <c r="DK45" i="3" s="1"/>
  <c r="DL40" i="3"/>
  <c r="DL63" i="3" s="1"/>
  <c r="DL41" i="3"/>
  <c r="DL64" i="3" s="1"/>
  <c r="DL66" i="3" l="1"/>
  <c r="DL69" i="3" s="1"/>
  <c r="DM41" i="3"/>
  <c r="DM64" i="3" s="1"/>
  <c r="DM40" i="3"/>
  <c r="DL42" i="3"/>
  <c r="DL45" i="3" s="1"/>
  <c r="DM42" i="3" l="1"/>
  <c r="DM45" i="3" s="1"/>
  <c r="DM63" i="3"/>
  <c r="DM66" i="3" s="1"/>
  <c r="DM69" i="3" s="1"/>
  <c r="DN41" i="3"/>
  <c r="DN64" i="3" s="1"/>
  <c r="DN40" i="3"/>
  <c r="DN63" i="3" s="1"/>
  <c r="DN66" i="3" s="1"/>
  <c r="DN69" i="3" s="1"/>
  <c r="DN42" i="3" l="1"/>
  <c r="DN45" i="3" s="1"/>
  <c r="DO40" i="3"/>
  <c r="DO63" i="3" s="1"/>
  <c r="DO41" i="3"/>
  <c r="DO64" i="3" s="1"/>
  <c r="DO66" i="3" l="1"/>
  <c r="DO69" i="3" s="1"/>
  <c r="DO42" i="3"/>
  <c r="DO45" i="3" s="1"/>
  <c r="DP40" i="3"/>
  <c r="DP63" i="3" s="1"/>
  <c r="DP41" i="3"/>
  <c r="DP64" i="3" s="1"/>
  <c r="DP66" i="3" l="1"/>
  <c r="DP69" i="3" s="1"/>
  <c r="DP42" i="3"/>
  <c r="DP45" i="3" s="1"/>
  <c r="DQ40" i="3"/>
  <c r="DQ63" i="3" s="1"/>
  <c r="DQ41" i="3"/>
  <c r="DQ64" i="3" s="1"/>
  <c r="DQ66" i="3" l="1"/>
  <c r="DQ69" i="3" s="1"/>
  <c r="DQ42" i="3"/>
  <c r="DQ45" i="3" s="1"/>
  <c r="DR40" i="3"/>
  <c r="DR63" i="3" s="1"/>
  <c r="DR41" i="3"/>
  <c r="DR64" i="3" s="1"/>
  <c r="DR66" i="3" l="1"/>
  <c r="DR69" i="3" s="1"/>
  <c r="DR42" i="3"/>
  <c r="DR45" i="3" s="1"/>
  <c r="DS41" i="3"/>
  <c r="DS64" i="3" s="1"/>
  <c r="DS40" i="3"/>
  <c r="DS63" i="3" s="1"/>
  <c r="D61" i="4" l="1"/>
  <c r="E61" i="4"/>
  <c r="F61" i="4"/>
  <c r="G61" i="4"/>
  <c r="H61" i="4"/>
  <c r="J61" i="4"/>
  <c r="N61" i="4"/>
  <c r="M61" i="4"/>
  <c r="C61" i="4"/>
  <c r="L61" i="4"/>
  <c r="I61" i="4"/>
  <c r="K61" i="4"/>
  <c r="D60" i="4"/>
  <c r="E60" i="4"/>
  <c r="F60" i="4"/>
  <c r="G60" i="4"/>
  <c r="H60" i="4"/>
  <c r="K60" i="4"/>
  <c r="I60" i="4"/>
  <c r="M60" i="4"/>
  <c r="C60" i="4"/>
  <c r="J60" i="4"/>
  <c r="L60" i="4"/>
  <c r="N60" i="4"/>
  <c r="DS66" i="3"/>
  <c r="DS69" i="3" s="1"/>
  <c r="F38" i="4"/>
  <c r="E38" i="4"/>
  <c r="F37" i="4"/>
  <c r="E37" i="4"/>
  <c r="H38" i="4"/>
  <c r="G38" i="4"/>
  <c r="G37" i="4"/>
  <c r="H37" i="4"/>
  <c r="I38" i="4"/>
  <c r="J38" i="4"/>
  <c r="K38" i="4"/>
  <c r="L38" i="4"/>
  <c r="M38" i="4"/>
  <c r="DS42" i="3"/>
  <c r="I37" i="4"/>
  <c r="J37" i="4"/>
  <c r="K37" i="4"/>
  <c r="L37" i="4"/>
  <c r="M37" i="4"/>
  <c r="C71" i="3" l="1"/>
  <c r="C68" i="4" s="1"/>
  <c r="C70" i="3"/>
  <c r="C67" i="4" s="1"/>
  <c r="D63" i="4"/>
  <c r="D66" i="4" s="1"/>
  <c r="E63" i="4"/>
  <c r="E66" i="4" s="1"/>
  <c r="F63" i="4"/>
  <c r="F66" i="4" s="1"/>
  <c r="G63" i="4"/>
  <c r="G66" i="4" s="1"/>
  <c r="H63" i="4"/>
  <c r="H66" i="4" s="1"/>
  <c r="K63" i="4"/>
  <c r="K66" i="4" s="1"/>
  <c r="L63" i="4"/>
  <c r="L66" i="4" s="1"/>
  <c r="M63" i="4"/>
  <c r="M66" i="4" s="1"/>
  <c r="C63" i="4"/>
  <c r="C66" i="4" s="1"/>
  <c r="I63" i="4"/>
  <c r="I66" i="4" s="1"/>
  <c r="J63" i="4"/>
  <c r="J66" i="4" s="1"/>
  <c r="C72" i="3"/>
  <c r="C69" i="4" s="1"/>
  <c r="DS45" i="3"/>
  <c r="C46" i="3" s="1"/>
  <c r="E39" i="4"/>
  <c r="E42" i="4" s="1"/>
  <c r="G29" i="9" s="1"/>
  <c r="F39" i="4"/>
  <c r="F42" i="4" s="1"/>
  <c r="H29" i="9" s="1"/>
  <c r="H39" i="4"/>
  <c r="H42" i="4" s="1"/>
  <c r="J29" i="9" s="1"/>
  <c r="G39" i="4"/>
  <c r="G42" i="4" s="1"/>
  <c r="I29" i="9" s="1"/>
  <c r="I39" i="4"/>
  <c r="I42" i="4" s="1"/>
  <c r="K29" i="9" s="1"/>
  <c r="J39" i="4"/>
  <c r="J42" i="4" s="1"/>
  <c r="L29" i="9" s="1"/>
  <c r="K39" i="4"/>
  <c r="K42" i="4" s="1"/>
  <c r="M29" i="9" s="1"/>
  <c r="M37" i="9" s="1"/>
  <c r="L39" i="4"/>
  <c r="L42" i="4" s="1"/>
  <c r="N29" i="9" s="1"/>
  <c r="M39" i="4"/>
  <c r="M42" i="4" s="1"/>
  <c r="O29" i="9" s="1"/>
  <c r="M42" i="9" l="1"/>
  <c r="M15" i="9"/>
  <c r="J37" i="9"/>
  <c r="H37" i="9"/>
  <c r="K37" i="9"/>
  <c r="K42" i="9" s="1"/>
  <c r="G29" i="5"/>
  <c r="C32" i="9"/>
  <c r="I37" i="9"/>
  <c r="G37" i="9"/>
  <c r="G38" i="9"/>
  <c r="G43" i="9" s="1"/>
  <c r="O37" i="9"/>
  <c r="O42" i="9"/>
  <c r="N37" i="9"/>
  <c r="G27" i="5"/>
  <c r="C30" i="9"/>
  <c r="L37" i="9"/>
  <c r="G28" i="5"/>
  <c r="C31" i="9"/>
  <c r="C45" i="4"/>
  <c r="D29" i="5" s="1"/>
  <c r="C47" i="3"/>
  <c r="C44" i="4" s="1"/>
  <c r="D28" i="5" s="1"/>
  <c r="C48" i="3"/>
  <c r="C43" i="4"/>
  <c r="D27" i="5" s="1"/>
  <c r="O22" i="9" l="1"/>
  <c r="G42" i="9"/>
  <c r="G22" i="9" s="1"/>
  <c r="G15" i="9"/>
  <c r="G40" i="9"/>
  <c r="G39" i="9"/>
  <c r="H35" i="9" s="1"/>
  <c r="I42" i="9"/>
  <c r="I22" i="9" s="1"/>
  <c r="I15" i="9"/>
  <c r="G44" i="9"/>
  <c r="H42" i="9"/>
  <c r="H22" i="9" s="1"/>
  <c r="H15" i="9"/>
  <c r="K22" i="9"/>
  <c r="J15" i="9"/>
  <c r="O15" i="9"/>
  <c r="L15" i="9"/>
  <c r="L42" i="9"/>
  <c r="J42" i="9"/>
  <c r="J22" i="9" s="1"/>
  <c r="N42" i="9"/>
  <c r="N15" i="9"/>
  <c r="G47" i="9"/>
  <c r="K15" i="9"/>
  <c r="M22" i="9"/>
  <c r="C15" i="9" l="1"/>
  <c r="N22" i="9"/>
  <c r="G48" i="9"/>
  <c r="G16" i="9" s="1"/>
  <c r="G49" i="9"/>
  <c r="G23" i="9" s="1"/>
  <c r="G50" i="9"/>
  <c r="G25" i="9"/>
  <c r="C22" i="9"/>
  <c r="H36" i="9"/>
  <c r="H38" i="9" s="1"/>
  <c r="G18" i="9"/>
  <c r="L22" i="9"/>
  <c r="H43" i="9" l="1"/>
  <c r="H44" i="9" s="1"/>
  <c r="H47" i="9"/>
  <c r="H40" i="9"/>
  <c r="H39" i="9"/>
  <c r="I35" i="9" s="1"/>
  <c r="I36" i="9" l="1"/>
  <c r="I38" i="9" s="1"/>
  <c r="I39" i="9" s="1"/>
  <c r="J35" i="9" s="1"/>
  <c r="H49" i="9"/>
  <c r="H23" i="9" s="1"/>
  <c r="H25" i="9" s="1"/>
  <c r="H48" i="9"/>
  <c r="H16" i="9" s="1"/>
  <c r="H18" i="9" s="1"/>
  <c r="J36" i="9" l="1"/>
  <c r="J38" i="9" s="1"/>
  <c r="J39" i="9"/>
  <c r="K35" i="9" s="1"/>
  <c r="H50" i="9"/>
  <c r="I43" i="9"/>
  <c r="I44" i="9" s="1"/>
  <c r="I47" i="9"/>
  <c r="I40" i="9"/>
  <c r="I48" i="9" l="1"/>
  <c r="I16" i="9" s="1"/>
  <c r="I18" i="9" s="1"/>
  <c r="I49" i="9"/>
  <c r="I23" i="9" s="1"/>
  <c r="I25" i="9" s="1"/>
  <c r="K36" i="9"/>
  <c r="K38" i="9" s="1"/>
  <c r="J43" i="9"/>
  <c r="J44" i="9" s="1"/>
  <c r="C44" i="9" s="1"/>
  <c r="J47" i="9"/>
  <c r="J40" i="9"/>
  <c r="C40" i="9" s="1"/>
  <c r="I50" i="9" l="1"/>
  <c r="J49" i="9"/>
  <c r="J23" i="9" s="1"/>
  <c r="J48" i="9"/>
  <c r="J16" i="9" s="1"/>
  <c r="K43" i="9"/>
  <c r="K40" i="9"/>
  <c r="K39" i="9"/>
  <c r="L35" i="9" s="1"/>
  <c r="J50" i="9" l="1"/>
  <c r="L36" i="9"/>
  <c r="L38" i="9" s="1"/>
  <c r="K44" i="9"/>
  <c r="J18" i="9"/>
  <c r="C16" i="9"/>
  <c r="K47" i="9"/>
  <c r="J25" i="9"/>
  <c r="C23" i="9"/>
  <c r="K48" i="9" l="1"/>
  <c r="K16" i="9" s="1"/>
  <c r="K18" i="9" s="1"/>
  <c r="K49" i="9"/>
  <c r="K23" i="9" s="1"/>
  <c r="K25" i="9" s="1"/>
  <c r="K50" i="9"/>
  <c r="C24" i="9"/>
  <c r="C25" i="9"/>
  <c r="C18" i="9"/>
  <c r="C17" i="9"/>
  <c r="L39" i="9"/>
  <c r="M35" i="9" s="1"/>
  <c r="L43" i="9"/>
  <c r="L44" i="9" s="1"/>
  <c r="L40" i="9"/>
  <c r="L47" i="9" l="1"/>
  <c r="M36" i="9"/>
  <c r="M38" i="9" s="1"/>
  <c r="M43" i="9" l="1"/>
  <c r="M40" i="9"/>
  <c r="M39" i="9"/>
  <c r="N35" i="9" s="1"/>
  <c r="L48" i="9"/>
  <c r="L16" i="9" s="1"/>
  <c r="L18" i="9" s="1"/>
  <c r="L49" i="9"/>
  <c r="L23" i="9" s="1"/>
  <c r="L25" i="9" s="1"/>
  <c r="L50" i="9"/>
  <c r="N36" i="9" l="1"/>
  <c r="N38" i="9"/>
  <c r="M47" i="9"/>
  <c r="M44" i="9"/>
  <c r="M48" i="9" l="1"/>
  <c r="M16" i="9" s="1"/>
  <c r="M18" i="9" s="1"/>
  <c r="M49" i="9"/>
  <c r="M23" i="9" s="1"/>
  <c r="M25" i="9" s="1"/>
  <c r="N39" i="9"/>
  <c r="O35" i="9" s="1"/>
  <c r="N43" i="9"/>
  <c r="N44" i="9" s="1"/>
  <c r="N40" i="9"/>
  <c r="N47" i="9" l="1"/>
  <c r="M50" i="9"/>
  <c r="N49" i="9"/>
  <c r="N23" i="9" s="1"/>
  <c r="N25" i="9" s="1"/>
  <c r="N48" i="9"/>
  <c r="N16" i="9" s="1"/>
  <c r="N18" i="9" s="1"/>
  <c r="O36" i="9"/>
  <c r="O38" i="9"/>
  <c r="O39" i="9" s="1"/>
  <c r="O43" i="9" l="1"/>
  <c r="O47" i="9"/>
  <c r="O40" i="9"/>
  <c r="N50" i="9"/>
  <c r="O49" i="9" l="1"/>
  <c r="O48" i="9"/>
  <c r="O16" i="9" s="1"/>
  <c r="O18" i="9" s="1"/>
  <c r="O50" i="9"/>
  <c r="O23" i="9"/>
  <c r="O25" i="9" s="1"/>
  <c r="O4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<sst xmlns="http://schemas.openxmlformats.org/spreadsheetml/2006/main" count="309" uniqueCount="209">
  <si>
    <t>Floor</t>
  </si>
  <si>
    <t>Unit Number</t>
  </si>
  <si>
    <t>Unit Type</t>
  </si>
  <si>
    <t>ERV PCM (sq. ft)</t>
  </si>
  <si>
    <t>ERV PCM (unit based)</t>
  </si>
  <si>
    <t>Size (sq. ft)</t>
  </si>
  <si>
    <t>Weighted Average ERV PCM</t>
  </si>
  <si>
    <t>Deal Name</t>
  </si>
  <si>
    <t>No Units</t>
  </si>
  <si>
    <t>No Beds</t>
  </si>
  <si>
    <t>1 Bed Studio</t>
  </si>
  <si>
    <t>Size (sqm)</t>
  </si>
  <si>
    <t xml:space="preserve">Unit Based </t>
  </si>
  <si>
    <t>Sq. ft Based</t>
  </si>
  <si>
    <t>Weighted Average</t>
  </si>
  <si>
    <t>Revenue Weight</t>
  </si>
  <si>
    <t>General</t>
  </si>
  <si>
    <t>Weight (unit based)</t>
  </si>
  <si>
    <t>Weight (sq. ft based)</t>
  </si>
  <si>
    <t>Total</t>
  </si>
  <si>
    <t>Weighting to market average</t>
  </si>
  <si>
    <t>Weighting to new development</t>
  </si>
  <si>
    <t>Weighting to amenities</t>
  </si>
  <si>
    <t>Anytown</t>
  </si>
  <si>
    <t>Purchase Price</t>
  </si>
  <si>
    <t>Acquisition &amp; Disposal</t>
  </si>
  <si>
    <t>Exit Yield</t>
  </si>
  <si>
    <t>Address</t>
  </si>
  <si>
    <t>Rental Increase</t>
  </si>
  <si>
    <t>Cost Increase</t>
  </si>
  <si>
    <t>Occupancy</t>
  </si>
  <si>
    <t>Year</t>
  </si>
  <si>
    <t>Deal Length (years)</t>
  </si>
  <si>
    <t>Occupancy - per month</t>
  </si>
  <si>
    <t>Month</t>
  </si>
  <si>
    <t>Stabilised occupancy</t>
  </si>
  <si>
    <t>Rent Growth</t>
  </si>
  <si>
    <t>Compound Growth Rate</t>
  </si>
  <si>
    <t>Cost Growth</t>
  </si>
  <si>
    <t>Distance from subject (Miles)</t>
  </si>
  <si>
    <t>sqft</t>
  </si>
  <si>
    <t>Monthly Rent</t>
  </si>
  <si>
    <t xml:space="preserve">M. rent/SQFT </t>
  </si>
  <si>
    <t>Source</t>
  </si>
  <si>
    <t>Weighted Average Calculations</t>
  </si>
  <si>
    <t>Market Average (Unit)</t>
  </si>
  <si>
    <t>Market Rent (/SQFT)</t>
  </si>
  <si>
    <t>Units let per month</t>
  </si>
  <si>
    <t>Units let</t>
  </si>
  <si>
    <t>Utilities (cost/apartment/month)</t>
  </si>
  <si>
    <t>Utilities &amp; Maintenance</t>
  </si>
  <si>
    <t>Payroll</t>
  </si>
  <si>
    <t>Cost of employment</t>
  </si>
  <si>
    <t>Sales/Marketing Manager</t>
  </si>
  <si>
    <t>Maintenance Manager</t>
  </si>
  <si>
    <t>Operations Manager</t>
  </si>
  <si>
    <t>Cleaner</t>
  </si>
  <si>
    <t>Quantity</t>
  </si>
  <si>
    <t>Maintenance (cost/apartment/annum)</t>
  </si>
  <si>
    <t>Letting Fees</t>
  </si>
  <si>
    <t>Letting Fees (%/year)</t>
  </si>
  <si>
    <t>Letting Fees (%)</t>
  </si>
  <si>
    <t>1 Bed</t>
  </si>
  <si>
    <t>2 Bed</t>
  </si>
  <si>
    <t>3 Bed</t>
  </si>
  <si>
    <t>CAPEX</t>
  </si>
  <si>
    <t>Units</t>
  </si>
  <si>
    <t>Number of Units</t>
  </si>
  <si>
    <t>Cost (unit/annum)</t>
  </si>
  <si>
    <t xml:space="preserve">1 Bed  </t>
  </si>
  <si>
    <t>1 Bed (Large)</t>
  </si>
  <si>
    <t>1 Bed (Extra Large)</t>
  </si>
  <si>
    <t>Estimated Cost</t>
  </si>
  <si>
    <t>FF&amp;E + OS&amp;£</t>
  </si>
  <si>
    <t>Amenities</t>
  </si>
  <si>
    <t>VAT</t>
  </si>
  <si>
    <t>Grand Total</t>
  </si>
  <si>
    <t>Service Charge p.a.</t>
  </si>
  <si>
    <t>Ground Rent &amp; Service Charge</t>
  </si>
  <si>
    <t>Ground Rent p.a.</t>
  </si>
  <si>
    <t>Total Cost p.a.</t>
  </si>
  <si>
    <t>Cost Increase (%/p.a.)</t>
  </si>
  <si>
    <t>Real Revenue Increase (%/p.a.)</t>
  </si>
  <si>
    <t>Average CPI (2016-2019) (%/p.a.)</t>
  </si>
  <si>
    <t>Nominal Revenue Increase (%/p.a.)</t>
  </si>
  <si>
    <t>CAPEX (FF&amp;E/OS&amp;E) Replacement</t>
  </si>
  <si>
    <t>% of CAPEX Spent</t>
  </si>
  <si>
    <t>Total CAPEX (annum)</t>
  </si>
  <si>
    <t>Financing</t>
  </si>
  <si>
    <t>Senior Loan Amount (%)</t>
  </si>
  <si>
    <t>Loan Fees</t>
  </si>
  <si>
    <t>Loan Proceeds</t>
  </si>
  <si>
    <t>Interest Rate</t>
  </si>
  <si>
    <t>Amortization Period (Years)</t>
  </si>
  <si>
    <t>IO Period (Years)</t>
  </si>
  <si>
    <t>Amoritzation Pmt (Monthly)</t>
  </si>
  <si>
    <t>IO Pmt (Monthly)</t>
  </si>
  <si>
    <t>Acquisition Date</t>
  </si>
  <si>
    <t>ERV PCM PSF</t>
  </si>
  <si>
    <t xml:space="preserve">ERV PCM Per Unit </t>
  </si>
  <si>
    <t>Total ERV PA</t>
  </si>
  <si>
    <t>Total ERV PCM</t>
  </si>
  <si>
    <t>Date</t>
  </si>
  <si>
    <t>Monthly Cashflow Forecast</t>
  </si>
  <si>
    <t>All financial information in GBP</t>
  </si>
  <si>
    <t>Gross rental income</t>
  </si>
  <si>
    <t>Utilities expense</t>
  </si>
  <si>
    <t>Vacancy cost</t>
  </si>
  <si>
    <t>Operating Expenses</t>
  </si>
  <si>
    <t>Maintenance employment costs</t>
  </si>
  <si>
    <t>Maintenance other costs</t>
  </si>
  <si>
    <t>Operations employment costs</t>
  </si>
  <si>
    <t>Cleaning employment costs</t>
  </si>
  <si>
    <t>Sales/marketing employment costs</t>
  </si>
  <si>
    <t>Agency/letting fees</t>
  </si>
  <si>
    <t>Ground rent</t>
  </si>
  <si>
    <t>Service charge</t>
  </si>
  <si>
    <t>Net Operating Income</t>
  </si>
  <si>
    <t>Capital expenditure</t>
  </si>
  <si>
    <t>Proceeds from sale</t>
  </si>
  <si>
    <t>Net Proceeds from sale</t>
  </si>
  <si>
    <t>Disposal Cost</t>
  </si>
  <si>
    <t>Net Income</t>
  </si>
  <si>
    <t>Net Income Less Vacancy</t>
  </si>
  <si>
    <t>Total Operating Expenses</t>
  </si>
  <si>
    <t>Cashflow From Operations</t>
  </si>
  <si>
    <t>Disposal Date</t>
  </si>
  <si>
    <t>Net Unlevered Cashflow</t>
  </si>
  <si>
    <t>Unlevered Returns</t>
  </si>
  <si>
    <t>Investment Cashflows (Unlevered)</t>
  </si>
  <si>
    <t>Operating Cashflows (Unlevered)</t>
  </si>
  <si>
    <t>Reversion Cashflows (Unlevered)</t>
  </si>
  <si>
    <t>Acquisition Cost</t>
  </si>
  <si>
    <t>Unlevered IRR</t>
  </si>
  <si>
    <t>Unlevered Equity Multiple</t>
  </si>
  <si>
    <t>Unlevered Net Profit</t>
  </si>
  <si>
    <t>Average Occupancy</t>
  </si>
  <si>
    <t>Total Acquisition Cost</t>
  </si>
  <si>
    <t>Investment Cashflows (Levered)</t>
  </si>
  <si>
    <t>Senor Loan</t>
  </si>
  <si>
    <t>Operating Cashflows (Levered)</t>
  </si>
  <si>
    <t>Debt Service</t>
  </si>
  <si>
    <t>Operating Cashflows after Financing</t>
  </si>
  <si>
    <t>Reversion Cashflows (Levered)</t>
  </si>
  <si>
    <t>Loan Payoff</t>
  </si>
  <si>
    <t>NOI</t>
  </si>
  <si>
    <t>DSCR</t>
  </si>
  <si>
    <t>Debt Yield</t>
  </si>
  <si>
    <t>Levered Returns</t>
  </si>
  <si>
    <t>Net Levered Cashflow</t>
  </si>
  <si>
    <t>Levered IRR</t>
  </si>
  <si>
    <t>Levered Equity Multiple</t>
  </si>
  <si>
    <t>Levered Net Profit</t>
  </si>
  <si>
    <t>Investment Summary</t>
  </si>
  <si>
    <t>Floors</t>
  </si>
  <si>
    <t>Analysis Start</t>
  </si>
  <si>
    <t>Analysis End</t>
  </si>
  <si>
    <t>Reversion End</t>
  </si>
  <si>
    <t>Size (sq ft)</t>
  </si>
  <si>
    <t>Valuation Summary</t>
  </si>
  <si>
    <t>Property-Level Risk and Return Metrics</t>
  </si>
  <si>
    <t>Min. DSCR</t>
  </si>
  <si>
    <t>Min. Debt Yield</t>
  </si>
  <si>
    <t>Avg. DSCR</t>
  </si>
  <si>
    <t>Avg. Debt Yield</t>
  </si>
  <si>
    <t>Levered</t>
  </si>
  <si>
    <t>Unlevered</t>
  </si>
  <si>
    <t>Debt Metrics</t>
  </si>
  <si>
    <t>Acquisition</t>
  </si>
  <si>
    <t>Location &amp; Physical Description</t>
  </si>
  <si>
    <t>Analysis Period</t>
  </si>
  <si>
    <t>Partnership Assumptions</t>
  </si>
  <si>
    <t>Ownership Share</t>
  </si>
  <si>
    <t>Amount</t>
  </si>
  <si>
    <t>%</t>
  </si>
  <si>
    <t>GP</t>
  </si>
  <si>
    <t>LP</t>
  </si>
  <si>
    <t>Distribution Structure</t>
  </si>
  <si>
    <t>Tier 1</t>
  </si>
  <si>
    <t>Tier 2</t>
  </si>
  <si>
    <t>GP Promote</t>
  </si>
  <si>
    <t xml:space="preserve">IRR Hurdle </t>
  </si>
  <si>
    <t>% GP</t>
  </si>
  <si>
    <t>% LP</t>
  </si>
  <si>
    <t>Partnership Cashflow and Return Summary</t>
  </si>
  <si>
    <t>LP Returns</t>
  </si>
  <si>
    <t>GP Returns</t>
  </si>
  <si>
    <t>Contributions</t>
  </si>
  <si>
    <t>Distributions</t>
  </si>
  <si>
    <t>Net Profit</t>
  </si>
  <si>
    <t>IRR</t>
  </si>
  <si>
    <t>Equity Multiple</t>
  </si>
  <si>
    <t>Property Cashflow and Returns</t>
  </si>
  <si>
    <t>Tier 1 - Preferred Return and Return on Capital</t>
  </si>
  <si>
    <t>LP Starting Balance</t>
  </si>
  <si>
    <t>LP Required Return</t>
  </si>
  <si>
    <t>LP Contribution</t>
  </si>
  <si>
    <t>LP Distribution - Tier 1</t>
  </si>
  <si>
    <t>LP Ending Balance</t>
  </si>
  <si>
    <t>LP IRR</t>
  </si>
  <si>
    <t>GP Contribution</t>
  </si>
  <si>
    <t>GP Distribution</t>
  </si>
  <si>
    <t>GP IRR</t>
  </si>
  <si>
    <t>Partnership-Level Returns</t>
  </si>
  <si>
    <t>Tier 2 - Promote</t>
  </si>
  <si>
    <t>Remaining Cashflow</t>
  </si>
  <si>
    <t>LP Distribution</t>
  </si>
  <si>
    <t>Partnership-Level Return Metrics</t>
  </si>
  <si>
    <t xml:space="preserve">Somewhere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</si>
</sst>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0.0"/>
    <numFmt numFmtId="165" formatCode="_(* #,##0_);_(* \(#,##0\);_(* &quot;-&quot;??_);_(@_)"/>
    <numFmt numFmtId="166" formatCode="#,##0_ ;\-#,##0\ "/>
    <numFmt numFmtId="167" formatCode="#,##0.00_ ;\-#,##0.00\ "/>
    <numFmt numFmtId="168" formatCode="General\ &quot;units (rounded)&quot;"/>
    <numFmt numFmtId="169" formatCode="_-* #,##0_-;\-* #,##0_-;_-* &quot;-&quot;??_-;_-@_-"/>
    <numFmt numFmtId="170" formatCode="0%\ &quot;stabilised occupancy (rounded)&quot;"/>
    <numFmt numFmtId="171" formatCode="0.000%"/>
    <numFmt numFmtId="172" formatCode="0.00&quot;X&quot;"/>
    <numFmt numFmtId="173" formatCode="0.00%\ &quot;yield compression over deal period&quot;"/>
    <numFmt numFmtId="174" formatCode="0.00%\ &quot;entry yield assuming stabilised occupancy (cell C46)&quot;"/>
    <numFmt numFmtId="175" formatCode="&quot;Year&quot;\ 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9"/>
      <color theme="1"/>
      <name val="Century Gothic"/>
      <family val="2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89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3" fontId="0" fillId="0" borderId="4" xfId="0" applyNumberFormat="1" applyBorder="1" applyAlignment="1">
      <alignment horizontal="right"/>
    </xf>
    <xf numFmtId="3" fontId="0" fillId="0" borderId="6" xfId="0" applyNumberFormat="1" applyBorder="1" applyAlignment="1">
      <alignment horizontal="right"/>
    </xf>
    <xf numFmtId="9" fontId="0" fillId="0" borderId="4" xfId="1" applyFont="1" applyBorder="1" applyAlignment="1">
      <alignment horizontal="right"/>
    </xf>
    <xf numFmtId="9" fontId="0" fillId="0" borderId="6" xfId="1" applyFont="1" applyBorder="1" applyAlignment="1">
      <alignment horizontal="right"/>
    </xf>
    <xf numFmtId="9" fontId="0" fillId="2" borderId="4" xfId="1" applyFont="1" applyFill="1" applyBorder="1" applyAlignment="1">
      <alignment horizontal="right"/>
    </xf>
    <xf numFmtId="0" fontId="0" fillId="2" borderId="4" xfId="0" applyFill="1" applyBorder="1" applyAlignment="1">
      <alignment horizontal="right"/>
    </xf>
    <xf numFmtId="3" fontId="0" fillId="0" borderId="4" xfId="0" applyNumberFormat="1" applyFill="1" applyBorder="1" applyAlignment="1">
      <alignment horizontal="right"/>
    </xf>
    <xf numFmtId="0" fontId="0" fillId="0" borderId="3" xfId="0" applyFill="1" applyBorder="1"/>
    <xf numFmtId="0" fontId="0" fillId="0" borderId="5" xfId="0" applyFill="1" applyBorder="1"/>
    <xf numFmtId="0" fontId="0" fillId="2" borderId="4" xfId="0" applyFill="1" applyBorder="1"/>
    <xf numFmtId="0" fontId="0" fillId="2" borderId="12" xfId="0" applyFill="1" applyBorder="1"/>
    <xf numFmtId="0" fontId="0" fillId="2" borderId="12" xfId="0" applyFill="1" applyBorder="1" applyAlignment="1">
      <alignment horizontal="center"/>
    </xf>
    <xf numFmtId="1" fontId="0" fillId="2" borderId="12" xfId="0" applyNumberFormat="1" applyFill="1" applyBorder="1" applyAlignment="1">
      <alignment horizontal="center"/>
    </xf>
    <xf numFmtId="0" fontId="0" fillId="3" borderId="12" xfId="0" applyFill="1" applyBorder="1"/>
    <xf numFmtId="2" fontId="0" fillId="3" borderId="12" xfId="0" applyNumberFormat="1" applyFill="1" applyBorder="1" applyAlignment="1">
      <alignment horizontal="center"/>
    </xf>
    <xf numFmtId="1" fontId="0" fillId="3" borderId="12" xfId="0" applyNumberFormat="1" applyFill="1" applyBorder="1" applyAlignment="1">
      <alignment horizontal="center"/>
    </xf>
    <xf numFmtId="0" fontId="4" fillId="3" borderId="8" xfId="0" applyFont="1" applyFill="1" applyBorder="1"/>
    <xf numFmtId="0" fontId="0" fillId="3" borderId="5" xfId="0" applyFill="1" applyBorder="1"/>
    <xf numFmtId="0" fontId="0" fillId="3" borderId="8" xfId="0" applyFill="1" applyBorder="1"/>
    <xf numFmtId="0" fontId="0" fillId="3" borderId="6" xfId="0" applyFill="1" applyBorder="1"/>
    <xf numFmtId="0" fontId="3" fillId="0" borderId="3" xfId="0" applyFont="1" applyBorder="1"/>
    <xf numFmtId="9" fontId="0" fillId="2" borderId="0" xfId="1" applyFont="1" applyFill="1" applyBorder="1"/>
    <xf numFmtId="10" fontId="0" fillId="2" borderId="0" xfId="1" applyNumberFormat="1" applyFont="1" applyFill="1" applyBorder="1" applyAlignment="1">
      <alignment horizontal="right"/>
    </xf>
    <xf numFmtId="10" fontId="0" fillId="0" borderId="0" xfId="0" applyNumberFormat="1" applyBorder="1"/>
    <xf numFmtId="1" fontId="0" fillId="0" borderId="0" xfId="0" applyNumberFormat="1" applyBorder="1"/>
    <xf numFmtId="1" fontId="0" fillId="0" borderId="4" xfId="0" applyNumberFormat="1" applyBorder="1"/>
    <xf numFmtId="0" fontId="0" fillId="2" borderId="0" xfId="0" applyFill="1" applyBorder="1"/>
    <xf numFmtId="1" fontId="0" fillId="2" borderId="0" xfId="0" applyNumberFormat="1" applyFill="1" applyBorder="1"/>
    <xf numFmtId="1" fontId="0" fillId="0" borderId="0" xfId="0" applyNumberFormat="1" applyFill="1" applyBorder="1"/>
    <xf numFmtId="0" fontId="7" fillId="0" borderId="0" xfId="0" applyFont="1" applyBorder="1"/>
    <xf numFmtId="168" fontId="7" fillId="0" borderId="0" xfId="0" applyNumberFormat="1" applyFont="1" applyBorder="1"/>
    <xf numFmtId="0" fontId="0" fillId="2" borderId="6" xfId="0" applyFill="1" applyBorder="1"/>
    <xf numFmtId="0" fontId="0" fillId="2" borderId="8" xfId="0" applyFill="1" applyBorder="1"/>
    <xf numFmtId="3" fontId="0" fillId="2" borderId="4" xfId="0" applyNumberFormat="1" applyFill="1" applyBorder="1"/>
    <xf numFmtId="3" fontId="0" fillId="2" borderId="0" xfId="0" applyNumberFormat="1" applyFill="1" applyBorder="1"/>
    <xf numFmtId="3" fontId="0" fillId="2" borderId="8" xfId="0" applyNumberFormat="1" applyFill="1" applyBorder="1"/>
    <xf numFmtId="0" fontId="0" fillId="0" borderId="3" xfId="0" applyFont="1" applyBorder="1"/>
    <xf numFmtId="9" fontId="0" fillId="2" borderId="0" xfId="0" applyNumberFormat="1" applyFill="1" applyBorder="1"/>
    <xf numFmtId="9" fontId="0" fillId="0" borderId="8" xfId="0" applyNumberFormat="1" applyFill="1" applyBorder="1"/>
    <xf numFmtId="165" fontId="0" fillId="0" borderId="0" xfId="0" applyNumberFormat="1" applyBorder="1"/>
    <xf numFmtId="169" fontId="0" fillId="0" borderId="4" xfId="0" applyNumberFormat="1" applyBorder="1"/>
    <xf numFmtId="165" fontId="7" fillId="0" borderId="0" xfId="0" applyNumberFormat="1" applyFont="1" applyBorder="1"/>
    <xf numFmtId="169" fontId="7" fillId="0" borderId="4" xfId="0" applyNumberFormat="1" applyFont="1" applyBorder="1"/>
    <xf numFmtId="0" fontId="7" fillId="0" borderId="0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165" fontId="0" fillId="2" borderId="0" xfId="0" applyNumberFormat="1" applyFill="1" applyBorder="1"/>
    <xf numFmtId="0" fontId="0" fillId="0" borderId="15" xfId="0" applyBorder="1"/>
    <xf numFmtId="169" fontId="0" fillId="0" borderId="16" xfId="0" applyNumberFormat="1" applyBorder="1"/>
    <xf numFmtId="0" fontId="5" fillId="0" borderId="14" xfId="0" applyFont="1" applyBorder="1"/>
    <xf numFmtId="0" fontId="0" fillId="3" borderId="3" xfId="0" applyFont="1" applyFill="1" applyBorder="1"/>
    <xf numFmtId="3" fontId="0" fillId="2" borderId="6" xfId="0" applyNumberFormat="1" applyFill="1" applyBorder="1"/>
    <xf numFmtId="10" fontId="0" fillId="2" borderId="0" xfId="0" applyNumberFormat="1" applyFill="1" applyBorder="1"/>
    <xf numFmtId="10" fontId="0" fillId="2" borderId="4" xfId="0" applyNumberFormat="1" applyFill="1" applyBorder="1"/>
    <xf numFmtId="43" fontId="0" fillId="0" borderId="8" xfId="0" applyNumberFormat="1" applyBorder="1"/>
    <xf numFmtId="3" fontId="0" fillId="0" borderId="0" xfId="0" applyNumberFormat="1"/>
    <xf numFmtId="3" fontId="7" fillId="0" borderId="4" xfId="0" applyNumberFormat="1" applyFont="1" applyBorder="1"/>
    <xf numFmtId="3" fontId="7" fillId="0" borderId="6" xfId="0" applyNumberFormat="1" applyFont="1" applyBorder="1"/>
    <xf numFmtId="3" fontId="7" fillId="0" borderId="17" xfId="0" applyNumberFormat="1" applyFont="1" applyBorder="1"/>
    <xf numFmtId="0" fontId="0" fillId="0" borderId="8" xfId="0" applyBorder="1"/>
    <xf numFmtId="43" fontId="0" fillId="0" borderId="6" xfId="0" applyNumberFormat="1" applyBorder="1"/>
    <xf numFmtId="3" fontId="0" fillId="3" borderId="10" xfId="0" applyNumberFormat="1" applyFill="1" applyBorder="1"/>
    <xf numFmtId="3" fontId="0" fillId="3" borderId="11" xfId="0" applyNumberFormat="1" applyFill="1" applyBorder="1"/>
    <xf numFmtId="3" fontId="0" fillId="3" borderId="8" xfId="0" applyNumberFormat="1" applyFill="1" applyBorder="1"/>
    <xf numFmtId="3" fontId="0" fillId="3" borderId="6" xfId="0" applyNumberFormat="1" applyFill="1" applyBorder="1"/>
    <xf numFmtId="166" fontId="0" fillId="0" borderId="12" xfId="0" applyNumberFormat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167" fontId="0" fillId="0" borderId="22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166" fontId="0" fillId="0" borderId="21" xfId="0" applyNumberFormat="1" applyBorder="1" applyAlignment="1">
      <alignment horizontal="center"/>
    </xf>
    <xf numFmtId="3" fontId="4" fillId="3" borderId="8" xfId="0" applyNumberFormat="1" applyFont="1" applyFill="1" applyBorder="1"/>
    <xf numFmtId="4" fontId="4" fillId="3" borderId="8" xfId="0" applyNumberFormat="1" applyFont="1" applyFill="1" applyBorder="1"/>
    <xf numFmtId="10" fontId="0" fillId="0" borderId="0" xfId="0" applyNumberFormat="1"/>
    <xf numFmtId="3" fontId="0" fillId="0" borderId="8" xfId="0" applyNumberFormat="1" applyBorder="1"/>
    <xf numFmtId="3" fontId="5" fillId="0" borderId="0" xfId="0" applyNumberFormat="1" applyFont="1" applyFill="1" applyBorder="1"/>
    <xf numFmtId="10" fontId="7" fillId="0" borderId="0" xfId="0" applyNumberFormat="1" applyFont="1" applyFill="1" applyBorder="1"/>
    <xf numFmtId="10" fontId="7" fillId="0" borderId="4" xfId="0" applyNumberFormat="1" applyFont="1" applyFill="1" applyBorder="1"/>
    <xf numFmtId="2" fontId="7" fillId="0" borderId="0" xfId="0" applyNumberFormat="1" applyFont="1" applyBorder="1"/>
    <xf numFmtId="2" fontId="7" fillId="0" borderId="4" xfId="0" applyNumberFormat="1" applyFont="1" applyBorder="1"/>
    <xf numFmtId="10" fontId="7" fillId="0" borderId="0" xfId="1" applyNumberFormat="1" applyFont="1" applyFill="1" applyBorder="1" applyAlignment="1">
      <alignment horizontal="right"/>
    </xf>
    <xf numFmtId="10" fontId="7" fillId="0" borderId="0" xfId="1" applyNumberFormat="1" applyFont="1" applyFill="1" applyBorder="1"/>
    <xf numFmtId="10" fontId="7" fillId="0" borderId="4" xfId="1" applyNumberFormat="1" applyFont="1" applyFill="1" applyBorder="1"/>
    <xf numFmtId="2" fontId="7" fillId="0" borderId="8" xfId="1" applyNumberFormat="1" applyFont="1" applyFill="1" applyBorder="1" applyAlignment="1">
      <alignment horizontal="right"/>
    </xf>
    <xf numFmtId="2" fontId="7" fillId="0" borderId="6" xfId="1" applyNumberFormat="1" applyFont="1" applyFill="1" applyBorder="1" applyAlignment="1">
      <alignment horizontal="right"/>
    </xf>
    <xf numFmtId="9" fontId="7" fillId="0" borderId="8" xfId="0" applyNumberFormat="1" applyFont="1" applyFill="1" applyBorder="1"/>
    <xf numFmtId="9" fontId="7" fillId="0" borderId="6" xfId="0" applyNumberFormat="1" applyFont="1" applyFill="1" applyBorder="1"/>
    <xf numFmtId="1" fontId="7" fillId="0" borderId="8" xfId="0" applyNumberFormat="1" applyFont="1" applyBorder="1"/>
    <xf numFmtId="0" fontId="7" fillId="0" borderId="8" xfId="0" applyFont="1" applyBorder="1"/>
    <xf numFmtId="0" fontId="7" fillId="0" borderId="6" xfId="0" applyFont="1" applyBorder="1"/>
    <xf numFmtId="0" fontId="0" fillId="0" borderId="23" xfId="0" applyBorder="1"/>
    <xf numFmtId="0" fontId="0" fillId="0" borderId="24" xfId="0" applyBorder="1"/>
    <xf numFmtId="0" fontId="5" fillId="0" borderId="0" xfId="0" applyFont="1"/>
    <xf numFmtId="14" fontId="0" fillId="2" borderId="4" xfId="0" applyNumberFormat="1" applyFill="1" applyBorder="1" applyAlignment="1">
      <alignment horizontal="right"/>
    </xf>
    <xf numFmtId="0" fontId="0" fillId="4" borderId="0" xfId="0" applyFill="1"/>
    <xf numFmtId="0" fontId="2" fillId="4" borderId="0" xfId="0" applyFont="1" applyFill="1"/>
    <xf numFmtId="0" fontId="9" fillId="4" borderId="0" xfId="0" applyFont="1" applyFill="1"/>
    <xf numFmtId="0" fontId="0" fillId="0" borderId="0" xfId="0" applyFont="1"/>
    <xf numFmtId="9" fontId="0" fillId="0" borderId="0" xfId="1" applyFont="1" applyBorder="1"/>
    <xf numFmtId="1" fontId="0" fillId="0" borderId="0" xfId="1" applyNumberFormat="1" applyFont="1"/>
    <xf numFmtId="0" fontId="0" fillId="0" borderId="0" xfId="0" applyFont="1" applyBorder="1"/>
    <xf numFmtId="0" fontId="5" fillId="0" borderId="13" xfId="0" applyFont="1" applyBorder="1"/>
    <xf numFmtId="14" fontId="0" fillId="0" borderId="13" xfId="0" applyNumberFormat="1" applyBorder="1"/>
    <xf numFmtId="0" fontId="5" fillId="2" borderId="25" xfId="0" applyFont="1" applyFill="1" applyBorder="1"/>
    <xf numFmtId="3" fontId="5" fillId="2" borderId="25" xfId="0" applyNumberFormat="1" applyFont="1" applyFill="1" applyBorder="1"/>
    <xf numFmtId="3" fontId="0" fillId="0" borderId="0" xfId="1" applyNumberFormat="1" applyFont="1"/>
    <xf numFmtId="0" fontId="0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3" fontId="0" fillId="2" borderId="4" xfId="0" applyNumberFormat="1" applyFont="1" applyFill="1" applyBorder="1"/>
    <xf numFmtId="0" fontId="5" fillId="0" borderId="8" xfId="0" applyFont="1" applyBorder="1"/>
    <xf numFmtId="0" fontId="5" fillId="0" borderId="8" xfId="0" applyFont="1" applyBorder="1" applyAlignment="1"/>
    <xf numFmtId="1" fontId="0" fillId="0" borderId="8" xfId="1" applyNumberFormat="1" applyFont="1" applyBorder="1"/>
    <xf numFmtId="10" fontId="0" fillId="2" borderId="6" xfId="1" applyNumberFormat="1" applyFont="1" applyFill="1" applyBorder="1"/>
    <xf numFmtId="10" fontId="0" fillId="2" borderId="4" xfId="1" applyNumberFormat="1" applyFont="1" applyFill="1" applyBorder="1"/>
    <xf numFmtId="3" fontId="5" fillId="0" borderId="8" xfId="0" applyNumberFormat="1" applyFont="1" applyBorder="1" applyAlignment="1"/>
    <xf numFmtId="9" fontId="7" fillId="0" borderId="0" xfId="0" applyNumberFormat="1" applyFont="1" applyFill="1" applyBorder="1"/>
    <xf numFmtId="43" fontId="0" fillId="0" borderId="0" xfId="0" applyNumberFormat="1" applyBorder="1"/>
    <xf numFmtId="14" fontId="0" fillId="0" borderId="4" xfId="0" applyNumberFormat="1" applyFill="1" applyBorder="1" applyAlignment="1">
      <alignment horizontal="right"/>
    </xf>
    <xf numFmtId="0" fontId="0" fillId="0" borderId="0" xfId="0" applyFill="1"/>
    <xf numFmtId="9" fontId="0" fillId="0" borderId="0" xfId="1" applyFont="1"/>
    <xf numFmtId="1" fontId="0" fillId="0" borderId="0" xfId="0" applyNumberFormat="1"/>
    <xf numFmtId="1" fontId="0" fillId="0" borderId="13" xfId="0" applyNumberFormat="1" applyBorder="1"/>
    <xf numFmtId="0" fontId="0" fillId="0" borderId="13" xfId="0" applyBorder="1"/>
    <xf numFmtId="0" fontId="5" fillId="2" borderId="0" xfId="0" applyFont="1" applyFill="1" applyBorder="1"/>
    <xf numFmtId="3" fontId="0" fillId="0" borderId="0" xfId="0" applyNumberFormat="1" applyBorder="1"/>
    <xf numFmtId="0" fontId="0" fillId="0" borderId="13" xfId="0" applyBorder="1" applyAlignment="1">
      <alignment horizontal="left" indent="1"/>
    </xf>
    <xf numFmtId="3" fontId="0" fillId="0" borderId="13" xfId="0" applyNumberFormat="1" applyBorder="1"/>
    <xf numFmtId="0" fontId="0" fillId="0" borderId="13" xfId="0" applyFont="1" applyBorder="1" applyAlignment="1">
      <alignment horizontal="left" indent="1"/>
    </xf>
    <xf numFmtId="41" fontId="0" fillId="0" borderId="0" xfId="0" applyNumberFormat="1"/>
    <xf numFmtId="41" fontId="5" fillId="2" borderId="25" xfId="0" applyNumberFormat="1" applyFont="1" applyFill="1" applyBorder="1"/>
    <xf numFmtId="169" fontId="0" fillId="0" borderId="7" xfId="0" applyNumberFormat="1" applyFont="1" applyBorder="1" applyAlignment="1">
      <alignment horizontal="left" indent="1"/>
    </xf>
    <xf numFmtId="169" fontId="0" fillId="0" borderId="0" xfId="0" applyNumberFormat="1" applyFont="1" applyBorder="1" applyAlignment="1">
      <alignment horizontal="left" indent="1"/>
    </xf>
    <xf numFmtId="169" fontId="0" fillId="0" borderId="13" xfId="0" applyNumberFormat="1" applyFont="1" applyBorder="1" applyAlignment="1">
      <alignment horizontal="left" indent="1"/>
    </xf>
    <xf numFmtId="169" fontId="5" fillId="2" borderId="0" xfId="0" applyNumberFormat="1" applyFont="1" applyFill="1" applyBorder="1"/>
    <xf numFmtId="169" fontId="5" fillId="0" borderId="8" xfId="0" applyNumberFormat="1" applyFont="1" applyBorder="1" applyAlignment="1">
      <alignment horizontal="left" indent="1"/>
    </xf>
    <xf numFmtId="3" fontId="0" fillId="0" borderId="0" xfId="0" applyNumberFormat="1" applyFont="1" applyBorder="1" applyAlignment="1">
      <alignment horizontal="right"/>
    </xf>
    <xf numFmtId="3" fontId="0" fillId="0" borderId="0" xfId="0" applyNumberFormat="1" applyBorder="1" applyAlignment="1">
      <alignment horizontal="right" indent="1"/>
    </xf>
    <xf numFmtId="3" fontId="5" fillId="0" borderId="0" xfId="0" applyNumberFormat="1" applyFont="1" applyBorder="1"/>
    <xf numFmtId="3" fontId="0" fillId="0" borderId="0" xfId="0" applyNumberFormat="1" applyBorder="1" applyAlignment="1"/>
    <xf numFmtId="0" fontId="0" fillId="3" borderId="9" xfId="0" applyFill="1" applyBorder="1"/>
    <xf numFmtId="0" fontId="10" fillId="0" borderId="0" xfId="0" applyFont="1" applyFill="1"/>
    <xf numFmtId="0" fontId="0" fillId="0" borderId="12" xfId="0" applyBorder="1"/>
    <xf numFmtId="2" fontId="4" fillId="0" borderId="12" xfId="0" applyNumberFormat="1" applyFont="1" applyBorder="1" applyAlignment="1">
      <alignment horizontal="center"/>
    </xf>
    <xf numFmtId="0" fontId="6" fillId="0" borderId="12" xfId="3" applyFill="1" applyBorder="1"/>
    <xf numFmtId="0" fontId="6" fillId="0" borderId="12" xfId="3" applyBorder="1"/>
    <xf numFmtId="0" fontId="4" fillId="2" borderId="12" xfId="0" applyFont="1" applyFill="1" applyBorder="1"/>
    <xf numFmtId="164" fontId="4" fillId="2" borderId="12" xfId="0" applyNumberFormat="1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" fontId="4" fillId="2" borderId="12" xfId="0" applyNumberFormat="1" applyFont="1" applyFill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165" fontId="0" fillId="2" borderId="12" xfId="2" applyNumberFormat="1" applyFont="1" applyFill="1" applyBorder="1" applyAlignment="1">
      <alignment horizontal="center"/>
    </xf>
    <xf numFmtId="3" fontId="4" fillId="2" borderId="12" xfId="0" applyNumberFormat="1" applyFont="1" applyFill="1" applyBorder="1" applyAlignment="1">
      <alignment horizontal="center"/>
    </xf>
    <xf numFmtId="0" fontId="11" fillId="4" borderId="30" xfId="0" applyFont="1" applyFill="1" applyBorder="1"/>
    <xf numFmtId="0" fontId="10" fillId="4" borderId="31" xfId="0" applyFont="1" applyFill="1" applyBorder="1"/>
    <xf numFmtId="0" fontId="10" fillId="4" borderId="32" xfId="0" applyFont="1" applyFill="1" applyBorder="1"/>
    <xf numFmtId="0" fontId="11" fillId="4" borderId="33" xfId="0" applyFont="1" applyFill="1" applyBorder="1"/>
    <xf numFmtId="0" fontId="10" fillId="4" borderId="13" xfId="0" applyFont="1" applyFill="1" applyBorder="1"/>
    <xf numFmtId="0" fontId="10" fillId="4" borderId="34" xfId="0" applyFont="1" applyFill="1" applyBorder="1"/>
    <xf numFmtId="0" fontId="2" fillId="4" borderId="31" xfId="0" applyFont="1" applyFill="1" applyBorder="1"/>
    <xf numFmtId="0" fontId="12" fillId="4" borderId="32" xfId="0" applyFont="1" applyFill="1" applyBorder="1" applyAlignment="1">
      <alignment horizontal="right"/>
    </xf>
    <xf numFmtId="0" fontId="12" fillId="4" borderId="31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26" xfId="0" applyFont="1" applyFill="1" applyBorder="1" applyAlignment="1">
      <alignment horizontal="center" wrapText="1"/>
    </xf>
    <xf numFmtId="0" fontId="2" fillId="4" borderId="25" xfId="0" applyFont="1" applyFill="1" applyBorder="1" applyAlignment="1">
      <alignment horizontal="center"/>
    </xf>
    <xf numFmtId="0" fontId="2" fillId="4" borderId="25" xfId="0" applyFont="1" applyFill="1" applyBorder="1" applyAlignment="1">
      <alignment horizontal="center" wrapText="1"/>
    </xf>
    <xf numFmtId="0" fontId="2" fillId="4" borderId="28" xfId="0" applyFont="1" applyFill="1" applyBorder="1" applyAlignment="1">
      <alignment horizontal="center"/>
    </xf>
    <xf numFmtId="0" fontId="2" fillId="4" borderId="29" xfId="0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0" fontId="0" fillId="4" borderId="12" xfId="0" applyFill="1" applyBorder="1"/>
    <xf numFmtId="3" fontId="2" fillId="4" borderId="12" xfId="0" applyNumberFormat="1" applyFont="1" applyFill="1" applyBorder="1" applyAlignment="1">
      <alignment horizontal="center"/>
    </xf>
    <xf numFmtId="0" fontId="10" fillId="4" borderId="5" xfId="0" applyFont="1" applyFill="1" applyBorder="1"/>
    <xf numFmtId="0" fontId="10" fillId="4" borderId="8" xfId="0" applyFont="1" applyFill="1" applyBorder="1"/>
    <xf numFmtId="0" fontId="10" fillId="4" borderId="6" xfId="0" applyFont="1" applyFill="1" applyBorder="1"/>
    <xf numFmtId="0" fontId="2" fillId="4" borderId="30" xfId="0" applyFont="1" applyFill="1" applyBorder="1"/>
    <xf numFmtId="0" fontId="2" fillId="4" borderId="32" xfId="0" applyFont="1" applyFill="1" applyBorder="1"/>
    <xf numFmtId="0" fontId="5" fillId="0" borderId="5" xfId="0" applyFont="1" applyBorder="1" applyAlignment="1"/>
    <xf numFmtId="0" fontId="5" fillId="0" borderId="6" xfId="0" applyFont="1" applyBorder="1" applyAlignment="1"/>
    <xf numFmtId="0" fontId="0" fillId="0" borderId="3" xfId="0" applyFont="1" applyBorder="1" applyAlignment="1">
      <alignment horizontal="left" indent="1"/>
    </xf>
    <xf numFmtId="3" fontId="0" fillId="0" borderId="4" xfId="0" applyNumberFormat="1" applyFont="1" applyBorder="1" applyAlignment="1">
      <alignment horizontal="left" indent="4"/>
    </xf>
    <xf numFmtId="0" fontId="5" fillId="2" borderId="35" xfId="0" applyFont="1" applyFill="1" applyBorder="1"/>
    <xf numFmtId="3" fontId="5" fillId="2" borderId="17" xfId="0" applyNumberFormat="1" applyFont="1" applyFill="1" applyBorder="1"/>
    <xf numFmtId="3" fontId="0" fillId="0" borderId="4" xfId="0" applyNumberFormat="1" applyBorder="1"/>
    <xf numFmtId="0" fontId="0" fillId="0" borderId="3" xfId="0" applyBorder="1" applyAlignment="1">
      <alignment horizontal="left" indent="1"/>
    </xf>
    <xf numFmtId="3" fontId="0" fillId="0" borderId="4" xfId="0" applyNumberFormat="1" applyBorder="1" applyAlignment="1">
      <alignment horizontal="left" indent="4"/>
    </xf>
    <xf numFmtId="0" fontId="5" fillId="0" borderId="3" xfId="0" applyFont="1" applyBorder="1"/>
    <xf numFmtId="3" fontId="5" fillId="0" borderId="4" xfId="0" applyNumberFormat="1" applyFont="1" applyBorder="1"/>
    <xf numFmtId="0" fontId="5" fillId="0" borderId="5" xfId="0" applyNumberFormat="1" applyFont="1" applyBorder="1" applyAlignment="1"/>
    <xf numFmtId="3" fontId="5" fillId="0" borderId="6" xfId="0" applyNumberFormat="1" applyFont="1" applyBorder="1" applyAlignment="1"/>
    <xf numFmtId="3" fontId="0" fillId="0" borderId="6" xfId="0" applyNumberFormat="1" applyBorder="1"/>
    <xf numFmtId="0" fontId="13" fillId="0" borderId="0" xfId="0" applyFont="1"/>
    <xf numFmtId="10" fontId="13" fillId="0" borderId="0" xfId="1" applyNumberFormat="1" applyFont="1" applyAlignment="1">
      <alignment horizontal="left"/>
    </xf>
    <xf numFmtId="171" fontId="13" fillId="0" borderId="0" xfId="0" applyNumberFormat="1" applyFont="1"/>
    <xf numFmtId="172" fontId="13" fillId="0" borderId="0" xfId="0" applyNumberFormat="1" applyFont="1" applyAlignment="1">
      <alignment horizontal="left"/>
    </xf>
    <xf numFmtId="3" fontId="13" fillId="0" borderId="0" xfId="0" applyNumberFormat="1" applyFont="1" applyAlignment="1">
      <alignment horizontal="left"/>
    </xf>
    <xf numFmtId="10" fontId="0" fillId="0" borderId="0" xfId="1" applyNumberFormat="1" applyFont="1" applyFill="1" applyBorder="1" applyAlignment="1">
      <alignment horizontal="right"/>
    </xf>
    <xf numFmtId="3" fontId="0" fillId="0" borderId="0" xfId="0" applyNumberFormat="1" applyBorder="1" applyAlignment="1">
      <alignment horizontal="right"/>
    </xf>
    <xf numFmtId="9" fontId="10" fillId="0" borderId="0" xfId="1" applyFont="1" applyFill="1" applyBorder="1"/>
    <xf numFmtId="0" fontId="10" fillId="0" borderId="0" xfId="0" applyFont="1" applyFill="1" applyBorder="1"/>
    <xf numFmtId="0" fontId="0" fillId="0" borderId="0" xfId="0" applyFill="1" applyBorder="1"/>
    <xf numFmtId="170" fontId="7" fillId="0" borderId="4" xfId="1" applyNumberFormat="1" applyFont="1" applyBorder="1"/>
    <xf numFmtId="0" fontId="0" fillId="0" borderId="6" xfId="0" applyBorder="1"/>
    <xf numFmtId="0" fontId="0" fillId="0" borderId="2" xfId="0" applyBorder="1"/>
    <xf numFmtId="0" fontId="11" fillId="4" borderId="9" xfId="0" applyFont="1" applyFill="1" applyBorder="1"/>
    <xf numFmtId="9" fontId="10" fillId="4" borderId="10" xfId="1" applyFont="1" applyFill="1" applyBorder="1"/>
    <xf numFmtId="9" fontId="10" fillId="4" borderId="11" xfId="1" applyFont="1" applyFill="1" applyBorder="1"/>
    <xf numFmtId="0" fontId="10" fillId="4" borderId="10" xfId="0" applyFont="1" applyFill="1" applyBorder="1"/>
    <xf numFmtId="0" fontId="10" fillId="4" borderId="11" xfId="0" applyFont="1" applyFill="1" applyBorder="1"/>
    <xf numFmtId="0" fontId="5" fillId="0" borderId="0" xfId="0" applyFont="1" applyBorder="1"/>
    <xf numFmtId="169" fontId="5" fillId="0" borderId="0" xfId="0" applyNumberFormat="1" applyFont="1" applyBorder="1" applyAlignment="1">
      <alignment horizontal="left" indent="1"/>
    </xf>
    <xf numFmtId="10" fontId="0" fillId="0" borderId="0" xfId="1" applyNumberFormat="1" applyFont="1"/>
    <xf numFmtId="0" fontId="0" fillId="0" borderId="0" xfId="0" applyFont="1" applyFill="1" applyBorder="1"/>
    <xf numFmtId="3" fontId="0" fillId="0" borderId="0" xfId="0" applyNumberFormat="1" applyFont="1" applyFill="1" applyBorder="1"/>
    <xf numFmtId="0" fontId="5" fillId="0" borderId="0" xfId="0" applyFont="1" applyFill="1" applyBorder="1"/>
    <xf numFmtId="10" fontId="7" fillId="0" borderId="0" xfId="1" applyNumberFormat="1" applyFont="1"/>
    <xf numFmtId="10" fontId="7" fillId="0" borderId="0" xfId="0" applyNumberFormat="1" applyFont="1"/>
    <xf numFmtId="0" fontId="7" fillId="0" borderId="23" xfId="0" applyFont="1" applyBorder="1"/>
    <xf numFmtId="0" fontId="11" fillId="4" borderId="10" xfId="0" applyFont="1" applyFill="1" applyBorder="1"/>
    <xf numFmtId="0" fontId="11" fillId="4" borderId="11" xfId="0" applyFont="1" applyFill="1" applyBorder="1"/>
    <xf numFmtId="0" fontId="0" fillId="0" borderId="36" xfId="0" applyFont="1" applyBorder="1"/>
    <xf numFmtId="0" fontId="5" fillId="0" borderId="25" xfId="0" applyFont="1" applyFill="1" applyBorder="1"/>
    <xf numFmtId="3" fontId="5" fillId="0" borderId="25" xfId="0" applyNumberFormat="1" applyFont="1" applyFill="1" applyBorder="1"/>
    <xf numFmtId="41" fontId="0" fillId="0" borderId="8" xfId="0" applyNumberFormat="1" applyBorder="1"/>
    <xf numFmtId="169" fontId="5" fillId="0" borderId="0" xfId="0" applyNumberFormat="1" applyFont="1" applyFill="1" applyBorder="1"/>
    <xf numFmtId="171" fontId="0" fillId="0" borderId="0" xfId="0" applyNumberFormat="1"/>
    <xf numFmtId="0" fontId="0" fillId="0" borderId="37" xfId="0" applyBorder="1"/>
    <xf numFmtId="0" fontId="7" fillId="0" borderId="3" xfId="0" applyFont="1" applyBorder="1"/>
    <xf numFmtId="43" fontId="0" fillId="0" borderId="0" xfId="0" applyNumberFormat="1" applyFont="1" applyBorder="1" applyAlignment="1">
      <alignment horizontal="left" indent="1"/>
    </xf>
    <xf numFmtId="0" fontId="2" fillId="4" borderId="1" xfId="0" applyFont="1" applyFill="1" applyBorder="1"/>
    <xf numFmtId="0" fontId="2" fillId="4" borderId="7" xfId="0" applyFont="1" applyFill="1" applyBorder="1"/>
    <xf numFmtId="0" fontId="2" fillId="4" borderId="2" xfId="0" applyFont="1" applyFill="1" applyBorder="1"/>
    <xf numFmtId="0" fontId="7" fillId="0" borderId="4" xfId="0" applyFont="1" applyBorder="1"/>
    <xf numFmtId="3" fontId="7" fillId="0" borderId="0" xfId="0" applyNumberFormat="1" applyFont="1" applyBorder="1" applyAlignment="1">
      <alignment horizontal="right"/>
    </xf>
    <xf numFmtId="0" fontId="3" fillId="0" borderId="0" xfId="0" applyFont="1" applyBorder="1"/>
    <xf numFmtId="3" fontId="7" fillId="0" borderId="4" xfId="0" applyNumberFormat="1" applyFont="1" applyBorder="1" applyAlignment="1">
      <alignment horizontal="right"/>
    </xf>
    <xf numFmtId="43" fontId="7" fillId="0" borderId="0" xfId="0" applyNumberFormat="1" applyFont="1" applyBorder="1" applyAlignment="1">
      <alignment horizontal="right"/>
    </xf>
    <xf numFmtId="10" fontId="7" fillId="0" borderId="4" xfId="0" applyNumberFormat="1" applyFont="1" applyBorder="1" applyAlignment="1">
      <alignment horizontal="right"/>
    </xf>
    <xf numFmtId="175" fontId="7" fillId="0" borderId="4" xfId="0" applyNumberFormat="1" applyFont="1" applyBorder="1"/>
    <xf numFmtId="0" fontId="2" fillId="4" borderId="27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173" fontId="7" fillId="0" borderId="3" xfId="1" applyNumberFormat="1" applyFont="1" applyBorder="1" applyAlignment="1">
      <alignment horizontal="left"/>
    </xf>
    <xf numFmtId="173" fontId="7" fillId="0" borderId="0" xfId="1" applyNumberFormat="1" applyFont="1" applyAlignment="1">
      <alignment horizontal="left"/>
    </xf>
    <xf numFmtId="174" fontId="7" fillId="0" borderId="3" xfId="1" applyNumberFormat="1" applyFont="1" applyBorder="1" applyAlignment="1">
      <alignment horizontal="left"/>
    </xf>
    <xf numFmtId="174" fontId="7" fillId="0" borderId="0" xfId="1" applyNumberFormat="1" applyFont="1" applyBorder="1" applyAlignment="1">
      <alignment horizontal="left"/>
    </xf>
    <xf numFmtId="9" fontId="0" fillId="2" borderId="0" xfId="1" applyFont="1" applyFill="1"/>
    <xf numFmtId="9" fontId="7" fillId="2" borderId="0" xfId="1" applyFont="1" applyFill="1"/>
    <xf numFmtId="9" fontId="0" fillId="0" borderId="13" xfId="1" applyFont="1" applyBorder="1"/>
    <xf numFmtId="0" fontId="14" fillId="2" borderId="25" xfId="0" applyFont="1" applyFill="1" applyBorder="1"/>
    <xf numFmtId="0" fontId="9" fillId="2" borderId="25" xfId="0" applyFont="1" applyFill="1" applyBorder="1"/>
    <xf numFmtId="175" fontId="16" fillId="2" borderId="25" xfId="0" applyNumberFormat="1" applyFont="1" applyFill="1" applyBorder="1"/>
    <xf numFmtId="0" fontId="0" fillId="2" borderId="25" xfId="0" applyFill="1" applyBorder="1"/>
    <xf numFmtId="169" fontId="5" fillId="2" borderId="25" xfId="0" applyNumberFormat="1" applyFont="1" applyFill="1" applyBorder="1"/>
    <xf numFmtId="43" fontId="5" fillId="2" borderId="25" xfId="0" applyNumberFormat="1" applyFont="1" applyFill="1" applyBorder="1"/>
    <xf numFmtId="0" fontId="0" fillId="0" borderId="0" xfId="0" applyAlignment="1"/>
    <xf numFmtId="169" fontId="0" fillId="0" borderId="0" xfId="0" applyNumberFormat="1" applyFont="1" applyBorder="1" applyAlignment="1"/>
    <xf numFmtId="169" fontId="17" fillId="0" borderId="0" xfId="0" applyNumberFormat="1" applyFont="1"/>
    <xf numFmtId="10" fontId="13" fillId="0" borderId="0" xfId="1" applyNumberFormat="1" applyFont="1" applyAlignment="1">
      <alignment horizontal="right"/>
    </xf>
    <xf numFmtId="172" fontId="17" fillId="0" borderId="0" xfId="0" applyNumberFormat="1" applyFont="1"/>
    <xf numFmtId="172" fontId="13" fillId="0" borderId="0" xfId="0" applyNumberFormat="1" applyFont="1" applyAlignment="1">
      <alignment horizontal="right"/>
    </xf>
    <xf numFmtId="3" fontId="13" fillId="0" borderId="0" xfId="0" applyNumberFormat="1" applyFont="1" applyAlignment="1">
      <alignment horizontal="right"/>
    </xf>
    <xf numFmtId="175" fontId="15" fillId="2" borderId="25" xfId="0" applyNumberFormat="1" applyFont="1" applyFill="1" applyBorder="1"/>
    <xf numFmtId="10" fontId="7" fillId="0" borderId="0" xfId="0" applyNumberFormat="1" applyFont="1" applyBorder="1" applyAlignment="1">
      <alignment horizontal="left"/>
    </xf>
    <xf numFmtId="172" fontId="7" fillId="0" borderId="0" xfId="0" applyNumberFormat="1" applyFont="1" applyBorder="1" applyAlignment="1">
      <alignment horizontal="left"/>
    </xf>
    <xf numFmtId="3" fontId="7" fillId="0" borderId="0" xfId="0" applyNumberFormat="1" applyFont="1" applyBorder="1" applyAlignment="1">
      <alignment horizontal="left"/>
    </xf>
    <xf numFmtId="0" fontId="7" fillId="0" borderId="0" xfId="0" applyFont="1" applyBorder="1" applyAlignment="1">
      <alignment horizontal="left"/>
    </xf>
    <xf numFmtId="2" fontId="7" fillId="0" borderId="0" xfId="0" applyNumberFormat="1" applyFont="1" applyBorder="1" applyAlignment="1">
      <alignment horizontal="left"/>
    </xf>
    <xf numFmtId="0" fontId="5" fillId="2" borderId="25" xfId="0" applyFont="1" applyFill="1" applyBorder="1" applyAlignment="1">
      <alignment horizontal="right"/>
    </xf>
    <xf numFmtId="175" fontId="5" fillId="2" borderId="25" xfId="0" applyNumberFormat="1" applyFont="1" applyFill="1" applyBorder="1" applyAlignment="1">
      <alignment horizontal="right"/>
    </xf>
    <xf numFmtId="0" fontId="5" fillId="2" borderId="25" xfId="0" applyFont="1" applyFill="1" applyBorder="1" applyAlignment="1"/>
    <xf numFmtId="0" fontId="5" fillId="2" borderId="3" xfId="0" applyFont="1" applyFill="1" applyBorder="1"/>
    <xf numFmtId="0" fontId="5" fillId="2" borderId="4" xfId="0" applyFont="1" applyFill="1" applyBorder="1"/>
    <xf numFmtId="0" fontId="5" fillId="2" borderId="17" xfId="0" applyFont="1" applyFill="1" applyBorder="1"/>
    <xf numFmtId="175" fontId="5" fillId="2" borderId="17" xfId="0" applyNumberFormat="1" applyFont="1" applyFill="1" applyBorder="1" applyAlignment="1">
      <alignment horizontal="right"/>
    </xf>
    <xf numFmtId="0" fontId="5" fillId="2" borderId="35" xfId="0" applyFont="1" applyFill="1" applyBorder="1" applyAlignment="1"/>
    <xf numFmtId="172" fontId="7" fillId="0" borderId="4" xfId="0" applyNumberFormat="1" applyFont="1" applyBorder="1" applyAlignment="1">
      <alignment horizontal="right"/>
    </xf>
    <xf numFmtId="2" fontId="7" fillId="0" borderId="4" xfId="0" applyNumberFormat="1" applyFont="1" applyBorder="1" applyAlignment="1">
      <alignment horizontal="right"/>
    </xf>
    <xf numFmtId="0" fontId="7" fillId="0" borderId="5" xfId="0" applyFont="1" applyBorder="1"/>
    <xf numFmtId="3" fontId="7" fillId="0" borderId="8" xfId="0" applyNumberFormat="1" applyFont="1" applyBorder="1" applyAlignment="1">
      <alignment horizontal="left"/>
    </xf>
    <xf numFmtId="3" fontId="7" fillId="0" borderId="6" xfId="0" applyNumberFormat="1" applyFont="1" applyBorder="1" applyAlignment="1">
      <alignment horizontal="right"/>
    </xf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1"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F50FF-1276-421B-91A8-1BF9324DA1FE}">
  <dimension ref="A1:O50"/>
  <sheetViews>
    <sheetView showGridLines="0" tabSelected="1" workbookViewId="0"/>
  </sheetViews>
  <sheetFormatPr defaultColWidth="0" defaultRowHeight="14.4" zeroHeight="1" x14ac:dyDescent="0.3"/>
  <cols>
    <col min="1" max="1" width="3.109375" customWidth="1"/>
    <col min="2" max="2" width="23.5546875" customWidth="1"/>
    <col min="3" max="3" width="7.21875" customWidth="1"/>
    <col min="4" max="4" width="10.109375" customWidth="1"/>
    <col min="5" max="5" width="10.88671875" customWidth="1"/>
    <col min="6" max="6" width="8.5546875" customWidth="1"/>
    <col min="7" max="7" width="10.6640625" customWidth="1"/>
    <col min="8" max="8" width="2.44140625" customWidth="1"/>
    <col min="9" max="9" width="21.88671875" hidden="1" customWidth="1"/>
    <col min="10" max="10" width="0.6640625" hidden="1" customWidth="1"/>
    <col min="11" max="11" width="12" hidden="1" customWidth="1"/>
    <col min="12" max="12" width="20.21875" hidden="1" customWidth="1"/>
    <col min="13" max="13" width="2.77734375" hidden="1" customWidth="1"/>
    <col min="14" max="14" width="8.88671875" hidden="1" customWidth="1"/>
    <col min="15" max="15" width="1.6640625" hidden="1" customWidth="1"/>
  </cols>
  <sheetData>
    <row r="1" spans="2:7" ht="11.4" customHeight="1" thickBot="1" x14ac:dyDescent="0.35"/>
    <row r="2" spans="2:7" x14ac:dyDescent="0.3">
      <c r="B2" s="236" t="s">
        <v>153</v>
      </c>
      <c r="C2" s="237"/>
      <c r="D2" s="237"/>
      <c r="E2" s="237"/>
      <c r="F2" s="237"/>
      <c r="G2" s="238"/>
    </row>
    <row r="3" spans="2:7" x14ac:dyDescent="0.3">
      <c r="B3" s="279" t="s">
        <v>169</v>
      </c>
      <c r="C3" s="127"/>
      <c r="D3" s="127"/>
      <c r="E3" s="127"/>
      <c r="F3" s="127"/>
      <c r="G3" s="280"/>
    </row>
    <row r="4" spans="2:7" x14ac:dyDescent="0.3">
      <c r="B4" s="234" t="str">
        <f>'Input Assumptions'!B3</f>
        <v>Deal Name</v>
      </c>
      <c r="C4" s="34"/>
      <c r="D4" s="34"/>
      <c r="E4" s="34"/>
      <c r="F4" s="34"/>
      <c r="G4" s="49" t="str">
        <f>'Input Assumptions'!C3</f>
        <v>Anytown</v>
      </c>
    </row>
    <row r="5" spans="2:7" x14ac:dyDescent="0.3">
      <c r="B5" s="234" t="s">
        <v>27</v>
      </c>
      <c r="C5" s="34"/>
      <c r="D5" s="34"/>
      <c r="E5" s="34"/>
      <c r="F5" s="34"/>
      <c r="G5" s="49" t="str">
        <f>'Input Assumptions'!C4</f>
        <v xml:space="preserve">Somewhere </v>
      </c>
    </row>
    <row r="6" spans="2:7" x14ac:dyDescent="0.3">
      <c r="B6" s="234" t="s">
        <v>158</v>
      </c>
      <c r="C6" s="34"/>
      <c r="D6" s="34"/>
      <c r="E6" s="34"/>
      <c r="F6" s="34"/>
      <c r="G6" s="242">
        <f>'Unit List &amp; Rent Roll'!E41</f>
        <v>17100</v>
      </c>
    </row>
    <row r="7" spans="2:7" x14ac:dyDescent="0.3">
      <c r="B7" s="234" t="s">
        <v>154</v>
      </c>
      <c r="C7" s="34"/>
      <c r="D7" s="34"/>
      <c r="E7" s="34"/>
      <c r="F7" s="34"/>
      <c r="G7" s="49">
        <f>MAX('Unit List &amp; Rent Roll'!B3:B40)</f>
        <v>5</v>
      </c>
    </row>
    <row r="8" spans="2:7" x14ac:dyDescent="0.3">
      <c r="B8" s="234" t="s">
        <v>67</v>
      </c>
      <c r="C8" s="34"/>
      <c r="D8" s="34"/>
      <c r="E8" s="34"/>
      <c r="F8" s="34"/>
      <c r="G8" s="242">
        <f>'Unit List &amp; Rent Roll'!C41</f>
        <v>38</v>
      </c>
    </row>
    <row r="9" spans="2:7" x14ac:dyDescent="0.3">
      <c r="B9" s="234"/>
      <c r="C9" s="34"/>
      <c r="D9" s="34"/>
      <c r="E9" s="34"/>
      <c r="F9" s="34"/>
      <c r="G9" s="239"/>
    </row>
    <row r="10" spans="2:7" x14ac:dyDescent="0.3">
      <c r="B10" s="188" t="s">
        <v>170</v>
      </c>
      <c r="C10" s="107"/>
      <c r="D10" s="107"/>
      <c r="E10" s="107"/>
      <c r="F10" s="107"/>
      <c r="G10" s="281"/>
    </row>
    <row r="11" spans="2:7" x14ac:dyDescent="0.3">
      <c r="B11" s="234" t="s">
        <v>155</v>
      </c>
      <c r="C11" s="34"/>
      <c r="D11" s="34"/>
      <c r="E11" s="34"/>
      <c r="F11" s="34"/>
      <c r="G11" s="245">
        <f>'Annual Cashflow'!D4</f>
        <v>1</v>
      </c>
    </row>
    <row r="12" spans="2:7" x14ac:dyDescent="0.3">
      <c r="B12" s="234" t="s">
        <v>156</v>
      </c>
      <c r="C12" s="34"/>
      <c r="D12" s="34"/>
      <c r="E12" s="34"/>
      <c r="F12" s="34"/>
      <c r="G12" s="245">
        <f>MAX('Annual Cashflow'!C4:M4)</f>
        <v>5</v>
      </c>
    </row>
    <row r="13" spans="2:7" x14ac:dyDescent="0.3">
      <c r="B13" s="234" t="s">
        <v>157</v>
      </c>
      <c r="C13" s="34"/>
      <c r="D13" s="34"/>
      <c r="E13" s="34"/>
      <c r="F13" s="34"/>
      <c r="G13" s="245">
        <f>'Reversion Proforma'!D2</f>
        <v>6</v>
      </c>
    </row>
    <row r="14" spans="2:7" x14ac:dyDescent="0.3">
      <c r="B14" s="234"/>
      <c r="C14" s="34"/>
      <c r="D14" s="34"/>
      <c r="E14" s="34"/>
      <c r="F14" s="34"/>
      <c r="G14" s="239"/>
    </row>
    <row r="15" spans="2:7" x14ac:dyDescent="0.3">
      <c r="B15" s="188" t="s">
        <v>159</v>
      </c>
      <c r="C15" s="107"/>
      <c r="D15" s="107"/>
      <c r="E15" s="276" t="s">
        <v>168</v>
      </c>
      <c r="F15" s="277">
        <f>G11</f>
        <v>1</v>
      </c>
      <c r="G15" s="282">
        <f>G13</f>
        <v>6</v>
      </c>
    </row>
    <row r="16" spans="2:7" x14ac:dyDescent="0.3">
      <c r="B16" s="234" t="str">
        <f>'Annual Cashflow'!B8</f>
        <v>Purchase Price</v>
      </c>
      <c r="C16" s="4"/>
      <c r="D16" s="4"/>
      <c r="E16" s="240">
        <f>'Input Assumptions'!C14</f>
        <v>15250000</v>
      </c>
      <c r="F16" s="240"/>
      <c r="G16" s="242"/>
    </row>
    <row r="17" spans="2:7" x14ac:dyDescent="0.3">
      <c r="B17" s="234" t="str">
        <f>'Annual Cashflow'!B10</f>
        <v>Total Acquisition Cost</v>
      </c>
      <c r="C17" s="4"/>
      <c r="D17" s="4"/>
      <c r="E17" s="240">
        <f>-'Annual Cashflow'!C10</f>
        <v>16287000</v>
      </c>
      <c r="F17" s="48"/>
      <c r="G17" s="49"/>
    </row>
    <row r="18" spans="2:7" x14ac:dyDescent="0.3">
      <c r="B18" s="234" t="str">
        <f>'Annual Cashflow'!B15</f>
        <v>Net Income</v>
      </c>
      <c r="C18" s="4"/>
      <c r="D18" s="4"/>
      <c r="E18" s="240"/>
      <c r="F18" s="240">
        <f>'Annual Cashflow'!D15</f>
        <v>831780</v>
      </c>
      <c r="G18" s="242">
        <f>'Reversion Proforma'!D7</f>
        <v>992706.63255826139</v>
      </c>
    </row>
    <row r="19" spans="2:7" x14ac:dyDescent="0.3">
      <c r="B19" s="234" t="str">
        <f>'Annual Cashflow'!B18</f>
        <v>Net Income Less Vacancy</v>
      </c>
      <c r="C19" s="4"/>
      <c r="D19" s="4"/>
      <c r="E19" s="240"/>
      <c r="F19" s="240">
        <f>'Annual Cashflow'!D18</f>
        <v>614430</v>
      </c>
      <c r="G19" s="242">
        <f>'Reversion Proforma'!D10</f>
        <v>939702.09954840899</v>
      </c>
    </row>
    <row r="20" spans="2:7" x14ac:dyDescent="0.3">
      <c r="B20" s="234" t="str">
        <f>'Annual Cashflow'!B29</f>
        <v>Total Operating Expenses</v>
      </c>
      <c r="C20" s="4"/>
      <c r="D20" s="4"/>
      <c r="E20" s="240"/>
      <c r="F20" s="240">
        <f>'Annual Cashflow'!D29</f>
        <v>-155852.5</v>
      </c>
      <c r="G20" s="242">
        <f>'Reversion Proforma'!D21</f>
        <v>-187959.71593833464</v>
      </c>
    </row>
    <row r="21" spans="2:7" x14ac:dyDescent="0.3">
      <c r="B21" s="234" t="str">
        <f>'Annual Cashflow'!B31</f>
        <v>Net Operating Income</v>
      </c>
      <c r="C21" s="4"/>
      <c r="D21" s="4"/>
      <c r="E21" s="240"/>
      <c r="F21" s="240">
        <f>'Annual Cashflow'!D31</f>
        <v>458577.49999999988</v>
      </c>
      <c r="G21" s="242">
        <f>'Reversion Proforma'!D23</f>
        <v>751742.38361007441</v>
      </c>
    </row>
    <row r="22" spans="2:7" x14ac:dyDescent="0.3">
      <c r="B22" s="234" t="str">
        <f>'Reversion Proforma'!B26</f>
        <v>Proceeds from sale</v>
      </c>
      <c r="C22" s="4"/>
      <c r="D22" s="4"/>
      <c r="E22" s="240"/>
      <c r="F22" s="240"/>
      <c r="G22" s="242">
        <f>'Reversion Proforma'!D26</f>
        <v>19782694.305528276</v>
      </c>
    </row>
    <row r="23" spans="2:7" x14ac:dyDescent="0.3">
      <c r="B23" s="234" t="str">
        <f>'Reversion Proforma'!B28</f>
        <v>Net Proceeds from sale</v>
      </c>
      <c r="C23" s="4"/>
      <c r="D23" s="4"/>
      <c r="E23" s="204"/>
      <c r="F23" s="204"/>
      <c r="G23" s="242">
        <f>'Reversion Proforma'!D28</f>
        <v>18437471.092752352</v>
      </c>
    </row>
    <row r="24" spans="2:7" x14ac:dyDescent="0.3">
      <c r="B24" s="234"/>
      <c r="C24" s="4"/>
      <c r="D24" s="4"/>
      <c r="E24" s="204"/>
      <c r="F24" s="204"/>
      <c r="G24" s="242"/>
    </row>
    <row r="25" spans="2:7" x14ac:dyDescent="0.3">
      <c r="B25" s="283" t="s">
        <v>160</v>
      </c>
      <c r="C25" s="278"/>
      <c r="D25" s="278"/>
      <c r="E25" s="107"/>
      <c r="F25" s="107"/>
      <c r="G25" s="281"/>
    </row>
    <row r="26" spans="2:7" x14ac:dyDescent="0.3">
      <c r="B26" s="25" t="s">
        <v>166</v>
      </c>
      <c r="C26" s="4"/>
      <c r="D26" s="4"/>
      <c r="E26" s="241" t="s">
        <v>165</v>
      </c>
      <c r="F26" s="4"/>
      <c r="G26" s="2"/>
    </row>
    <row r="27" spans="2:7" x14ac:dyDescent="0.3">
      <c r="B27" s="234" t="str">
        <f>'Annual Cashflow'!B43</f>
        <v>Unlevered IRR</v>
      </c>
      <c r="C27" s="4"/>
      <c r="D27" s="271">
        <f>'Annual Cashflow'!C43</f>
        <v>6.2693074345588698E-2</v>
      </c>
      <c r="E27" s="34" t="str">
        <f>'Annual Cashflow'!B67</f>
        <v>Levered IRR</v>
      </c>
      <c r="F27" s="4"/>
      <c r="G27" s="244">
        <f>'Annual Cashflow'!C67</f>
        <v>0.1180150091648102</v>
      </c>
    </row>
    <row r="28" spans="2:7" x14ac:dyDescent="0.3">
      <c r="B28" s="234" t="str">
        <f>'Annual Cashflow'!B44</f>
        <v>Unlevered Equity Multiple</v>
      </c>
      <c r="C28" s="4"/>
      <c r="D28" s="272">
        <f>'Annual Cashflow'!C44</f>
        <v>1.3261229889852624</v>
      </c>
      <c r="E28" s="34" t="str">
        <f>'Annual Cashflow'!B68</f>
        <v>Levered Equity Multiple</v>
      </c>
      <c r="F28" s="4"/>
      <c r="G28" s="284">
        <f>'Annual Cashflow'!C68</f>
        <v>1.6694248274880825</v>
      </c>
    </row>
    <row r="29" spans="2:7" x14ac:dyDescent="0.3">
      <c r="B29" s="234" t="str">
        <f>'Annual Cashflow'!B45</f>
        <v>Unlevered Net Profit</v>
      </c>
      <c r="C29" s="4"/>
      <c r="D29" s="273">
        <f>'Annual Cashflow'!C45</f>
        <v>5311565.1216029711</v>
      </c>
      <c r="E29" s="34" t="str">
        <f>'Annual Cashflow'!B69</f>
        <v>Levered Net Profit</v>
      </c>
      <c r="F29" s="4"/>
      <c r="G29" s="242">
        <f>'Annual Cashflow'!C69</f>
        <v>2857108.5108432746</v>
      </c>
    </row>
    <row r="30" spans="2:7" ht="13.8" customHeight="1" x14ac:dyDescent="0.3">
      <c r="B30" s="1"/>
      <c r="C30" s="4"/>
      <c r="D30" s="274"/>
      <c r="E30" s="4"/>
      <c r="F30" s="4"/>
      <c r="G30" s="49"/>
    </row>
    <row r="31" spans="2:7" x14ac:dyDescent="0.3">
      <c r="B31" s="25" t="s">
        <v>167</v>
      </c>
      <c r="C31" s="4"/>
      <c r="D31" s="274"/>
      <c r="E31" s="4"/>
      <c r="F31" s="4"/>
      <c r="G31" s="49"/>
    </row>
    <row r="32" spans="2:7" x14ac:dyDescent="0.3">
      <c r="B32" s="234" t="s">
        <v>161</v>
      </c>
      <c r="C32" s="4"/>
      <c r="D32" s="275">
        <f>MIN('Debt Assumptions'!H7:Q7)</f>
        <v>1.116517992841042</v>
      </c>
      <c r="E32" s="34" t="s">
        <v>162</v>
      </c>
      <c r="F32" s="4"/>
      <c r="G32" s="244">
        <f>MIN('Debt Assumptions'!H8:Q8)</f>
        <v>3.7588319672131137E-2</v>
      </c>
    </row>
    <row r="33" spans="2:7" x14ac:dyDescent="0.3">
      <c r="B33" s="234" t="s">
        <v>163</v>
      </c>
      <c r="C33" s="4"/>
      <c r="D33" s="275">
        <f>AVERAGE('Debt Assumptions'!H7:Q7)</f>
        <v>1.4143098138066554</v>
      </c>
      <c r="E33" s="34" t="s">
        <v>164</v>
      </c>
      <c r="F33" s="4"/>
      <c r="G33" s="244">
        <f>AVERAGE('Debt Assumptions'!H8:Q8)</f>
        <v>5.1821213587715041E-2</v>
      </c>
    </row>
    <row r="34" spans="2:7" x14ac:dyDescent="0.3">
      <c r="B34" s="234"/>
      <c r="C34" s="4"/>
      <c r="D34" s="243"/>
      <c r="E34" s="34"/>
      <c r="F34" s="4"/>
      <c r="G34" s="244"/>
    </row>
    <row r="35" spans="2:7" x14ac:dyDescent="0.3">
      <c r="B35" s="283" t="s">
        <v>207</v>
      </c>
      <c r="C35" s="107"/>
      <c r="D35" s="107"/>
      <c r="E35" s="107"/>
      <c r="F35" s="107"/>
      <c r="G35" s="281"/>
    </row>
    <row r="36" spans="2:7" x14ac:dyDescent="0.3">
      <c r="B36" s="25" t="s">
        <v>175</v>
      </c>
      <c r="C36" s="4"/>
      <c r="D36" s="4"/>
      <c r="E36" s="241" t="s">
        <v>176</v>
      </c>
      <c r="F36" s="4"/>
      <c r="G36" s="2"/>
    </row>
    <row r="37" spans="2:7" x14ac:dyDescent="0.3">
      <c r="B37" s="234" t="str">
        <f>E27</f>
        <v>Levered IRR</v>
      </c>
      <c r="C37" s="4"/>
      <c r="D37" s="271">
        <f>'Partnership Returns'!C25</f>
        <v>6.4048724216300812E-2</v>
      </c>
      <c r="E37" s="34" t="str">
        <f>B37</f>
        <v>Levered IRR</v>
      </c>
      <c r="F37" s="4"/>
      <c r="G37" s="244">
        <f>'Partnership Returns'!C18</f>
        <v>6.1471817975680132E-2</v>
      </c>
    </row>
    <row r="38" spans="2:7" x14ac:dyDescent="0.3">
      <c r="B38" s="234" t="str">
        <f t="shared" ref="B38" si="0">E28</f>
        <v>Levered Equity Multiple</v>
      </c>
      <c r="C38" s="4"/>
      <c r="D38" s="275">
        <f>'Partnership Returns'!C26</f>
        <v>1.3399982885931254</v>
      </c>
      <c r="E38" s="34" t="str">
        <f t="shared" ref="E38" si="1">B38</f>
        <v>Levered Equity Multiple</v>
      </c>
      <c r="F38" s="4"/>
      <c r="G38" s="285">
        <f>'Partnership Returns'!C19</f>
        <v>1.3245812890288335</v>
      </c>
    </row>
    <row r="39" spans="2:7" ht="15" thickBot="1" x14ac:dyDescent="0.35">
      <c r="B39" s="286" t="str">
        <f>E29</f>
        <v>Levered Net Profit</v>
      </c>
      <c r="C39" s="63"/>
      <c r="D39" s="287">
        <f>'Partnership Returns'!C24</f>
        <v>553755.21263162326</v>
      </c>
      <c r="E39" s="92" t="str">
        <f>B39</f>
        <v>Levered Net Profit</v>
      </c>
      <c r="F39" s="63"/>
      <c r="G39" s="288">
        <f>'Partnership Returns'!C17</f>
        <v>4757809.9089713488</v>
      </c>
    </row>
    <row r="40" spans="2:7" ht="9" customHeight="1" x14ac:dyDescent="0.3"/>
    <row r="50" ht="5.4" hidden="1" customHeight="1" x14ac:dyDescent="0.3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714B-2729-472D-B28A-51AC4319E97C}">
  <dimension ref="B1:EE67"/>
  <sheetViews>
    <sheetView showGridLines="0" workbookViewId="0"/>
  </sheetViews>
  <sheetFormatPr defaultColWidth="8.88671875" defaultRowHeight="14.4" zeroHeight="1" x14ac:dyDescent="0.3"/>
  <cols>
    <col min="1" max="1" width="1.21875" customWidth="1"/>
    <col min="2" max="2" width="14" customWidth="1"/>
    <col min="3" max="3" width="11.88671875" bestFit="1" customWidth="1"/>
    <col min="4" max="4" width="11.109375" bestFit="1" customWidth="1"/>
    <col min="5" max="5" width="15.88671875" bestFit="1" customWidth="1"/>
    <col min="6" max="6" width="13" bestFit="1" customWidth="1"/>
    <col min="7" max="7" width="11.21875" bestFit="1" customWidth="1"/>
    <col min="8" max="8" width="7.21875" customWidth="1"/>
    <col min="9" max="9" width="14.88671875" bestFit="1" customWidth="1"/>
    <col min="10" max="10" width="19.5546875" bestFit="1" customWidth="1"/>
    <col min="11" max="11" width="25" bestFit="1" customWidth="1"/>
    <col min="12" max="12" width="14.5546875" customWidth="1"/>
    <col min="13" max="14" width="25" customWidth="1"/>
    <col min="15" max="133" width="8.77734375" customWidth="1"/>
    <col min="134" max="134" width="2.21875" customWidth="1"/>
    <col min="135" max="135" width="8.88671875" customWidth="1"/>
  </cols>
  <sheetData>
    <row r="1" spans="2:133" x14ac:dyDescent="0.3">
      <c r="L1" s="94" t="s">
        <v>31</v>
      </c>
      <c r="M1">
        <v>0</v>
      </c>
      <c r="N1">
        <f>ROUNDUP(N2/12,0)</f>
        <v>1</v>
      </c>
      <c r="O1">
        <f>IF(N1=0,0,ROUNDUP(O2/12,0))</f>
        <v>1</v>
      </c>
      <c r="P1">
        <f t="shared" ref="P1:Z1" si="0">ROUNDUP(P2/12,0)</f>
        <v>1</v>
      </c>
      <c r="Q1">
        <f t="shared" si="0"/>
        <v>1</v>
      </c>
      <c r="R1">
        <f t="shared" si="0"/>
        <v>1</v>
      </c>
      <c r="S1">
        <f t="shared" si="0"/>
        <v>1</v>
      </c>
      <c r="T1">
        <f t="shared" si="0"/>
        <v>1</v>
      </c>
      <c r="U1">
        <f t="shared" si="0"/>
        <v>1</v>
      </c>
      <c r="V1">
        <f t="shared" si="0"/>
        <v>1</v>
      </c>
      <c r="W1">
        <f t="shared" si="0"/>
        <v>1</v>
      </c>
      <c r="X1">
        <f t="shared" si="0"/>
        <v>1</v>
      </c>
      <c r="Y1">
        <f t="shared" si="0"/>
        <v>1</v>
      </c>
      <c r="Z1">
        <f t="shared" si="0"/>
        <v>2</v>
      </c>
      <c r="AA1">
        <f t="shared" ref="AA1" si="1">ROUNDUP(AA2/12,0)</f>
        <v>2</v>
      </c>
      <c r="AB1">
        <f t="shared" ref="AB1" si="2">ROUNDUP(AB2/12,0)</f>
        <v>2</v>
      </c>
      <c r="AC1">
        <f t="shared" ref="AC1" si="3">ROUNDUP(AC2/12,0)</f>
        <v>2</v>
      </c>
      <c r="AD1">
        <f t="shared" ref="AD1" si="4">ROUNDUP(AD2/12,0)</f>
        <v>2</v>
      </c>
      <c r="AE1">
        <f t="shared" ref="AE1" si="5">ROUNDUP(AE2/12,0)</f>
        <v>2</v>
      </c>
      <c r="AF1">
        <f t="shared" ref="AF1" si="6">ROUNDUP(AF2/12,0)</f>
        <v>2</v>
      </c>
      <c r="AG1">
        <f t="shared" ref="AG1" si="7">ROUNDUP(AG2/12,0)</f>
        <v>2</v>
      </c>
      <c r="AH1">
        <f t="shared" ref="AH1" si="8">ROUNDUP(AH2/12,0)</f>
        <v>2</v>
      </c>
      <c r="AI1">
        <f t="shared" ref="AI1" si="9">ROUNDUP(AI2/12,0)</f>
        <v>2</v>
      </c>
      <c r="AJ1">
        <f t="shared" ref="AJ1" si="10">ROUNDUP(AJ2/12,0)</f>
        <v>2</v>
      </c>
      <c r="AK1">
        <f t="shared" ref="AK1" si="11">ROUNDUP(AK2/12,0)</f>
        <v>2</v>
      </c>
      <c r="AL1">
        <f t="shared" ref="AL1" si="12">ROUNDUP(AL2/12,0)</f>
        <v>3</v>
      </c>
      <c r="AM1">
        <f t="shared" ref="AM1" si="13">ROUNDUP(AM2/12,0)</f>
        <v>3</v>
      </c>
      <c r="AN1">
        <f t="shared" ref="AN1" si="14">ROUNDUP(AN2/12,0)</f>
        <v>3</v>
      </c>
      <c r="AO1">
        <f t="shared" ref="AO1" si="15">ROUNDUP(AO2/12,0)</f>
        <v>3</v>
      </c>
      <c r="AP1">
        <f t="shared" ref="AP1" si="16">ROUNDUP(AP2/12,0)</f>
        <v>3</v>
      </c>
      <c r="AQ1">
        <f t="shared" ref="AQ1" si="17">ROUNDUP(AQ2/12,0)</f>
        <v>3</v>
      </c>
      <c r="AR1">
        <f t="shared" ref="AR1" si="18">ROUNDUP(AR2/12,0)</f>
        <v>3</v>
      </c>
      <c r="AS1">
        <f t="shared" ref="AS1" si="19">ROUNDUP(AS2/12,0)</f>
        <v>3</v>
      </c>
      <c r="AT1">
        <f t="shared" ref="AT1" si="20">ROUNDUP(AT2/12,0)</f>
        <v>3</v>
      </c>
      <c r="AU1">
        <f t="shared" ref="AU1" si="21">ROUNDUP(AU2/12,0)</f>
        <v>3</v>
      </c>
      <c r="AV1">
        <f t="shared" ref="AV1" si="22">ROUNDUP(AV2/12,0)</f>
        <v>3</v>
      </c>
      <c r="AW1">
        <f t="shared" ref="AW1" si="23">ROUNDUP(AW2/12,0)</f>
        <v>3</v>
      </c>
      <c r="AX1">
        <f t="shared" ref="AX1" si="24">ROUNDUP(AX2/12,0)</f>
        <v>4</v>
      </c>
      <c r="AY1">
        <f t="shared" ref="AY1" si="25">ROUNDUP(AY2/12,0)</f>
        <v>4</v>
      </c>
      <c r="AZ1">
        <f t="shared" ref="AZ1" si="26">ROUNDUP(AZ2/12,0)</f>
        <v>4</v>
      </c>
      <c r="BA1">
        <f t="shared" ref="BA1" si="27">ROUNDUP(BA2/12,0)</f>
        <v>4</v>
      </c>
      <c r="BB1">
        <f t="shared" ref="BB1" si="28">ROUNDUP(BB2/12,0)</f>
        <v>4</v>
      </c>
      <c r="BC1">
        <f t="shared" ref="BC1" si="29">ROUNDUP(BC2/12,0)</f>
        <v>4</v>
      </c>
      <c r="BD1">
        <f t="shared" ref="BD1" si="30">ROUNDUP(BD2/12,0)</f>
        <v>4</v>
      </c>
      <c r="BE1">
        <f t="shared" ref="BE1" si="31">ROUNDUP(BE2/12,0)</f>
        <v>4</v>
      </c>
      <c r="BF1">
        <f t="shared" ref="BF1" si="32">ROUNDUP(BF2/12,0)</f>
        <v>4</v>
      </c>
      <c r="BG1">
        <f t="shared" ref="BG1" si="33">ROUNDUP(BG2/12,0)</f>
        <v>4</v>
      </c>
      <c r="BH1">
        <f t="shared" ref="BH1" si="34">ROUNDUP(BH2/12,0)</f>
        <v>4</v>
      </c>
      <c r="BI1">
        <f t="shared" ref="BI1" si="35">ROUNDUP(BI2/12,0)</f>
        <v>4</v>
      </c>
      <c r="BJ1">
        <f t="shared" ref="BJ1" si="36">ROUNDUP(BJ2/12,0)</f>
        <v>5</v>
      </c>
      <c r="BK1">
        <f t="shared" ref="BK1" si="37">ROUNDUP(BK2/12,0)</f>
        <v>5</v>
      </c>
      <c r="BL1">
        <f t="shared" ref="BL1" si="38">ROUNDUP(BL2/12,0)</f>
        <v>5</v>
      </c>
      <c r="BM1">
        <f t="shared" ref="BM1" si="39">ROUNDUP(BM2/12,0)</f>
        <v>5</v>
      </c>
      <c r="BN1">
        <f t="shared" ref="BN1" si="40">ROUNDUP(BN2/12,0)</f>
        <v>5</v>
      </c>
      <c r="BO1">
        <f t="shared" ref="BO1" si="41">ROUNDUP(BO2/12,0)</f>
        <v>5</v>
      </c>
      <c r="BP1">
        <f t="shared" ref="BP1" si="42">ROUNDUP(BP2/12,0)</f>
        <v>5</v>
      </c>
      <c r="BQ1">
        <f t="shared" ref="BQ1" si="43">ROUNDUP(BQ2/12,0)</f>
        <v>5</v>
      </c>
      <c r="BR1">
        <f t="shared" ref="BR1" si="44">ROUNDUP(BR2/12,0)</f>
        <v>5</v>
      </c>
      <c r="BS1">
        <f t="shared" ref="BS1" si="45">ROUNDUP(BS2/12,0)</f>
        <v>5</v>
      </c>
      <c r="BT1">
        <f t="shared" ref="BT1" si="46">ROUNDUP(BT2/12,0)</f>
        <v>5</v>
      </c>
      <c r="BU1">
        <f t="shared" ref="BU1" si="47">ROUNDUP(BU2/12,0)</f>
        <v>5</v>
      </c>
      <c r="BV1">
        <f t="shared" ref="BV1" si="48">ROUNDUP(BV2/12,0)</f>
        <v>0</v>
      </c>
      <c r="BW1">
        <f t="shared" ref="BW1" si="49">ROUNDUP(BW2/12,0)</f>
        <v>1</v>
      </c>
      <c r="BX1">
        <f t="shared" ref="BX1" si="50">ROUNDUP(BX2/12,0)</f>
        <v>1</v>
      </c>
      <c r="BY1">
        <f t="shared" ref="BY1" si="51">ROUNDUP(BY2/12,0)</f>
        <v>1</v>
      </c>
      <c r="BZ1">
        <f t="shared" ref="BZ1" si="52">ROUNDUP(BZ2/12,0)</f>
        <v>1</v>
      </c>
      <c r="CA1">
        <f t="shared" ref="CA1" si="53">ROUNDUP(CA2/12,0)</f>
        <v>1</v>
      </c>
      <c r="CB1">
        <f t="shared" ref="CB1" si="54">ROUNDUP(CB2/12,0)</f>
        <v>1</v>
      </c>
      <c r="CC1">
        <f t="shared" ref="CC1" si="55">ROUNDUP(CC2/12,0)</f>
        <v>1</v>
      </c>
      <c r="CD1">
        <f t="shared" ref="CD1" si="56">ROUNDUP(CD2/12,0)</f>
        <v>1</v>
      </c>
      <c r="CE1">
        <f t="shared" ref="CE1" si="57">ROUNDUP(CE2/12,0)</f>
        <v>1</v>
      </c>
      <c r="CF1">
        <f t="shared" ref="CF1" si="58">ROUNDUP(CF2/12,0)</f>
        <v>1</v>
      </c>
      <c r="CG1">
        <f t="shared" ref="CG1" si="59">ROUNDUP(CG2/12,0)</f>
        <v>1</v>
      </c>
      <c r="CH1">
        <f t="shared" ref="CH1" si="60">ROUNDUP(CH2/12,0)</f>
        <v>1</v>
      </c>
      <c r="CI1">
        <f t="shared" ref="CI1" si="61">ROUNDUP(CI2/12,0)</f>
        <v>2</v>
      </c>
      <c r="CJ1">
        <f t="shared" ref="CJ1" si="62">ROUNDUP(CJ2/12,0)</f>
        <v>2</v>
      </c>
      <c r="CK1">
        <f t="shared" ref="CK1" si="63">ROUNDUP(CK2/12,0)</f>
        <v>2</v>
      </c>
      <c r="CL1">
        <f t="shared" ref="CL1" si="64">ROUNDUP(CL2/12,0)</f>
        <v>2</v>
      </c>
      <c r="CM1">
        <f t="shared" ref="CM1" si="65">ROUNDUP(CM2/12,0)</f>
        <v>2</v>
      </c>
      <c r="CN1">
        <f t="shared" ref="CN1" si="66">ROUNDUP(CN2/12,0)</f>
        <v>2</v>
      </c>
      <c r="CO1">
        <f t="shared" ref="CO1" si="67">ROUNDUP(CO2/12,0)</f>
        <v>2</v>
      </c>
      <c r="CP1">
        <f t="shared" ref="CP1" si="68">ROUNDUP(CP2/12,0)</f>
        <v>2</v>
      </c>
      <c r="CQ1">
        <f t="shared" ref="CQ1" si="69">ROUNDUP(CQ2/12,0)</f>
        <v>2</v>
      </c>
      <c r="CR1">
        <f t="shared" ref="CR1" si="70">ROUNDUP(CR2/12,0)</f>
        <v>2</v>
      </c>
      <c r="CS1">
        <f t="shared" ref="CS1" si="71">ROUNDUP(CS2/12,0)</f>
        <v>2</v>
      </c>
      <c r="CT1">
        <f t="shared" ref="CT1" si="72">ROUNDUP(CT2/12,0)</f>
        <v>2</v>
      </c>
      <c r="CU1">
        <f t="shared" ref="CU1" si="73">ROUNDUP(CU2/12,0)</f>
        <v>3</v>
      </c>
      <c r="CV1">
        <f t="shared" ref="CV1" si="74">ROUNDUP(CV2/12,0)</f>
        <v>3</v>
      </c>
      <c r="CW1">
        <f t="shared" ref="CW1" si="75">ROUNDUP(CW2/12,0)</f>
        <v>3</v>
      </c>
      <c r="CX1">
        <f t="shared" ref="CX1" si="76">ROUNDUP(CX2/12,0)</f>
        <v>3</v>
      </c>
      <c r="CY1">
        <f t="shared" ref="CY1" si="77">ROUNDUP(CY2/12,0)</f>
        <v>3</v>
      </c>
      <c r="CZ1">
        <f t="shared" ref="CZ1" si="78">ROUNDUP(CZ2/12,0)</f>
        <v>3</v>
      </c>
      <c r="DA1">
        <f t="shared" ref="DA1" si="79">ROUNDUP(DA2/12,0)</f>
        <v>3</v>
      </c>
      <c r="DB1">
        <f t="shared" ref="DB1" si="80">ROUNDUP(DB2/12,0)</f>
        <v>3</v>
      </c>
      <c r="DC1">
        <f t="shared" ref="DC1" si="81">ROUNDUP(DC2/12,0)</f>
        <v>3</v>
      </c>
      <c r="DD1">
        <f t="shared" ref="DD1" si="82">ROUNDUP(DD2/12,0)</f>
        <v>3</v>
      </c>
      <c r="DE1">
        <f t="shared" ref="DE1" si="83">ROUNDUP(DE2/12,0)</f>
        <v>3</v>
      </c>
      <c r="DF1">
        <f t="shared" ref="DF1" si="84">ROUNDUP(DF2/12,0)</f>
        <v>3</v>
      </c>
      <c r="DG1">
        <f t="shared" ref="DG1" si="85">ROUNDUP(DG2/12,0)</f>
        <v>4</v>
      </c>
      <c r="DH1">
        <f t="shared" ref="DH1" si="86">ROUNDUP(DH2/12,0)</f>
        <v>4</v>
      </c>
      <c r="DI1">
        <f t="shared" ref="DI1" si="87">ROUNDUP(DI2/12,0)</f>
        <v>4</v>
      </c>
      <c r="DJ1">
        <f t="shared" ref="DJ1" si="88">ROUNDUP(DJ2/12,0)</f>
        <v>4</v>
      </c>
      <c r="DK1">
        <f t="shared" ref="DK1" si="89">ROUNDUP(DK2/12,0)</f>
        <v>4</v>
      </c>
      <c r="DL1">
        <f t="shared" ref="DL1" si="90">ROUNDUP(DL2/12,0)</f>
        <v>4</v>
      </c>
      <c r="DM1">
        <f t="shared" ref="DM1" si="91">ROUNDUP(DM2/12,0)</f>
        <v>4</v>
      </c>
      <c r="DN1">
        <f t="shared" ref="DN1" si="92">ROUNDUP(DN2/12,0)</f>
        <v>4</v>
      </c>
      <c r="DO1">
        <f t="shared" ref="DO1" si="93">ROUNDUP(DO2/12,0)</f>
        <v>4</v>
      </c>
      <c r="DP1">
        <f t="shared" ref="DP1" si="94">ROUNDUP(DP2/12,0)</f>
        <v>4</v>
      </c>
      <c r="DQ1">
        <f t="shared" ref="DQ1" si="95">ROUNDUP(DQ2/12,0)</f>
        <v>4</v>
      </c>
      <c r="DR1">
        <f t="shared" ref="DR1" si="96">ROUNDUP(DR2/12,0)</f>
        <v>4</v>
      </c>
      <c r="DS1">
        <f t="shared" ref="DS1" si="97">ROUNDUP(DS2/12,0)</f>
        <v>5</v>
      </c>
      <c r="DT1">
        <f t="shared" ref="DT1" si="98">ROUNDUP(DT2/12,0)</f>
        <v>5</v>
      </c>
      <c r="DU1">
        <f t="shared" ref="DU1" si="99">ROUNDUP(DU2/12,0)</f>
        <v>5</v>
      </c>
      <c r="DV1">
        <f t="shared" ref="DV1" si="100">ROUNDUP(DV2/12,0)</f>
        <v>5</v>
      </c>
      <c r="DW1">
        <f t="shared" ref="DW1" si="101">ROUNDUP(DW2/12,0)</f>
        <v>5</v>
      </c>
      <c r="DX1">
        <f t="shared" ref="DX1" si="102">ROUNDUP(DX2/12,0)</f>
        <v>5</v>
      </c>
      <c r="DY1">
        <f t="shared" ref="DY1" si="103">ROUNDUP(DY2/12,0)</f>
        <v>5</v>
      </c>
      <c r="DZ1">
        <f t="shared" ref="DZ1" si="104">ROUNDUP(DZ2/12,0)</f>
        <v>5</v>
      </c>
      <c r="EA1">
        <f t="shared" ref="EA1" si="105">ROUNDUP(EA2/12,0)</f>
        <v>5</v>
      </c>
      <c r="EB1">
        <f t="shared" ref="EB1" si="106">ROUNDUP(EB2/12,0)</f>
        <v>5</v>
      </c>
      <c r="EC1">
        <f t="shared" ref="EC1" si="107">ROUNDUP(EC2/12,0)</f>
        <v>5</v>
      </c>
    </row>
    <row r="2" spans="2:133" ht="15" thickBot="1" x14ac:dyDescent="0.35">
      <c r="B2" s="176" t="s">
        <v>0</v>
      </c>
      <c r="C2" s="169" t="s">
        <v>1</v>
      </c>
      <c r="D2" s="169" t="s">
        <v>2</v>
      </c>
      <c r="E2" s="169" t="s">
        <v>5</v>
      </c>
      <c r="F2" s="169" t="s">
        <v>11</v>
      </c>
      <c r="G2" s="246" t="s">
        <v>9</v>
      </c>
      <c r="H2" s="246"/>
      <c r="I2" s="169" t="s">
        <v>3</v>
      </c>
      <c r="J2" s="169" t="s">
        <v>4</v>
      </c>
      <c r="K2" s="171" t="s">
        <v>6</v>
      </c>
      <c r="L2" s="95" t="s">
        <v>34</v>
      </c>
      <c r="M2" s="63">
        <v>0</v>
      </c>
      <c r="N2" s="63">
        <f>IF('Input Assumptions'!$C$7=0,0,1)</f>
        <v>1</v>
      </c>
      <c r="O2" s="63">
        <f>IF(N2='Input Assumptions'!$C$7*12,0,N2+1)</f>
        <v>2</v>
      </c>
      <c r="P2" s="63">
        <f>IF(O2='Input Assumptions'!$C$7*12,0,O2+1)</f>
        <v>3</v>
      </c>
      <c r="Q2" s="63">
        <f>IF(P2='Input Assumptions'!$C$7*12,0,P2+1)</f>
        <v>4</v>
      </c>
      <c r="R2" s="63">
        <f>IF(Q2='Input Assumptions'!$C$7*12,0,Q2+1)</f>
        <v>5</v>
      </c>
      <c r="S2" s="63">
        <f>IF(R2='Input Assumptions'!$C$7*12,0,R2+1)</f>
        <v>6</v>
      </c>
      <c r="T2" s="63">
        <f>IF(S2='Input Assumptions'!$C$7*12,0,S2+1)</f>
        <v>7</v>
      </c>
      <c r="U2" s="63">
        <f>IF(T2='Input Assumptions'!$C$7*12,0,T2+1)</f>
        <v>8</v>
      </c>
      <c r="V2" s="63">
        <f>IF(U2='Input Assumptions'!$C$7*12,0,U2+1)</f>
        <v>9</v>
      </c>
      <c r="W2" s="63">
        <f>IF(V2='Input Assumptions'!$C$7*12,0,V2+1)</f>
        <v>10</v>
      </c>
      <c r="X2" s="63">
        <f>IF(W2='Input Assumptions'!$C$7*12,0,W2+1)</f>
        <v>11</v>
      </c>
      <c r="Y2" s="63">
        <f>IF(X2='Input Assumptions'!$C$7*12,0,X2+1)</f>
        <v>12</v>
      </c>
      <c r="Z2" s="63">
        <f>IF(Y2='Input Assumptions'!$C$7*12,0,Y2+1)</f>
        <v>13</v>
      </c>
      <c r="AA2" s="63">
        <f>IF(Z2='Input Assumptions'!$C$7*12,0,Z2+1)</f>
        <v>14</v>
      </c>
      <c r="AB2" s="63">
        <f>IF(AA2='Input Assumptions'!$C$7*12,0,AA2+1)</f>
        <v>15</v>
      </c>
      <c r="AC2" s="63">
        <f>IF(AB2='Input Assumptions'!$C$7*12,0,AB2+1)</f>
        <v>16</v>
      </c>
      <c r="AD2" s="63">
        <f>IF(AC2='Input Assumptions'!$C$7*12,0,AC2+1)</f>
        <v>17</v>
      </c>
      <c r="AE2" s="63">
        <f>IF(AD2='Input Assumptions'!$C$7*12,0,AD2+1)</f>
        <v>18</v>
      </c>
      <c r="AF2" s="63">
        <f>IF(AE2='Input Assumptions'!$C$7*12,0,AE2+1)</f>
        <v>19</v>
      </c>
      <c r="AG2" s="63">
        <f>IF(AF2='Input Assumptions'!$C$7*12,0,AF2+1)</f>
        <v>20</v>
      </c>
      <c r="AH2" s="63">
        <f>IF(AG2='Input Assumptions'!$C$7*12,0,AG2+1)</f>
        <v>21</v>
      </c>
      <c r="AI2" s="63">
        <f>IF(AH2='Input Assumptions'!$C$7*12,0,AH2+1)</f>
        <v>22</v>
      </c>
      <c r="AJ2" s="63">
        <f>IF(AI2='Input Assumptions'!$C$7*12,0,AI2+1)</f>
        <v>23</v>
      </c>
      <c r="AK2" s="63">
        <f>IF(AJ2='Input Assumptions'!$C$7*12,0,AJ2+1)</f>
        <v>24</v>
      </c>
      <c r="AL2" s="63">
        <f>IF(AK2='Input Assumptions'!$C$7*12,0,AK2+1)</f>
        <v>25</v>
      </c>
      <c r="AM2" s="63">
        <f>IF(AL2='Input Assumptions'!$C$7*12,0,AL2+1)</f>
        <v>26</v>
      </c>
      <c r="AN2" s="63">
        <f>IF(AM2='Input Assumptions'!$C$7*12,0,AM2+1)</f>
        <v>27</v>
      </c>
      <c r="AO2" s="63">
        <f>IF(AN2='Input Assumptions'!$C$7*12,0,AN2+1)</f>
        <v>28</v>
      </c>
      <c r="AP2" s="63">
        <f>IF(AO2='Input Assumptions'!$C$7*12,0,AO2+1)</f>
        <v>29</v>
      </c>
      <c r="AQ2" s="63">
        <f>IF(AP2='Input Assumptions'!$C$7*12,0,AP2+1)</f>
        <v>30</v>
      </c>
      <c r="AR2" s="63">
        <f>IF(AQ2='Input Assumptions'!$C$7*12,0,AQ2+1)</f>
        <v>31</v>
      </c>
      <c r="AS2" s="63">
        <f>IF(AR2='Input Assumptions'!$C$7*12,0,AR2+1)</f>
        <v>32</v>
      </c>
      <c r="AT2" s="63">
        <f>IF(AS2='Input Assumptions'!$C$7*12,0,AS2+1)</f>
        <v>33</v>
      </c>
      <c r="AU2" s="63">
        <f>IF(AT2='Input Assumptions'!$C$7*12,0,AT2+1)</f>
        <v>34</v>
      </c>
      <c r="AV2" s="63">
        <f>IF(AU2='Input Assumptions'!$C$7*12,0,AU2+1)</f>
        <v>35</v>
      </c>
      <c r="AW2" s="63">
        <f>IF(AV2='Input Assumptions'!$C$7*12,0,AV2+1)</f>
        <v>36</v>
      </c>
      <c r="AX2" s="63">
        <f>IF(AW2='Input Assumptions'!$C$7*12,0,AW2+1)</f>
        <v>37</v>
      </c>
      <c r="AY2" s="63">
        <f>IF(AX2='Input Assumptions'!$C$7*12,0,AX2+1)</f>
        <v>38</v>
      </c>
      <c r="AZ2" s="63">
        <f>IF(AY2='Input Assumptions'!$C$7*12,0,AY2+1)</f>
        <v>39</v>
      </c>
      <c r="BA2" s="63">
        <f>IF(AZ2='Input Assumptions'!$C$7*12,0,AZ2+1)</f>
        <v>40</v>
      </c>
      <c r="BB2" s="63">
        <f>IF(BA2='Input Assumptions'!$C$7*12,0,BA2+1)</f>
        <v>41</v>
      </c>
      <c r="BC2" s="63">
        <f>IF(BB2='Input Assumptions'!$C$7*12,0,BB2+1)</f>
        <v>42</v>
      </c>
      <c r="BD2" s="63">
        <f>IF(BC2='Input Assumptions'!$C$7*12,0,BC2+1)</f>
        <v>43</v>
      </c>
      <c r="BE2" s="63">
        <f>IF(BD2='Input Assumptions'!$C$7*12,0,BD2+1)</f>
        <v>44</v>
      </c>
      <c r="BF2" s="63">
        <f>IF(BE2='Input Assumptions'!$C$7*12,0,BE2+1)</f>
        <v>45</v>
      </c>
      <c r="BG2" s="63">
        <f>IF(BF2='Input Assumptions'!$C$7*12,0,BF2+1)</f>
        <v>46</v>
      </c>
      <c r="BH2" s="63">
        <f>IF(BG2='Input Assumptions'!$C$7*12,0,BG2+1)</f>
        <v>47</v>
      </c>
      <c r="BI2" s="63">
        <f>IF(BH2='Input Assumptions'!$C$7*12,0,BH2+1)</f>
        <v>48</v>
      </c>
      <c r="BJ2" s="63">
        <f>IF(BI2='Input Assumptions'!$C$7*12,0,BI2+1)</f>
        <v>49</v>
      </c>
      <c r="BK2" s="63">
        <f>IF(BJ2='Input Assumptions'!$C$7*12,0,BJ2+1)</f>
        <v>50</v>
      </c>
      <c r="BL2" s="63">
        <f>IF(BK2='Input Assumptions'!$C$7*12,0,BK2+1)</f>
        <v>51</v>
      </c>
      <c r="BM2" s="63">
        <f>IF(BL2='Input Assumptions'!$C$7*12,0,BL2+1)</f>
        <v>52</v>
      </c>
      <c r="BN2" s="63">
        <f>IF(BM2='Input Assumptions'!$C$7*12,0,BM2+1)</f>
        <v>53</v>
      </c>
      <c r="BO2" s="63">
        <f>IF(BN2='Input Assumptions'!$C$7*12,0,BN2+1)</f>
        <v>54</v>
      </c>
      <c r="BP2" s="63">
        <f>IF(BO2='Input Assumptions'!$C$7*12,0,BO2+1)</f>
        <v>55</v>
      </c>
      <c r="BQ2" s="63">
        <f>IF(BP2='Input Assumptions'!$C$7*12,0,BP2+1)</f>
        <v>56</v>
      </c>
      <c r="BR2" s="63">
        <f>IF(BQ2='Input Assumptions'!$C$7*12,0,BQ2+1)</f>
        <v>57</v>
      </c>
      <c r="BS2" s="63">
        <f>IF(BR2='Input Assumptions'!$C$7*12,0,BR2+1)</f>
        <v>58</v>
      </c>
      <c r="BT2" s="63">
        <f>IF(BS2='Input Assumptions'!$C$7*12,0,BS2+1)</f>
        <v>59</v>
      </c>
      <c r="BU2" s="63">
        <f>IF(BT2='Input Assumptions'!$C$7*12,0,BT2+1)</f>
        <v>60</v>
      </c>
      <c r="BV2" s="63">
        <f>IF(BU2='Input Assumptions'!$C$7*12,0,BU2+1)</f>
        <v>0</v>
      </c>
      <c r="BW2" s="63">
        <f>IF(BV2='Input Assumptions'!$C$7*12,0,BV2+1)</f>
        <v>1</v>
      </c>
      <c r="BX2" s="63">
        <f>IF(BW2='Input Assumptions'!$C$7*12,0,BW2+1)</f>
        <v>2</v>
      </c>
      <c r="BY2" s="63">
        <f>IF(BX2='Input Assumptions'!$C$7*12,0,BX2+1)</f>
        <v>3</v>
      </c>
      <c r="BZ2" s="63">
        <f>IF(BY2='Input Assumptions'!$C$7*12,0,BY2+1)</f>
        <v>4</v>
      </c>
      <c r="CA2" s="63">
        <f>IF(BZ2='Input Assumptions'!$C$7*12,0,BZ2+1)</f>
        <v>5</v>
      </c>
      <c r="CB2" s="63">
        <f>IF(CA2='Input Assumptions'!$C$7*12,0,CA2+1)</f>
        <v>6</v>
      </c>
      <c r="CC2" s="63">
        <f>IF(CB2='Input Assumptions'!$C$7*12,0,CB2+1)</f>
        <v>7</v>
      </c>
      <c r="CD2" s="63">
        <f>IF(CC2='Input Assumptions'!$C$7*12,0,CC2+1)</f>
        <v>8</v>
      </c>
      <c r="CE2" s="63">
        <f>IF(CD2='Input Assumptions'!$C$7*12,0,CD2+1)</f>
        <v>9</v>
      </c>
      <c r="CF2" s="63">
        <f>IF(CE2='Input Assumptions'!$C$7*12,0,CE2+1)</f>
        <v>10</v>
      </c>
      <c r="CG2" s="63">
        <f>IF(CF2='Input Assumptions'!$C$7*12,0,CF2+1)</f>
        <v>11</v>
      </c>
      <c r="CH2" s="63">
        <f>IF(CG2='Input Assumptions'!$C$7*12,0,CG2+1)</f>
        <v>12</v>
      </c>
      <c r="CI2" s="63">
        <f>IF(CH2='Input Assumptions'!$C$7*12,0,CH2+1)</f>
        <v>13</v>
      </c>
      <c r="CJ2" s="63">
        <f>IF(CI2='Input Assumptions'!$C$7*12,0,CI2+1)</f>
        <v>14</v>
      </c>
      <c r="CK2" s="63">
        <f>IF(CJ2='Input Assumptions'!$C$7*12,0,CJ2+1)</f>
        <v>15</v>
      </c>
      <c r="CL2" s="63">
        <f>IF(CK2='Input Assumptions'!$C$7*12,0,CK2+1)</f>
        <v>16</v>
      </c>
      <c r="CM2" s="63">
        <f>IF(CL2='Input Assumptions'!$C$7*12,0,CL2+1)</f>
        <v>17</v>
      </c>
      <c r="CN2" s="63">
        <f>IF(CM2='Input Assumptions'!$C$7*12,0,CM2+1)</f>
        <v>18</v>
      </c>
      <c r="CO2" s="63">
        <f>IF(CN2='Input Assumptions'!$C$7*12,0,CN2+1)</f>
        <v>19</v>
      </c>
      <c r="CP2" s="63">
        <f>IF(CO2='Input Assumptions'!$C$7*12,0,CO2+1)</f>
        <v>20</v>
      </c>
      <c r="CQ2" s="63">
        <f>IF(CP2='Input Assumptions'!$C$7*12,0,CP2+1)</f>
        <v>21</v>
      </c>
      <c r="CR2" s="63">
        <f>IF(CQ2='Input Assumptions'!$C$7*12,0,CQ2+1)</f>
        <v>22</v>
      </c>
      <c r="CS2" s="63">
        <f>IF(CR2='Input Assumptions'!$C$7*12,0,CR2+1)</f>
        <v>23</v>
      </c>
      <c r="CT2" s="63">
        <f>IF(CS2='Input Assumptions'!$C$7*12,0,CS2+1)</f>
        <v>24</v>
      </c>
      <c r="CU2" s="63">
        <f>IF(CT2='Input Assumptions'!$C$7*12,0,CT2+1)</f>
        <v>25</v>
      </c>
      <c r="CV2" s="63">
        <f>IF(CU2='Input Assumptions'!$C$7*12,0,CU2+1)</f>
        <v>26</v>
      </c>
      <c r="CW2" s="63">
        <f>IF(CV2='Input Assumptions'!$C$7*12,0,CV2+1)</f>
        <v>27</v>
      </c>
      <c r="CX2" s="63">
        <f>IF(CW2='Input Assumptions'!$C$7*12,0,CW2+1)</f>
        <v>28</v>
      </c>
      <c r="CY2" s="63">
        <f>IF(CX2='Input Assumptions'!$C$7*12,0,CX2+1)</f>
        <v>29</v>
      </c>
      <c r="CZ2" s="63">
        <f>IF(CY2='Input Assumptions'!$C$7*12,0,CY2+1)</f>
        <v>30</v>
      </c>
      <c r="DA2" s="63">
        <f>IF(CZ2='Input Assumptions'!$C$7*12,0,CZ2+1)</f>
        <v>31</v>
      </c>
      <c r="DB2" s="63">
        <f>IF(DA2='Input Assumptions'!$C$7*12,0,DA2+1)</f>
        <v>32</v>
      </c>
      <c r="DC2" s="63">
        <f>IF(DB2='Input Assumptions'!$C$7*12,0,DB2+1)</f>
        <v>33</v>
      </c>
      <c r="DD2" s="63">
        <f>IF(DC2='Input Assumptions'!$C$7*12,0,DC2+1)</f>
        <v>34</v>
      </c>
      <c r="DE2" s="63">
        <f>IF(DD2='Input Assumptions'!$C$7*12,0,DD2+1)</f>
        <v>35</v>
      </c>
      <c r="DF2" s="63">
        <f>IF(DE2='Input Assumptions'!$C$7*12,0,DE2+1)</f>
        <v>36</v>
      </c>
      <c r="DG2" s="63">
        <f>IF(DF2='Input Assumptions'!$C$7*12,0,DF2+1)</f>
        <v>37</v>
      </c>
      <c r="DH2" s="63">
        <f>IF(DG2='Input Assumptions'!$C$7*12,0,DG2+1)</f>
        <v>38</v>
      </c>
      <c r="DI2" s="63">
        <f>IF(DH2='Input Assumptions'!$C$7*12,0,DH2+1)</f>
        <v>39</v>
      </c>
      <c r="DJ2" s="63">
        <f>IF(DI2='Input Assumptions'!$C$7*12,0,DI2+1)</f>
        <v>40</v>
      </c>
      <c r="DK2" s="63">
        <f>IF(DJ2='Input Assumptions'!$C$7*12,0,DJ2+1)</f>
        <v>41</v>
      </c>
      <c r="DL2" s="63">
        <f>IF(DK2='Input Assumptions'!$C$7*12,0,DK2+1)</f>
        <v>42</v>
      </c>
      <c r="DM2" s="63">
        <f>IF(DL2='Input Assumptions'!$C$7*12,0,DL2+1)</f>
        <v>43</v>
      </c>
      <c r="DN2" s="63">
        <f>IF(DM2='Input Assumptions'!$C$7*12,0,DM2+1)</f>
        <v>44</v>
      </c>
      <c r="DO2" s="63">
        <f>IF(DN2='Input Assumptions'!$C$7*12,0,DN2+1)</f>
        <v>45</v>
      </c>
      <c r="DP2" s="63">
        <f>IF(DO2='Input Assumptions'!$C$7*12,0,DO2+1)</f>
        <v>46</v>
      </c>
      <c r="DQ2" s="63">
        <f>IF(DP2='Input Assumptions'!$C$7*12,0,DP2+1)</f>
        <v>47</v>
      </c>
      <c r="DR2" s="63">
        <f>IF(DQ2='Input Assumptions'!$C$7*12,0,DQ2+1)</f>
        <v>48</v>
      </c>
      <c r="DS2" s="63">
        <f>IF(DR2='Input Assumptions'!$C$7*12,0,DR2+1)</f>
        <v>49</v>
      </c>
      <c r="DT2" s="63">
        <f>IF(DS2='Input Assumptions'!$C$7*12,0,DS2+1)</f>
        <v>50</v>
      </c>
      <c r="DU2" s="63">
        <f>IF(DT2='Input Assumptions'!$C$7*12,0,DT2+1)</f>
        <v>51</v>
      </c>
      <c r="DV2" s="63">
        <f>IF(DU2='Input Assumptions'!$C$7*12,0,DU2+1)</f>
        <v>52</v>
      </c>
      <c r="DW2" s="63">
        <f>IF(DV2='Input Assumptions'!$C$7*12,0,DV2+1)</f>
        <v>53</v>
      </c>
      <c r="DX2" s="63">
        <f>IF(DW2='Input Assumptions'!$C$7*12,0,DW2+1)</f>
        <v>54</v>
      </c>
      <c r="DY2" s="63">
        <f>IF(DX2='Input Assumptions'!$C$7*12,0,DX2+1)</f>
        <v>55</v>
      </c>
      <c r="DZ2" s="63">
        <f>IF(DY2='Input Assumptions'!$C$7*12,0,DY2+1)</f>
        <v>56</v>
      </c>
      <c r="EA2" s="63">
        <f>IF(DZ2='Input Assumptions'!$C$7*12,0,DZ2+1)</f>
        <v>57</v>
      </c>
      <c r="EB2" s="63">
        <f>IF(EA2='Input Assumptions'!$C$7*12,0,EA2+1)</f>
        <v>58</v>
      </c>
      <c r="EC2" s="63">
        <f>IF(EB2='Input Assumptions'!$C$7*12,0,EB2+1)</f>
        <v>59</v>
      </c>
    </row>
    <row r="3" spans="2:133" x14ac:dyDescent="0.3">
      <c r="B3" s="15">
        <v>1</v>
      </c>
      <c r="C3" s="16">
        <v>1</v>
      </c>
      <c r="D3" s="16" t="s">
        <v>10</v>
      </c>
      <c r="E3" s="16">
        <v>450</v>
      </c>
      <c r="F3" s="20">
        <f t="shared" ref="F3:F25" si="108">E3/10.7639</f>
        <v>41.80640845790095</v>
      </c>
      <c r="G3" s="19" t="str">
        <f t="shared" ref="G3:G25" si="109">LEFT(D3,1)</f>
        <v>1</v>
      </c>
      <c r="H3" s="20">
        <f>ROUND(G3,0)</f>
        <v>1</v>
      </c>
      <c r="I3" s="18">
        <f t="shared" ref="I3:I25" si="110">SUMIF($C$54:$C$57,D3,$E$54:$E$57)*E3</f>
        <v>1710</v>
      </c>
      <c r="J3" s="18">
        <f t="shared" ref="J3:J25" si="111">SUMIF($C$46:$C$49,D3,$E$46:$E$49)</f>
        <v>1900</v>
      </c>
      <c r="K3" s="18">
        <f>(J3*'Input Assumptions'!$C$20)+I3*('Input Assumptions'!$C$21)</f>
        <v>1900</v>
      </c>
      <c r="L3" s="94"/>
      <c r="N3" s="59">
        <f>IF($N$2=1,K3,0)</f>
        <v>1900</v>
      </c>
      <c r="O3" s="59">
        <f>$N$3*_xlfn.XLOOKUP(O$1,'Input Assumptions'!$C$34:$L$34,'Input Assumptions'!$C$36:$L$36)</f>
        <v>1900</v>
      </c>
      <c r="P3" s="59">
        <f>$N$3*_xlfn.XLOOKUP(P$1,'Input Assumptions'!$C$34:$L$34,'Input Assumptions'!$C$36:$L$36)</f>
        <v>1900</v>
      </c>
      <c r="Q3" s="59">
        <f>$N$3*_xlfn.XLOOKUP(Q$1,'Input Assumptions'!$C$34:$L$34,'Input Assumptions'!$C$36:$L$36)</f>
        <v>1900</v>
      </c>
      <c r="R3" s="59">
        <f>$N$3*_xlfn.XLOOKUP(R$1,'Input Assumptions'!$C$34:$L$34,'Input Assumptions'!$C$36:$L$36)</f>
        <v>1900</v>
      </c>
      <c r="S3" s="59">
        <f>$N$3*_xlfn.XLOOKUP(S$1,'Input Assumptions'!$C$34:$L$34,'Input Assumptions'!$C$36:$L$36)</f>
        <v>1900</v>
      </c>
      <c r="T3" s="59">
        <f>$N$3*_xlfn.XLOOKUP(T$1,'Input Assumptions'!$C$34:$L$34,'Input Assumptions'!$C$36:$L$36)</f>
        <v>1900</v>
      </c>
      <c r="U3" s="59">
        <f>$N$3*_xlfn.XLOOKUP(U$1,'Input Assumptions'!$C$34:$L$34,'Input Assumptions'!$C$36:$L$36)</f>
        <v>1900</v>
      </c>
      <c r="V3" s="59">
        <f>$N$3*_xlfn.XLOOKUP(V$1,'Input Assumptions'!$C$34:$L$34,'Input Assumptions'!$C$36:$L$36)</f>
        <v>1900</v>
      </c>
      <c r="W3" s="59">
        <f>$N$3*_xlfn.XLOOKUP(W$1,'Input Assumptions'!$C$34:$L$34,'Input Assumptions'!$C$36:$L$36)</f>
        <v>1900</v>
      </c>
      <c r="X3" s="59">
        <f>$N$3*_xlfn.XLOOKUP(X$1,'Input Assumptions'!$C$34:$L$34,'Input Assumptions'!$C$36:$L$36)</f>
        <v>1900</v>
      </c>
      <c r="Y3" s="59">
        <f>$N$3*_xlfn.XLOOKUP(Y$1,'Input Assumptions'!$C$34:$L$34,'Input Assumptions'!$C$36:$L$36)</f>
        <v>1900</v>
      </c>
      <c r="Z3" s="59">
        <f>$N$3*_xlfn.XLOOKUP(Z$1,'Input Assumptions'!$C$34:$L$34,'Input Assumptions'!$C$36:$L$36)</f>
        <v>1971.2500000000002</v>
      </c>
      <c r="AA3" s="59">
        <f>$N$3*_xlfn.XLOOKUP(AA$1,'Input Assumptions'!$C$34:$L$34,'Input Assumptions'!$C$36:$L$36)</f>
        <v>1971.2500000000002</v>
      </c>
      <c r="AB3" s="59">
        <f>$N$3*_xlfn.XLOOKUP(AB$1,'Input Assumptions'!$C$34:$L$34,'Input Assumptions'!$C$36:$L$36)</f>
        <v>1971.2500000000002</v>
      </c>
      <c r="AC3" s="59">
        <f>$N$3*_xlfn.XLOOKUP(AC$1,'Input Assumptions'!$C$34:$L$34,'Input Assumptions'!$C$36:$L$36)</f>
        <v>1971.2500000000002</v>
      </c>
      <c r="AD3" s="59">
        <f>$N$3*_xlfn.XLOOKUP(AD$1,'Input Assumptions'!$C$34:$L$34,'Input Assumptions'!$C$36:$L$36)</f>
        <v>1971.2500000000002</v>
      </c>
      <c r="AE3" s="59">
        <f>$N$3*_xlfn.XLOOKUP(AE$1,'Input Assumptions'!$C$34:$L$34,'Input Assumptions'!$C$36:$L$36)</f>
        <v>1971.2500000000002</v>
      </c>
      <c r="AF3" s="59">
        <f>$N$3*_xlfn.XLOOKUP(AF$1,'Input Assumptions'!$C$34:$L$34,'Input Assumptions'!$C$36:$L$36)</f>
        <v>1971.2500000000002</v>
      </c>
      <c r="AG3" s="59">
        <f>$N$3*_xlfn.XLOOKUP(AG$1,'Input Assumptions'!$C$34:$L$34,'Input Assumptions'!$C$36:$L$36)</f>
        <v>1971.2500000000002</v>
      </c>
      <c r="AH3" s="59">
        <f>$N$3*_xlfn.XLOOKUP(AH$1,'Input Assumptions'!$C$34:$L$34,'Input Assumptions'!$C$36:$L$36)</f>
        <v>1971.2500000000002</v>
      </c>
      <c r="AI3" s="59">
        <f>$N$3*_xlfn.XLOOKUP(AI$1,'Input Assumptions'!$C$34:$L$34,'Input Assumptions'!$C$36:$L$36)</f>
        <v>1971.2500000000002</v>
      </c>
      <c r="AJ3" s="59">
        <f>$N$3*_xlfn.XLOOKUP(AJ$1,'Input Assumptions'!$C$34:$L$34,'Input Assumptions'!$C$36:$L$36)</f>
        <v>1971.2500000000002</v>
      </c>
      <c r="AK3" s="59">
        <f>$N$3*_xlfn.XLOOKUP(AK$1,'Input Assumptions'!$C$34:$L$34,'Input Assumptions'!$C$36:$L$36)</f>
        <v>1971.2500000000002</v>
      </c>
      <c r="AL3" s="59">
        <f>$N$3*_xlfn.XLOOKUP(AL$1,'Input Assumptions'!$C$34:$L$34,'Input Assumptions'!$C$36:$L$36)</f>
        <v>2045.1718750000005</v>
      </c>
      <c r="AM3" s="59">
        <f>$N$3*_xlfn.XLOOKUP(AM$1,'Input Assumptions'!$C$34:$L$34,'Input Assumptions'!$C$36:$L$36)</f>
        <v>2045.1718750000005</v>
      </c>
      <c r="AN3" s="59">
        <f>$N$3*_xlfn.XLOOKUP(AN$1,'Input Assumptions'!$C$34:$L$34,'Input Assumptions'!$C$36:$L$36)</f>
        <v>2045.1718750000005</v>
      </c>
      <c r="AO3" s="59">
        <f>$N$3*_xlfn.XLOOKUP(AO$1,'Input Assumptions'!$C$34:$L$34,'Input Assumptions'!$C$36:$L$36)</f>
        <v>2045.1718750000005</v>
      </c>
      <c r="AP3" s="59">
        <f>$N$3*_xlfn.XLOOKUP(AP$1,'Input Assumptions'!$C$34:$L$34,'Input Assumptions'!$C$36:$L$36)</f>
        <v>2045.1718750000005</v>
      </c>
      <c r="AQ3" s="59">
        <f>$N$3*_xlfn.XLOOKUP(AQ$1,'Input Assumptions'!$C$34:$L$34,'Input Assumptions'!$C$36:$L$36)</f>
        <v>2045.1718750000005</v>
      </c>
      <c r="AR3" s="59">
        <f>$N$3*_xlfn.XLOOKUP(AR$1,'Input Assumptions'!$C$34:$L$34,'Input Assumptions'!$C$36:$L$36)</f>
        <v>2045.1718750000005</v>
      </c>
      <c r="AS3" s="59">
        <f>$N$3*_xlfn.XLOOKUP(AS$1,'Input Assumptions'!$C$34:$L$34,'Input Assumptions'!$C$36:$L$36)</f>
        <v>2045.1718750000005</v>
      </c>
      <c r="AT3" s="59">
        <f>$N$3*_xlfn.XLOOKUP(AT$1,'Input Assumptions'!$C$34:$L$34,'Input Assumptions'!$C$36:$L$36)</f>
        <v>2045.1718750000005</v>
      </c>
      <c r="AU3" s="59">
        <f>$N$3*_xlfn.XLOOKUP(AU$1,'Input Assumptions'!$C$34:$L$34,'Input Assumptions'!$C$36:$L$36)</f>
        <v>2045.1718750000005</v>
      </c>
      <c r="AV3" s="59">
        <f>$N$3*_xlfn.XLOOKUP(AV$1,'Input Assumptions'!$C$34:$L$34,'Input Assumptions'!$C$36:$L$36)</f>
        <v>2045.1718750000005</v>
      </c>
      <c r="AW3" s="59">
        <f>$N$3*_xlfn.XLOOKUP(AW$1,'Input Assumptions'!$C$34:$L$34,'Input Assumptions'!$C$36:$L$36)</f>
        <v>2045.1718750000005</v>
      </c>
      <c r="AX3" s="59">
        <f>$N$3*_xlfn.XLOOKUP(AX$1,'Input Assumptions'!$C$34:$L$34,'Input Assumptions'!$C$36:$L$36)</f>
        <v>2121.8658203125005</v>
      </c>
      <c r="AY3" s="59">
        <f>$N$3*_xlfn.XLOOKUP(AY$1,'Input Assumptions'!$C$34:$L$34,'Input Assumptions'!$C$36:$L$36)</f>
        <v>2121.8658203125005</v>
      </c>
      <c r="AZ3" s="59">
        <f>$N$3*_xlfn.XLOOKUP(AZ$1,'Input Assumptions'!$C$34:$L$34,'Input Assumptions'!$C$36:$L$36)</f>
        <v>2121.8658203125005</v>
      </c>
      <c r="BA3" s="59">
        <f>$N$3*_xlfn.XLOOKUP(BA$1,'Input Assumptions'!$C$34:$L$34,'Input Assumptions'!$C$36:$L$36)</f>
        <v>2121.8658203125005</v>
      </c>
      <c r="BB3" s="59">
        <f>$N$3*_xlfn.XLOOKUP(BB$1,'Input Assumptions'!$C$34:$L$34,'Input Assumptions'!$C$36:$L$36)</f>
        <v>2121.8658203125005</v>
      </c>
      <c r="BC3" s="59">
        <f>$N$3*_xlfn.XLOOKUP(BC$1,'Input Assumptions'!$C$34:$L$34,'Input Assumptions'!$C$36:$L$36)</f>
        <v>2121.8658203125005</v>
      </c>
      <c r="BD3" s="59">
        <f>$N$3*_xlfn.XLOOKUP(BD$1,'Input Assumptions'!$C$34:$L$34,'Input Assumptions'!$C$36:$L$36)</f>
        <v>2121.8658203125005</v>
      </c>
      <c r="BE3" s="59">
        <f>$N$3*_xlfn.XLOOKUP(BE$1,'Input Assumptions'!$C$34:$L$34,'Input Assumptions'!$C$36:$L$36)</f>
        <v>2121.8658203125005</v>
      </c>
      <c r="BF3" s="59">
        <f>$N$3*_xlfn.XLOOKUP(BF$1,'Input Assumptions'!$C$34:$L$34,'Input Assumptions'!$C$36:$L$36)</f>
        <v>2121.8658203125005</v>
      </c>
      <c r="BG3" s="59">
        <f>$N$3*_xlfn.XLOOKUP(BG$1,'Input Assumptions'!$C$34:$L$34,'Input Assumptions'!$C$36:$L$36)</f>
        <v>2121.8658203125005</v>
      </c>
      <c r="BH3" s="59">
        <f>$N$3*_xlfn.XLOOKUP(BH$1,'Input Assumptions'!$C$34:$L$34,'Input Assumptions'!$C$36:$L$36)</f>
        <v>2121.8658203125005</v>
      </c>
      <c r="BI3" s="59">
        <f>$N$3*_xlfn.XLOOKUP(BI$1,'Input Assumptions'!$C$34:$L$34,'Input Assumptions'!$C$36:$L$36)</f>
        <v>2121.8658203125005</v>
      </c>
      <c r="BJ3" s="59">
        <f>$N$3*_xlfn.XLOOKUP(BJ$1,'Input Assumptions'!$C$34:$L$34,'Input Assumptions'!$C$36:$L$36)</f>
        <v>2201.4357885742193</v>
      </c>
      <c r="BK3" s="59">
        <f>$N$3*_xlfn.XLOOKUP(BK$1,'Input Assumptions'!$C$34:$L$34,'Input Assumptions'!$C$36:$L$36)</f>
        <v>2201.4357885742193</v>
      </c>
      <c r="BL3" s="59">
        <f>$N$3*_xlfn.XLOOKUP(BL$1,'Input Assumptions'!$C$34:$L$34,'Input Assumptions'!$C$36:$L$36)</f>
        <v>2201.4357885742193</v>
      </c>
      <c r="BM3" s="59">
        <f>$N$3*_xlfn.XLOOKUP(BM$1,'Input Assumptions'!$C$34:$L$34,'Input Assumptions'!$C$36:$L$36)</f>
        <v>2201.4357885742193</v>
      </c>
      <c r="BN3" s="59">
        <f>$N$3*_xlfn.XLOOKUP(BN$1,'Input Assumptions'!$C$34:$L$34,'Input Assumptions'!$C$36:$L$36)</f>
        <v>2201.4357885742193</v>
      </c>
      <c r="BO3" s="59">
        <f>$N$3*_xlfn.XLOOKUP(BO$1,'Input Assumptions'!$C$34:$L$34,'Input Assumptions'!$C$36:$L$36)</f>
        <v>2201.4357885742193</v>
      </c>
      <c r="BP3" s="59">
        <f>$N$3*_xlfn.XLOOKUP(BP$1,'Input Assumptions'!$C$34:$L$34,'Input Assumptions'!$C$36:$L$36)</f>
        <v>2201.4357885742193</v>
      </c>
      <c r="BQ3" s="59">
        <f>$N$3*_xlfn.XLOOKUP(BQ$1,'Input Assumptions'!$C$34:$L$34,'Input Assumptions'!$C$36:$L$36)</f>
        <v>2201.4357885742193</v>
      </c>
      <c r="BR3" s="59">
        <f>$N$3*_xlfn.XLOOKUP(BR$1,'Input Assumptions'!$C$34:$L$34,'Input Assumptions'!$C$36:$L$36)</f>
        <v>2201.4357885742193</v>
      </c>
      <c r="BS3" s="59">
        <f>$N$3*_xlfn.XLOOKUP(BS$1,'Input Assumptions'!$C$34:$L$34,'Input Assumptions'!$C$36:$L$36)</f>
        <v>2201.4357885742193</v>
      </c>
      <c r="BT3" s="59">
        <f>$N$3*_xlfn.XLOOKUP(BT$1,'Input Assumptions'!$C$34:$L$34,'Input Assumptions'!$C$36:$L$36)</f>
        <v>2201.4357885742193</v>
      </c>
      <c r="BU3" s="59">
        <f>$N$3*_xlfn.XLOOKUP(BU$1,'Input Assumptions'!$C$34:$L$34,'Input Assumptions'!$C$36:$L$36)</f>
        <v>2201.4357885742193</v>
      </c>
      <c r="BV3" s="59">
        <f>$N$3*_xlfn.XLOOKUP(BV$1,'Input Assumptions'!$C$34:$L$34,'Input Assumptions'!$C$36:$L$36)</f>
        <v>2283.9896306457531</v>
      </c>
      <c r="BW3" s="59">
        <f>$N$3*_xlfn.XLOOKUP(BW$1,'Input Assumptions'!$C$34:$L$34,'Input Assumptions'!$C$36:$L$36)</f>
        <v>1900</v>
      </c>
      <c r="BX3" s="59">
        <f>$N$3*_xlfn.XLOOKUP(BX$1,'Input Assumptions'!$C$34:$L$34,'Input Assumptions'!$C$36:$L$36)</f>
        <v>1900</v>
      </c>
      <c r="BY3" s="59">
        <f>$N$3*_xlfn.XLOOKUP(BY$1,'Input Assumptions'!$C$34:$L$34,'Input Assumptions'!$C$36:$L$36)</f>
        <v>1900</v>
      </c>
      <c r="BZ3" s="59">
        <f>$N$3*_xlfn.XLOOKUP(BZ$1,'Input Assumptions'!$C$34:$L$34,'Input Assumptions'!$C$36:$L$36)</f>
        <v>1900</v>
      </c>
      <c r="CA3" s="59">
        <f>$N$3*_xlfn.XLOOKUP(CA$1,'Input Assumptions'!$C$34:$L$34,'Input Assumptions'!$C$36:$L$36)</f>
        <v>1900</v>
      </c>
      <c r="CB3" s="59">
        <f>$N$3*_xlfn.XLOOKUP(CB$1,'Input Assumptions'!$C$34:$L$34,'Input Assumptions'!$C$36:$L$36)</f>
        <v>1900</v>
      </c>
      <c r="CC3" s="59">
        <f>$N$3*_xlfn.XLOOKUP(CC$1,'Input Assumptions'!$C$34:$L$34,'Input Assumptions'!$C$36:$L$36)</f>
        <v>1900</v>
      </c>
      <c r="CD3" s="59">
        <f>$N$3*_xlfn.XLOOKUP(CD$1,'Input Assumptions'!$C$34:$L$34,'Input Assumptions'!$C$36:$L$36)</f>
        <v>1900</v>
      </c>
      <c r="CE3" s="59">
        <f>$N$3*_xlfn.XLOOKUP(CE$1,'Input Assumptions'!$C$34:$L$34,'Input Assumptions'!$C$36:$L$36)</f>
        <v>1900</v>
      </c>
      <c r="CF3" s="59">
        <f>$N$3*_xlfn.XLOOKUP(CF$1,'Input Assumptions'!$C$34:$L$34,'Input Assumptions'!$C$36:$L$36)</f>
        <v>1900</v>
      </c>
      <c r="CG3" s="59">
        <f>$N$3*_xlfn.XLOOKUP(CG$1,'Input Assumptions'!$C$34:$L$34,'Input Assumptions'!$C$36:$L$36)</f>
        <v>1900</v>
      </c>
      <c r="CH3" s="59">
        <f>$N$3*_xlfn.XLOOKUP(CH$1,'Input Assumptions'!$C$34:$L$34,'Input Assumptions'!$C$36:$L$36)</f>
        <v>1900</v>
      </c>
      <c r="CI3" s="59">
        <f>$N$3*_xlfn.XLOOKUP(CI$1,'Input Assumptions'!$C$34:$L$34,'Input Assumptions'!$C$36:$L$36)</f>
        <v>1971.2500000000002</v>
      </c>
      <c r="CJ3" s="59">
        <f>$N$3*_xlfn.XLOOKUP(CJ$1,'Input Assumptions'!$C$34:$L$34,'Input Assumptions'!$C$36:$L$36)</f>
        <v>1971.2500000000002</v>
      </c>
      <c r="CK3" s="59">
        <f>$N$3*_xlfn.XLOOKUP(CK$1,'Input Assumptions'!$C$34:$L$34,'Input Assumptions'!$C$36:$L$36)</f>
        <v>1971.2500000000002</v>
      </c>
      <c r="CL3" s="59">
        <f>$N$3*_xlfn.XLOOKUP(CL$1,'Input Assumptions'!$C$34:$L$34,'Input Assumptions'!$C$36:$L$36)</f>
        <v>1971.2500000000002</v>
      </c>
      <c r="CM3" s="59">
        <f>$N$3*_xlfn.XLOOKUP(CM$1,'Input Assumptions'!$C$34:$L$34,'Input Assumptions'!$C$36:$L$36)</f>
        <v>1971.2500000000002</v>
      </c>
      <c r="CN3" s="59">
        <f>$N$3*_xlfn.XLOOKUP(CN$1,'Input Assumptions'!$C$34:$L$34,'Input Assumptions'!$C$36:$L$36)</f>
        <v>1971.2500000000002</v>
      </c>
      <c r="CO3" s="59">
        <f>$N$3*_xlfn.XLOOKUP(CO$1,'Input Assumptions'!$C$34:$L$34,'Input Assumptions'!$C$36:$L$36)</f>
        <v>1971.2500000000002</v>
      </c>
      <c r="CP3" s="59">
        <f>$N$3*_xlfn.XLOOKUP(CP$1,'Input Assumptions'!$C$34:$L$34,'Input Assumptions'!$C$36:$L$36)</f>
        <v>1971.2500000000002</v>
      </c>
      <c r="CQ3" s="59">
        <f>$N$3*_xlfn.XLOOKUP(CQ$1,'Input Assumptions'!$C$34:$L$34,'Input Assumptions'!$C$36:$L$36)</f>
        <v>1971.2500000000002</v>
      </c>
      <c r="CR3" s="59">
        <f>$N$3*_xlfn.XLOOKUP(CR$1,'Input Assumptions'!$C$34:$L$34,'Input Assumptions'!$C$36:$L$36)</f>
        <v>1971.2500000000002</v>
      </c>
      <c r="CS3" s="59">
        <f>$N$3*_xlfn.XLOOKUP(CS$1,'Input Assumptions'!$C$34:$L$34,'Input Assumptions'!$C$36:$L$36)</f>
        <v>1971.2500000000002</v>
      </c>
      <c r="CT3" s="59">
        <f>$N$3*_xlfn.XLOOKUP(CT$1,'Input Assumptions'!$C$34:$L$34,'Input Assumptions'!$C$36:$L$36)</f>
        <v>1971.2500000000002</v>
      </c>
      <c r="CU3" s="59">
        <f>$N$3*_xlfn.XLOOKUP(CU$1,'Input Assumptions'!$C$34:$L$34,'Input Assumptions'!$C$36:$L$36)</f>
        <v>2045.1718750000005</v>
      </c>
      <c r="CV3" s="59">
        <f>$N$3*_xlfn.XLOOKUP(CV$1,'Input Assumptions'!$C$34:$L$34,'Input Assumptions'!$C$36:$L$36)</f>
        <v>2045.1718750000005</v>
      </c>
      <c r="CW3" s="59">
        <f>$N$3*_xlfn.XLOOKUP(CW$1,'Input Assumptions'!$C$34:$L$34,'Input Assumptions'!$C$36:$L$36)</f>
        <v>2045.1718750000005</v>
      </c>
      <c r="CX3" s="59">
        <f>$N$3*_xlfn.XLOOKUP(CX$1,'Input Assumptions'!$C$34:$L$34,'Input Assumptions'!$C$36:$L$36)</f>
        <v>2045.1718750000005</v>
      </c>
      <c r="CY3" s="59">
        <f>$N$3*_xlfn.XLOOKUP(CY$1,'Input Assumptions'!$C$34:$L$34,'Input Assumptions'!$C$36:$L$36)</f>
        <v>2045.1718750000005</v>
      </c>
      <c r="CZ3" s="59">
        <f>$N$3*_xlfn.XLOOKUP(CZ$1,'Input Assumptions'!$C$34:$L$34,'Input Assumptions'!$C$36:$L$36)</f>
        <v>2045.1718750000005</v>
      </c>
      <c r="DA3" s="59">
        <f>$N$3*_xlfn.XLOOKUP(DA$1,'Input Assumptions'!$C$34:$L$34,'Input Assumptions'!$C$36:$L$36)</f>
        <v>2045.1718750000005</v>
      </c>
      <c r="DB3" s="59">
        <f>$N$3*_xlfn.XLOOKUP(DB$1,'Input Assumptions'!$C$34:$L$34,'Input Assumptions'!$C$36:$L$36)</f>
        <v>2045.1718750000005</v>
      </c>
      <c r="DC3" s="59">
        <f>$N$3*_xlfn.XLOOKUP(DC$1,'Input Assumptions'!$C$34:$L$34,'Input Assumptions'!$C$36:$L$36)</f>
        <v>2045.1718750000005</v>
      </c>
      <c r="DD3" s="59">
        <f>$N$3*_xlfn.XLOOKUP(DD$1,'Input Assumptions'!$C$34:$L$34,'Input Assumptions'!$C$36:$L$36)</f>
        <v>2045.1718750000005</v>
      </c>
      <c r="DE3" s="59">
        <f>$N$3*_xlfn.XLOOKUP(DE$1,'Input Assumptions'!$C$34:$L$34,'Input Assumptions'!$C$36:$L$36)</f>
        <v>2045.1718750000005</v>
      </c>
      <c r="DF3" s="59">
        <f>$N$3*_xlfn.XLOOKUP(DF$1,'Input Assumptions'!$C$34:$L$34,'Input Assumptions'!$C$36:$L$36)</f>
        <v>2045.1718750000005</v>
      </c>
      <c r="DG3" s="59">
        <f>$N$3*_xlfn.XLOOKUP(DG$1,'Input Assumptions'!$C$34:$L$34,'Input Assumptions'!$C$36:$L$36)</f>
        <v>2121.8658203125005</v>
      </c>
      <c r="DH3" s="59">
        <f>$N$3*_xlfn.XLOOKUP(DH$1,'Input Assumptions'!$C$34:$L$34,'Input Assumptions'!$C$36:$L$36)</f>
        <v>2121.8658203125005</v>
      </c>
      <c r="DI3" s="59">
        <f>$N$3*_xlfn.XLOOKUP(DI$1,'Input Assumptions'!$C$34:$L$34,'Input Assumptions'!$C$36:$L$36)</f>
        <v>2121.8658203125005</v>
      </c>
      <c r="DJ3" s="59">
        <f>$N$3*_xlfn.XLOOKUP(DJ$1,'Input Assumptions'!$C$34:$L$34,'Input Assumptions'!$C$36:$L$36)</f>
        <v>2121.8658203125005</v>
      </c>
      <c r="DK3" s="59">
        <f>$N$3*_xlfn.XLOOKUP(DK$1,'Input Assumptions'!$C$34:$L$34,'Input Assumptions'!$C$36:$L$36)</f>
        <v>2121.8658203125005</v>
      </c>
      <c r="DL3" s="59">
        <f>$N$3*_xlfn.XLOOKUP(DL$1,'Input Assumptions'!$C$34:$L$34,'Input Assumptions'!$C$36:$L$36)</f>
        <v>2121.8658203125005</v>
      </c>
      <c r="DM3" s="59">
        <f>$N$3*_xlfn.XLOOKUP(DM$1,'Input Assumptions'!$C$34:$L$34,'Input Assumptions'!$C$36:$L$36)</f>
        <v>2121.8658203125005</v>
      </c>
      <c r="DN3" s="59">
        <f>$N$3*_xlfn.XLOOKUP(DN$1,'Input Assumptions'!$C$34:$L$34,'Input Assumptions'!$C$36:$L$36)</f>
        <v>2121.8658203125005</v>
      </c>
      <c r="DO3" s="59">
        <f>$N$3*_xlfn.XLOOKUP(DO$1,'Input Assumptions'!$C$34:$L$34,'Input Assumptions'!$C$36:$L$36)</f>
        <v>2121.8658203125005</v>
      </c>
      <c r="DP3" s="59">
        <f>$N$3*_xlfn.XLOOKUP(DP$1,'Input Assumptions'!$C$34:$L$34,'Input Assumptions'!$C$36:$L$36)</f>
        <v>2121.8658203125005</v>
      </c>
      <c r="DQ3" s="59">
        <f>$N$3*_xlfn.XLOOKUP(DQ$1,'Input Assumptions'!$C$34:$L$34,'Input Assumptions'!$C$36:$L$36)</f>
        <v>2121.8658203125005</v>
      </c>
      <c r="DR3" s="59">
        <f>$N$3*_xlfn.XLOOKUP(DR$1,'Input Assumptions'!$C$34:$L$34,'Input Assumptions'!$C$36:$L$36)</f>
        <v>2121.8658203125005</v>
      </c>
      <c r="DS3" s="59">
        <f>$N$3*_xlfn.XLOOKUP(DS$1,'Input Assumptions'!$C$34:$L$34,'Input Assumptions'!$C$36:$L$36)</f>
        <v>2201.4357885742193</v>
      </c>
      <c r="DT3" s="59">
        <f>$N$3*_xlfn.XLOOKUP(DT$1,'Input Assumptions'!$C$34:$L$34,'Input Assumptions'!$C$36:$L$36)</f>
        <v>2201.4357885742193</v>
      </c>
      <c r="DU3" s="59">
        <f>$N$3*_xlfn.XLOOKUP(DU$1,'Input Assumptions'!$C$34:$L$34,'Input Assumptions'!$C$36:$L$36)</f>
        <v>2201.4357885742193</v>
      </c>
      <c r="DV3" s="59">
        <f>$N$3*_xlfn.XLOOKUP(DV$1,'Input Assumptions'!$C$34:$L$34,'Input Assumptions'!$C$36:$L$36)</f>
        <v>2201.4357885742193</v>
      </c>
      <c r="DW3" s="59">
        <f>$N$3*_xlfn.XLOOKUP(DW$1,'Input Assumptions'!$C$34:$L$34,'Input Assumptions'!$C$36:$L$36)</f>
        <v>2201.4357885742193</v>
      </c>
      <c r="DX3" s="59">
        <f>$N$3*_xlfn.XLOOKUP(DX$1,'Input Assumptions'!$C$34:$L$34,'Input Assumptions'!$C$36:$L$36)</f>
        <v>2201.4357885742193</v>
      </c>
      <c r="DY3" s="59">
        <f>$N$3*_xlfn.XLOOKUP(DY$1,'Input Assumptions'!$C$34:$L$34,'Input Assumptions'!$C$36:$L$36)</f>
        <v>2201.4357885742193</v>
      </c>
      <c r="DZ3" s="59">
        <f>$N$3*_xlfn.XLOOKUP(DZ$1,'Input Assumptions'!$C$34:$L$34,'Input Assumptions'!$C$36:$L$36)</f>
        <v>2201.4357885742193</v>
      </c>
      <c r="EA3" s="59">
        <f>$N$3*_xlfn.XLOOKUP(EA$1,'Input Assumptions'!$C$34:$L$34,'Input Assumptions'!$C$36:$L$36)</f>
        <v>2201.4357885742193</v>
      </c>
      <c r="EB3" s="59">
        <f>$N$3*_xlfn.XLOOKUP(EB$1,'Input Assumptions'!$C$34:$L$34,'Input Assumptions'!$C$36:$L$36)</f>
        <v>2201.4357885742193</v>
      </c>
      <c r="EC3" s="59">
        <f>$N$3*_xlfn.XLOOKUP(EC$1,'Input Assumptions'!$C$34:$L$34,'Input Assumptions'!$C$36:$L$36)</f>
        <v>2201.4357885742193</v>
      </c>
    </row>
    <row r="4" spans="2:133" x14ac:dyDescent="0.3">
      <c r="B4" s="15">
        <v>1</v>
      </c>
      <c r="C4" s="16">
        <v>2</v>
      </c>
      <c r="D4" s="16" t="s">
        <v>10</v>
      </c>
      <c r="E4" s="16">
        <v>450</v>
      </c>
      <c r="F4" s="20">
        <f t="shared" si="108"/>
        <v>41.80640845790095</v>
      </c>
      <c r="G4" s="19" t="str">
        <f t="shared" si="109"/>
        <v>1</v>
      </c>
      <c r="H4" s="20">
        <f t="shared" ref="H4:H25" si="112">ROUND(G4,0)</f>
        <v>1</v>
      </c>
      <c r="I4" s="18">
        <f t="shared" si="110"/>
        <v>1710</v>
      </c>
      <c r="J4" s="18">
        <f t="shared" si="111"/>
        <v>1900</v>
      </c>
      <c r="K4" s="18">
        <f>(J4*'Input Assumptions'!$C$20)+I4*('Input Assumptions'!$C$21)</f>
        <v>1900</v>
      </c>
      <c r="L4" s="94"/>
      <c r="N4" s="59">
        <f t="shared" ref="N4:N25" si="113">IF($N$2=1,K4,0)</f>
        <v>1900</v>
      </c>
      <c r="O4" s="59">
        <f>$N$3*_xlfn.XLOOKUP(O$1,'Input Assumptions'!$C$34:$L$34,'Input Assumptions'!$C$36:$L$36)</f>
        <v>1900</v>
      </c>
      <c r="P4" s="59">
        <f>$N$3*_xlfn.XLOOKUP(P$1,'Input Assumptions'!$C$34:$L$34,'Input Assumptions'!$C$36:$L$36)</f>
        <v>1900</v>
      </c>
      <c r="Q4" s="59">
        <f>$N$3*_xlfn.XLOOKUP(Q$1,'Input Assumptions'!$C$34:$L$34,'Input Assumptions'!$C$36:$L$36)</f>
        <v>1900</v>
      </c>
      <c r="R4" s="59">
        <f>$N$3*_xlfn.XLOOKUP(R$1,'Input Assumptions'!$C$34:$L$34,'Input Assumptions'!$C$36:$L$36)</f>
        <v>1900</v>
      </c>
      <c r="S4" s="59">
        <f>$N$3*_xlfn.XLOOKUP(S$1,'Input Assumptions'!$C$34:$L$34,'Input Assumptions'!$C$36:$L$36)</f>
        <v>1900</v>
      </c>
      <c r="T4" s="59">
        <f>$N$3*_xlfn.XLOOKUP(T$1,'Input Assumptions'!$C$34:$L$34,'Input Assumptions'!$C$36:$L$36)</f>
        <v>1900</v>
      </c>
      <c r="U4" s="59">
        <f>$N$3*_xlfn.XLOOKUP(U$1,'Input Assumptions'!$C$34:$L$34,'Input Assumptions'!$C$36:$L$36)</f>
        <v>1900</v>
      </c>
      <c r="V4" s="59">
        <f>$N$3*_xlfn.XLOOKUP(V$1,'Input Assumptions'!$C$34:$L$34,'Input Assumptions'!$C$36:$L$36)</f>
        <v>1900</v>
      </c>
      <c r="W4" s="59">
        <f>$N$3*_xlfn.XLOOKUP(W$1,'Input Assumptions'!$C$34:$L$34,'Input Assumptions'!$C$36:$L$36)</f>
        <v>1900</v>
      </c>
      <c r="X4" s="59">
        <f>$N$3*_xlfn.XLOOKUP(X$1,'Input Assumptions'!$C$34:$L$34,'Input Assumptions'!$C$36:$L$36)</f>
        <v>1900</v>
      </c>
      <c r="Y4" s="59">
        <f>$N$3*_xlfn.XLOOKUP(Y$1,'Input Assumptions'!$C$34:$L$34,'Input Assumptions'!$C$36:$L$36)</f>
        <v>1900</v>
      </c>
      <c r="Z4" s="59">
        <f>$N$3*_xlfn.XLOOKUP(Z$1,'Input Assumptions'!$C$34:$L$34,'Input Assumptions'!$C$36:$L$36)</f>
        <v>1971.2500000000002</v>
      </c>
      <c r="AA4" s="59">
        <f>$N$3*_xlfn.XLOOKUP(AA$1,'Input Assumptions'!$C$34:$L$34,'Input Assumptions'!$C$36:$L$36)</f>
        <v>1971.2500000000002</v>
      </c>
      <c r="AB4" s="59">
        <f>$N$3*_xlfn.XLOOKUP(AB$1,'Input Assumptions'!$C$34:$L$34,'Input Assumptions'!$C$36:$L$36)</f>
        <v>1971.2500000000002</v>
      </c>
      <c r="AC4" s="59">
        <f>$N$3*_xlfn.XLOOKUP(AC$1,'Input Assumptions'!$C$34:$L$34,'Input Assumptions'!$C$36:$L$36)</f>
        <v>1971.2500000000002</v>
      </c>
      <c r="AD4" s="59">
        <f>$N$3*_xlfn.XLOOKUP(AD$1,'Input Assumptions'!$C$34:$L$34,'Input Assumptions'!$C$36:$L$36)</f>
        <v>1971.2500000000002</v>
      </c>
      <c r="AE4" s="59">
        <f>$N$3*_xlfn.XLOOKUP(AE$1,'Input Assumptions'!$C$34:$L$34,'Input Assumptions'!$C$36:$L$36)</f>
        <v>1971.2500000000002</v>
      </c>
      <c r="AF4" s="59">
        <f>$N$3*_xlfn.XLOOKUP(AF$1,'Input Assumptions'!$C$34:$L$34,'Input Assumptions'!$C$36:$L$36)</f>
        <v>1971.2500000000002</v>
      </c>
      <c r="AG4" s="59">
        <f>$N$3*_xlfn.XLOOKUP(AG$1,'Input Assumptions'!$C$34:$L$34,'Input Assumptions'!$C$36:$L$36)</f>
        <v>1971.2500000000002</v>
      </c>
      <c r="AH4" s="59">
        <f>$N$3*_xlfn.XLOOKUP(AH$1,'Input Assumptions'!$C$34:$L$34,'Input Assumptions'!$C$36:$L$36)</f>
        <v>1971.2500000000002</v>
      </c>
      <c r="AI4" s="59">
        <f>$N$3*_xlfn.XLOOKUP(AI$1,'Input Assumptions'!$C$34:$L$34,'Input Assumptions'!$C$36:$L$36)</f>
        <v>1971.2500000000002</v>
      </c>
      <c r="AJ4" s="59">
        <f>$N$3*_xlfn.XLOOKUP(AJ$1,'Input Assumptions'!$C$34:$L$34,'Input Assumptions'!$C$36:$L$36)</f>
        <v>1971.2500000000002</v>
      </c>
      <c r="AK4" s="59">
        <f>$N$3*_xlfn.XLOOKUP(AK$1,'Input Assumptions'!$C$34:$L$34,'Input Assumptions'!$C$36:$L$36)</f>
        <v>1971.2500000000002</v>
      </c>
      <c r="AL4" s="59">
        <f>$N$3*_xlfn.XLOOKUP(AL$1,'Input Assumptions'!$C$34:$L$34,'Input Assumptions'!$C$36:$L$36)</f>
        <v>2045.1718750000005</v>
      </c>
      <c r="AM4" s="59">
        <f>$N$3*_xlfn.XLOOKUP(AM$1,'Input Assumptions'!$C$34:$L$34,'Input Assumptions'!$C$36:$L$36)</f>
        <v>2045.1718750000005</v>
      </c>
      <c r="AN4" s="59">
        <f>$N$3*_xlfn.XLOOKUP(AN$1,'Input Assumptions'!$C$34:$L$34,'Input Assumptions'!$C$36:$L$36)</f>
        <v>2045.1718750000005</v>
      </c>
      <c r="AO4" s="59">
        <f>$N$3*_xlfn.XLOOKUP(AO$1,'Input Assumptions'!$C$34:$L$34,'Input Assumptions'!$C$36:$L$36)</f>
        <v>2045.1718750000005</v>
      </c>
      <c r="AP4" s="59">
        <f>$N$3*_xlfn.XLOOKUP(AP$1,'Input Assumptions'!$C$34:$L$34,'Input Assumptions'!$C$36:$L$36)</f>
        <v>2045.1718750000005</v>
      </c>
      <c r="AQ4" s="59">
        <f>$N$3*_xlfn.XLOOKUP(AQ$1,'Input Assumptions'!$C$34:$L$34,'Input Assumptions'!$C$36:$L$36)</f>
        <v>2045.1718750000005</v>
      </c>
      <c r="AR4" s="59">
        <f>$N$3*_xlfn.XLOOKUP(AR$1,'Input Assumptions'!$C$34:$L$34,'Input Assumptions'!$C$36:$L$36)</f>
        <v>2045.1718750000005</v>
      </c>
      <c r="AS4" s="59">
        <f>$N$3*_xlfn.XLOOKUP(AS$1,'Input Assumptions'!$C$34:$L$34,'Input Assumptions'!$C$36:$L$36)</f>
        <v>2045.1718750000005</v>
      </c>
      <c r="AT4" s="59">
        <f>$N$3*_xlfn.XLOOKUP(AT$1,'Input Assumptions'!$C$34:$L$34,'Input Assumptions'!$C$36:$L$36)</f>
        <v>2045.1718750000005</v>
      </c>
      <c r="AU4" s="59">
        <f>$N$3*_xlfn.XLOOKUP(AU$1,'Input Assumptions'!$C$34:$L$34,'Input Assumptions'!$C$36:$L$36)</f>
        <v>2045.1718750000005</v>
      </c>
      <c r="AV4" s="59">
        <f>$N$3*_xlfn.XLOOKUP(AV$1,'Input Assumptions'!$C$34:$L$34,'Input Assumptions'!$C$36:$L$36)</f>
        <v>2045.1718750000005</v>
      </c>
      <c r="AW4" s="59">
        <f>$N$3*_xlfn.XLOOKUP(AW$1,'Input Assumptions'!$C$34:$L$34,'Input Assumptions'!$C$36:$L$36)</f>
        <v>2045.1718750000005</v>
      </c>
      <c r="AX4" s="59">
        <f>$N$3*_xlfn.XLOOKUP(AX$1,'Input Assumptions'!$C$34:$L$34,'Input Assumptions'!$C$36:$L$36)</f>
        <v>2121.8658203125005</v>
      </c>
      <c r="AY4" s="59">
        <f>$N$3*_xlfn.XLOOKUP(AY$1,'Input Assumptions'!$C$34:$L$34,'Input Assumptions'!$C$36:$L$36)</f>
        <v>2121.8658203125005</v>
      </c>
      <c r="AZ4" s="59">
        <f>$N$3*_xlfn.XLOOKUP(AZ$1,'Input Assumptions'!$C$34:$L$34,'Input Assumptions'!$C$36:$L$36)</f>
        <v>2121.8658203125005</v>
      </c>
      <c r="BA4" s="59">
        <f>$N$3*_xlfn.XLOOKUP(BA$1,'Input Assumptions'!$C$34:$L$34,'Input Assumptions'!$C$36:$L$36)</f>
        <v>2121.8658203125005</v>
      </c>
      <c r="BB4" s="59">
        <f>$N$3*_xlfn.XLOOKUP(BB$1,'Input Assumptions'!$C$34:$L$34,'Input Assumptions'!$C$36:$L$36)</f>
        <v>2121.8658203125005</v>
      </c>
      <c r="BC4" s="59">
        <f>$N$3*_xlfn.XLOOKUP(BC$1,'Input Assumptions'!$C$34:$L$34,'Input Assumptions'!$C$36:$L$36)</f>
        <v>2121.8658203125005</v>
      </c>
      <c r="BD4" s="59">
        <f>$N$3*_xlfn.XLOOKUP(BD$1,'Input Assumptions'!$C$34:$L$34,'Input Assumptions'!$C$36:$L$36)</f>
        <v>2121.8658203125005</v>
      </c>
      <c r="BE4" s="59">
        <f>$N$3*_xlfn.XLOOKUP(BE$1,'Input Assumptions'!$C$34:$L$34,'Input Assumptions'!$C$36:$L$36)</f>
        <v>2121.8658203125005</v>
      </c>
      <c r="BF4" s="59">
        <f>$N$3*_xlfn.XLOOKUP(BF$1,'Input Assumptions'!$C$34:$L$34,'Input Assumptions'!$C$36:$L$36)</f>
        <v>2121.8658203125005</v>
      </c>
      <c r="BG4" s="59">
        <f>$N$3*_xlfn.XLOOKUP(BG$1,'Input Assumptions'!$C$34:$L$34,'Input Assumptions'!$C$36:$L$36)</f>
        <v>2121.8658203125005</v>
      </c>
      <c r="BH4" s="59">
        <f>$N$3*_xlfn.XLOOKUP(BH$1,'Input Assumptions'!$C$34:$L$34,'Input Assumptions'!$C$36:$L$36)</f>
        <v>2121.8658203125005</v>
      </c>
      <c r="BI4" s="59">
        <f>$N$3*_xlfn.XLOOKUP(BI$1,'Input Assumptions'!$C$34:$L$34,'Input Assumptions'!$C$36:$L$36)</f>
        <v>2121.8658203125005</v>
      </c>
      <c r="BJ4" s="59">
        <f>$N$3*_xlfn.XLOOKUP(BJ$1,'Input Assumptions'!$C$34:$L$34,'Input Assumptions'!$C$36:$L$36)</f>
        <v>2201.4357885742193</v>
      </c>
      <c r="BK4" s="59">
        <f>$N$3*_xlfn.XLOOKUP(BK$1,'Input Assumptions'!$C$34:$L$34,'Input Assumptions'!$C$36:$L$36)</f>
        <v>2201.4357885742193</v>
      </c>
      <c r="BL4" s="59">
        <f>$N$3*_xlfn.XLOOKUP(BL$1,'Input Assumptions'!$C$34:$L$34,'Input Assumptions'!$C$36:$L$36)</f>
        <v>2201.4357885742193</v>
      </c>
      <c r="BM4" s="59">
        <f>$N$3*_xlfn.XLOOKUP(BM$1,'Input Assumptions'!$C$34:$L$34,'Input Assumptions'!$C$36:$L$36)</f>
        <v>2201.4357885742193</v>
      </c>
      <c r="BN4" s="59">
        <f>$N$3*_xlfn.XLOOKUP(BN$1,'Input Assumptions'!$C$34:$L$34,'Input Assumptions'!$C$36:$L$36)</f>
        <v>2201.4357885742193</v>
      </c>
      <c r="BO4" s="59">
        <f>$N$3*_xlfn.XLOOKUP(BO$1,'Input Assumptions'!$C$34:$L$34,'Input Assumptions'!$C$36:$L$36)</f>
        <v>2201.4357885742193</v>
      </c>
      <c r="BP4" s="59">
        <f>$N$3*_xlfn.XLOOKUP(BP$1,'Input Assumptions'!$C$34:$L$34,'Input Assumptions'!$C$36:$L$36)</f>
        <v>2201.4357885742193</v>
      </c>
      <c r="BQ4" s="59">
        <f>$N$3*_xlfn.XLOOKUP(BQ$1,'Input Assumptions'!$C$34:$L$34,'Input Assumptions'!$C$36:$L$36)</f>
        <v>2201.4357885742193</v>
      </c>
      <c r="BR4" s="59">
        <f>$N$3*_xlfn.XLOOKUP(BR$1,'Input Assumptions'!$C$34:$L$34,'Input Assumptions'!$C$36:$L$36)</f>
        <v>2201.4357885742193</v>
      </c>
      <c r="BS4" s="59">
        <f>$N$3*_xlfn.XLOOKUP(BS$1,'Input Assumptions'!$C$34:$L$34,'Input Assumptions'!$C$36:$L$36)</f>
        <v>2201.4357885742193</v>
      </c>
      <c r="BT4" s="59">
        <f>$N$3*_xlfn.XLOOKUP(BT$1,'Input Assumptions'!$C$34:$L$34,'Input Assumptions'!$C$36:$L$36)</f>
        <v>2201.4357885742193</v>
      </c>
      <c r="BU4" s="59">
        <f>$N$3*_xlfn.XLOOKUP(BU$1,'Input Assumptions'!$C$34:$L$34,'Input Assumptions'!$C$36:$L$36)</f>
        <v>2201.4357885742193</v>
      </c>
      <c r="BV4" s="59">
        <f>$N$3*_xlfn.XLOOKUP(BV$1,'Input Assumptions'!$C$34:$L$34,'Input Assumptions'!$C$36:$L$36)</f>
        <v>2283.9896306457531</v>
      </c>
      <c r="BW4" s="59">
        <f>$N$3*_xlfn.XLOOKUP(BW$1,'Input Assumptions'!$C$34:$L$34,'Input Assumptions'!$C$36:$L$36)</f>
        <v>1900</v>
      </c>
      <c r="BX4" s="59">
        <f>$N$3*_xlfn.XLOOKUP(BX$1,'Input Assumptions'!$C$34:$L$34,'Input Assumptions'!$C$36:$L$36)</f>
        <v>1900</v>
      </c>
      <c r="BY4" s="59">
        <f>$N$3*_xlfn.XLOOKUP(BY$1,'Input Assumptions'!$C$34:$L$34,'Input Assumptions'!$C$36:$L$36)</f>
        <v>1900</v>
      </c>
      <c r="BZ4" s="59">
        <f>$N$3*_xlfn.XLOOKUP(BZ$1,'Input Assumptions'!$C$34:$L$34,'Input Assumptions'!$C$36:$L$36)</f>
        <v>1900</v>
      </c>
      <c r="CA4" s="59">
        <f>$N$3*_xlfn.XLOOKUP(CA$1,'Input Assumptions'!$C$34:$L$34,'Input Assumptions'!$C$36:$L$36)</f>
        <v>1900</v>
      </c>
      <c r="CB4" s="59">
        <f>$N$3*_xlfn.XLOOKUP(CB$1,'Input Assumptions'!$C$34:$L$34,'Input Assumptions'!$C$36:$L$36)</f>
        <v>1900</v>
      </c>
      <c r="CC4" s="59">
        <f>$N$3*_xlfn.XLOOKUP(CC$1,'Input Assumptions'!$C$34:$L$34,'Input Assumptions'!$C$36:$L$36)</f>
        <v>1900</v>
      </c>
      <c r="CD4" s="59">
        <f>$N$3*_xlfn.XLOOKUP(CD$1,'Input Assumptions'!$C$34:$L$34,'Input Assumptions'!$C$36:$L$36)</f>
        <v>1900</v>
      </c>
      <c r="CE4" s="59">
        <f>$N$3*_xlfn.XLOOKUP(CE$1,'Input Assumptions'!$C$34:$L$34,'Input Assumptions'!$C$36:$L$36)</f>
        <v>1900</v>
      </c>
      <c r="CF4" s="59">
        <f>$N$3*_xlfn.XLOOKUP(CF$1,'Input Assumptions'!$C$34:$L$34,'Input Assumptions'!$C$36:$L$36)</f>
        <v>1900</v>
      </c>
      <c r="CG4" s="59">
        <f>$N$3*_xlfn.XLOOKUP(CG$1,'Input Assumptions'!$C$34:$L$34,'Input Assumptions'!$C$36:$L$36)</f>
        <v>1900</v>
      </c>
      <c r="CH4" s="59">
        <f>$N$3*_xlfn.XLOOKUP(CH$1,'Input Assumptions'!$C$34:$L$34,'Input Assumptions'!$C$36:$L$36)</f>
        <v>1900</v>
      </c>
      <c r="CI4" s="59">
        <f>$N$3*_xlfn.XLOOKUP(CI$1,'Input Assumptions'!$C$34:$L$34,'Input Assumptions'!$C$36:$L$36)</f>
        <v>1971.2500000000002</v>
      </c>
      <c r="CJ4" s="59">
        <f>$N$3*_xlfn.XLOOKUP(CJ$1,'Input Assumptions'!$C$34:$L$34,'Input Assumptions'!$C$36:$L$36)</f>
        <v>1971.2500000000002</v>
      </c>
      <c r="CK4" s="59">
        <f>$N$3*_xlfn.XLOOKUP(CK$1,'Input Assumptions'!$C$34:$L$34,'Input Assumptions'!$C$36:$L$36)</f>
        <v>1971.2500000000002</v>
      </c>
      <c r="CL4" s="59">
        <f>$N$3*_xlfn.XLOOKUP(CL$1,'Input Assumptions'!$C$34:$L$34,'Input Assumptions'!$C$36:$L$36)</f>
        <v>1971.2500000000002</v>
      </c>
      <c r="CM4" s="59">
        <f>$N$3*_xlfn.XLOOKUP(CM$1,'Input Assumptions'!$C$34:$L$34,'Input Assumptions'!$C$36:$L$36)</f>
        <v>1971.2500000000002</v>
      </c>
      <c r="CN4" s="59">
        <f>$N$3*_xlfn.XLOOKUP(CN$1,'Input Assumptions'!$C$34:$L$34,'Input Assumptions'!$C$36:$L$36)</f>
        <v>1971.2500000000002</v>
      </c>
      <c r="CO4" s="59">
        <f>$N$3*_xlfn.XLOOKUP(CO$1,'Input Assumptions'!$C$34:$L$34,'Input Assumptions'!$C$36:$L$36)</f>
        <v>1971.2500000000002</v>
      </c>
      <c r="CP4" s="59">
        <f>$N$3*_xlfn.XLOOKUP(CP$1,'Input Assumptions'!$C$34:$L$34,'Input Assumptions'!$C$36:$L$36)</f>
        <v>1971.2500000000002</v>
      </c>
      <c r="CQ4" s="59">
        <f>$N$3*_xlfn.XLOOKUP(CQ$1,'Input Assumptions'!$C$34:$L$34,'Input Assumptions'!$C$36:$L$36)</f>
        <v>1971.2500000000002</v>
      </c>
      <c r="CR4" s="59">
        <f>$N$3*_xlfn.XLOOKUP(CR$1,'Input Assumptions'!$C$34:$L$34,'Input Assumptions'!$C$36:$L$36)</f>
        <v>1971.2500000000002</v>
      </c>
      <c r="CS4" s="59">
        <f>$N$3*_xlfn.XLOOKUP(CS$1,'Input Assumptions'!$C$34:$L$34,'Input Assumptions'!$C$36:$L$36)</f>
        <v>1971.2500000000002</v>
      </c>
      <c r="CT4" s="59">
        <f>$N$3*_xlfn.XLOOKUP(CT$1,'Input Assumptions'!$C$34:$L$34,'Input Assumptions'!$C$36:$L$36)</f>
        <v>1971.2500000000002</v>
      </c>
      <c r="CU4" s="59">
        <f>$N$3*_xlfn.XLOOKUP(CU$1,'Input Assumptions'!$C$34:$L$34,'Input Assumptions'!$C$36:$L$36)</f>
        <v>2045.1718750000005</v>
      </c>
      <c r="CV4" s="59">
        <f>$N$3*_xlfn.XLOOKUP(CV$1,'Input Assumptions'!$C$34:$L$34,'Input Assumptions'!$C$36:$L$36)</f>
        <v>2045.1718750000005</v>
      </c>
      <c r="CW4" s="59">
        <f>$N$3*_xlfn.XLOOKUP(CW$1,'Input Assumptions'!$C$34:$L$34,'Input Assumptions'!$C$36:$L$36)</f>
        <v>2045.1718750000005</v>
      </c>
      <c r="CX4" s="59">
        <f>$N$3*_xlfn.XLOOKUP(CX$1,'Input Assumptions'!$C$34:$L$34,'Input Assumptions'!$C$36:$L$36)</f>
        <v>2045.1718750000005</v>
      </c>
      <c r="CY4" s="59">
        <f>$N$3*_xlfn.XLOOKUP(CY$1,'Input Assumptions'!$C$34:$L$34,'Input Assumptions'!$C$36:$L$36)</f>
        <v>2045.1718750000005</v>
      </c>
      <c r="CZ4" s="59">
        <f>$N$3*_xlfn.XLOOKUP(CZ$1,'Input Assumptions'!$C$34:$L$34,'Input Assumptions'!$C$36:$L$36)</f>
        <v>2045.1718750000005</v>
      </c>
      <c r="DA4" s="59">
        <f>$N$3*_xlfn.XLOOKUP(DA$1,'Input Assumptions'!$C$34:$L$34,'Input Assumptions'!$C$36:$L$36)</f>
        <v>2045.1718750000005</v>
      </c>
      <c r="DB4" s="59">
        <f>$N$3*_xlfn.XLOOKUP(DB$1,'Input Assumptions'!$C$34:$L$34,'Input Assumptions'!$C$36:$L$36)</f>
        <v>2045.1718750000005</v>
      </c>
      <c r="DC4" s="59">
        <f>$N$3*_xlfn.XLOOKUP(DC$1,'Input Assumptions'!$C$34:$L$34,'Input Assumptions'!$C$36:$L$36)</f>
        <v>2045.1718750000005</v>
      </c>
      <c r="DD4" s="59">
        <f>$N$3*_xlfn.XLOOKUP(DD$1,'Input Assumptions'!$C$34:$L$34,'Input Assumptions'!$C$36:$L$36)</f>
        <v>2045.1718750000005</v>
      </c>
      <c r="DE4" s="59">
        <f>$N$3*_xlfn.XLOOKUP(DE$1,'Input Assumptions'!$C$34:$L$34,'Input Assumptions'!$C$36:$L$36)</f>
        <v>2045.1718750000005</v>
      </c>
      <c r="DF4" s="59">
        <f>$N$3*_xlfn.XLOOKUP(DF$1,'Input Assumptions'!$C$34:$L$34,'Input Assumptions'!$C$36:$L$36)</f>
        <v>2045.1718750000005</v>
      </c>
      <c r="DG4" s="59">
        <f>$N$3*_xlfn.XLOOKUP(DG$1,'Input Assumptions'!$C$34:$L$34,'Input Assumptions'!$C$36:$L$36)</f>
        <v>2121.8658203125005</v>
      </c>
      <c r="DH4" s="59">
        <f>$N$3*_xlfn.XLOOKUP(DH$1,'Input Assumptions'!$C$34:$L$34,'Input Assumptions'!$C$36:$L$36)</f>
        <v>2121.8658203125005</v>
      </c>
      <c r="DI4" s="59">
        <f>$N$3*_xlfn.XLOOKUP(DI$1,'Input Assumptions'!$C$34:$L$34,'Input Assumptions'!$C$36:$L$36)</f>
        <v>2121.8658203125005</v>
      </c>
      <c r="DJ4" s="59">
        <f>$N$3*_xlfn.XLOOKUP(DJ$1,'Input Assumptions'!$C$34:$L$34,'Input Assumptions'!$C$36:$L$36)</f>
        <v>2121.8658203125005</v>
      </c>
      <c r="DK4" s="59">
        <f>$N$3*_xlfn.XLOOKUP(DK$1,'Input Assumptions'!$C$34:$L$34,'Input Assumptions'!$C$36:$L$36)</f>
        <v>2121.8658203125005</v>
      </c>
      <c r="DL4" s="59">
        <f>$N$3*_xlfn.XLOOKUP(DL$1,'Input Assumptions'!$C$34:$L$34,'Input Assumptions'!$C$36:$L$36)</f>
        <v>2121.8658203125005</v>
      </c>
      <c r="DM4" s="59">
        <f>$N$3*_xlfn.XLOOKUP(DM$1,'Input Assumptions'!$C$34:$L$34,'Input Assumptions'!$C$36:$L$36)</f>
        <v>2121.8658203125005</v>
      </c>
      <c r="DN4" s="59">
        <f>$N$3*_xlfn.XLOOKUP(DN$1,'Input Assumptions'!$C$34:$L$34,'Input Assumptions'!$C$36:$L$36)</f>
        <v>2121.8658203125005</v>
      </c>
      <c r="DO4" s="59">
        <f>$N$3*_xlfn.XLOOKUP(DO$1,'Input Assumptions'!$C$34:$L$34,'Input Assumptions'!$C$36:$L$36)</f>
        <v>2121.8658203125005</v>
      </c>
      <c r="DP4" s="59">
        <f>$N$3*_xlfn.XLOOKUP(DP$1,'Input Assumptions'!$C$34:$L$34,'Input Assumptions'!$C$36:$L$36)</f>
        <v>2121.8658203125005</v>
      </c>
      <c r="DQ4" s="59">
        <f>$N$3*_xlfn.XLOOKUP(DQ$1,'Input Assumptions'!$C$34:$L$34,'Input Assumptions'!$C$36:$L$36)</f>
        <v>2121.8658203125005</v>
      </c>
      <c r="DR4" s="59">
        <f>$N$3*_xlfn.XLOOKUP(DR$1,'Input Assumptions'!$C$34:$L$34,'Input Assumptions'!$C$36:$L$36)</f>
        <v>2121.8658203125005</v>
      </c>
      <c r="DS4" s="59">
        <f>$N$3*_xlfn.XLOOKUP(DS$1,'Input Assumptions'!$C$34:$L$34,'Input Assumptions'!$C$36:$L$36)</f>
        <v>2201.4357885742193</v>
      </c>
      <c r="DT4" s="59">
        <f>$N$3*_xlfn.XLOOKUP(DT$1,'Input Assumptions'!$C$34:$L$34,'Input Assumptions'!$C$36:$L$36)</f>
        <v>2201.4357885742193</v>
      </c>
      <c r="DU4" s="59">
        <f>$N$3*_xlfn.XLOOKUP(DU$1,'Input Assumptions'!$C$34:$L$34,'Input Assumptions'!$C$36:$L$36)</f>
        <v>2201.4357885742193</v>
      </c>
      <c r="DV4" s="59">
        <f>$N$3*_xlfn.XLOOKUP(DV$1,'Input Assumptions'!$C$34:$L$34,'Input Assumptions'!$C$36:$L$36)</f>
        <v>2201.4357885742193</v>
      </c>
      <c r="DW4" s="59">
        <f>$N$3*_xlfn.XLOOKUP(DW$1,'Input Assumptions'!$C$34:$L$34,'Input Assumptions'!$C$36:$L$36)</f>
        <v>2201.4357885742193</v>
      </c>
      <c r="DX4" s="59">
        <f>$N$3*_xlfn.XLOOKUP(DX$1,'Input Assumptions'!$C$34:$L$34,'Input Assumptions'!$C$36:$L$36)</f>
        <v>2201.4357885742193</v>
      </c>
      <c r="DY4" s="59">
        <f>$N$3*_xlfn.XLOOKUP(DY$1,'Input Assumptions'!$C$34:$L$34,'Input Assumptions'!$C$36:$L$36)</f>
        <v>2201.4357885742193</v>
      </c>
      <c r="DZ4" s="59">
        <f>$N$3*_xlfn.XLOOKUP(DZ$1,'Input Assumptions'!$C$34:$L$34,'Input Assumptions'!$C$36:$L$36)</f>
        <v>2201.4357885742193</v>
      </c>
      <c r="EA4" s="59">
        <f>$N$3*_xlfn.XLOOKUP(EA$1,'Input Assumptions'!$C$34:$L$34,'Input Assumptions'!$C$36:$L$36)</f>
        <v>2201.4357885742193</v>
      </c>
      <c r="EB4" s="59">
        <f>$N$3*_xlfn.XLOOKUP(EB$1,'Input Assumptions'!$C$34:$L$34,'Input Assumptions'!$C$36:$L$36)</f>
        <v>2201.4357885742193</v>
      </c>
      <c r="EC4" s="59">
        <f>$N$3*_xlfn.XLOOKUP(EC$1,'Input Assumptions'!$C$34:$L$34,'Input Assumptions'!$C$36:$L$36)</f>
        <v>2201.4357885742193</v>
      </c>
    </row>
    <row r="5" spans="2:133" x14ac:dyDescent="0.3">
      <c r="B5" s="15">
        <v>1</v>
      </c>
      <c r="C5" s="16">
        <v>3</v>
      </c>
      <c r="D5" s="16" t="s">
        <v>10</v>
      </c>
      <c r="E5" s="16">
        <v>450</v>
      </c>
      <c r="F5" s="20">
        <f t="shared" si="108"/>
        <v>41.80640845790095</v>
      </c>
      <c r="G5" s="19" t="str">
        <f t="shared" si="109"/>
        <v>1</v>
      </c>
      <c r="H5" s="20">
        <f t="shared" si="112"/>
        <v>1</v>
      </c>
      <c r="I5" s="18">
        <f t="shared" si="110"/>
        <v>1710</v>
      </c>
      <c r="J5" s="18">
        <f t="shared" si="111"/>
        <v>1900</v>
      </c>
      <c r="K5" s="18">
        <f>(J5*'Input Assumptions'!$C$20)+I5*('Input Assumptions'!$C$21)</f>
        <v>1900</v>
      </c>
      <c r="L5" s="94"/>
      <c r="N5" s="59">
        <f t="shared" si="113"/>
        <v>1900</v>
      </c>
      <c r="O5" s="59">
        <f>$N$3*_xlfn.XLOOKUP(O$1,'Input Assumptions'!$C$34:$L$34,'Input Assumptions'!$C$36:$L$36)</f>
        <v>1900</v>
      </c>
      <c r="P5" s="59">
        <f>$N$3*_xlfn.XLOOKUP(P$1,'Input Assumptions'!$C$34:$L$34,'Input Assumptions'!$C$36:$L$36)</f>
        <v>1900</v>
      </c>
      <c r="Q5" s="59">
        <f>$N$3*_xlfn.XLOOKUP(Q$1,'Input Assumptions'!$C$34:$L$34,'Input Assumptions'!$C$36:$L$36)</f>
        <v>1900</v>
      </c>
      <c r="R5" s="59">
        <f>$N$3*_xlfn.XLOOKUP(R$1,'Input Assumptions'!$C$34:$L$34,'Input Assumptions'!$C$36:$L$36)</f>
        <v>1900</v>
      </c>
      <c r="S5" s="59">
        <f>$N$3*_xlfn.XLOOKUP(S$1,'Input Assumptions'!$C$34:$L$34,'Input Assumptions'!$C$36:$L$36)</f>
        <v>1900</v>
      </c>
      <c r="T5" s="59">
        <f>$N$3*_xlfn.XLOOKUP(T$1,'Input Assumptions'!$C$34:$L$34,'Input Assumptions'!$C$36:$L$36)</f>
        <v>1900</v>
      </c>
      <c r="U5" s="59">
        <f>$N$3*_xlfn.XLOOKUP(U$1,'Input Assumptions'!$C$34:$L$34,'Input Assumptions'!$C$36:$L$36)</f>
        <v>1900</v>
      </c>
      <c r="V5" s="59">
        <f>$N$3*_xlfn.XLOOKUP(V$1,'Input Assumptions'!$C$34:$L$34,'Input Assumptions'!$C$36:$L$36)</f>
        <v>1900</v>
      </c>
      <c r="W5" s="59">
        <f>$N$3*_xlfn.XLOOKUP(W$1,'Input Assumptions'!$C$34:$L$34,'Input Assumptions'!$C$36:$L$36)</f>
        <v>1900</v>
      </c>
      <c r="X5" s="59">
        <f>$N$3*_xlfn.XLOOKUP(X$1,'Input Assumptions'!$C$34:$L$34,'Input Assumptions'!$C$36:$L$36)</f>
        <v>1900</v>
      </c>
      <c r="Y5" s="59">
        <f>$N$3*_xlfn.XLOOKUP(Y$1,'Input Assumptions'!$C$34:$L$34,'Input Assumptions'!$C$36:$L$36)</f>
        <v>1900</v>
      </c>
      <c r="Z5" s="59">
        <f>$N$3*_xlfn.XLOOKUP(Z$1,'Input Assumptions'!$C$34:$L$34,'Input Assumptions'!$C$36:$L$36)</f>
        <v>1971.2500000000002</v>
      </c>
      <c r="AA5" s="59">
        <f>$N$3*_xlfn.XLOOKUP(AA$1,'Input Assumptions'!$C$34:$L$34,'Input Assumptions'!$C$36:$L$36)</f>
        <v>1971.2500000000002</v>
      </c>
      <c r="AB5" s="59">
        <f>$N$3*_xlfn.XLOOKUP(AB$1,'Input Assumptions'!$C$34:$L$34,'Input Assumptions'!$C$36:$L$36)</f>
        <v>1971.2500000000002</v>
      </c>
      <c r="AC5" s="59">
        <f>$N$3*_xlfn.XLOOKUP(AC$1,'Input Assumptions'!$C$34:$L$34,'Input Assumptions'!$C$36:$L$36)</f>
        <v>1971.2500000000002</v>
      </c>
      <c r="AD5" s="59">
        <f>$N$3*_xlfn.XLOOKUP(AD$1,'Input Assumptions'!$C$34:$L$34,'Input Assumptions'!$C$36:$L$36)</f>
        <v>1971.2500000000002</v>
      </c>
      <c r="AE5" s="59">
        <f>$N$3*_xlfn.XLOOKUP(AE$1,'Input Assumptions'!$C$34:$L$34,'Input Assumptions'!$C$36:$L$36)</f>
        <v>1971.2500000000002</v>
      </c>
      <c r="AF5" s="59">
        <f>$N$3*_xlfn.XLOOKUP(AF$1,'Input Assumptions'!$C$34:$L$34,'Input Assumptions'!$C$36:$L$36)</f>
        <v>1971.2500000000002</v>
      </c>
      <c r="AG5" s="59">
        <f>$N$3*_xlfn.XLOOKUP(AG$1,'Input Assumptions'!$C$34:$L$34,'Input Assumptions'!$C$36:$L$36)</f>
        <v>1971.2500000000002</v>
      </c>
      <c r="AH5" s="59">
        <f>$N$3*_xlfn.XLOOKUP(AH$1,'Input Assumptions'!$C$34:$L$34,'Input Assumptions'!$C$36:$L$36)</f>
        <v>1971.2500000000002</v>
      </c>
      <c r="AI5" s="59">
        <f>$N$3*_xlfn.XLOOKUP(AI$1,'Input Assumptions'!$C$34:$L$34,'Input Assumptions'!$C$36:$L$36)</f>
        <v>1971.2500000000002</v>
      </c>
      <c r="AJ5" s="59">
        <f>$N$3*_xlfn.XLOOKUP(AJ$1,'Input Assumptions'!$C$34:$L$34,'Input Assumptions'!$C$36:$L$36)</f>
        <v>1971.2500000000002</v>
      </c>
      <c r="AK5" s="59">
        <f>$N$3*_xlfn.XLOOKUP(AK$1,'Input Assumptions'!$C$34:$L$34,'Input Assumptions'!$C$36:$L$36)</f>
        <v>1971.2500000000002</v>
      </c>
      <c r="AL5" s="59">
        <f>$N$3*_xlfn.XLOOKUP(AL$1,'Input Assumptions'!$C$34:$L$34,'Input Assumptions'!$C$36:$L$36)</f>
        <v>2045.1718750000005</v>
      </c>
      <c r="AM5" s="59">
        <f>$N$3*_xlfn.XLOOKUP(AM$1,'Input Assumptions'!$C$34:$L$34,'Input Assumptions'!$C$36:$L$36)</f>
        <v>2045.1718750000005</v>
      </c>
      <c r="AN5" s="59">
        <f>$N$3*_xlfn.XLOOKUP(AN$1,'Input Assumptions'!$C$34:$L$34,'Input Assumptions'!$C$36:$L$36)</f>
        <v>2045.1718750000005</v>
      </c>
      <c r="AO5" s="59">
        <f>$N$3*_xlfn.XLOOKUP(AO$1,'Input Assumptions'!$C$34:$L$34,'Input Assumptions'!$C$36:$L$36)</f>
        <v>2045.1718750000005</v>
      </c>
      <c r="AP5" s="59">
        <f>$N$3*_xlfn.XLOOKUP(AP$1,'Input Assumptions'!$C$34:$L$34,'Input Assumptions'!$C$36:$L$36)</f>
        <v>2045.1718750000005</v>
      </c>
      <c r="AQ5" s="59">
        <f>$N$3*_xlfn.XLOOKUP(AQ$1,'Input Assumptions'!$C$34:$L$34,'Input Assumptions'!$C$36:$L$36)</f>
        <v>2045.1718750000005</v>
      </c>
      <c r="AR5" s="59">
        <f>$N$3*_xlfn.XLOOKUP(AR$1,'Input Assumptions'!$C$34:$L$34,'Input Assumptions'!$C$36:$L$36)</f>
        <v>2045.1718750000005</v>
      </c>
      <c r="AS5" s="59">
        <f>$N$3*_xlfn.XLOOKUP(AS$1,'Input Assumptions'!$C$34:$L$34,'Input Assumptions'!$C$36:$L$36)</f>
        <v>2045.1718750000005</v>
      </c>
      <c r="AT5" s="59">
        <f>$N$3*_xlfn.XLOOKUP(AT$1,'Input Assumptions'!$C$34:$L$34,'Input Assumptions'!$C$36:$L$36)</f>
        <v>2045.1718750000005</v>
      </c>
      <c r="AU5" s="59">
        <f>$N$3*_xlfn.XLOOKUP(AU$1,'Input Assumptions'!$C$34:$L$34,'Input Assumptions'!$C$36:$L$36)</f>
        <v>2045.1718750000005</v>
      </c>
      <c r="AV5" s="59">
        <f>$N$3*_xlfn.XLOOKUP(AV$1,'Input Assumptions'!$C$34:$L$34,'Input Assumptions'!$C$36:$L$36)</f>
        <v>2045.1718750000005</v>
      </c>
      <c r="AW5" s="59">
        <f>$N$3*_xlfn.XLOOKUP(AW$1,'Input Assumptions'!$C$34:$L$34,'Input Assumptions'!$C$36:$L$36)</f>
        <v>2045.1718750000005</v>
      </c>
      <c r="AX5" s="59">
        <f>$N$3*_xlfn.XLOOKUP(AX$1,'Input Assumptions'!$C$34:$L$34,'Input Assumptions'!$C$36:$L$36)</f>
        <v>2121.8658203125005</v>
      </c>
      <c r="AY5" s="59">
        <f>$N$3*_xlfn.XLOOKUP(AY$1,'Input Assumptions'!$C$34:$L$34,'Input Assumptions'!$C$36:$L$36)</f>
        <v>2121.8658203125005</v>
      </c>
      <c r="AZ5" s="59">
        <f>$N$3*_xlfn.XLOOKUP(AZ$1,'Input Assumptions'!$C$34:$L$34,'Input Assumptions'!$C$36:$L$36)</f>
        <v>2121.8658203125005</v>
      </c>
      <c r="BA5" s="59">
        <f>$N$3*_xlfn.XLOOKUP(BA$1,'Input Assumptions'!$C$34:$L$34,'Input Assumptions'!$C$36:$L$36)</f>
        <v>2121.8658203125005</v>
      </c>
      <c r="BB5" s="59">
        <f>$N$3*_xlfn.XLOOKUP(BB$1,'Input Assumptions'!$C$34:$L$34,'Input Assumptions'!$C$36:$L$36)</f>
        <v>2121.8658203125005</v>
      </c>
      <c r="BC5" s="59">
        <f>$N$3*_xlfn.XLOOKUP(BC$1,'Input Assumptions'!$C$34:$L$34,'Input Assumptions'!$C$36:$L$36)</f>
        <v>2121.8658203125005</v>
      </c>
      <c r="BD5" s="59">
        <f>$N$3*_xlfn.XLOOKUP(BD$1,'Input Assumptions'!$C$34:$L$34,'Input Assumptions'!$C$36:$L$36)</f>
        <v>2121.8658203125005</v>
      </c>
      <c r="BE5" s="59">
        <f>$N$3*_xlfn.XLOOKUP(BE$1,'Input Assumptions'!$C$34:$L$34,'Input Assumptions'!$C$36:$L$36)</f>
        <v>2121.8658203125005</v>
      </c>
      <c r="BF5" s="59">
        <f>$N$3*_xlfn.XLOOKUP(BF$1,'Input Assumptions'!$C$34:$L$34,'Input Assumptions'!$C$36:$L$36)</f>
        <v>2121.8658203125005</v>
      </c>
      <c r="BG5" s="59">
        <f>$N$3*_xlfn.XLOOKUP(BG$1,'Input Assumptions'!$C$34:$L$34,'Input Assumptions'!$C$36:$L$36)</f>
        <v>2121.8658203125005</v>
      </c>
      <c r="BH5" s="59">
        <f>$N$3*_xlfn.XLOOKUP(BH$1,'Input Assumptions'!$C$34:$L$34,'Input Assumptions'!$C$36:$L$36)</f>
        <v>2121.8658203125005</v>
      </c>
      <c r="BI5" s="59">
        <f>$N$3*_xlfn.XLOOKUP(BI$1,'Input Assumptions'!$C$34:$L$34,'Input Assumptions'!$C$36:$L$36)</f>
        <v>2121.8658203125005</v>
      </c>
      <c r="BJ5" s="59">
        <f>$N$3*_xlfn.XLOOKUP(BJ$1,'Input Assumptions'!$C$34:$L$34,'Input Assumptions'!$C$36:$L$36)</f>
        <v>2201.4357885742193</v>
      </c>
      <c r="BK5" s="59">
        <f>$N$3*_xlfn.XLOOKUP(BK$1,'Input Assumptions'!$C$34:$L$34,'Input Assumptions'!$C$36:$L$36)</f>
        <v>2201.4357885742193</v>
      </c>
      <c r="BL5" s="59">
        <f>$N$3*_xlfn.XLOOKUP(BL$1,'Input Assumptions'!$C$34:$L$34,'Input Assumptions'!$C$36:$L$36)</f>
        <v>2201.4357885742193</v>
      </c>
      <c r="BM5" s="59">
        <f>$N$3*_xlfn.XLOOKUP(BM$1,'Input Assumptions'!$C$34:$L$34,'Input Assumptions'!$C$36:$L$36)</f>
        <v>2201.4357885742193</v>
      </c>
      <c r="BN5" s="59">
        <f>$N$3*_xlfn.XLOOKUP(BN$1,'Input Assumptions'!$C$34:$L$34,'Input Assumptions'!$C$36:$L$36)</f>
        <v>2201.4357885742193</v>
      </c>
      <c r="BO5" s="59">
        <f>$N$3*_xlfn.XLOOKUP(BO$1,'Input Assumptions'!$C$34:$L$34,'Input Assumptions'!$C$36:$L$36)</f>
        <v>2201.4357885742193</v>
      </c>
      <c r="BP5" s="59">
        <f>$N$3*_xlfn.XLOOKUP(BP$1,'Input Assumptions'!$C$34:$L$34,'Input Assumptions'!$C$36:$L$36)</f>
        <v>2201.4357885742193</v>
      </c>
      <c r="BQ5" s="59">
        <f>$N$3*_xlfn.XLOOKUP(BQ$1,'Input Assumptions'!$C$34:$L$34,'Input Assumptions'!$C$36:$L$36)</f>
        <v>2201.4357885742193</v>
      </c>
      <c r="BR5" s="59">
        <f>$N$3*_xlfn.XLOOKUP(BR$1,'Input Assumptions'!$C$34:$L$34,'Input Assumptions'!$C$36:$L$36)</f>
        <v>2201.4357885742193</v>
      </c>
      <c r="BS5" s="59">
        <f>$N$3*_xlfn.XLOOKUP(BS$1,'Input Assumptions'!$C$34:$L$34,'Input Assumptions'!$C$36:$L$36)</f>
        <v>2201.4357885742193</v>
      </c>
      <c r="BT5" s="59">
        <f>$N$3*_xlfn.XLOOKUP(BT$1,'Input Assumptions'!$C$34:$L$34,'Input Assumptions'!$C$36:$L$36)</f>
        <v>2201.4357885742193</v>
      </c>
      <c r="BU5" s="59">
        <f>$N$3*_xlfn.XLOOKUP(BU$1,'Input Assumptions'!$C$34:$L$34,'Input Assumptions'!$C$36:$L$36)</f>
        <v>2201.4357885742193</v>
      </c>
      <c r="BV5" s="59">
        <f>$N$3*_xlfn.XLOOKUP(BV$1,'Input Assumptions'!$C$34:$L$34,'Input Assumptions'!$C$36:$L$36)</f>
        <v>2283.9896306457531</v>
      </c>
      <c r="BW5" s="59">
        <f>$N$3*_xlfn.XLOOKUP(BW$1,'Input Assumptions'!$C$34:$L$34,'Input Assumptions'!$C$36:$L$36)</f>
        <v>1900</v>
      </c>
      <c r="BX5" s="59">
        <f>$N$3*_xlfn.XLOOKUP(BX$1,'Input Assumptions'!$C$34:$L$34,'Input Assumptions'!$C$36:$L$36)</f>
        <v>1900</v>
      </c>
      <c r="BY5" s="59">
        <f>$N$3*_xlfn.XLOOKUP(BY$1,'Input Assumptions'!$C$34:$L$34,'Input Assumptions'!$C$36:$L$36)</f>
        <v>1900</v>
      </c>
      <c r="BZ5" s="59">
        <f>$N$3*_xlfn.XLOOKUP(BZ$1,'Input Assumptions'!$C$34:$L$34,'Input Assumptions'!$C$36:$L$36)</f>
        <v>1900</v>
      </c>
      <c r="CA5" s="59">
        <f>$N$3*_xlfn.XLOOKUP(CA$1,'Input Assumptions'!$C$34:$L$34,'Input Assumptions'!$C$36:$L$36)</f>
        <v>1900</v>
      </c>
      <c r="CB5" s="59">
        <f>$N$3*_xlfn.XLOOKUP(CB$1,'Input Assumptions'!$C$34:$L$34,'Input Assumptions'!$C$36:$L$36)</f>
        <v>1900</v>
      </c>
      <c r="CC5" s="59">
        <f>$N$3*_xlfn.XLOOKUP(CC$1,'Input Assumptions'!$C$34:$L$34,'Input Assumptions'!$C$36:$L$36)</f>
        <v>1900</v>
      </c>
      <c r="CD5" s="59">
        <f>$N$3*_xlfn.XLOOKUP(CD$1,'Input Assumptions'!$C$34:$L$34,'Input Assumptions'!$C$36:$L$36)</f>
        <v>1900</v>
      </c>
      <c r="CE5" s="59">
        <f>$N$3*_xlfn.XLOOKUP(CE$1,'Input Assumptions'!$C$34:$L$34,'Input Assumptions'!$C$36:$L$36)</f>
        <v>1900</v>
      </c>
      <c r="CF5" s="59">
        <f>$N$3*_xlfn.XLOOKUP(CF$1,'Input Assumptions'!$C$34:$L$34,'Input Assumptions'!$C$36:$L$36)</f>
        <v>1900</v>
      </c>
      <c r="CG5" s="59">
        <f>$N$3*_xlfn.XLOOKUP(CG$1,'Input Assumptions'!$C$34:$L$34,'Input Assumptions'!$C$36:$L$36)</f>
        <v>1900</v>
      </c>
      <c r="CH5" s="59">
        <f>$N$3*_xlfn.XLOOKUP(CH$1,'Input Assumptions'!$C$34:$L$34,'Input Assumptions'!$C$36:$L$36)</f>
        <v>1900</v>
      </c>
      <c r="CI5" s="59">
        <f>$N$3*_xlfn.XLOOKUP(CI$1,'Input Assumptions'!$C$34:$L$34,'Input Assumptions'!$C$36:$L$36)</f>
        <v>1971.2500000000002</v>
      </c>
      <c r="CJ5" s="59">
        <f>$N$3*_xlfn.XLOOKUP(CJ$1,'Input Assumptions'!$C$34:$L$34,'Input Assumptions'!$C$36:$L$36)</f>
        <v>1971.2500000000002</v>
      </c>
      <c r="CK5" s="59">
        <f>$N$3*_xlfn.XLOOKUP(CK$1,'Input Assumptions'!$C$34:$L$34,'Input Assumptions'!$C$36:$L$36)</f>
        <v>1971.2500000000002</v>
      </c>
      <c r="CL5" s="59">
        <f>$N$3*_xlfn.XLOOKUP(CL$1,'Input Assumptions'!$C$34:$L$34,'Input Assumptions'!$C$36:$L$36)</f>
        <v>1971.2500000000002</v>
      </c>
      <c r="CM5" s="59">
        <f>$N$3*_xlfn.XLOOKUP(CM$1,'Input Assumptions'!$C$34:$L$34,'Input Assumptions'!$C$36:$L$36)</f>
        <v>1971.2500000000002</v>
      </c>
      <c r="CN5" s="59">
        <f>$N$3*_xlfn.XLOOKUP(CN$1,'Input Assumptions'!$C$34:$L$34,'Input Assumptions'!$C$36:$L$36)</f>
        <v>1971.2500000000002</v>
      </c>
      <c r="CO5" s="59">
        <f>$N$3*_xlfn.XLOOKUP(CO$1,'Input Assumptions'!$C$34:$L$34,'Input Assumptions'!$C$36:$L$36)</f>
        <v>1971.2500000000002</v>
      </c>
      <c r="CP5" s="59">
        <f>$N$3*_xlfn.XLOOKUP(CP$1,'Input Assumptions'!$C$34:$L$34,'Input Assumptions'!$C$36:$L$36)</f>
        <v>1971.2500000000002</v>
      </c>
      <c r="CQ5" s="59">
        <f>$N$3*_xlfn.XLOOKUP(CQ$1,'Input Assumptions'!$C$34:$L$34,'Input Assumptions'!$C$36:$L$36)</f>
        <v>1971.2500000000002</v>
      </c>
      <c r="CR5" s="59">
        <f>$N$3*_xlfn.XLOOKUP(CR$1,'Input Assumptions'!$C$34:$L$34,'Input Assumptions'!$C$36:$L$36)</f>
        <v>1971.2500000000002</v>
      </c>
      <c r="CS5" s="59">
        <f>$N$3*_xlfn.XLOOKUP(CS$1,'Input Assumptions'!$C$34:$L$34,'Input Assumptions'!$C$36:$L$36)</f>
        <v>1971.2500000000002</v>
      </c>
      <c r="CT5" s="59">
        <f>$N$3*_xlfn.XLOOKUP(CT$1,'Input Assumptions'!$C$34:$L$34,'Input Assumptions'!$C$36:$L$36)</f>
        <v>1971.2500000000002</v>
      </c>
      <c r="CU5" s="59">
        <f>$N$3*_xlfn.XLOOKUP(CU$1,'Input Assumptions'!$C$34:$L$34,'Input Assumptions'!$C$36:$L$36)</f>
        <v>2045.1718750000005</v>
      </c>
      <c r="CV5" s="59">
        <f>$N$3*_xlfn.XLOOKUP(CV$1,'Input Assumptions'!$C$34:$L$34,'Input Assumptions'!$C$36:$L$36)</f>
        <v>2045.1718750000005</v>
      </c>
      <c r="CW5" s="59">
        <f>$N$3*_xlfn.XLOOKUP(CW$1,'Input Assumptions'!$C$34:$L$34,'Input Assumptions'!$C$36:$L$36)</f>
        <v>2045.1718750000005</v>
      </c>
      <c r="CX5" s="59">
        <f>$N$3*_xlfn.XLOOKUP(CX$1,'Input Assumptions'!$C$34:$L$34,'Input Assumptions'!$C$36:$L$36)</f>
        <v>2045.1718750000005</v>
      </c>
      <c r="CY5" s="59">
        <f>$N$3*_xlfn.XLOOKUP(CY$1,'Input Assumptions'!$C$34:$L$34,'Input Assumptions'!$C$36:$L$36)</f>
        <v>2045.1718750000005</v>
      </c>
      <c r="CZ5" s="59">
        <f>$N$3*_xlfn.XLOOKUP(CZ$1,'Input Assumptions'!$C$34:$L$34,'Input Assumptions'!$C$36:$L$36)</f>
        <v>2045.1718750000005</v>
      </c>
      <c r="DA5" s="59">
        <f>$N$3*_xlfn.XLOOKUP(DA$1,'Input Assumptions'!$C$34:$L$34,'Input Assumptions'!$C$36:$L$36)</f>
        <v>2045.1718750000005</v>
      </c>
      <c r="DB5" s="59">
        <f>$N$3*_xlfn.XLOOKUP(DB$1,'Input Assumptions'!$C$34:$L$34,'Input Assumptions'!$C$36:$L$36)</f>
        <v>2045.1718750000005</v>
      </c>
      <c r="DC5" s="59">
        <f>$N$3*_xlfn.XLOOKUP(DC$1,'Input Assumptions'!$C$34:$L$34,'Input Assumptions'!$C$36:$L$36)</f>
        <v>2045.1718750000005</v>
      </c>
      <c r="DD5" s="59">
        <f>$N$3*_xlfn.XLOOKUP(DD$1,'Input Assumptions'!$C$34:$L$34,'Input Assumptions'!$C$36:$L$36)</f>
        <v>2045.1718750000005</v>
      </c>
      <c r="DE5" s="59">
        <f>$N$3*_xlfn.XLOOKUP(DE$1,'Input Assumptions'!$C$34:$L$34,'Input Assumptions'!$C$36:$L$36)</f>
        <v>2045.1718750000005</v>
      </c>
      <c r="DF5" s="59">
        <f>$N$3*_xlfn.XLOOKUP(DF$1,'Input Assumptions'!$C$34:$L$34,'Input Assumptions'!$C$36:$L$36)</f>
        <v>2045.1718750000005</v>
      </c>
      <c r="DG5" s="59">
        <f>$N$3*_xlfn.XLOOKUP(DG$1,'Input Assumptions'!$C$34:$L$34,'Input Assumptions'!$C$36:$L$36)</f>
        <v>2121.8658203125005</v>
      </c>
      <c r="DH5" s="59">
        <f>$N$3*_xlfn.XLOOKUP(DH$1,'Input Assumptions'!$C$34:$L$34,'Input Assumptions'!$C$36:$L$36)</f>
        <v>2121.8658203125005</v>
      </c>
      <c r="DI5" s="59">
        <f>$N$3*_xlfn.XLOOKUP(DI$1,'Input Assumptions'!$C$34:$L$34,'Input Assumptions'!$C$36:$L$36)</f>
        <v>2121.8658203125005</v>
      </c>
      <c r="DJ5" s="59">
        <f>$N$3*_xlfn.XLOOKUP(DJ$1,'Input Assumptions'!$C$34:$L$34,'Input Assumptions'!$C$36:$L$36)</f>
        <v>2121.8658203125005</v>
      </c>
      <c r="DK5" s="59">
        <f>$N$3*_xlfn.XLOOKUP(DK$1,'Input Assumptions'!$C$34:$L$34,'Input Assumptions'!$C$36:$L$36)</f>
        <v>2121.8658203125005</v>
      </c>
      <c r="DL5" s="59">
        <f>$N$3*_xlfn.XLOOKUP(DL$1,'Input Assumptions'!$C$34:$L$34,'Input Assumptions'!$C$36:$L$36)</f>
        <v>2121.8658203125005</v>
      </c>
      <c r="DM5" s="59">
        <f>$N$3*_xlfn.XLOOKUP(DM$1,'Input Assumptions'!$C$34:$L$34,'Input Assumptions'!$C$36:$L$36)</f>
        <v>2121.8658203125005</v>
      </c>
      <c r="DN5" s="59">
        <f>$N$3*_xlfn.XLOOKUP(DN$1,'Input Assumptions'!$C$34:$L$34,'Input Assumptions'!$C$36:$L$36)</f>
        <v>2121.8658203125005</v>
      </c>
      <c r="DO5" s="59">
        <f>$N$3*_xlfn.XLOOKUP(DO$1,'Input Assumptions'!$C$34:$L$34,'Input Assumptions'!$C$36:$L$36)</f>
        <v>2121.8658203125005</v>
      </c>
      <c r="DP5" s="59">
        <f>$N$3*_xlfn.XLOOKUP(DP$1,'Input Assumptions'!$C$34:$L$34,'Input Assumptions'!$C$36:$L$36)</f>
        <v>2121.8658203125005</v>
      </c>
      <c r="DQ5" s="59">
        <f>$N$3*_xlfn.XLOOKUP(DQ$1,'Input Assumptions'!$C$34:$L$34,'Input Assumptions'!$C$36:$L$36)</f>
        <v>2121.8658203125005</v>
      </c>
      <c r="DR5" s="59">
        <f>$N$3*_xlfn.XLOOKUP(DR$1,'Input Assumptions'!$C$34:$L$34,'Input Assumptions'!$C$36:$L$36)</f>
        <v>2121.8658203125005</v>
      </c>
      <c r="DS5" s="59">
        <f>$N$3*_xlfn.XLOOKUP(DS$1,'Input Assumptions'!$C$34:$L$34,'Input Assumptions'!$C$36:$L$36)</f>
        <v>2201.4357885742193</v>
      </c>
      <c r="DT5" s="59">
        <f>$N$3*_xlfn.XLOOKUP(DT$1,'Input Assumptions'!$C$34:$L$34,'Input Assumptions'!$C$36:$L$36)</f>
        <v>2201.4357885742193</v>
      </c>
      <c r="DU5" s="59">
        <f>$N$3*_xlfn.XLOOKUP(DU$1,'Input Assumptions'!$C$34:$L$34,'Input Assumptions'!$C$36:$L$36)</f>
        <v>2201.4357885742193</v>
      </c>
      <c r="DV5" s="59">
        <f>$N$3*_xlfn.XLOOKUP(DV$1,'Input Assumptions'!$C$34:$L$34,'Input Assumptions'!$C$36:$L$36)</f>
        <v>2201.4357885742193</v>
      </c>
      <c r="DW5" s="59">
        <f>$N$3*_xlfn.XLOOKUP(DW$1,'Input Assumptions'!$C$34:$L$34,'Input Assumptions'!$C$36:$L$36)</f>
        <v>2201.4357885742193</v>
      </c>
      <c r="DX5" s="59">
        <f>$N$3*_xlfn.XLOOKUP(DX$1,'Input Assumptions'!$C$34:$L$34,'Input Assumptions'!$C$36:$L$36)</f>
        <v>2201.4357885742193</v>
      </c>
      <c r="DY5" s="59">
        <f>$N$3*_xlfn.XLOOKUP(DY$1,'Input Assumptions'!$C$34:$L$34,'Input Assumptions'!$C$36:$L$36)</f>
        <v>2201.4357885742193</v>
      </c>
      <c r="DZ5" s="59">
        <f>$N$3*_xlfn.XLOOKUP(DZ$1,'Input Assumptions'!$C$34:$L$34,'Input Assumptions'!$C$36:$L$36)</f>
        <v>2201.4357885742193</v>
      </c>
      <c r="EA5" s="59">
        <f>$N$3*_xlfn.XLOOKUP(EA$1,'Input Assumptions'!$C$34:$L$34,'Input Assumptions'!$C$36:$L$36)</f>
        <v>2201.4357885742193</v>
      </c>
      <c r="EB5" s="59">
        <f>$N$3*_xlfn.XLOOKUP(EB$1,'Input Assumptions'!$C$34:$L$34,'Input Assumptions'!$C$36:$L$36)</f>
        <v>2201.4357885742193</v>
      </c>
      <c r="EC5" s="59">
        <f>$N$3*_xlfn.XLOOKUP(EC$1,'Input Assumptions'!$C$34:$L$34,'Input Assumptions'!$C$36:$L$36)</f>
        <v>2201.4357885742193</v>
      </c>
    </row>
    <row r="6" spans="2:133" x14ac:dyDescent="0.3">
      <c r="B6" s="15">
        <v>1</v>
      </c>
      <c r="C6" s="16">
        <v>4</v>
      </c>
      <c r="D6" s="16" t="s">
        <v>10</v>
      </c>
      <c r="E6" s="16">
        <v>450</v>
      </c>
      <c r="F6" s="20">
        <f t="shared" si="108"/>
        <v>41.80640845790095</v>
      </c>
      <c r="G6" s="19" t="str">
        <f t="shared" si="109"/>
        <v>1</v>
      </c>
      <c r="H6" s="20">
        <f t="shared" si="112"/>
        <v>1</v>
      </c>
      <c r="I6" s="18">
        <f t="shared" si="110"/>
        <v>1710</v>
      </c>
      <c r="J6" s="18">
        <f t="shared" si="111"/>
        <v>1900</v>
      </c>
      <c r="K6" s="18">
        <f>(J6*'Input Assumptions'!$C$20)+I6*('Input Assumptions'!$C$21)</f>
        <v>1900</v>
      </c>
      <c r="L6" s="94"/>
      <c r="N6" s="59">
        <f t="shared" si="113"/>
        <v>1900</v>
      </c>
      <c r="O6" s="59">
        <f>$N$3*_xlfn.XLOOKUP(O$1,'Input Assumptions'!$C$34:$L$34,'Input Assumptions'!$C$36:$L$36)</f>
        <v>1900</v>
      </c>
      <c r="P6" s="59">
        <f>$N$3*_xlfn.XLOOKUP(P$1,'Input Assumptions'!$C$34:$L$34,'Input Assumptions'!$C$36:$L$36)</f>
        <v>1900</v>
      </c>
      <c r="Q6" s="59">
        <f>$N$3*_xlfn.XLOOKUP(Q$1,'Input Assumptions'!$C$34:$L$34,'Input Assumptions'!$C$36:$L$36)</f>
        <v>1900</v>
      </c>
      <c r="R6" s="59">
        <f>$N$3*_xlfn.XLOOKUP(R$1,'Input Assumptions'!$C$34:$L$34,'Input Assumptions'!$C$36:$L$36)</f>
        <v>1900</v>
      </c>
      <c r="S6" s="59">
        <f>$N$3*_xlfn.XLOOKUP(S$1,'Input Assumptions'!$C$34:$L$34,'Input Assumptions'!$C$36:$L$36)</f>
        <v>1900</v>
      </c>
      <c r="T6" s="59">
        <f>$N$3*_xlfn.XLOOKUP(T$1,'Input Assumptions'!$C$34:$L$34,'Input Assumptions'!$C$36:$L$36)</f>
        <v>1900</v>
      </c>
      <c r="U6" s="59">
        <f>$N$3*_xlfn.XLOOKUP(U$1,'Input Assumptions'!$C$34:$L$34,'Input Assumptions'!$C$36:$L$36)</f>
        <v>1900</v>
      </c>
      <c r="V6" s="59">
        <f>$N$3*_xlfn.XLOOKUP(V$1,'Input Assumptions'!$C$34:$L$34,'Input Assumptions'!$C$36:$L$36)</f>
        <v>1900</v>
      </c>
      <c r="W6" s="59">
        <f>$N$3*_xlfn.XLOOKUP(W$1,'Input Assumptions'!$C$34:$L$34,'Input Assumptions'!$C$36:$L$36)</f>
        <v>1900</v>
      </c>
      <c r="X6" s="59">
        <f>$N$3*_xlfn.XLOOKUP(X$1,'Input Assumptions'!$C$34:$L$34,'Input Assumptions'!$C$36:$L$36)</f>
        <v>1900</v>
      </c>
      <c r="Y6" s="59">
        <f>$N$3*_xlfn.XLOOKUP(Y$1,'Input Assumptions'!$C$34:$L$34,'Input Assumptions'!$C$36:$L$36)</f>
        <v>1900</v>
      </c>
      <c r="Z6" s="59">
        <f>$N$3*_xlfn.XLOOKUP(Z$1,'Input Assumptions'!$C$34:$L$34,'Input Assumptions'!$C$36:$L$36)</f>
        <v>1971.2500000000002</v>
      </c>
      <c r="AA6" s="59">
        <f>$N$3*_xlfn.XLOOKUP(AA$1,'Input Assumptions'!$C$34:$L$34,'Input Assumptions'!$C$36:$L$36)</f>
        <v>1971.2500000000002</v>
      </c>
      <c r="AB6" s="59">
        <f>$N$3*_xlfn.XLOOKUP(AB$1,'Input Assumptions'!$C$34:$L$34,'Input Assumptions'!$C$36:$L$36)</f>
        <v>1971.2500000000002</v>
      </c>
      <c r="AC6" s="59">
        <f>$N$3*_xlfn.XLOOKUP(AC$1,'Input Assumptions'!$C$34:$L$34,'Input Assumptions'!$C$36:$L$36)</f>
        <v>1971.2500000000002</v>
      </c>
      <c r="AD6" s="59">
        <f>$N$3*_xlfn.XLOOKUP(AD$1,'Input Assumptions'!$C$34:$L$34,'Input Assumptions'!$C$36:$L$36)</f>
        <v>1971.2500000000002</v>
      </c>
      <c r="AE6" s="59">
        <f>$N$3*_xlfn.XLOOKUP(AE$1,'Input Assumptions'!$C$34:$L$34,'Input Assumptions'!$C$36:$L$36)</f>
        <v>1971.2500000000002</v>
      </c>
      <c r="AF6" s="59">
        <f>$N$3*_xlfn.XLOOKUP(AF$1,'Input Assumptions'!$C$34:$L$34,'Input Assumptions'!$C$36:$L$36)</f>
        <v>1971.2500000000002</v>
      </c>
      <c r="AG6" s="59">
        <f>$N$3*_xlfn.XLOOKUP(AG$1,'Input Assumptions'!$C$34:$L$34,'Input Assumptions'!$C$36:$L$36)</f>
        <v>1971.2500000000002</v>
      </c>
      <c r="AH6" s="59">
        <f>$N$3*_xlfn.XLOOKUP(AH$1,'Input Assumptions'!$C$34:$L$34,'Input Assumptions'!$C$36:$L$36)</f>
        <v>1971.2500000000002</v>
      </c>
      <c r="AI6" s="59">
        <f>$N$3*_xlfn.XLOOKUP(AI$1,'Input Assumptions'!$C$34:$L$34,'Input Assumptions'!$C$36:$L$36)</f>
        <v>1971.2500000000002</v>
      </c>
      <c r="AJ6" s="59">
        <f>$N$3*_xlfn.XLOOKUP(AJ$1,'Input Assumptions'!$C$34:$L$34,'Input Assumptions'!$C$36:$L$36)</f>
        <v>1971.2500000000002</v>
      </c>
      <c r="AK6" s="59">
        <f>$N$3*_xlfn.XLOOKUP(AK$1,'Input Assumptions'!$C$34:$L$34,'Input Assumptions'!$C$36:$L$36)</f>
        <v>1971.2500000000002</v>
      </c>
      <c r="AL6" s="59">
        <f>$N$3*_xlfn.XLOOKUP(AL$1,'Input Assumptions'!$C$34:$L$34,'Input Assumptions'!$C$36:$L$36)</f>
        <v>2045.1718750000005</v>
      </c>
      <c r="AM6" s="59">
        <f>$N$3*_xlfn.XLOOKUP(AM$1,'Input Assumptions'!$C$34:$L$34,'Input Assumptions'!$C$36:$L$36)</f>
        <v>2045.1718750000005</v>
      </c>
      <c r="AN6" s="59">
        <f>$N$3*_xlfn.XLOOKUP(AN$1,'Input Assumptions'!$C$34:$L$34,'Input Assumptions'!$C$36:$L$36)</f>
        <v>2045.1718750000005</v>
      </c>
      <c r="AO6" s="59">
        <f>$N$3*_xlfn.XLOOKUP(AO$1,'Input Assumptions'!$C$34:$L$34,'Input Assumptions'!$C$36:$L$36)</f>
        <v>2045.1718750000005</v>
      </c>
      <c r="AP6" s="59">
        <f>$N$3*_xlfn.XLOOKUP(AP$1,'Input Assumptions'!$C$34:$L$34,'Input Assumptions'!$C$36:$L$36)</f>
        <v>2045.1718750000005</v>
      </c>
      <c r="AQ6" s="59">
        <f>$N$3*_xlfn.XLOOKUP(AQ$1,'Input Assumptions'!$C$34:$L$34,'Input Assumptions'!$C$36:$L$36)</f>
        <v>2045.1718750000005</v>
      </c>
      <c r="AR6" s="59">
        <f>$N$3*_xlfn.XLOOKUP(AR$1,'Input Assumptions'!$C$34:$L$34,'Input Assumptions'!$C$36:$L$36)</f>
        <v>2045.1718750000005</v>
      </c>
      <c r="AS6" s="59">
        <f>$N$3*_xlfn.XLOOKUP(AS$1,'Input Assumptions'!$C$34:$L$34,'Input Assumptions'!$C$36:$L$36)</f>
        <v>2045.1718750000005</v>
      </c>
      <c r="AT6" s="59">
        <f>$N$3*_xlfn.XLOOKUP(AT$1,'Input Assumptions'!$C$34:$L$34,'Input Assumptions'!$C$36:$L$36)</f>
        <v>2045.1718750000005</v>
      </c>
      <c r="AU6" s="59">
        <f>$N$3*_xlfn.XLOOKUP(AU$1,'Input Assumptions'!$C$34:$L$34,'Input Assumptions'!$C$36:$L$36)</f>
        <v>2045.1718750000005</v>
      </c>
      <c r="AV6" s="59">
        <f>$N$3*_xlfn.XLOOKUP(AV$1,'Input Assumptions'!$C$34:$L$34,'Input Assumptions'!$C$36:$L$36)</f>
        <v>2045.1718750000005</v>
      </c>
      <c r="AW6" s="59">
        <f>$N$3*_xlfn.XLOOKUP(AW$1,'Input Assumptions'!$C$34:$L$34,'Input Assumptions'!$C$36:$L$36)</f>
        <v>2045.1718750000005</v>
      </c>
      <c r="AX6" s="59">
        <f>$N$3*_xlfn.XLOOKUP(AX$1,'Input Assumptions'!$C$34:$L$34,'Input Assumptions'!$C$36:$L$36)</f>
        <v>2121.8658203125005</v>
      </c>
      <c r="AY6" s="59">
        <f>$N$3*_xlfn.XLOOKUP(AY$1,'Input Assumptions'!$C$34:$L$34,'Input Assumptions'!$C$36:$L$36)</f>
        <v>2121.8658203125005</v>
      </c>
      <c r="AZ6" s="59">
        <f>$N$3*_xlfn.XLOOKUP(AZ$1,'Input Assumptions'!$C$34:$L$34,'Input Assumptions'!$C$36:$L$36)</f>
        <v>2121.8658203125005</v>
      </c>
      <c r="BA6" s="59">
        <f>$N$3*_xlfn.XLOOKUP(BA$1,'Input Assumptions'!$C$34:$L$34,'Input Assumptions'!$C$36:$L$36)</f>
        <v>2121.8658203125005</v>
      </c>
      <c r="BB6" s="59">
        <f>$N$3*_xlfn.XLOOKUP(BB$1,'Input Assumptions'!$C$34:$L$34,'Input Assumptions'!$C$36:$L$36)</f>
        <v>2121.8658203125005</v>
      </c>
      <c r="BC6" s="59">
        <f>$N$3*_xlfn.XLOOKUP(BC$1,'Input Assumptions'!$C$34:$L$34,'Input Assumptions'!$C$36:$L$36)</f>
        <v>2121.8658203125005</v>
      </c>
      <c r="BD6" s="59">
        <f>$N$3*_xlfn.XLOOKUP(BD$1,'Input Assumptions'!$C$34:$L$34,'Input Assumptions'!$C$36:$L$36)</f>
        <v>2121.8658203125005</v>
      </c>
      <c r="BE6" s="59">
        <f>$N$3*_xlfn.XLOOKUP(BE$1,'Input Assumptions'!$C$34:$L$34,'Input Assumptions'!$C$36:$L$36)</f>
        <v>2121.8658203125005</v>
      </c>
      <c r="BF6" s="59">
        <f>$N$3*_xlfn.XLOOKUP(BF$1,'Input Assumptions'!$C$34:$L$34,'Input Assumptions'!$C$36:$L$36)</f>
        <v>2121.8658203125005</v>
      </c>
      <c r="BG6" s="59">
        <f>$N$3*_xlfn.XLOOKUP(BG$1,'Input Assumptions'!$C$34:$L$34,'Input Assumptions'!$C$36:$L$36)</f>
        <v>2121.8658203125005</v>
      </c>
      <c r="BH6" s="59">
        <f>$N$3*_xlfn.XLOOKUP(BH$1,'Input Assumptions'!$C$34:$L$34,'Input Assumptions'!$C$36:$L$36)</f>
        <v>2121.8658203125005</v>
      </c>
      <c r="BI6" s="59">
        <f>$N$3*_xlfn.XLOOKUP(BI$1,'Input Assumptions'!$C$34:$L$34,'Input Assumptions'!$C$36:$L$36)</f>
        <v>2121.8658203125005</v>
      </c>
      <c r="BJ6" s="59">
        <f>$N$3*_xlfn.XLOOKUP(BJ$1,'Input Assumptions'!$C$34:$L$34,'Input Assumptions'!$C$36:$L$36)</f>
        <v>2201.4357885742193</v>
      </c>
      <c r="BK6" s="59">
        <f>$N$3*_xlfn.XLOOKUP(BK$1,'Input Assumptions'!$C$34:$L$34,'Input Assumptions'!$C$36:$L$36)</f>
        <v>2201.4357885742193</v>
      </c>
      <c r="BL6" s="59">
        <f>$N$3*_xlfn.XLOOKUP(BL$1,'Input Assumptions'!$C$34:$L$34,'Input Assumptions'!$C$36:$L$36)</f>
        <v>2201.4357885742193</v>
      </c>
      <c r="BM6" s="59">
        <f>$N$3*_xlfn.XLOOKUP(BM$1,'Input Assumptions'!$C$34:$L$34,'Input Assumptions'!$C$36:$L$36)</f>
        <v>2201.4357885742193</v>
      </c>
      <c r="BN6" s="59">
        <f>$N$3*_xlfn.XLOOKUP(BN$1,'Input Assumptions'!$C$34:$L$34,'Input Assumptions'!$C$36:$L$36)</f>
        <v>2201.4357885742193</v>
      </c>
      <c r="BO6" s="59">
        <f>$N$3*_xlfn.XLOOKUP(BO$1,'Input Assumptions'!$C$34:$L$34,'Input Assumptions'!$C$36:$L$36)</f>
        <v>2201.4357885742193</v>
      </c>
      <c r="BP6" s="59">
        <f>$N$3*_xlfn.XLOOKUP(BP$1,'Input Assumptions'!$C$34:$L$34,'Input Assumptions'!$C$36:$L$36)</f>
        <v>2201.4357885742193</v>
      </c>
      <c r="BQ6" s="59">
        <f>$N$3*_xlfn.XLOOKUP(BQ$1,'Input Assumptions'!$C$34:$L$34,'Input Assumptions'!$C$36:$L$36)</f>
        <v>2201.4357885742193</v>
      </c>
      <c r="BR6" s="59">
        <f>$N$3*_xlfn.XLOOKUP(BR$1,'Input Assumptions'!$C$34:$L$34,'Input Assumptions'!$C$36:$L$36)</f>
        <v>2201.4357885742193</v>
      </c>
      <c r="BS6" s="59">
        <f>$N$3*_xlfn.XLOOKUP(BS$1,'Input Assumptions'!$C$34:$L$34,'Input Assumptions'!$C$36:$L$36)</f>
        <v>2201.4357885742193</v>
      </c>
      <c r="BT6" s="59">
        <f>$N$3*_xlfn.XLOOKUP(BT$1,'Input Assumptions'!$C$34:$L$34,'Input Assumptions'!$C$36:$L$36)</f>
        <v>2201.4357885742193</v>
      </c>
      <c r="BU6" s="59">
        <f>$N$3*_xlfn.XLOOKUP(BU$1,'Input Assumptions'!$C$34:$L$34,'Input Assumptions'!$C$36:$L$36)</f>
        <v>2201.4357885742193</v>
      </c>
      <c r="BV6" s="59">
        <f>$N$3*_xlfn.XLOOKUP(BV$1,'Input Assumptions'!$C$34:$L$34,'Input Assumptions'!$C$36:$L$36)</f>
        <v>2283.9896306457531</v>
      </c>
      <c r="BW6" s="59">
        <f>$N$3*_xlfn.XLOOKUP(BW$1,'Input Assumptions'!$C$34:$L$34,'Input Assumptions'!$C$36:$L$36)</f>
        <v>1900</v>
      </c>
      <c r="BX6" s="59">
        <f>$N$3*_xlfn.XLOOKUP(BX$1,'Input Assumptions'!$C$34:$L$34,'Input Assumptions'!$C$36:$L$36)</f>
        <v>1900</v>
      </c>
      <c r="BY6" s="59">
        <f>$N$3*_xlfn.XLOOKUP(BY$1,'Input Assumptions'!$C$34:$L$34,'Input Assumptions'!$C$36:$L$36)</f>
        <v>1900</v>
      </c>
      <c r="BZ6" s="59">
        <f>$N$3*_xlfn.XLOOKUP(BZ$1,'Input Assumptions'!$C$34:$L$34,'Input Assumptions'!$C$36:$L$36)</f>
        <v>1900</v>
      </c>
      <c r="CA6" s="59">
        <f>$N$3*_xlfn.XLOOKUP(CA$1,'Input Assumptions'!$C$34:$L$34,'Input Assumptions'!$C$36:$L$36)</f>
        <v>1900</v>
      </c>
      <c r="CB6" s="59">
        <f>$N$3*_xlfn.XLOOKUP(CB$1,'Input Assumptions'!$C$34:$L$34,'Input Assumptions'!$C$36:$L$36)</f>
        <v>1900</v>
      </c>
      <c r="CC6" s="59">
        <f>$N$3*_xlfn.XLOOKUP(CC$1,'Input Assumptions'!$C$34:$L$34,'Input Assumptions'!$C$36:$L$36)</f>
        <v>1900</v>
      </c>
      <c r="CD6" s="59">
        <f>$N$3*_xlfn.XLOOKUP(CD$1,'Input Assumptions'!$C$34:$L$34,'Input Assumptions'!$C$36:$L$36)</f>
        <v>1900</v>
      </c>
      <c r="CE6" s="59">
        <f>$N$3*_xlfn.XLOOKUP(CE$1,'Input Assumptions'!$C$34:$L$34,'Input Assumptions'!$C$36:$L$36)</f>
        <v>1900</v>
      </c>
      <c r="CF6" s="59">
        <f>$N$3*_xlfn.XLOOKUP(CF$1,'Input Assumptions'!$C$34:$L$34,'Input Assumptions'!$C$36:$L$36)</f>
        <v>1900</v>
      </c>
      <c r="CG6" s="59">
        <f>$N$3*_xlfn.XLOOKUP(CG$1,'Input Assumptions'!$C$34:$L$34,'Input Assumptions'!$C$36:$L$36)</f>
        <v>1900</v>
      </c>
      <c r="CH6" s="59">
        <f>$N$3*_xlfn.XLOOKUP(CH$1,'Input Assumptions'!$C$34:$L$34,'Input Assumptions'!$C$36:$L$36)</f>
        <v>1900</v>
      </c>
      <c r="CI6" s="59">
        <f>$N$3*_xlfn.XLOOKUP(CI$1,'Input Assumptions'!$C$34:$L$34,'Input Assumptions'!$C$36:$L$36)</f>
        <v>1971.2500000000002</v>
      </c>
      <c r="CJ6" s="59">
        <f>$N$3*_xlfn.XLOOKUP(CJ$1,'Input Assumptions'!$C$34:$L$34,'Input Assumptions'!$C$36:$L$36)</f>
        <v>1971.2500000000002</v>
      </c>
      <c r="CK6" s="59">
        <f>$N$3*_xlfn.XLOOKUP(CK$1,'Input Assumptions'!$C$34:$L$34,'Input Assumptions'!$C$36:$L$36)</f>
        <v>1971.2500000000002</v>
      </c>
      <c r="CL6" s="59">
        <f>$N$3*_xlfn.XLOOKUP(CL$1,'Input Assumptions'!$C$34:$L$34,'Input Assumptions'!$C$36:$L$36)</f>
        <v>1971.2500000000002</v>
      </c>
      <c r="CM6" s="59">
        <f>$N$3*_xlfn.XLOOKUP(CM$1,'Input Assumptions'!$C$34:$L$34,'Input Assumptions'!$C$36:$L$36)</f>
        <v>1971.2500000000002</v>
      </c>
      <c r="CN6" s="59">
        <f>$N$3*_xlfn.XLOOKUP(CN$1,'Input Assumptions'!$C$34:$L$34,'Input Assumptions'!$C$36:$L$36)</f>
        <v>1971.2500000000002</v>
      </c>
      <c r="CO6" s="59">
        <f>$N$3*_xlfn.XLOOKUP(CO$1,'Input Assumptions'!$C$34:$L$34,'Input Assumptions'!$C$36:$L$36)</f>
        <v>1971.2500000000002</v>
      </c>
      <c r="CP6" s="59">
        <f>$N$3*_xlfn.XLOOKUP(CP$1,'Input Assumptions'!$C$34:$L$34,'Input Assumptions'!$C$36:$L$36)</f>
        <v>1971.2500000000002</v>
      </c>
      <c r="CQ6" s="59">
        <f>$N$3*_xlfn.XLOOKUP(CQ$1,'Input Assumptions'!$C$34:$L$34,'Input Assumptions'!$C$36:$L$36)</f>
        <v>1971.2500000000002</v>
      </c>
      <c r="CR6" s="59">
        <f>$N$3*_xlfn.XLOOKUP(CR$1,'Input Assumptions'!$C$34:$L$34,'Input Assumptions'!$C$36:$L$36)</f>
        <v>1971.2500000000002</v>
      </c>
      <c r="CS6" s="59">
        <f>$N$3*_xlfn.XLOOKUP(CS$1,'Input Assumptions'!$C$34:$L$34,'Input Assumptions'!$C$36:$L$36)</f>
        <v>1971.2500000000002</v>
      </c>
      <c r="CT6" s="59">
        <f>$N$3*_xlfn.XLOOKUP(CT$1,'Input Assumptions'!$C$34:$L$34,'Input Assumptions'!$C$36:$L$36)</f>
        <v>1971.2500000000002</v>
      </c>
      <c r="CU6" s="59">
        <f>$N$3*_xlfn.XLOOKUP(CU$1,'Input Assumptions'!$C$34:$L$34,'Input Assumptions'!$C$36:$L$36)</f>
        <v>2045.1718750000005</v>
      </c>
      <c r="CV6" s="59">
        <f>$N$3*_xlfn.XLOOKUP(CV$1,'Input Assumptions'!$C$34:$L$34,'Input Assumptions'!$C$36:$L$36)</f>
        <v>2045.1718750000005</v>
      </c>
      <c r="CW6" s="59">
        <f>$N$3*_xlfn.XLOOKUP(CW$1,'Input Assumptions'!$C$34:$L$34,'Input Assumptions'!$C$36:$L$36)</f>
        <v>2045.1718750000005</v>
      </c>
      <c r="CX6" s="59">
        <f>$N$3*_xlfn.XLOOKUP(CX$1,'Input Assumptions'!$C$34:$L$34,'Input Assumptions'!$C$36:$L$36)</f>
        <v>2045.1718750000005</v>
      </c>
      <c r="CY6" s="59">
        <f>$N$3*_xlfn.XLOOKUP(CY$1,'Input Assumptions'!$C$34:$L$34,'Input Assumptions'!$C$36:$L$36)</f>
        <v>2045.1718750000005</v>
      </c>
      <c r="CZ6" s="59">
        <f>$N$3*_xlfn.XLOOKUP(CZ$1,'Input Assumptions'!$C$34:$L$34,'Input Assumptions'!$C$36:$L$36)</f>
        <v>2045.1718750000005</v>
      </c>
      <c r="DA6" s="59">
        <f>$N$3*_xlfn.XLOOKUP(DA$1,'Input Assumptions'!$C$34:$L$34,'Input Assumptions'!$C$36:$L$36)</f>
        <v>2045.1718750000005</v>
      </c>
      <c r="DB6" s="59">
        <f>$N$3*_xlfn.XLOOKUP(DB$1,'Input Assumptions'!$C$34:$L$34,'Input Assumptions'!$C$36:$L$36)</f>
        <v>2045.1718750000005</v>
      </c>
      <c r="DC6" s="59">
        <f>$N$3*_xlfn.XLOOKUP(DC$1,'Input Assumptions'!$C$34:$L$34,'Input Assumptions'!$C$36:$L$36)</f>
        <v>2045.1718750000005</v>
      </c>
      <c r="DD6" s="59">
        <f>$N$3*_xlfn.XLOOKUP(DD$1,'Input Assumptions'!$C$34:$L$34,'Input Assumptions'!$C$36:$L$36)</f>
        <v>2045.1718750000005</v>
      </c>
      <c r="DE6" s="59">
        <f>$N$3*_xlfn.XLOOKUP(DE$1,'Input Assumptions'!$C$34:$L$34,'Input Assumptions'!$C$36:$L$36)</f>
        <v>2045.1718750000005</v>
      </c>
      <c r="DF6" s="59">
        <f>$N$3*_xlfn.XLOOKUP(DF$1,'Input Assumptions'!$C$34:$L$34,'Input Assumptions'!$C$36:$L$36)</f>
        <v>2045.1718750000005</v>
      </c>
      <c r="DG6" s="59">
        <f>$N$3*_xlfn.XLOOKUP(DG$1,'Input Assumptions'!$C$34:$L$34,'Input Assumptions'!$C$36:$L$36)</f>
        <v>2121.8658203125005</v>
      </c>
      <c r="DH6" s="59">
        <f>$N$3*_xlfn.XLOOKUP(DH$1,'Input Assumptions'!$C$34:$L$34,'Input Assumptions'!$C$36:$L$36)</f>
        <v>2121.8658203125005</v>
      </c>
      <c r="DI6" s="59">
        <f>$N$3*_xlfn.XLOOKUP(DI$1,'Input Assumptions'!$C$34:$L$34,'Input Assumptions'!$C$36:$L$36)</f>
        <v>2121.8658203125005</v>
      </c>
      <c r="DJ6" s="59">
        <f>$N$3*_xlfn.XLOOKUP(DJ$1,'Input Assumptions'!$C$34:$L$34,'Input Assumptions'!$C$36:$L$36)</f>
        <v>2121.8658203125005</v>
      </c>
      <c r="DK6" s="59">
        <f>$N$3*_xlfn.XLOOKUP(DK$1,'Input Assumptions'!$C$34:$L$34,'Input Assumptions'!$C$36:$L$36)</f>
        <v>2121.8658203125005</v>
      </c>
      <c r="DL6" s="59">
        <f>$N$3*_xlfn.XLOOKUP(DL$1,'Input Assumptions'!$C$34:$L$34,'Input Assumptions'!$C$36:$L$36)</f>
        <v>2121.8658203125005</v>
      </c>
      <c r="DM6" s="59">
        <f>$N$3*_xlfn.XLOOKUP(DM$1,'Input Assumptions'!$C$34:$L$34,'Input Assumptions'!$C$36:$L$36)</f>
        <v>2121.8658203125005</v>
      </c>
      <c r="DN6" s="59">
        <f>$N$3*_xlfn.XLOOKUP(DN$1,'Input Assumptions'!$C$34:$L$34,'Input Assumptions'!$C$36:$L$36)</f>
        <v>2121.8658203125005</v>
      </c>
      <c r="DO6" s="59">
        <f>$N$3*_xlfn.XLOOKUP(DO$1,'Input Assumptions'!$C$34:$L$34,'Input Assumptions'!$C$36:$L$36)</f>
        <v>2121.8658203125005</v>
      </c>
      <c r="DP6" s="59">
        <f>$N$3*_xlfn.XLOOKUP(DP$1,'Input Assumptions'!$C$34:$L$34,'Input Assumptions'!$C$36:$L$36)</f>
        <v>2121.8658203125005</v>
      </c>
      <c r="DQ6" s="59">
        <f>$N$3*_xlfn.XLOOKUP(DQ$1,'Input Assumptions'!$C$34:$L$34,'Input Assumptions'!$C$36:$L$36)</f>
        <v>2121.8658203125005</v>
      </c>
      <c r="DR6" s="59">
        <f>$N$3*_xlfn.XLOOKUP(DR$1,'Input Assumptions'!$C$34:$L$34,'Input Assumptions'!$C$36:$L$36)</f>
        <v>2121.8658203125005</v>
      </c>
      <c r="DS6" s="59">
        <f>$N$3*_xlfn.XLOOKUP(DS$1,'Input Assumptions'!$C$34:$L$34,'Input Assumptions'!$C$36:$L$36)</f>
        <v>2201.4357885742193</v>
      </c>
      <c r="DT6" s="59">
        <f>$N$3*_xlfn.XLOOKUP(DT$1,'Input Assumptions'!$C$34:$L$34,'Input Assumptions'!$C$36:$L$36)</f>
        <v>2201.4357885742193</v>
      </c>
      <c r="DU6" s="59">
        <f>$N$3*_xlfn.XLOOKUP(DU$1,'Input Assumptions'!$C$34:$L$34,'Input Assumptions'!$C$36:$L$36)</f>
        <v>2201.4357885742193</v>
      </c>
      <c r="DV6" s="59">
        <f>$N$3*_xlfn.XLOOKUP(DV$1,'Input Assumptions'!$C$34:$L$34,'Input Assumptions'!$C$36:$L$36)</f>
        <v>2201.4357885742193</v>
      </c>
      <c r="DW6" s="59">
        <f>$N$3*_xlfn.XLOOKUP(DW$1,'Input Assumptions'!$C$34:$L$34,'Input Assumptions'!$C$36:$L$36)</f>
        <v>2201.4357885742193</v>
      </c>
      <c r="DX6" s="59">
        <f>$N$3*_xlfn.XLOOKUP(DX$1,'Input Assumptions'!$C$34:$L$34,'Input Assumptions'!$C$36:$L$36)</f>
        <v>2201.4357885742193</v>
      </c>
      <c r="DY6" s="59">
        <f>$N$3*_xlfn.XLOOKUP(DY$1,'Input Assumptions'!$C$34:$L$34,'Input Assumptions'!$C$36:$L$36)</f>
        <v>2201.4357885742193</v>
      </c>
      <c r="DZ6" s="59">
        <f>$N$3*_xlfn.XLOOKUP(DZ$1,'Input Assumptions'!$C$34:$L$34,'Input Assumptions'!$C$36:$L$36)</f>
        <v>2201.4357885742193</v>
      </c>
      <c r="EA6" s="59">
        <f>$N$3*_xlfn.XLOOKUP(EA$1,'Input Assumptions'!$C$34:$L$34,'Input Assumptions'!$C$36:$L$36)</f>
        <v>2201.4357885742193</v>
      </c>
      <c r="EB6" s="59">
        <f>$N$3*_xlfn.XLOOKUP(EB$1,'Input Assumptions'!$C$34:$L$34,'Input Assumptions'!$C$36:$L$36)</f>
        <v>2201.4357885742193</v>
      </c>
      <c r="EC6" s="59">
        <f>$N$3*_xlfn.XLOOKUP(EC$1,'Input Assumptions'!$C$34:$L$34,'Input Assumptions'!$C$36:$L$36)</f>
        <v>2201.4357885742193</v>
      </c>
    </row>
    <row r="7" spans="2:133" x14ac:dyDescent="0.3">
      <c r="B7" s="15">
        <v>1</v>
      </c>
      <c r="C7" s="16">
        <v>5</v>
      </c>
      <c r="D7" s="16" t="s">
        <v>10</v>
      </c>
      <c r="E7" s="16">
        <v>450</v>
      </c>
      <c r="F7" s="20">
        <f t="shared" si="108"/>
        <v>41.80640845790095</v>
      </c>
      <c r="G7" s="19" t="str">
        <f t="shared" si="109"/>
        <v>1</v>
      </c>
      <c r="H7" s="20">
        <f t="shared" si="112"/>
        <v>1</v>
      </c>
      <c r="I7" s="18">
        <f t="shared" si="110"/>
        <v>1710</v>
      </c>
      <c r="J7" s="18">
        <f t="shared" si="111"/>
        <v>1900</v>
      </c>
      <c r="K7" s="18">
        <f>(J7*'Input Assumptions'!$C$20)+I7*('Input Assumptions'!$C$21)</f>
        <v>1900</v>
      </c>
      <c r="L7" s="94"/>
      <c r="N7" s="59">
        <f t="shared" si="113"/>
        <v>1900</v>
      </c>
      <c r="O7" s="59">
        <f>$N$3*_xlfn.XLOOKUP(O$1,'Input Assumptions'!$C$34:$L$34,'Input Assumptions'!$C$36:$L$36)</f>
        <v>1900</v>
      </c>
      <c r="P7" s="59">
        <f>$N$3*_xlfn.XLOOKUP(P$1,'Input Assumptions'!$C$34:$L$34,'Input Assumptions'!$C$36:$L$36)</f>
        <v>1900</v>
      </c>
      <c r="Q7" s="59">
        <f>$N$3*_xlfn.XLOOKUP(Q$1,'Input Assumptions'!$C$34:$L$34,'Input Assumptions'!$C$36:$L$36)</f>
        <v>1900</v>
      </c>
      <c r="R7" s="59">
        <f>$N$3*_xlfn.XLOOKUP(R$1,'Input Assumptions'!$C$34:$L$34,'Input Assumptions'!$C$36:$L$36)</f>
        <v>1900</v>
      </c>
      <c r="S7" s="59">
        <f>$N$3*_xlfn.XLOOKUP(S$1,'Input Assumptions'!$C$34:$L$34,'Input Assumptions'!$C$36:$L$36)</f>
        <v>1900</v>
      </c>
      <c r="T7" s="59">
        <f>$N$3*_xlfn.XLOOKUP(T$1,'Input Assumptions'!$C$34:$L$34,'Input Assumptions'!$C$36:$L$36)</f>
        <v>1900</v>
      </c>
      <c r="U7" s="59">
        <f>$N$3*_xlfn.XLOOKUP(U$1,'Input Assumptions'!$C$34:$L$34,'Input Assumptions'!$C$36:$L$36)</f>
        <v>1900</v>
      </c>
      <c r="V7" s="59">
        <f>$N$3*_xlfn.XLOOKUP(V$1,'Input Assumptions'!$C$34:$L$34,'Input Assumptions'!$C$36:$L$36)</f>
        <v>1900</v>
      </c>
      <c r="W7" s="59">
        <f>$N$3*_xlfn.XLOOKUP(W$1,'Input Assumptions'!$C$34:$L$34,'Input Assumptions'!$C$36:$L$36)</f>
        <v>1900</v>
      </c>
      <c r="X7" s="59">
        <f>$N$3*_xlfn.XLOOKUP(X$1,'Input Assumptions'!$C$34:$L$34,'Input Assumptions'!$C$36:$L$36)</f>
        <v>1900</v>
      </c>
      <c r="Y7" s="59">
        <f>$N$3*_xlfn.XLOOKUP(Y$1,'Input Assumptions'!$C$34:$L$34,'Input Assumptions'!$C$36:$L$36)</f>
        <v>1900</v>
      </c>
      <c r="Z7" s="59">
        <f>$N$3*_xlfn.XLOOKUP(Z$1,'Input Assumptions'!$C$34:$L$34,'Input Assumptions'!$C$36:$L$36)</f>
        <v>1971.2500000000002</v>
      </c>
      <c r="AA7" s="59">
        <f>$N$3*_xlfn.XLOOKUP(AA$1,'Input Assumptions'!$C$34:$L$34,'Input Assumptions'!$C$36:$L$36)</f>
        <v>1971.2500000000002</v>
      </c>
      <c r="AB7" s="59">
        <f>$N$3*_xlfn.XLOOKUP(AB$1,'Input Assumptions'!$C$34:$L$34,'Input Assumptions'!$C$36:$L$36)</f>
        <v>1971.2500000000002</v>
      </c>
      <c r="AC7" s="59">
        <f>$N$3*_xlfn.XLOOKUP(AC$1,'Input Assumptions'!$C$34:$L$34,'Input Assumptions'!$C$36:$L$36)</f>
        <v>1971.2500000000002</v>
      </c>
      <c r="AD7" s="59">
        <f>$N$3*_xlfn.XLOOKUP(AD$1,'Input Assumptions'!$C$34:$L$34,'Input Assumptions'!$C$36:$L$36)</f>
        <v>1971.2500000000002</v>
      </c>
      <c r="AE7" s="59">
        <f>$N$3*_xlfn.XLOOKUP(AE$1,'Input Assumptions'!$C$34:$L$34,'Input Assumptions'!$C$36:$L$36)</f>
        <v>1971.2500000000002</v>
      </c>
      <c r="AF7" s="59">
        <f>$N$3*_xlfn.XLOOKUP(AF$1,'Input Assumptions'!$C$34:$L$34,'Input Assumptions'!$C$36:$L$36)</f>
        <v>1971.2500000000002</v>
      </c>
      <c r="AG7" s="59">
        <f>$N$3*_xlfn.XLOOKUP(AG$1,'Input Assumptions'!$C$34:$L$34,'Input Assumptions'!$C$36:$L$36)</f>
        <v>1971.2500000000002</v>
      </c>
      <c r="AH7" s="59">
        <f>$N$3*_xlfn.XLOOKUP(AH$1,'Input Assumptions'!$C$34:$L$34,'Input Assumptions'!$C$36:$L$36)</f>
        <v>1971.2500000000002</v>
      </c>
      <c r="AI7" s="59">
        <f>$N$3*_xlfn.XLOOKUP(AI$1,'Input Assumptions'!$C$34:$L$34,'Input Assumptions'!$C$36:$L$36)</f>
        <v>1971.2500000000002</v>
      </c>
      <c r="AJ7" s="59">
        <f>$N$3*_xlfn.XLOOKUP(AJ$1,'Input Assumptions'!$C$34:$L$34,'Input Assumptions'!$C$36:$L$36)</f>
        <v>1971.2500000000002</v>
      </c>
      <c r="AK7" s="59">
        <f>$N$3*_xlfn.XLOOKUP(AK$1,'Input Assumptions'!$C$34:$L$34,'Input Assumptions'!$C$36:$L$36)</f>
        <v>1971.2500000000002</v>
      </c>
      <c r="AL7" s="59">
        <f>$N$3*_xlfn.XLOOKUP(AL$1,'Input Assumptions'!$C$34:$L$34,'Input Assumptions'!$C$36:$L$36)</f>
        <v>2045.1718750000005</v>
      </c>
      <c r="AM7" s="59">
        <f>$N$3*_xlfn.XLOOKUP(AM$1,'Input Assumptions'!$C$34:$L$34,'Input Assumptions'!$C$36:$L$36)</f>
        <v>2045.1718750000005</v>
      </c>
      <c r="AN7" s="59">
        <f>$N$3*_xlfn.XLOOKUP(AN$1,'Input Assumptions'!$C$34:$L$34,'Input Assumptions'!$C$36:$L$36)</f>
        <v>2045.1718750000005</v>
      </c>
      <c r="AO7" s="59">
        <f>$N$3*_xlfn.XLOOKUP(AO$1,'Input Assumptions'!$C$34:$L$34,'Input Assumptions'!$C$36:$L$36)</f>
        <v>2045.1718750000005</v>
      </c>
      <c r="AP7" s="59">
        <f>$N$3*_xlfn.XLOOKUP(AP$1,'Input Assumptions'!$C$34:$L$34,'Input Assumptions'!$C$36:$L$36)</f>
        <v>2045.1718750000005</v>
      </c>
      <c r="AQ7" s="59">
        <f>$N$3*_xlfn.XLOOKUP(AQ$1,'Input Assumptions'!$C$34:$L$34,'Input Assumptions'!$C$36:$L$36)</f>
        <v>2045.1718750000005</v>
      </c>
      <c r="AR7" s="59">
        <f>$N$3*_xlfn.XLOOKUP(AR$1,'Input Assumptions'!$C$34:$L$34,'Input Assumptions'!$C$36:$L$36)</f>
        <v>2045.1718750000005</v>
      </c>
      <c r="AS7" s="59">
        <f>$N$3*_xlfn.XLOOKUP(AS$1,'Input Assumptions'!$C$34:$L$34,'Input Assumptions'!$C$36:$L$36)</f>
        <v>2045.1718750000005</v>
      </c>
      <c r="AT7" s="59">
        <f>$N$3*_xlfn.XLOOKUP(AT$1,'Input Assumptions'!$C$34:$L$34,'Input Assumptions'!$C$36:$L$36)</f>
        <v>2045.1718750000005</v>
      </c>
      <c r="AU7" s="59">
        <f>$N$3*_xlfn.XLOOKUP(AU$1,'Input Assumptions'!$C$34:$L$34,'Input Assumptions'!$C$36:$L$36)</f>
        <v>2045.1718750000005</v>
      </c>
      <c r="AV7" s="59">
        <f>$N$3*_xlfn.XLOOKUP(AV$1,'Input Assumptions'!$C$34:$L$34,'Input Assumptions'!$C$36:$L$36)</f>
        <v>2045.1718750000005</v>
      </c>
      <c r="AW7" s="59">
        <f>$N$3*_xlfn.XLOOKUP(AW$1,'Input Assumptions'!$C$34:$L$34,'Input Assumptions'!$C$36:$L$36)</f>
        <v>2045.1718750000005</v>
      </c>
      <c r="AX7" s="59">
        <f>$N$3*_xlfn.XLOOKUP(AX$1,'Input Assumptions'!$C$34:$L$34,'Input Assumptions'!$C$36:$L$36)</f>
        <v>2121.8658203125005</v>
      </c>
      <c r="AY7" s="59">
        <f>$N$3*_xlfn.XLOOKUP(AY$1,'Input Assumptions'!$C$34:$L$34,'Input Assumptions'!$C$36:$L$36)</f>
        <v>2121.8658203125005</v>
      </c>
      <c r="AZ7" s="59">
        <f>$N$3*_xlfn.XLOOKUP(AZ$1,'Input Assumptions'!$C$34:$L$34,'Input Assumptions'!$C$36:$L$36)</f>
        <v>2121.8658203125005</v>
      </c>
      <c r="BA7" s="59">
        <f>$N$3*_xlfn.XLOOKUP(BA$1,'Input Assumptions'!$C$34:$L$34,'Input Assumptions'!$C$36:$L$36)</f>
        <v>2121.8658203125005</v>
      </c>
      <c r="BB7" s="59">
        <f>$N$3*_xlfn.XLOOKUP(BB$1,'Input Assumptions'!$C$34:$L$34,'Input Assumptions'!$C$36:$L$36)</f>
        <v>2121.8658203125005</v>
      </c>
      <c r="BC7" s="59">
        <f>$N$3*_xlfn.XLOOKUP(BC$1,'Input Assumptions'!$C$34:$L$34,'Input Assumptions'!$C$36:$L$36)</f>
        <v>2121.8658203125005</v>
      </c>
      <c r="BD7" s="59">
        <f>$N$3*_xlfn.XLOOKUP(BD$1,'Input Assumptions'!$C$34:$L$34,'Input Assumptions'!$C$36:$L$36)</f>
        <v>2121.8658203125005</v>
      </c>
      <c r="BE7" s="59">
        <f>$N$3*_xlfn.XLOOKUP(BE$1,'Input Assumptions'!$C$34:$L$34,'Input Assumptions'!$C$36:$L$36)</f>
        <v>2121.8658203125005</v>
      </c>
      <c r="BF7" s="59">
        <f>$N$3*_xlfn.XLOOKUP(BF$1,'Input Assumptions'!$C$34:$L$34,'Input Assumptions'!$C$36:$L$36)</f>
        <v>2121.8658203125005</v>
      </c>
      <c r="BG7" s="59">
        <f>$N$3*_xlfn.XLOOKUP(BG$1,'Input Assumptions'!$C$34:$L$34,'Input Assumptions'!$C$36:$L$36)</f>
        <v>2121.8658203125005</v>
      </c>
      <c r="BH7" s="59">
        <f>$N$3*_xlfn.XLOOKUP(BH$1,'Input Assumptions'!$C$34:$L$34,'Input Assumptions'!$C$36:$L$36)</f>
        <v>2121.8658203125005</v>
      </c>
      <c r="BI7" s="59">
        <f>$N$3*_xlfn.XLOOKUP(BI$1,'Input Assumptions'!$C$34:$L$34,'Input Assumptions'!$C$36:$L$36)</f>
        <v>2121.8658203125005</v>
      </c>
      <c r="BJ7" s="59">
        <f>$N$3*_xlfn.XLOOKUP(BJ$1,'Input Assumptions'!$C$34:$L$34,'Input Assumptions'!$C$36:$L$36)</f>
        <v>2201.4357885742193</v>
      </c>
      <c r="BK7" s="59">
        <f>$N$3*_xlfn.XLOOKUP(BK$1,'Input Assumptions'!$C$34:$L$34,'Input Assumptions'!$C$36:$L$36)</f>
        <v>2201.4357885742193</v>
      </c>
      <c r="BL7" s="59">
        <f>$N$3*_xlfn.XLOOKUP(BL$1,'Input Assumptions'!$C$34:$L$34,'Input Assumptions'!$C$36:$L$36)</f>
        <v>2201.4357885742193</v>
      </c>
      <c r="BM7" s="59">
        <f>$N$3*_xlfn.XLOOKUP(BM$1,'Input Assumptions'!$C$34:$L$34,'Input Assumptions'!$C$36:$L$36)</f>
        <v>2201.4357885742193</v>
      </c>
      <c r="BN7" s="59">
        <f>$N$3*_xlfn.XLOOKUP(BN$1,'Input Assumptions'!$C$34:$L$34,'Input Assumptions'!$C$36:$L$36)</f>
        <v>2201.4357885742193</v>
      </c>
      <c r="BO7" s="59">
        <f>$N$3*_xlfn.XLOOKUP(BO$1,'Input Assumptions'!$C$34:$L$34,'Input Assumptions'!$C$36:$L$36)</f>
        <v>2201.4357885742193</v>
      </c>
      <c r="BP7" s="59">
        <f>$N$3*_xlfn.XLOOKUP(BP$1,'Input Assumptions'!$C$34:$L$34,'Input Assumptions'!$C$36:$L$36)</f>
        <v>2201.4357885742193</v>
      </c>
      <c r="BQ7" s="59">
        <f>$N$3*_xlfn.XLOOKUP(BQ$1,'Input Assumptions'!$C$34:$L$34,'Input Assumptions'!$C$36:$L$36)</f>
        <v>2201.4357885742193</v>
      </c>
      <c r="BR7" s="59">
        <f>$N$3*_xlfn.XLOOKUP(BR$1,'Input Assumptions'!$C$34:$L$34,'Input Assumptions'!$C$36:$L$36)</f>
        <v>2201.4357885742193</v>
      </c>
      <c r="BS7" s="59">
        <f>$N$3*_xlfn.XLOOKUP(BS$1,'Input Assumptions'!$C$34:$L$34,'Input Assumptions'!$C$36:$L$36)</f>
        <v>2201.4357885742193</v>
      </c>
      <c r="BT7" s="59">
        <f>$N$3*_xlfn.XLOOKUP(BT$1,'Input Assumptions'!$C$34:$L$34,'Input Assumptions'!$C$36:$L$36)</f>
        <v>2201.4357885742193</v>
      </c>
      <c r="BU7" s="59">
        <f>$N$3*_xlfn.XLOOKUP(BU$1,'Input Assumptions'!$C$34:$L$34,'Input Assumptions'!$C$36:$L$36)</f>
        <v>2201.4357885742193</v>
      </c>
      <c r="BV7" s="59">
        <f>$N$3*_xlfn.XLOOKUP(BV$1,'Input Assumptions'!$C$34:$L$34,'Input Assumptions'!$C$36:$L$36)</f>
        <v>2283.9896306457531</v>
      </c>
      <c r="BW7" s="59">
        <f>$N$3*_xlfn.XLOOKUP(BW$1,'Input Assumptions'!$C$34:$L$34,'Input Assumptions'!$C$36:$L$36)</f>
        <v>1900</v>
      </c>
      <c r="BX7" s="59">
        <f>$N$3*_xlfn.XLOOKUP(BX$1,'Input Assumptions'!$C$34:$L$34,'Input Assumptions'!$C$36:$L$36)</f>
        <v>1900</v>
      </c>
      <c r="BY7" s="59">
        <f>$N$3*_xlfn.XLOOKUP(BY$1,'Input Assumptions'!$C$34:$L$34,'Input Assumptions'!$C$36:$L$36)</f>
        <v>1900</v>
      </c>
      <c r="BZ7" s="59">
        <f>$N$3*_xlfn.XLOOKUP(BZ$1,'Input Assumptions'!$C$34:$L$34,'Input Assumptions'!$C$36:$L$36)</f>
        <v>1900</v>
      </c>
      <c r="CA7" s="59">
        <f>$N$3*_xlfn.XLOOKUP(CA$1,'Input Assumptions'!$C$34:$L$34,'Input Assumptions'!$C$36:$L$36)</f>
        <v>1900</v>
      </c>
      <c r="CB7" s="59">
        <f>$N$3*_xlfn.XLOOKUP(CB$1,'Input Assumptions'!$C$34:$L$34,'Input Assumptions'!$C$36:$L$36)</f>
        <v>1900</v>
      </c>
      <c r="CC7" s="59">
        <f>$N$3*_xlfn.XLOOKUP(CC$1,'Input Assumptions'!$C$34:$L$34,'Input Assumptions'!$C$36:$L$36)</f>
        <v>1900</v>
      </c>
      <c r="CD7" s="59">
        <f>$N$3*_xlfn.XLOOKUP(CD$1,'Input Assumptions'!$C$34:$L$34,'Input Assumptions'!$C$36:$L$36)</f>
        <v>1900</v>
      </c>
      <c r="CE7" s="59">
        <f>$N$3*_xlfn.XLOOKUP(CE$1,'Input Assumptions'!$C$34:$L$34,'Input Assumptions'!$C$36:$L$36)</f>
        <v>1900</v>
      </c>
      <c r="CF7" s="59">
        <f>$N$3*_xlfn.XLOOKUP(CF$1,'Input Assumptions'!$C$34:$L$34,'Input Assumptions'!$C$36:$L$36)</f>
        <v>1900</v>
      </c>
      <c r="CG7" s="59">
        <f>$N$3*_xlfn.XLOOKUP(CG$1,'Input Assumptions'!$C$34:$L$34,'Input Assumptions'!$C$36:$L$36)</f>
        <v>1900</v>
      </c>
      <c r="CH7" s="59">
        <f>$N$3*_xlfn.XLOOKUP(CH$1,'Input Assumptions'!$C$34:$L$34,'Input Assumptions'!$C$36:$L$36)</f>
        <v>1900</v>
      </c>
      <c r="CI7" s="59">
        <f>$N$3*_xlfn.XLOOKUP(CI$1,'Input Assumptions'!$C$34:$L$34,'Input Assumptions'!$C$36:$L$36)</f>
        <v>1971.2500000000002</v>
      </c>
      <c r="CJ7" s="59">
        <f>$N$3*_xlfn.XLOOKUP(CJ$1,'Input Assumptions'!$C$34:$L$34,'Input Assumptions'!$C$36:$L$36)</f>
        <v>1971.2500000000002</v>
      </c>
      <c r="CK7" s="59">
        <f>$N$3*_xlfn.XLOOKUP(CK$1,'Input Assumptions'!$C$34:$L$34,'Input Assumptions'!$C$36:$L$36)</f>
        <v>1971.2500000000002</v>
      </c>
      <c r="CL7" s="59">
        <f>$N$3*_xlfn.XLOOKUP(CL$1,'Input Assumptions'!$C$34:$L$34,'Input Assumptions'!$C$36:$L$36)</f>
        <v>1971.2500000000002</v>
      </c>
      <c r="CM7" s="59">
        <f>$N$3*_xlfn.XLOOKUP(CM$1,'Input Assumptions'!$C$34:$L$34,'Input Assumptions'!$C$36:$L$36)</f>
        <v>1971.2500000000002</v>
      </c>
      <c r="CN7" s="59">
        <f>$N$3*_xlfn.XLOOKUP(CN$1,'Input Assumptions'!$C$34:$L$34,'Input Assumptions'!$C$36:$L$36)</f>
        <v>1971.2500000000002</v>
      </c>
      <c r="CO7" s="59">
        <f>$N$3*_xlfn.XLOOKUP(CO$1,'Input Assumptions'!$C$34:$L$34,'Input Assumptions'!$C$36:$L$36)</f>
        <v>1971.2500000000002</v>
      </c>
      <c r="CP7" s="59">
        <f>$N$3*_xlfn.XLOOKUP(CP$1,'Input Assumptions'!$C$34:$L$34,'Input Assumptions'!$C$36:$L$36)</f>
        <v>1971.2500000000002</v>
      </c>
      <c r="CQ7" s="59">
        <f>$N$3*_xlfn.XLOOKUP(CQ$1,'Input Assumptions'!$C$34:$L$34,'Input Assumptions'!$C$36:$L$36)</f>
        <v>1971.2500000000002</v>
      </c>
      <c r="CR7" s="59">
        <f>$N$3*_xlfn.XLOOKUP(CR$1,'Input Assumptions'!$C$34:$L$34,'Input Assumptions'!$C$36:$L$36)</f>
        <v>1971.2500000000002</v>
      </c>
      <c r="CS7" s="59">
        <f>$N$3*_xlfn.XLOOKUP(CS$1,'Input Assumptions'!$C$34:$L$34,'Input Assumptions'!$C$36:$L$36)</f>
        <v>1971.2500000000002</v>
      </c>
      <c r="CT7" s="59">
        <f>$N$3*_xlfn.XLOOKUP(CT$1,'Input Assumptions'!$C$34:$L$34,'Input Assumptions'!$C$36:$L$36)</f>
        <v>1971.2500000000002</v>
      </c>
      <c r="CU7" s="59">
        <f>$N$3*_xlfn.XLOOKUP(CU$1,'Input Assumptions'!$C$34:$L$34,'Input Assumptions'!$C$36:$L$36)</f>
        <v>2045.1718750000005</v>
      </c>
      <c r="CV7" s="59">
        <f>$N$3*_xlfn.XLOOKUP(CV$1,'Input Assumptions'!$C$34:$L$34,'Input Assumptions'!$C$36:$L$36)</f>
        <v>2045.1718750000005</v>
      </c>
      <c r="CW7" s="59">
        <f>$N$3*_xlfn.XLOOKUP(CW$1,'Input Assumptions'!$C$34:$L$34,'Input Assumptions'!$C$36:$L$36)</f>
        <v>2045.1718750000005</v>
      </c>
      <c r="CX7" s="59">
        <f>$N$3*_xlfn.XLOOKUP(CX$1,'Input Assumptions'!$C$34:$L$34,'Input Assumptions'!$C$36:$L$36)</f>
        <v>2045.1718750000005</v>
      </c>
      <c r="CY7" s="59">
        <f>$N$3*_xlfn.XLOOKUP(CY$1,'Input Assumptions'!$C$34:$L$34,'Input Assumptions'!$C$36:$L$36)</f>
        <v>2045.1718750000005</v>
      </c>
      <c r="CZ7" s="59">
        <f>$N$3*_xlfn.XLOOKUP(CZ$1,'Input Assumptions'!$C$34:$L$34,'Input Assumptions'!$C$36:$L$36)</f>
        <v>2045.1718750000005</v>
      </c>
      <c r="DA7" s="59">
        <f>$N$3*_xlfn.XLOOKUP(DA$1,'Input Assumptions'!$C$34:$L$34,'Input Assumptions'!$C$36:$L$36)</f>
        <v>2045.1718750000005</v>
      </c>
      <c r="DB7" s="59">
        <f>$N$3*_xlfn.XLOOKUP(DB$1,'Input Assumptions'!$C$34:$L$34,'Input Assumptions'!$C$36:$L$36)</f>
        <v>2045.1718750000005</v>
      </c>
      <c r="DC7" s="59">
        <f>$N$3*_xlfn.XLOOKUP(DC$1,'Input Assumptions'!$C$34:$L$34,'Input Assumptions'!$C$36:$L$36)</f>
        <v>2045.1718750000005</v>
      </c>
      <c r="DD7" s="59">
        <f>$N$3*_xlfn.XLOOKUP(DD$1,'Input Assumptions'!$C$34:$L$34,'Input Assumptions'!$C$36:$L$36)</f>
        <v>2045.1718750000005</v>
      </c>
      <c r="DE7" s="59">
        <f>$N$3*_xlfn.XLOOKUP(DE$1,'Input Assumptions'!$C$34:$L$34,'Input Assumptions'!$C$36:$L$36)</f>
        <v>2045.1718750000005</v>
      </c>
      <c r="DF7" s="59">
        <f>$N$3*_xlfn.XLOOKUP(DF$1,'Input Assumptions'!$C$34:$L$34,'Input Assumptions'!$C$36:$L$36)</f>
        <v>2045.1718750000005</v>
      </c>
      <c r="DG7" s="59">
        <f>$N$3*_xlfn.XLOOKUP(DG$1,'Input Assumptions'!$C$34:$L$34,'Input Assumptions'!$C$36:$L$36)</f>
        <v>2121.8658203125005</v>
      </c>
      <c r="DH7" s="59">
        <f>$N$3*_xlfn.XLOOKUP(DH$1,'Input Assumptions'!$C$34:$L$34,'Input Assumptions'!$C$36:$L$36)</f>
        <v>2121.8658203125005</v>
      </c>
      <c r="DI7" s="59">
        <f>$N$3*_xlfn.XLOOKUP(DI$1,'Input Assumptions'!$C$34:$L$34,'Input Assumptions'!$C$36:$L$36)</f>
        <v>2121.8658203125005</v>
      </c>
      <c r="DJ7" s="59">
        <f>$N$3*_xlfn.XLOOKUP(DJ$1,'Input Assumptions'!$C$34:$L$34,'Input Assumptions'!$C$36:$L$36)</f>
        <v>2121.8658203125005</v>
      </c>
      <c r="DK7" s="59">
        <f>$N$3*_xlfn.XLOOKUP(DK$1,'Input Assumptions'!$C$34:$L$34,'Input Assumptions'!$C$36:$L$36)</f>
        <v>2121.8658203125005</v>
      </c>
      <c r="DL7" s="59">
        <f>$N$3*_xlfn.XLOOKUP(DL$1,'Input Assumptions'!$C$34:$L$34,'Input Assumptions'!$C$36:$L$36)</f>
        <v>2121.8658203125005</v>
      </c>
      <c r="DM7" s="59">
        <f>$N$3*_xlfn.XLOOKUP(DM$1,'Input Assumptions'!$C$34:$L$34,'Input Assumptions'!$C$36:$L$36)</f>
        <v>2121.8658203125005</v>
      </c>
      <c r="DN7" s="59">
        <f>$N$3*_xlfn.XLOOKUP(DN$1,'Input Assumptions'!$C$34:$L$34,'Input Assumptions'!$C$36:$L$36)</f>
        <v>2121.8658203125005</v>
      </c>
      <c r="DO7" s="59">
        <f>$N$3*_xlfn.XLOOKUP(DO$1,'Input Assumptions'!$C$34:$L$34,'Input Assumptions'!$C$36:$L$36)</f>
        <v>2121.8658203125005</v>
      </c>
      <c r="DP7" s="59">
        <f>$N$3*_xlfn.XLOOKUP(DP$1,'Input Assumptions'!$C$34:$L$34,'Input Assumptions'!$C$36:$L$36)</f>
        <v>2121.8658203125005</v>
      </c>
      <c r="DQ7" s="59">
        <f>$N$3*_xlfn.XLOOKUP(DQ$1,'Input Assumptions'!$C$34:$L$34,'Input Assumptions'!$C$36:$L$36)</f>
        <v>2121.8658203125005</v>
      </c>
      <c r="DR7" s="59">
        <f>$N$3*_xlfn.XLOOKUP(DR$1,'Input Assumptions'!$C$34:$L$34,'Input Assumptions'!$C$36:$L$36)</f>
        <v>2121.8658203125005</v>
      </c>
      <c r="DS7" s="59">
        <f>$N$3*_xlfn.XLOOKUP(DS$1,'Input Assumptions'!$C$34:$L$34,'Input Assumptions'!$C$36:$L$36)</f>
        <v>2201.4357885742193</v>
      </c>
      <c r="DT7" s="59">
        <f>$N$3*_xlfn.XLOOKUP(DT$1,'Input Assumptions'!$C$34:$L$34,'Input Assumptions'!$C$36:$L$36)</f>
        <v>2201.4357885742193</v>
      </c>
      <c r="DU7" s="59">
        <f>$N$3*_xlfn.XLOOKUP(DU$1,'Input Assumptions'!$C$34:$L$34,'Input Assumptions'!$C$36:$L$36)</f>
        <v>2201.4357885742193</v>
      </c>
      <c r="DV7" s="59">
        <f>$N$3*_xlfn.XLOOKUP(DV$1,'Input Assumptions'!$C$34:$L$34,'Input Assumptions'!$C$36:$L$36)</f>
        <v>2201.4357885742193</v>
      </c>
      <c r="DW7" s="59">
        <f>$N$3*_xlfn.XLOOKUP(DW$1,'Input Assumptions'!$C$34:$L$34,'Input Assumptions'!$C$36:$L$36)</f>
        <v>2201.4357885742193</v>
      </c>
      <c r="DX7" s="59">
        <f>$N$3*_xlfn.XLOOKUP(DX$1,'Input Assumptions'!$C$34:$L$34,'Input Assumptions'!$C$36:$L$36)</f>
        <v>2201.4357885742193</v>
      </c>
      <c r="DY7" s="59">
        <f>$N$3*_xlfn.XLOOKUP(DY$1,'Input Assumptions'!$C$34:$L$34,'Input Assumptions'!$C$36:$L$36)</f>
        <v>2201.4357885742193</v>
      </c>
      <c r="DZ7" s="59">
        <f>$N$3*_xlfn.XLOOKUP(DZ$1,'Input Assumptions'!$C$34:$L$34,'Input Assumptions'!$C$36:$L$36)</f>
        <v>2201.4357885742193</v>
      </c>
      <c r="EA7" s="59">
        <f>$N$3*_xlfn.XLOOKUP(EA$1,'Input Assumptions'!$C$34:$L$34,'Input Assumptions'!$C$36:$L$36)</f>
        <v>2201.4357885742193</v>
      </c>
      <c r="EB7" s="59">
        <f>$N$3*_xlfn.XLOOKUP(EB$1,'Input Assumptions'!$C$34:$L$34,'Input Assumptions'!$C$36:$L$36)</f>
        <v>2201.4357885742193</v>
      </c>
      <c r="EC7" s="59">
        <f>$N$3*_xlfn.XLOOKUP(EC$1,'Input Assumptions'!$C$34:$L$34,'Input Assumptions'!$C$36:$L$36)</f>
        <v>2201.4357885742193</v>
      </c>
    </row>
    <row r="8" spans="2:133" x14ac:dyDescent="0.3">
      <c r="B8" s="15">
        <v>1</v>
      </c>
      <c r="C8" s="16">
        <v>6</v>
      </c>
      <c r="D8" s="16" t="s">
        <v>10</v>
      </c>
      <c r="E8" s="16">
        <v>450</v>
      </c>
      <c r="F8" s="20">
        <f t="shared" si="108"/>
        <v>41.80640845790095</v>
      </c>
      <c r="G8" s="19" t="str">
        <f t="shared" si="109"/>
        <v>1</v>
      </c>
      <c r="H8" s="20">
        <f t="shared" si="112"/>
        <v>1</v>
      </c>
      <c r="I8" s="18">
        <f t="shared" si="110"/>
        <v>1710</v>
      </c>
      <c r="J8" s="18">
        <f t="shared" si="111"/>
        <v>1900</v>
      </c>
      <c r="K8" s="18">
        <f>(J8*'Input Assumptions'!$C$20)+I8*('Input Assumptions'!$C$21)</f>
        <v>1900</v>
      </c>
      <c r="L8" s="94"/>
      <c r="N8" s="59">
        <f t="shared" si="113"/>
        <v>1900</v>
      </c>
      <c r="O8" s="59">
        <f>$N$3*_xlfn.XLOOKUP(O$1,'Input Assumptions'!$C$34:$L$34,'Input Assumptions'!$C$36:$L$36)</f>
        <v>1900</v>
      </c>
      <c r="P8" s="59">
        <f>$N$3*_xlfn.XLOOKUP(P$1,'Input Assumptions'!$C$34:$L$34,'Input Assumptions'!$C$36:$L$36)</f>
        <v>1900</v>
      </c>
      <c r="Q8" s="59">
        <f>$N$3*_xlfn.XLOOKUP(Q$1,'Input Assumptions'!$C$34:$L$34,'Input Assumptions'!$C$36:$L$36)</f>
        <v>1900</v>
      </c>
      <c r="R8" s="59">
        <f>$N$3*_xlfn.XLOOKUP(R$1,'Input Assumptions'!$C$34:$L$34,'Input Assumptions'!$C$36:$L$36)</f>
        <v>1900</v>
      </c>
      <c r="S8" s="59">
        <f>$N$3*_xlfn.XLOOKUP(S$1,'Input Assumptions'!$C$34:$L$34,'Input Assumptions'!$C$36:$L$36)</f>
        <v>1900</v>
      </c>
      <c r="T8" s="59">
        <f>$N$3*_xlfn.XLOOKUP(T$1,'Input Assumptions'!$C$34:$L$34,'Input Assumptions'!$C$36:$L$36)</f>
        <v>1900</v>
      </c>
      <c r="U8" s="59">
        <f>$N$3*_xlfn.XLOOKUP(U$1,'Input Assumptions'!$C$34:$L$34,'Input Assumptions'!$C$36:$L$36)</f>
        <v>1900</v>
      </c>
      <c r="V8" s="59">
        <f>$N$3*_xlfn.XLOOKUP(V$1,'Input Assumptions'!$C$34:$L$34,'Input Assumptions'!$C$36:$L$36)</f>
        <v>1900</v>
      </c>
      <c r="W8" s="59">
        <f>$N$3*_xlfn.XLOOKUP(W$1,'Input Assumptions'!$C$34:$L$34,'Input Assumptions'!$C$36:$L$36)</f>
        <v>1900</v>
      </c>
      <c r="X8" s="59">
        <f>$N$3*_xlfn.XLOOKUP(X$1,'Input Assumptions'!$C$34:$L$34,'Input Assumptions'!$C$36:$L$36)</f>
        <v>1900</v>
      </c>
      <c r="Y8" s="59">
        <f>$N$3*_xlfn.XLOOKUP(Y$1,'Input Assumptions'!$C$34:$L$34,'Input Assumptions'!$C$36:$L$36)</f>
        <v>1900</v>
      </c>
      <c r="Z8" s="59">
        <f>$N$3*_xlfn.XLOOKUP(Z$1,'Input Assumptions'!$C$34:$L$34,'Input Assumptions'!$C$36:$L$36)</f>
        <v>1971.2500000000002</v>
      </c>
      <c r="AA8" s="59">
        <f>$N$3*_xlfn.XLOOKUP(AA$1,'Input Assumptions'!$C$34:$L$34,'Input Assumptions'!$C$36:$L$36)</f>
        <v>1971.2500000000002</v>
      </c>
      <c r="AB8" s="59">
        <f>$N$3*_xlfn.XLOOKUP(AB$1,'Input Assumptions'!$C$34:$L$34,'Input Assumptions'!$C$36:$L$36)</f>
        <v>1971.2500000000002</v>
      </c>
      <c r="AC8" s="59">
        <f>$N$3*_xlfn.XLOOKUP(AC$1,'Input Assumptions'!$C$34:$L$34,'Input Assumptions'!$C$36:$L$36)</f>
        <v>1971.2500000000002</v>
      </c>
      <c r="AD8" s="59">
        <f>$N$3*_xlfn.XLOOKUP(AD$1,'Input Assumptions'!$C$34:$L$34,'Input Assumptions'!$C$36:$L$36)</f>
        <v>1971.2500000000002</v>
      </c>
      <c r="AE8" s="59">
        <f>$N$3*_xlfn.XLOOKUP(AE$1,'Input Assumptions'!$C$34:$L$34,'Input Assumptions'!$C$36:$L$36)</f>
        <v>1971.2500000000002</v>
      </c>
      <c r="AF8" s="59">
        <f>$N$3*_xlfn.XLOOKUP(AF$1,'Input Assumptions'!$C$34:$L$34,'Input Assumptions'!$C$36:$L$36)</f>
        <v>1971.2500000000002</v>
      </c>
      <c r="AG8" s="59">
        <f>$N$3*_xlfn.XLOOKUP(AG$1,'Input Assumptions'!$C$34:$L$34,'Input Assumptions'!$C$36:$L$36)</f>
        <v>1971.2500000000002</v>
      </c>
      <c r="AH8" s="59">
        <f>$N$3*_xlfn.XLOOKUP(AH$1,'Input Assumptions'!$C$34:$L$34,'Input Assumptions'!$C$36:$L$36)</f>
        <v>1971.2500000000002</v>
      </c>
      <c r="AI8" s="59">
        <f>$N$3*_xlfn.XLOOKUP(AI$1,'Input Assumptions'!$C$34:$L$34,'Input Assumptions'!$C$36:$L$36)</f>
        <v>1971.2500000000002</v>
      </c>
      <c r="AJ8" s="59">
        <f>$N$3*_xlfn.XLOOKUP(AJ$1,'Input Assumptions'!$C$34:$L$34,'Input Assumptions'!$C$36:$L$36)</f>
        <v>1971.2500000000002</v>
      </c>
      <c r="AK8" s="59">
        <f>$N$3*_xlfn.XLOOKUP(AK$1,'Input Assumptions'!$C$34:$L$34,'Input Assumptions'!$C$36:$L$36)</f>
        <v>1971.2500000000002</v>
      </c>
      <c r="AL8" s="59">
        <f>$N$3*_xlfn.XLOOKUP(AL$1,'Input Assumptions'!$C$34:$L$34,'Input Assumptions'!$C$36:$L$36)</f>
        <v>2045.1718750000005</v>
      </c>
      <c r="AM8" s="59">
        <f>$N$3*_xlfn.XLOOKUP(AM$1,'Input Assumptions'!$C$34:$L$34,'Input Assumptions'!$C$36:$L$36)</f>
        <v>2045.1718750000005</v>
      </c>
      <c r="AN8" s="59">
        <f>$N$3*_xlfn.XLOOKUP(AN$1,'Input Assumptions'!$C$34:$L$34,'Input Assumptions'!$C$36:$L$36)</f>
        <v>2045.1718750000005</v>
      </c>
      <c r="AO8" s="59">
        <f>$N$3*_xlfn.XLOOKUP(AO$1,'Input Assumptions'!$C$34:$L$34,'Input Assumptions'!$C$36:$L$36)</f>
        <v>2045.1718750000005</v>
      </c>
      <c r="AP8" s="59">
        <f>$N$3*_xlfn.XLOOKUP(AP$1,'Input Assumptions'!$C$34:$L$34,'Input Assumptions'!$C$36:$L$36)</f>
        <v>2045.1718750000005</v>
      </c>
      <c r="AQ8" s="59">
        <f>$N$3*_xlfn.XLOOKUP(AQ$1,'Input Assumptions'!$C$34:$L$34,'Input Assumptions'!$C$36:$L$36)</f>
        <v>2045.1718750000005</v>
      </c>
      <c r="AR8" s="59">
        <f>$N$3*_xlfn.XLOOKUP(AR$1,'Input Assumptions'!$C$34:$L$34,'Input Assumptions'!$C$36:$L$36)</f>
        <v>2045.1718750000005</v>
      </c>
      <c r="AS8" s="59">
        <f>$N$3*_xlfn.XLOOKUP(AS$1,'Input Assumptions'!$C$34:$L$34,'Input Assumptions'!$C$36:$L$36)</f>
        <v>2045.1718750000005</v>
      </c>
      <c r="AT8" s="59">
        <f>$N$3*_xlfn.XLOOKUP(AT$1,'Input Assumptions'!$C$34:$L$34,'Input Assumptions'!$C$36:$L$36)</f>
        <v>2045.1718750000005</v>
      </c>
      <c r="AU8" s="59">
        <f>$N$3*_xlfn.XLOOKUP(AU$1,'Input Assumptions'!$C$34:$L$34,'Input Assumptions'!$C$36:$L$36)</f>
        <v>2045.1718750000005</v>
      </c>
      <c r="AV8" s="59">
        <f>$N$3*_xlfn.XLOOKUP(AV$1,'Input Assumptions'!$C$34:$L$34,'Input Assumptions'!$C$36:$L$36)</f>
        <v>2045.1718750000005</v>
      </c>
      <c r="AW8" s="59">
        <f>$N$3*_xlfn.XLOOKUP(AW$1,'Input Assumptions'!$C$34:$L$34,'Input Assumptions'!$C$36:$L$36)</f>
        <v>2045.1718750000005</v>
      </c>
      <c r="AX8" s="59">
        <f>$N$3*_xlfn.XLOOKUP(AX$1,'Input Assumptions'!$C$34:$L$34,'Input Assumptions'!$C$36:$L$36)</f>
        <v>2121.8658203125005</v>
      </c>
      <c r="AY8" s="59">
        <f>$N$3*_xlfn.XLOOKUP(AY$1,'Input Assumptions'!$C$34:$L$34,'Input Assumptions'!$C$36:$L$36)</f>
        <v>2121.8658203125005</v>
      </c>
      <c r="AZ8" s="59">
        <f>$N$3*_xlfn.XLOOKUP(AZ$1,'Input Assumptions'!$C$34:$L$34,'Input Assumptions'!$C$36:$L$36)</f>
        <v>2121.8658203125005</v>
      </c>
      <c r="BA8" s="59">
        <f>$N$3*_xlfn.XLOOKUP(BA$1,'Input Assumptions'!$C$34:$L$34,'Input Assumptions'!$C$36:$L$36)</f>
        <v>2121.8658203125005</v>
      </c>
      <c r="BB8" s="59">
        <f>$N$3*_xlfn.XLOOKUP(BB$1,'Input Assumptions'!$C$34:$L$34,'Input Assumptions'!$C$36:$L$36)</f>
        <v>2121.8658203125005</v>
      </c>
      <c r="BC8" s="59">
        <f>$N$3*_xlfn.XLOOKUP(BC$1,'Input Assumptions'!$C$34:$L$34,'Input Assumptions'!$C$36:$L$36)</f>
        <v>2121.8658203125005</v>
      </c>
      <c r="BD8" s="59">
        <f>$N$3*_xlfn.XLOOKUP(BD$1,'Input Assumptions'!$C$34:$L$34,'Input Assumptions'!$C$36:$L$36)</f>
        <v>2121.8658203125005</v>
      </c>
      <c r="BE8" s="59">
        <f>$N$3*_xlfn.XLOOKUP(BE$1,'Input Assumptions'!$C$34:$L$34,'Input Assumptions'!$C$36:$L$36)</f>
        <v>2121.8658203125005</v>
      </c>
      <c r="BF8" s="59">
        <f>$N$3*_xlfn.XLOOKUP(BF$1,'Input Assumptions'!$C$34:$L$34,'Input Assumptions'!$C$36:$L$36)</f>
        <v>2121.8658203125005</v>
      </c>
      <c r="BG8" s="59">
        <f>$N$3*_xlfn.XLOOKUP(BG$1,'Input Assumptions'!$C$34:$L$34,'Input Assumptions'!$C$36:$L$36)</f>
        <v>2121.8658203125005</v>
      </c>
      <c r="BH8" s="59">
        <f>$N$3*_xlfn.XLOOKUP(BH$1,'Input Assumptions'!$C$34:$L$34,'Input Assumptions'!$C$36:$L$36)</f>
        <v>2121.8658203125005</v>
      </c>
      <c r="BI8" s="59">
        <f>$N$3*_xlfn.XLOOKUP(BI$1,'Input Assumptions'!$C$34:$L$34,'Input Assumptions'!$C$36:$L$36)</f>
        <v>2121.8658203125005</v>
      </c>
      <c r="BJ8" s="59">
        <f>$N$3*_xlfn.XLOOKUP(BJ$1,'Input Assumptions'!$C$34:$L$34,'Input Assumptions'!$C$36:$L$36)</f>
        <v>2201.4357885742193</v>
      </c>
      <c r="BK8" s="59">
        <f>$N$3*_xlfn.XLOOKUP(BK$1,'Input Assumptions'!$C$34:$L$34,'Input Assumptions'!$C$36:$L$36)</f>
        <v>2201.4357885742193</v>
      </c>
      <c r="BL8" s="59">
        <f>$N$3*_xlfn.XLOOKUP(BL$1,'Input Assumptions'!$C$34:$L$34,'Input Assumptions'!$C$36:$L$36)</f>
        <v>2201.4357885742193</v>
      </c>
      <c r="BM8" s="59">
        <f>$N$3*_xlfn.XLOOKUP(BM$1,'Input Assumptions'!$C$34:$L$34,'Input Assumptions'!$C$36:$L$36)</f>
        <v>2201.4357885742193</v>
      </c>
      <c r="BN8" s="59">
        <f>$N$3*_xlfn.XLOOKUP(BN$1,'Input Assumptions'!$C$34:$L$34,'Input Assumptions'!$C$36:$L$36)</f>
        <v>2201.4357885742193</v>
      </c>
      <c r="BO8" s="59">
        <f>$N$3*_xlfn.XLOOKUP(BO$1,'Input Assumptions'!$C$34:$L$34,'Input Assumptions'!$C$36:$L$36)</f>
        <v>2201.4357885742193</v>
      </c>
      <c r="BP8" s="59">
        <f>$N$3*_xlfn.XLOOKUP(BP$1,'Input Assumptions'!$C$34:$L$34,'Input Assumptions'!$C$36:$L$36)</f>
        <v>2201.4357885742193</v>
      </c>
      <c r="BQ8" s="59">
        <f>$N$3*_xlfn.XLOOKUP(BQ$1,'Input Assumptions'!$C$34:$L$34,'Input Assumptions'!$C$36:$L$36)</f>
        <v>2201.4357885742193</v>
      </c>
      <c r="BR8" s="59">
        <f>$N$3*_xlfn.XLOOKUP(BR$1,'Input Assumptions'!$C$34:$L$34,'Input Assumptions'!$C$36:$L$36)</f>
        <v>2201.4357885742193</v>
      </c>
      <c r="BS8" s="59">
        <f>$N$3*_xlfn.XLOOKUP(BS$1,'Input Assumptions'!$C$34:$L$34,'Input Assumptions'!$C$36:$L$36)</f>
        <v>2201.4357885742193</v>
      </c>
      <c r="BT8" s="59">
        <f>$N$3*_xlfn.XLOOKUP(BT$1,'Input Assumptions'!$C$34:$L$34,'Input Assumptions'!$C$36:$L$36)</f>
        <v>2201.4357885742193</v>
      </c>
      <c r="BU8" s="59">
        <f>$N$3*_xlfn.XLOOKUP(BU$1,'Input Assumptions'!$C$34:$L$34,'Input Assumptions'!$C$36:$L$36)</f>
        <v>2201.4357885742193</v>
      </c>
      <c r="BV8" s="59">
        <f>$N$3*_xlfn.XLOOKUP(BV$1,'Input Assumptions'!$C$34:$L$34,'Input Assumptions'!$C$36:$L$36)</f>
        <v>2283.9896306457531</v>
      </c>
      <c r="BW8" s="59">
        <f>$N$3*_xlfn.XLOOKUP(BW$1,'Input Assumptions'!$C$34:$L$34,'Input Assumptions'!$C$36:$L$36)</f>
        <v>1900</v>
      </c>
      <c r="BX8" s="59">
        <f>$N$3*_xlfn.XLOOKUP(BX$1,'Input Assumptions'!$C$34:$L$34,'Input Assumptions'!$C$36:$L$36)</f>
        <v>1900</v>
      </c>
      <c r="BY8" s="59">
        <f>$N$3*_xlfn.XLOOKUP(BY$1,'Input Assumptions'!$C$34:$L$34,'Input Assumptions'!$C$36:$L$36)</f>
        <v>1900</v>
      </c>
      <c r="BZ8" s="59">
        <f>$N$3*_xlfn.XLOOKUP(BZ$1,'Input Assumptions'!$C$34:$L$34,'Input Assumptions'!$C$36:$L$36)</f>
        <v>1900</v>
      </c>
      <c r="CA8" s="59">
        <f>$N$3*_xlfn.XLOOKUP(CA$1,'Input Assumptions'!$C$34:$L$34,'Input Assumptions'!$C$36:$L$36)</f>
        <v>1900</v>
      </c>
      <c r="CB8" s="59">
        <f>$N$3*_xlfn.XLOOKUP(CB$1,'Input Assumptions'!$C$34:$L$34,'Input Assumptions'!$C$36:$L$36)</f>
        <v>1900</v>
      </c>
      <c r="CC8" s="59">
        <f>$N$3*_xlfn.XLOOKUP(CC$1,'Input Assumptions'!$C$34:$L$34,'Input Assumptions'!$C$36:$L$36)</f>
        <v>1900</v>
      </c>
      <c r="CD8" s="59">
        <f>$N$3*_xlfn.XLOOKUP(CD$1,'Input Assumptions'!$C$34:$L$34,'Input Assumptions'!$C$36:$L$36)</f>
        <v>1900</v>
      </c>
      <c r="CE8" s="59">
        <f>$N$3*_xlfn.XLOOKUP(CE$1,'Input Assumptions'!$C$34:$L$34,'Input Assumptions'!$C$36:$L$36)</f>
        <v>1900</v>
      </c>
      <c r="CF8" s="59">
        <f>$N$3*_xlfn.XLOOKUP(CF$1,'Input Assumptions'!$C$34:$L$34,'Input Assumptions'!$C$36:$L$36)</f>
        <v>1900</v>
      </c>
      <c r="CG8" s="59">
        <f>$N$3*_xlfn.XLOOKUP(CG$1,'Input Assumptions'!$C$34:$L$34,'Input Assumptions'!$C$36:$L$36)</f>
        <v>1900</v>
      </c>
      <c r="CH8" s="59">
        <f>$N$3*_xlfn.XLOOKUP(CH$1,'Input Assumptions'!$C$34:$L$34,'Input Assumptions'!$C$36:$L$36)</f>
        <v>1900</v>
      </c>
      <c r="CI8" s="59">
        <f>$N$3*_xlfn.XLOOKUP(CI$1,'Input Assumptions'!$C$34:$L$34,'Input Assumptions'!$C$36:$L$36)</f>
        <v>1971.2500000000002</v>
      </c>
      <c r="CJ8" s="59">
        <f>$N$3*_xlfn.XLOOKUP(CJ$1,'Input Assumptions'!$C$34:$L$34,'Input Assumptions'!$C$36:$L$36)</f>
        <v>1971.2500000000002</v>
      </c>
      <c r="CK8" s="59">
        <f>$N$3*_xlfn.XLOOKUP(CK$1,'Input Assumptions'!$C$34:$L$34,'Input Assumptions'!$C$36:$L$36)</f>
        <v>1971.2500000000002</v>
      </c>
      <c r="CL8" s="59">
        <f>$N$3*_xlfn.XLOOKUP(CL$1,'Input Assumptions'!$C$34:$L$34,'Input Assumptions'!$C$36:$L$36)</f>
        <v>1971.2500000000002</v>
      </c>
      <c r="CM8" s="59">
        <f>$N$3*_xlfn.XLOOKUP(CM$1,'Input Assumptions'!$C$34:$L$34,'Input Assumptions'!$C$36:$L$36)</f>
        <v>1971.2500000000002</v>
      </c>
      <c r="CN8" s="59">
        <f>$N$3*_xlfn.XLOOKUP(CN$1,'Input Assumptions'!$C$34:$L$34,'Input Assumptions'!$C$36:$L$36)</f>
        <v>1971.2500000000002</v>
      </c>
      <c r="CO8" s="59">
        <f>$N$3*_xlfn.XLOOKUP(CO$1,'Input Assumptions'!$C$34:$L$34,'Input Assumptions'!$C$36:$L$36)</f>
        <v>1971.2500000000002</v>
      </c>
      <c r="CP8" s="59">
        <f>$N$3*_xlfn.XLOOKUP(CP$1,'Input Assumptions'!$C$34:$L$34,'Input Assumptions'!$C$36:$L$36)</f>
        <v>1971.2500000000002</v>
      </c>
      <c r="CQ8" s="59">
        <f>$N$3*_xlfn.XLOOKUP(CQ$1,'Input Assumptions'!$C$34:$L$34,'Input Assumptions'!$C$36:$L$36)</f>
        <v>1971.2500000000002</v>
      </c>
      <c r="CR8" s="59">
        <f>$N$3*_xlfn.XLOOKUP(CR$1,'Input Assumptions'!$C$34:$L$34,'Input Assumptions'!$C$36:$L$36)</f>
        <v>1971.2500000000002</v>
      </c>
      <c r="CS8" s="59">
        <f>$N$3*_xlfn.XLOOKUP(CS$1,'Input Assumptions'!$C$34:$L$34,'Input Assumptions'!$C$36:$L$36)</f>
        <v>1971.2500000000002</v>
      </c>
      <c r="CT8" s="59">
        <f>$N$3*_xlfn.XLOOKUP(CT$1,'Input Assumptions'!$C$34:$L$34,'Input Assumptions'!$C$36:$L$36)</f>
        <v>1971.2500000000002</v>
      </c>
      <c r="CU8" s="59">
        <f>$N$3*_xlfn.XLOOKUP(CU$1,'Input Assumptions'!$C$34:$L$34,'Input Assumptions'!$C$36:$L$36)</f>
        <v>2045.1718750000005</v>
      </c>
      <c r="CV8" s="59">
        <f>$N$3*_xlfn.XLOOKUP(CV$1,'Input Assumptions'!$C$34:$L$34,'Input Assumptions'!$C$36:$L$36)</f>
        <v>2045.1718750000005</v>
      </c>
      <c r="CW8" s="59">
        <f>$N$3*_xlfn.XLOOKUP(CW$1,'Input Assumptions'!$C$34:$L$34,'Input Assumptions'!$C$36:$L$36)</f>
        <v>2045.1718750000005</v>
      </c>
      <c r="CX8" s="59">
        <f>$N$3*_xlfn.XLOOKUP(CX$1,'Input Assumptions'!$C$34:$L$34,'Input Assumptions'!$C$36:$L$36)</f>
        <v>2045.1718750000005</v>
      </c>
      <c r="CY8" s="59">
        <f>$N$3*_xlfn.XLOOKUP(CY$1,'Input Assumptions'!$C$34:$L$34,'Input Assumptions'!$C$36:$L$36)</f>
        <v>2045.1718750000005</v>
      </c>
      <c r="CZ8" s="59">
        <f>$N$3*_xlfn.XLOOKUP(CZ$1,'Input Assumptions'!$C$34:$L$34,'Input Assumptions'!$C$36:$L$36)</f>
        <v>2045.1718750000005</v>
      </c>
      <c r="DA8" s="59">
        <f>$N$3*_xlfn.XLOOKUP(DA$1,'Input Assumptions'!$C$34:$L$34,'Input Assumptions'!$C$36:$L$36)</f>
        <v>2045.1718750000005</v>
      </c>
      <c r="DB8" s="59">
        <f>$N$3*_xlfn.XLOOKUP(DB$1,'Input Assumptions'!$C$34:$L$34,'Input Assumptions'!$C$36:$L$36)</f>
        <v>2045.1718750000005</v>
      </c>
      <c r="DC8" s="59">
        <f>$N$3*_xlfn.XLOOKUP(DC$1,'Input Assumptions'!$C$34:$L$34,'Input Assumptions'!$C$36:$L$36)</f>
        <v>2045.1718750000005</v>
      </c>
      <c r="DD8" s="59">
        <f>$N$3*_xlfn.XLOOKUP(DD$1,'Input Assumptions'!$C$34:$L$34,'Input Assumptions'!$C$36:$L$36)</f>
        <v>2045.1718750000005</v>
      </c>
      <c r="DE8" s="59">
        <f>$N$3*_xlfn.XLOOKUP(DE$1,'Input Assumptions'!$C$34:$L$34,'Input Assumptions'!$C$36:$L$36)</f>
        <v>2045.1718750000005</v>
      </c>
      <c r="DF8" s="59">
        <f>$N$3*_xlfn.XLOOKUP(DF$1,'Input Assumptions'!$C$34:$L$34,'Input Assumptions'!$C$36:$L$36)</f>
        <v>2045.1718750000005</v>
      </c>
      <c r="DG8" s="59">
        <f>$N$3*_xlfn.XLOOKUP(DG$1,'Input Assumptions'!$C$34:$L$34,'Input Assumptions'!$C$36:$L$36)</f>
        <v>2121.8658203125005</v>
      </c>
      <c r="DH8" s="59">
        <f>$N$3*_xlfn.XLOOKUP(DH$1,'Input Assumptions'!$C$34:$L$34,'Input Assumptions'!$C$36:$L$36)</f>
        <v>2121.8658203125005</v>
      </c>
      <c r="DI8" s="59">
        <f>$N$3*_xlfn.XLOOKUP(DI$1,'Input Assumptions'!$C$34:$L$34,'Input Assumptions'!$C$36:$L$36)</f>
        <v>2121.8658203125005</v>
      </c>
      <c r="DJ8" s="59">
        <f>$N$3*_xlfn.XLOOKUP(DJ$1,'Input Assumptions'!$C$34:$L$34,'Input Assumptions'!$C$36:$L$36)</f>
        <v>2121.8658203125005</v>
      </c>
      <c r="DK8" s="59">
        <f>$N$3*_xlfn.XLOOKUP(DK$1,'Input Assumptions'!$C$34:$L$34,'Input Assumptions'!$C$36:$L$36)</f>
        <v>2121.8658203125005</v>
      </c>
      <c r="DL8" s="59">
        <f>$N$3*_xlfn.XLOOKUP(DL$1,'Input Assumptions'!$C$34:$L$34,'Input Assumptions'!$C$36:$L$36)</f>
        <v>2121.8658203125005</v>
      </c>
      <c r="DM8" s="59">
        <f>$N$3*_xlfn.XLOOKUP(DM$1,'Input Assumptions'!$C$34:$L$34,'Input Assumptions'!$C$36:$L$36)</f>
        <v>2121.8658203125005</v>
      </c>
      <c r="DN8" s="59">
        <f>$N$3*_xlfn.XLOOKUP(DN$1,'Input Assumptions'!$C$34:$L$34,'Input Assumptions'!$C$36:$L$36)</f>
        <v>2121.8658203125005</v>
      </c>
      <c r="DO8" s="59">
        <f>$N$3*_xlfn.XLOOKUP(DO$1,'Input Assumptions'!$C$34:$L$34,'Input Assumptions'!$C$36:$L$36)</f>
        <v>2121.8658203125005</v>
      </c>
      <c r="DP8" s="59">
        <f>$N$3*_xlfn.XLOOKUP(DP$1,'Input Assumptions'!$C$34:$L$34,'Input Assumptions'!$C$36:$L$36)</f>
        <v>2121.8658203125005</v>
      </c>
      <c r="DQ8" s="59">
        <f>$N$3*_xlfn.XLOOKUP(DQ$1,'Input Assumptions'!$C$34:$L$34,'Input Assumptions'!$C$36:$L$36)</f>
        <v>2121.8658203125005</v>
      </c>
      <c r="DR8" s="59">
        <f>$N$3*_xlfn.XLOOKUP(DR$1,'Input Assumptions'!$C$34:$L$34,'Input Assumptions'!$C$36:$L$36)</f>
        <v>2121.8658203125005</v>
      </c>
      <c r="DS8" s="59">
        <f>$N$3*_xlfn.XLOOKUP(DS$1,'Input Assumptions'!$C$34:$L$34,'Input Assumptions'!$C$36:$L$36)</f>
        <v>2201.4357885742193</v>
      </c>
      <c r="DT8" s="59">
        <f>$N$3*_xlfn.XLOOKUP(DT$1,'Input Assumptions'!$C$34:$L$34,'Input Assumptions'!$C$36:$L$36)</f>
        <v>2201.4357885742193</v>
      </c>
      <c r="DU8" s="59">
        <f>$N$3*_xlfn.XLOOKUP(DU$1,'Input Assumptions'!$C$34:$L$34,'Input Assumptions'!$C$36:$L$36)</f>
        <v>2201.4357885742193</v>
      </c>
      <c r="DV8" s="59">
        <f>$N$3*_xlfn.XLOOKUP(DV$1,'Input Assumptions'!$C$34:$L$34,'Input Assumptions'!$C$36:$L$36)</f>
        <v>2201.4357885742193</v>
      </c>
      <c r="DW8" s="59">
        <f>$N$3*_xlfn.XLOOKUP(DW$1,'Input Assumptions'!$C$34:$L$34,'Input Assumptions'!$C$36:$L$36)</f>
        <v>2201.4357885742193</v>
      </c>
      <c r="DX8" s="59">
        <f>$N$3*_xlfn.XLOOKUP(DX$1,'Input Assumptions'!$C$34:$L$34,'Input Assumptions'!$C$36:$L$36)</f>
        <v>2201.4357885742193</v>
      </c>
      <c r="DY8" s="59">
        <f>$N$3*_xlfn.XLOOKUP(DY$1,'Input Assumptions'!$C$34:$L$34,'Input Assumptions'!$C$36:$L$36)</f>
        <v>2201.4357885742193</v>
      </c>
      <c r="DZ8" s="59">
        <f>$N$3*_xlfn.XLOOKUP(DZ$1,'Input Assumptions'!$C$34:$L$34,'Input Assumptions'!$C$36:$L$36)</f>
        <v>2201.4357885742193</v>
      </c>
      <c r="EA8" s="59">
        <f>$N$3*_xlfn.XLOOKUP(EA$1,'Input Assumptions'!$C$34:$L$34,'Input Assumptions'!$C$36:$L$36)</f>
        <v>2201.4357885742193</v>
      </c>
      <c r="EB8" s="59">
        <f>$N$3*_xlfn.XLOOKUP(EB$1,'Input Assumptions'!$C$34:$L$34,'Input Assumptions'!$C$36:$L$36)</f>
        <v>2201.4357885742193</v>
      </c>
      <c r="EC8" s="59">
        <f>$N$3*_xlfn.XLOOKUP(EC$1,'Input Assumptions'!$C$34:$L$34,'Input Assumptions'!$C$36:$L$36)</f>
        <v>2201.4357885742193</v>
      </c>
    </row>
    <row r="9" spans="2:133" x14ac:dyDescent="0.3">
      <c r="B9" s="15">
        <v>1</v>
      </c>
      <c r="C9" s="16">
        <v>7</v>
      </c>
      <c r="D9" s="16" t="s">
        <v>10</v>
      </c>
      <c r="E9" s="16">
        <v>450</v>
      </c>
      <c r="F9" s="20">
        <f t="shared" si="108"/>
        <v>41.80640845790095</v>
      </c>
      <c r="G9" s="19" t="str">
        <f t="shared" si="109"/>
        <v>1</v>
      </c>
      <c r="H9" s="20">
        <f t="shared" si="112"/>
        <v>1</v>
      </c>
      <c r="I9" s="18">
        <f t="shared" si="110"/>
        <v>1710</v>
      </c>
      <c r="J9" s="18">
        <f t="shared" si="111"/>
        <v>1900</v>
      </c>
      <c r="K9" s="18">
        <f>(J9*'Input Assumptions'!$C$20)+I9*('Input Assumptions'!$C$21)</f>
        <v>1900</v>
      </c>
      <c r="L9" s="94"/>
      <c r="N9" s="59">
        <f t="shared" si="113"/>
        <v>1900</v>
      </c>
      <c r="O9" s="59">
        <f>$N$3*_xlfn.XLOOKUP(O$1,'Input Assumptions'!$C$34:$L$34,'Input Assumptions'!$C$36:$L$36)</f>
        <v>1900</v>
      </c>
      <c r="P9" s="59">
        <f>$N$3*_xlfn.XLOOKUP(P$1,'Input Assumptions'!$C$34:$L$34,'Input Assumptions'!$C$36:$L$36)</f>
        <v>1900</v>
      </c>
      <c r="Q9" s="59">
        <f>$N$3*_xlfn.XLOOKUP(Q$1,'Input Assumptions'!$C$34:$L$34,'Input Assumptions'!$C$36:$L$36)</f>
        <v>1900</v>
      </c>
      <c r="R9" s="59">
        <f>$N$3*_xlfn.XLOOKUP(R$1,'Input Assumptions'!$C$34:$L$34,'Input Assumptions'!$C$36:$L$36)</f>
        <v>1900</v>
      </c>
      <c r="S9" s="59">
        <f>$N$3*_xlfn.XLOOKUP(S$1,'Input Assumptions'!$C$34:$L$34,'Input Assumptions'!$C$36:$L$36)</f>
        <v>1900</v>
      </c>
      <c r="T9" s="59">
        <f>$N$3*_xlfn.XLOOKUP(T$1,'Input Assumptions'!$C$34:$L$34,'Input Assumptions'!$C$36:$L$36)</f>
        <v>1900</v>
      </c>
      <c r="U9" s="59">
        <f>$N$3*_xlfn.XLOOKUP(U$1,'Input Assumptions'!$C$34:$L$34,'Input Assumptions'!$C$36:$L$36)</f>
        <v>1900</v>
      </c>
      <c r="V9" s="59">
        <f>$N$3*_xlfn.XLOOKUP(V$1,'Input Assumptions'!$C$34:$L$34,'Input Assumptions'!$C$36:$L$36)</f>
        <v>1900</v>
      </c>
      <c r="W9" s="59">
        <f>$N$3*_xlfn.XLOOKUP(W$1,'Input Assumptions'!$C$34:$L$34,'Input Assumptions'!$C$36:$L$36)</f>
        <v>1900</v>
      </c>
      <c r="X9" s="59">
        <f>$N$3*_xlfn.XLOOKUP(X$1,'Input Assumptions'!$C$34:$L$34,'Input Assumptions'!$C$36:$L$36)</f>
        <v>1900</v>
      </c>
      <c r="Y9" s="59">
        <f>$N$3*_xlfn.XLOOKUP(Y$1,'Input Assumptions'!$C$34:$L$34,'Input Assumptions'!$C$36:$L$36)</f>
        <v>1900</v>
      </c>
      <c r="Z9" s="59">
        <f>$N$3*_xlfn.XLOOKUP(Z$1,'Input Assumptions'!$C$34:$L$34,'Input Assumptions'!$C$36:$L$36)</f>
        <v>1971.2500000000002</v>
      </c>
      <c r="AA9" s="59">
        <f>$N$3*_xlfn.XLOOKUP(AA$1,'Input Assumptions'!$C$34:$L$34,'Input Assumptions'!$C$36:$L$36)</f>
        <v>1971.2500000000002</v>
      </c>
      <c r="AB9" s="59">
        <f>$N$3*_xlfn.XLOOKUP(AB$1,'Input Assumptions'!$C$34:$L$34,'Input Assumptions'!$C$36:$L$36)</f>
        <v>1971.2500000000002</v>
      </c>
      <c r="AC9" s="59">
        <f>$N$3*_xlfn.XLOOKUP(AC$1,'Input Assumptions'!$C$34:$L$34,'Input Assumptions'!$C$36:$L$36)</f>
        <v>1971.2500000000002</v>
      </c>
      <c r="AD9" s="59">
        <f>$N$3*_xlfn.XLOOKUP(AD$1,'Input Assumptions'!$C$34:$L$34,'Input Assumptions'!$C$36:$L$36)</f>
        <v>1971.2500000000002</v>
      </c>
      <c r="AE9" s="59">
        <f>$N$3*_xlfn.XLOOKUP(AE$1,'Input Assumptions'!$C$34:$L$34,'Input Assumptions'!$C$36:$L$36)</f>
        <v>1971.2500000000002</v>
      </c>
      <c r="AF9" s="59">
        <f>$N$3*_xlfn.XLOOKUP(AF$1,'Input Assumptions'!$C$34:$L$34,'Input Assumptions'!$C$36:$L$36)</f>
        <v>1971.2500000000002</v>
      </c>
      <c r="AG9" s="59">
        <f>$N$3*_xlfn.XLOOKUP(AG$1,'Input Assumptions'!$C$34:$L$34,'Input Assumptions'!$C$36:$L$36)</f>
        <v>1971.2500000000002</v>
      </c>
      <c r="AH9" s="59">
        <f>$N$3*_xlfn.XLOOKUP(AH$1,'Input Assumptions'!$C$34:$L$34,'Input Assumptions'!$C$36:$L$36)</f>
        <v>1971.2500000000002</v>
      </c>
      <c r="AI9" s="59">
        <f>$N$3*_xlfn.XLOOKUP(AI$1,'Input Assumptions'!$C$34:$L$34,'Input Assumptions'!$C$36:$L$36)</f>
        <v>1971.2500000000002</v>
      </c>
      <c r="AJ9" s="59">
        <f>$N$3*_xlfn.XLOOKUP(AJ$1,'Input Assumptions'!$C$34:$L$34,'Input Assumptions'!$C$36:$L$36)</f>
        <v>1971.2500000000002</v>
      </c>
      <c r="AK9" s="59">
        <f>$N$3*_xlfn.XLOOKUP(AK$1,'Input Assumptions'!$C$34:$L$34,'Input Assumptions'!$C$36:$L$36)</f>
        <v>1971.2500000000002</v>
      </c>
      <c r="AL9" s="59">
        <f>$N$3*_xlfn.XLOOKUP(AL$1,'Input Assumptions'!$C$34:$L$34,'Input Assumptions'!$C$36:$L$36)</f>
        <v>2045.1718750000005</v>
      </c>
      <c r="AM9" s="59">
        <f>$N$3*_xlfn.XLOOKUP(AM$1,'Input Assumptions'!$C$34:$L$34,'Input Assumptions'!$C$36:$L$36)</f>
        <v>2045.1718750000005</v>
      </c>
      <c r="AN9" s="59">
        <f>$N$3*_xlfn.XLOOKUP(AN$1,'Input Assumptions'!$C$34:$L$34,'Input Assumptions'!$C$36:$L$36)</f>
        <v>2045.1718750000005</v>
      </c>
      <c r="AO9" s="59">
        <f>$N$3*_xlfn.XLOOKUP(AO$1,'Input Assumptions'!$C$34:$L$34,'Input Assumptions'!$C$36:$L$36)</f>
        <v>2045.1718750000005</v>
      </c>
      <c r="AP9" s="59">
        <f>$N$3*_xlfn.XLOOKUP(AP$1,'Input Assumptions'!$C$34:$L$34,'Input Assumptions'!$C$36:$L$36)</f>
        <v>2045.1718750000005</v>
      </c>
      <c r="AQ9" s="59">
        <f>$N$3*_xlfn.XLOOKUP(AQ$1,'Input Assumptions'!$C$34:$L$34,'Input Assumptions'!$C$36:$L$36)</f>
        <v>2045.1718750000005</v>
      </c>
      <c r="AR9" s="59">
        <f>$N$3*_xlfn.XLOOKUP(AR$1,'Input Assumptions'!$C$34:$L$34,'Input Assumptions'!$C$36:$L$36)</f>
        <v>2045.1718750000005</v>
      </c>
      <c r="AS9" s="59">
        <f>$N$3*_xlfn.XLOOKUP(AS$1,'Input Assumptions'!$C$34:$L$34,'Input Assumptions'!$C$36:$L$36)</f>
        <v>2045.1718750000005</v>
      </c>
      <c r="AT9" s="59">
        <f>$N$3*_xlfn.XLOOKUP(AT$1,'Input Assumptions'!$C$34:$L$34,'Input Assumptions'!$C$36:$L$36)</f>
        <v>2045.1718750000005</v>
      </c>
      <c r="AU9" s="59">
        <f>$N$3*_xlfn.XLOOKUP(AU$1,'Input Assumptions'!$C$34:$L$34,'Input Assumptions'!$C$36:$L$36)</f>
        <v>2045.1718750000005</v>
      </c>
      <c r="AV9" s="59">
        <f>$N$3*_xlfn.XLOOKUP(AV$1,'Input Assumptions'!$C$34:$L$34,'Input Assumptions'!$C$36:$L$36)</f>
        <v>2045.1718750000005</v>
      </c>
      <c r="AW9" s="59">
        <f>$N$3*_xlfn.XLOOKUP(AW$1,'Input Assumptions'!$C$34:$L$34,'Input Assumptions'!$C$36:$L$36)</f>
        <v>2045.1718750000005</v>
      </c>
      <c r="AX9" s="59">
        <f>$N$3*_xlfn.XLOOKUP(AX$1,'Input Assumptions'!$C$34:$L$34,'Input Assumptions'!$C$36:$L$36)</f>
        <v>2121.8658203125005</v>
      </c>
      <c r="AY9" s="59">
        <f>$N$3*_xlfn.XLOOKUP(AY$1,'Input Assumptions'!$C$34:$L$34,'Input Assumptions'!$C$36:$L$36)</f>
        <v>2121.8658203125005</v>
      </c>
      <c r="AZ9" s="59">
        <f>$N$3*_xlfn.XLOOKUP(AZ$1,'Input Assumptions'!$C$34:$L$34,'Input Assumptions'!$C$36:$L$36)</f>
        <v>2121.8658203125005</v>
      </c>
      <c r="BA9" s="59">
        <f>$N$3*_xlfn.XLOOKUP(BA$1,'Input Assumptions'!$C$34:$L$34,'Input Assumptions'!$C$36:$L$36)</f>
        <v>2121.8658203125005</v>
      </c>
      <c r="BB9" s="59">
        <f>$N$3*_xlfn.XLOOKUP(BB$1,'Input Assumptions'!$C$34:$L$34,'Input Assumptions'!$C$36:$L$36)</f>
        <v>2121.8658203125005</v>
      </c>
      <c r="BC9" s="59">
        <f>$N$3*_xlfn.XLOOKUP(BC$1,'Input Assumptions'!$C$34:$L$34,'Input Assumptions'!$C$36:$L$36)</f>
        <v>2121.8658203125005</v>
      </c>
      <c r="BD9" s="59">
        <f>$N$3*_xlfn.XLOOKUP(BD$1,'Input Assumptions'!$C$34:$L$34,'Input Assumptions'!$C$36:$L$36)</f>
        <v>2121.8658203125005</v>
      </c>
      <c r="BE9" s="59">
        <f>$N$3*_xlfn.XLOOKUP(BE$1,'Input Assumptions'!$C$34:$L$34,'Input Assumptions'!$C$36:$L$36)</f>
        <v>2121.8658203125005</v>
      </c>
      <c r="BF9" s="59">
        <f>$N$3*_xlfn.XLOOKUP(BF$1,'Input Assumptions'!$C$34:$L$34,'Input Assumptions'!$C$36:$L$36)</f>
        <v>2121.8658203125005</v>
      </c>
      <c r="BG9" s="59">
        <f>$N$3*_xlfn.XLOOKUP(BG$1,'Input Assumptions'!$C$34:$L$34,'Input Assumptions'!$C$36:$L$36)</f>
        <v>2121.8658203125005</v>
      </c>
      <c r="BH9" s="59">
        <f>$N$3*_xlfn.XLOOKUP(BH$1,'Input Assumptions'!$C$34:$L$34,'Input Assumptions'!$C$36:$L$36)</f>
        <v>2121.8658203125005</v>
      </c>
      <c r="BI9" s="59">
        <f>$N$3*_xlfn.XLOOKUP(BI$1,'Input Assumptions'!$C$34:$L$34,'Input Assumptions'!$C$36:$L$36)</f>
        <v>2121.8658203125005</v>
      </c>
      <c r="BJ9" s="59">
        <f>$N$3*_xlfn.XLOOKUP(BJ$1,'Input Assumptions'!$C$34:$L$34,'Input Assumptions'!$C$36:$L$36)</f>
        <v>2201.4357885742193</v>
      </c>
      <c r="BK9" s="59">
        <f>$N$3*_xlfn.XLOOKUP(BK$1,'Input Assumptions'!$C$34:$L$34,'Input Assumptions'!$C$36:$L$36)</f>
        <v>2201.4357885742193</v>
      </c>
      <c r="BL9" s="59">
        <f>$N$3*_xlfn.XLOOKUP(BL$1,'Input Assumptions'!$C$34:$L$34,'Input Assumptions'!$C$36:$L$36)</f>
        <v>2201.4357885742193</v>
      </c>
      <c r="BM9" s="59">
        <f>$N$3*_xlfn.XLOOKUP(BM$1,'Input Assumptions'!$C$34:$L$34,'Input Assumptions'!$C$36:$L$36)</f>
        <v>2201.4357885742193</v>
      </c>
      <c r="BN9" s="59">
        <f>$N$3*_xlfn.XLOOKUP(BN$1,'Input Assumptions'!$C$34:$L$34,'Input Assumptions'!$C$36:$L$36)</f>
        <v>2201.4357885742193</v>
      </c>
      <c r="BO9" s="59">
        <f>$N$3*_xlfn.XLOOKUP(BO$1,'Input Assumptions'!$C$34:$L$34,'Input Assumptions'!$C$36:$L$36)</f>
        <v>2201.4357885742193</v>
      </c>
      <c r="BP9" s="59">
        <f>$N$3*_xlfn.XLOOKUP(BP$1,'Input Assumptions'!$C$34:$L$34,'Input Assumptions'!$C$36:$L$36)</f>
        <v>2201.4357885742193</v>
      </c>
      <c r="BQ9" s="59">
        <f>$N$3*_xlfn.XLOOKUP(BQ$1,'Input Assumptions'!$C$34:$L$34,'Input Assumptions'!$C$36:$L$36)</f>
        <v>2201.4357885742193</v>
      </c>
      <c r="BR9" s="59">
        <f>$N$3*_xlfn.XLOOKUP(BR$1,'Input Assumptions'!$C$34:$L$34,'Input Assumptions'!$C$36:$L$36)</f>
        <v>2201.4357885742193</v>
      </c>
      <c r="BS9" s="59">
        <f>$N$3*_xlfn.XLOOKUP(BS$1,'Input Assumptions'!$C$34:$L$34,'Input Assumptions'!$C$36:$L$36)</f>
        <v>2201.4357885742193</v>
      </c>
      <c r="BT9" s="59">
        <f>$N$3*_xlfn.XLOOKUP(BT$1,'Input Assumptions'!$C$34:$L$34,'Input Assumptions'!$C$36:$L$36)</f>
        <v>2201.4357885742193</v>
      </c>
      <c r="BU9" s="59">
        <f>$N$3*_xlfn.XLOOKUP(BU$1,'Input Assumptions'!$C$34:$L$34,'Input Assumptions'!$C$36:$L$36)</f>
        <v>2201.4357885742193</v>
      </c>
      <c r="BV9" s="59">
        <f>$N$3*_xlfn.XLOOKUP(BV$1,'Input Assumptions'!$C$34:$L$34,'Input Assumptions'!$C$36:$L$36)</f>
        <v>2283.9896306457531</v>
      </c>
      <c r="BW9" s="59">
        <f>$N$3*_xlfn.XLOOKUP(BW$1,'Input Assumptions'!$C$34:$L$34,'Input Assumptions'!$C$36:$L$36)</f>
        <v>1900</v>
      </c>
      <c r="BX9" s="59">
        <f>$N$3*_xlfn.XLOOKUP(BX$1,'Input Assumptions'!$C$34:$L$34,'Input Assumptions'!$C$36:$L$36)</f>
        <v>1900</v>
      </c>
      <c r="BY9" s="59">
        <f>$N$3*_xlfn.XLOOKUP(BY$1,'Input Assumptions'!$C$34:$L$34,'Input Assumptions'!$C$36:$L$36)</f>
        <v>1900</v>
      </c>
      <c r="BZ9" s="59">
        <f>$N$3*_xlfn.XLOOKUP(BZ$1,'Input Assumptions'!$C$34:$L$34,'Input Assumptions'!$C$36:$L$36)</f>
        <v>1900</v>
      </c>
      <c r="CA9" s="59">
        <f>$N$3*_xlfn.XLOOKUP(CA$1,'Input Assumptions'!$C$34:$L$34,'Input Assumptions'!$C$36:$L$36)</f>
        <v>1900</v>
      </c>
      <c r="CB9" s="59">
        <f>$N$3*_xlfn.XLOOKUP(CB$1,'Input Assumptions'!$C$34:$L$34,'Input Assumptions'!$C$36:$L$36)</f>
        <v>1900</v>
      </c>
      <c r="CC9" s="59">
        <f>$N$3*_xlfn.XLOOKUP(CC$1,'Input Assumptions'!$C$34:$L$34,'Input Assumptions'!$C$36:$L$36)</f>
        <v>1900</v>
      </c>
      <c r="CD9" s="59">
        <f>$N$3*_xlfn.XLOOKUP(CD$1,'Input Assumptions'!$C$34:$L$34,'Input Assumptions'!$C$36:$L$36)</f>
        <v>1900</v>
      </c>
      <c r="CE9" s="59">
        <f>$N$3*_xlfn.XLOOKUP(CE$1,'Input Assumptions'!$C$34:$L$34,'Input Assumptions'!$C$36:$L$36)</f>
        <v>1900</v>
      </c>
      <c r="CF9" s="59">
        <f>$N$3*_xlfn.XLOOKUP(CF$1,'Input Assumptions'!$C$34:$L$34,'Input Assumptions'!$C$36:$L$36)</f>
        <v>1900</v>
      </c>
      <c r="CG9" s="59">
        <f>$N$3*_xlfn.XLOOKUP(CG$1,'Input Assumptions'!$C$34:$L$34,'Input Assumptions'!$C$36:$L$36)</f>
        <v>1900</v>
      </c>
      <c r="CH9" s="59">
        <f>$N$3*_xlfn.XLOOKUP(CH$1,'Input Assumptions'!$C$34:$L$34,'Input Assumptions'!$C$36:$L$36)</f>
        <v>1900</v>
      </c>
      <c r="CI9" s="59">
        <f>$N$3*_xlfn.XLOOKUP(CI$1,'Input Assumptions'!$C$34:$L$34,'Input Assumptions'!$C$36:$L$36)</f>
        <v>1971.2500000000002</v>
      </c>
      <c r="CJ9" s="59">
        <f>$N$3*_xlfn.XLOOKUP(CJ$1,'Input Assumptions'!$C$34:$L$34,'Input Assumptions'!$C$36:$L$36)</f>
        <v>1971.2500000000002</v>
      </c>
      <c r="CK9" s="59">
        <f>$N$3*_xlfn.XLOOKUP(CK$1,'Input Assumptions'!$C$34:$L$34,'Input Assumptions'!$C$36:$L$36)</f>
        <v>1971.2500000000002</v>
      </c>
      <c r="CL9" s="59">
        <f>$N$3*_xlfn.XLOOKUP(CL$1,'Input Assumptions'!$C$34:$L$34,'Input Assumptions'!$C$36:$L$36)</f>
        <v>1971.2500000000002</v>
      </c>
      <c r="CM9" s="59">
        <f>$N$3*_xlfn.XLOOKUP(CM$1,'Input Assumptions'!$C$34:$L$34,'Input Assumptions'!$C$36:$L$36)</f>
        <v>1971.2500000000002</v>
      </c>
      <c r="CN9" s="59">
        <f>$N$3*_xlfn.XLOOKUP(CN$1,'Input Assumptions'!$C$34:$L$34,'Input Assumptions'!$C$36:$L$36)</f>
        <v>1971.2500000000002</v>
      </c>
      <c r="CO9" s="59">
        <f>$N$3*_xlfn.XLOOKUP(CO$1,'Input Assumptions'!$C$34:$L$34,'Input Assumptions'!$C$36:$L$36)</f>
        <v>1971.2500000000002</v>
      </c>
      <c r="CP9" s="59">
        <f>$N$3*_xlfn.XLOOKUP(CP$1,'Input Assumptions'!$C$34:$L$34,'Input Assumptions'!$C$36:$L$36)</f>
        <v>1971.2500000000002</v>
      </c>
      <c r="CQ9" s="59">
        <f>$N$3*_xlfn.XLOOKUP(CQ$1,'Input Assumptions'!$C$34:$L$34,'Input Assumptions'!$C$36:$L$36)</f>
        <v>1971.2500000000002</v>
      </c>
      <c r="CR9" s="59">
        <f>$N$3*_xlfn.XLOOKUP(CR$1,'Input Assumptions'!$C$34:$L$34,'Input Assumptions'!$C$36:$L$36)</f>
        <v>1971.2500000000002</v>
      </c>
      <c r="CS9" s="59">
        <f>$N$3*_xlfn.XLOOKUP(CS$1,'Input Assumptions'!$C$34:$L$34,'Input Assumptions'!$C$36:$L$36)</f>
        <v>1971.2500000000002</v>
      </c>
      <c r="CT9" s="59">
        <f>$N$3*_xlfn.XLOOKUP(CT$1,'Input Assumptions'!$C$34:$L$34,'Input Assumptions'!$C$36:$L$36)</f>
        <v>1971.2500000000002</v>
      </c>
      <c r="CU9" s="59">
        <f>$N$3*_xlfn.XLOOKUP(CU$1,'Input Assumptions'!$C$34:$L$34,'Input Assumptions'!$C$36:$L$36)</f>
        <v>2045.1718750000005</v>
      </c>
      <c r="CV9" s="59">
        <f>$N$3*_xlfn.XLOOKUP(CV$1,'Input Assumptions'!$C$34:$L$34,'Input Assumptions'!$C$36:$L$36)</f>
        <v>2045.1718750000005</v>
      </c>
      <c r="CW9" s="59">
        <f>$N$3*_xlfn.XLOOKUP(CW$1,'Input Assumptions'!$C$34:$L$34,'Input Assumptions'!$C$36:$L$36)</f>
        <v>2045.1718750000005</v>
      </c>
      <c r="CX9" s="59">
        <f>$N$3*_xlfn.XLOOKUP(CX$1,'Input Assumptions'!$C$34:$L$34,'Input Assumptions'!$C$36:$L$36)</f>
        <v>2045.1718750000005</v>
      </c>
      <c r="CY9" s="59">
        <f>$N$3*_xlfn.XLOOKUP(CY$1,'Input Assumptions'!$C$34:$L$34,'Input Assumptions'!$C$36:$L$36)</f>
        <v>2045.1718750000005</v>
      </c>
      <c r="CZ9" s="59">
        <f>$N$3*_xlfn.XLOOKUP(CZ$1,'Input Assumptions'!$C$34:$L$34,'Input Assumptions'!$C$36:$L$36)</f>
        <v>2045.1718750000005</v>
      </c>
      <c r="DA9" s="59">
        <f>$N$3*_xlfn.XLOOKUP(DA$1,'Input Assumptions'!$C$34:$L$34,'Input Assumptions'!$C$36:$L$36)</f>
        <v>2045.1718750000005</v>
      </c>
      <c r="DB9" s="59">
        <f>$N$3*_xlfn.XLOOKUP(DB$1,'Input Assumptions'!$C$34:$L$34,'Input Assumptions'!$C$36:$L$36)</f>
        <v>2045.1718750000005</v>
      </c>
      <c r="DC9" s="59">
        <f>$N$3*_xlfn.XLOOKUP(DC$1,'Input Assumptions'!$C$34:$L$34,'Input Assumptions'!$C$36:$L$36)</f>
        <v>2045.1718750000005</v>
      </c>
      <c r="DD9" s="59">
        <f>$N$3*_xlfn.XLOOKUP(DD$1,'Input Assumptions'!$C$34:$L$34,'Input Assumptions'!$C$36:$L$36)</f>
        <v>2045.1718750000005</v>
      </c>
      <c r="DE9" s="59">
        <f>$N$3*_xlfn.XLOOKUP(DE$1,'Input Assumptions'!$C$34:$L$34,'Input Assumptions'!$C$36:$L$36)</f>
        <v>2045.1718750000005</v>
      </c>
      <c r="DF9" s="59">
        <f>$N$3*_xlfn.XLOOKUP(DF$1,'Input Assumptions'!$C$34:$L$34,'Input Assumptions'!$C$36:$L$36)</f>
        <v>2045.1718750000005</v>
      </c>
      <c r="DG9" s="59">
        <f>$N$3*_xlfn.XLOOKUP(DG$1,'Input Assumptions'!$C$34:$L$34,'Input Assumptions'!$C$36:$L$36)</f>
        <v>2121.8658203125005</v>
      </c>
      <c r="DH9" s="59">
        <f>$N$3*_xlfn.XLOOKUP(DH$1,'Input Assumptions'!$C$34:$L$34,'Input Assumptions'!$C$36:$L$36)</f>
        <v>2121.8658203125005</v>
      </c>
      <c r="DI9" s="59">
        <f>$N$3*_xlfn.XLOOKUP(DI$1,'Input Assumptions'!$C$34:$L$34,'Input Assumptions'!$C$36:$L$36)</f>
        <v>2121.8658203125005</v>
      </c>
      <c r="DJ9" s="59">
        <f>$N$3*_xlfn.XLOOKUP(DJ$1,'Input Assumptions'!$C$34:$L$34,'Input Assumptions'!$C$36:$L$36)</f>
        <v>2121.8658203125005</v>
      </c>
      <c r="DK9" s="59">
        <f>$N$3*_xlfn.XLOOKUP(DK$1,'Input Assumptions'!$C$34:$L$34,'Input Assumptions'!$C$36:$L$36)</f>
        <v>2121.8658203125005</v>
      </c>
      <c r="DL9" s="59">
        <f>$N$3*_xlfn.XLOOKUP(DL$1,'Input Assumptions'!$C$34:$L$34,'Input Assumptions'!$C$36:$L$36)</f>
        <v>2121.8658203125005</v>
      </c>
      <c r="DM9" s="59">
        <f>$N$3*_xlfn.XLOOKUP(DM$1,'Input Assumptions'!$C$34:$L$34,'Input Assumptions'!$C$36:$L$36)</f>
        <v>2121.8658203125005</v>
      </c>
      <c r="DN9" s="59">
        <f>$N$3*_xlfn.XLOOKUP(DN$1,'Input Assumptions'!$C$34:$L$34,'Input Assumptions'!$C$36:$L$36)</f>
        <v>2121.8658203125005</v>
      </c>
      <c r="DO9" s="59">
        <f>$N$3*_xlfn.XLOOKUP(DO$1,'Input Assumptions'!$C$34:$L$34,'Input Assumptions'!$C$36:$L$36)</f>
        <v>2121.8658203125005</v>
      </c>
      <c r="DP9" s="59">
        <f>$N$3*_xlfn.XLOOKUP(DP$1,'Input Assumptions'!$C$34:$L$34,'Input Assumptions'!$C$36:$L$36)</f>
        <v>2121.8658203125005</v>
      </c>
      <c r="DQ9" s="59">
        <f>$N$3*_xlfn.XLOOKUP(DQ$1,'Input Assumptions'!$C$34:$L$34,'Input Assumptions'!$C$36:$L$36)</f>
        <v>2121.8658203125005</v>
      </c>
      <c r="DR9" s="59">
        <f>$N$3*_xlfn.XLOOKUP(DR$1,'Input Assumptions'!$C$34:$L$34,'Input Assumptions'!$C$36:$L$36)</f>
        <v>2121.8658203125005</v>
      </c>
      <c r="DS9" s="59">
        <f>$N$3*_xlfn.XLOOKUP(DS$1,'Input Assumptions'!$C$34:$L$34,'Input Assumptions'!$C$36:$L$36)</f>
        <v>2201.4357885742193</v>
      </c>
      <c r="DT9" s="59">
        <f>$N$3*_xlfn.XLOOKUP(DT$1,'Input Assumptions'!$C$34:$L$34,'Input Assumptions'!$C$36:$L$36)</f>
        <v>2201.4357885742193</v>
      </c>
      <c r="DU9" s="59">
        <f>$N$3*_xlfn.XLOOKUP(DU$1,'Input Assumptions'!$C$34:$L$34,'Input Assumptions'!$C$36:$L$36)</f>
        <v>2201.4357885742193</v>
      </c>
      <c r="DV9" s="59">
        <f>$N$3*_xlfn.XLOOKUP(DV$1,'Input Assumptions'!$C$34:$L$34,'Input Assumptions'!$C$36:$L$36)</f>
        <v>2201.4357885742193</v>
      </c>
      <c r="DW9" s="59">
        <f>$N$3*_xlfn.XLOOKUP(DW$1,'Input Assumptions'!$C$34:$L$34,'Input Assumptions'!$C$36:$L$36)</f>
        <v>2201.4357885742193</v>
      </c>
      <c r="DX9" s="59">
        <f>$N$3*_xlfn.XLOOKUP(DX$1,'Input Assumptions'!$C$34:$L$34,'Input Assumptions'!$C$36:$L$36)</f>
        <v>2201.4357885742193</v>
      </c>
      <c r="DY9" s="59">
        <f>$N$3*_xlfn.XLOOKUP(DY$1,'Input Assumptions'!$C$34:$L$34,'Input Assumptions'!$C$36:$L$36)</f>
        <v>2201.4357885742193</v>
      </c>
      <c r="DZ9" s="59">
        <f>$N$3*_xlfn.XLOOKUP(DZ$1,'Input Assumptions'!$C$34:$L$34,'Input Assumptions'!$C$36:$L$36)</f>
        <v>2201.4357885742193</v>
      </c>
      <c r="EA9" s="59">
        <f>$N$3*_xlfn.XLOOKUP(EA$1,'Input Assumptions'!$C$34:$L$34,'Input Assumptions'!$C$36:$L$36)</f>
        <v>2201.4357885742193</v>
      </c>
      <c r="EB9" s="59">
        <f>$N$3*_xlfn.XLOOKUP(EB$1,'Input Assumptions'!$C$34:$L$34,'Input Assumptions'!$C$36:$L$36)</f>
        <v>2201.4357885742193</v>
      </c>
      <c r="EC9" s="59">
        <f>$N$3*_xlfn.XLOOKUP(EC$1,'Input Assumptions'!$C$34:$L$34,'Input Assumptions'!$C$36:$L$36)</f>
        <v>2201.4357885742193</v>
      </c>
    </row>
    <row r="10" spans="2:133" x14ac:dyDescent="0.3">
      <c r="B10" s="15">
        <v>1</v>
      </c>
      <c r="C10" s="16">
        <v>8</v>
      </c>
      <c r="D10" s="16" t="s">
        <v>10</v>
      </c>
      <c r="E10" s="16">
        <v>450</v>
      </c>
      <c r="F10" s="20">
        <f t="shared" si="108"/>
        <v>41.80640845790095</v>
      </c>
      <c r="G10" s="19" t="str">
        <f t="shared" si="109"/>
        <v>1</v>
      </c>
      <c r="H10" s="20">
        <f t="shared" si="112"/>
        <v>1</v>
      </c>
      <c r="I10" s="18">
        <f t="shared" si="110"/>
        <v>1710</v>
      </c>
      <c r="J10" s="18">
        <f t="shared" si="111"/>
        <v>1900</v>
      </c>
      <c r="K10" s="18">
        <f>(J10*'Input Assumptions'!$C$20)+I10*('Input Assumptions'!$C$21)</f>
        <v>1900</v>
      </c>
      <c r="L10" s="94"/>
      <c r="N10" s="59">
        <f t="shared" si="113"/>
        <v>1900</v>
      </c>
      <c r="O10" s="59">
        <f>$N$3*_xlfn.XLOOKUP(O$1,'Input Assumptions'!$C$34:$L$34,'Input Assumptions'!$C$36:$L$36)</f>
        <v>1900</v>
      </c>
      <c r="P10" s="59">
        <f>$N$3*_xlfn.XLOOKUP(P$1,'Input Assumptions'!$C$34:$L$34,'Input Assumptions'!$C$36:$L$36)</f>
        <v>1900</v>
      </c>
      <c r="Q10" s="59">
        <f>$N$3*_xlfn.XLOOKUP(Q$1,'Input Assumptions'!$C$34:$L$34,'Input Assumptions'!$C$36:$L$36)</f>
        <v>1900</v>
      </c>
      <c r="R10" s="59">
        <f>$N$3*_xlfn.XLOOKUP(R$1,'Input Assumptions'!$C$34:$L$34,'Input Assumptions'!$C$36:$L$36)</f>
        <v>1900</v>
      </c>
      <c r="S10" s="59">
        <f>$N$3*_xlfn.XLOOKUP(S$1,'Input Assumptions'!$C$34:$L$34,'Input Assumptions'!$C$36:$L$36)</f>
        <v>1900</v>
      </c>
      <c r="T10" s="59">
        <f>$N$3*_xlfn.XLOOKUP(T$1,'Input Assumptions'!$C$34:$L$34,'Input Assumptions'!$C$36:$L$36)</f>
        <v>1900</v>
      </c>
      <c r="U10" s="59">
        <f>$N$3*_xlfn.XLOOKUP(U$1,'Input Assumptions'!$C$34:$L$34,'Input Assumptions'!$C$36:$L$36)</f>
        <v>1900</v>
      </c>
      <c r="V10" s="59">
        <f>$N$3*_xlfn.XLOOKUP(V$1,'Input Assumptions'!$C$34:$L$34,'Input Assumptions'!$C$36:$L$36)</f>
        <v>1900</v>
      </c>
      <c r="W10" s="59">
        <f>$N$3*_xlfn.XLOOKUP(W$1,'Input Assumptions'!$C$34:$L$34,'Input Assumptions'!$C$36:$L$36)</f>
        <v>1900</v>
      </c>
      <c r="X10" s="59">
        <f>$N$3*_xlfn.XLOOKUP(X$1,'Input Assumptions'!$C$34:$L$34,'Input Assumptions'!$C$36:$L$36)</f>
        <v>1900</v>
      </c>
      <c r="Y10" s="59">
        <f>$N$3*_xlfn.XLOOKUP(Y$1,'Input Assumptions'!$C$34:$L$34,'Input Assumptions'!$C$36:$L$36)</f>
        <v>1900</v>
      </c>
      <c r="Z10" s="59">
        <f>$N$3*_xlfn.XLOOKUP(Z$1,'Input Assumptions'!$C$34:$L$34,'Input Assumptions'!$C$36:$L$36)</f>
        <v>1971.2500000000002</v>
      </c>
      <c r="AA10" s="59">
        <f>$N$3*_xlfn.XLOOKUP(AA$1,'Input Assumptions'!$C$34:$L$34,'Input Assumptions'!$C$36:$L$36)</f>
        <v>1971.2500000000002</v>
      </c>
      <c r="AB10" s="59">
        <f>$N$3*_xlfn.XLOOKUP(AB$1,'Input Assumptions'!$C$34:$L$34,'Input Assumptions'!$C$36:$L$36)</f>
        <v>1971.2500000000002</v>
      </c>
      <c r="AC10" s="59">
        <f>$N$3*_xlfn.XLOOKUP(AC$1,'Input Assumptions'!$C$34:$L$34,'Input Assumptions'!$C$36:$L$36)</f>
        <v>1971.2500000000002</v>
      </c>
      <c r="AD10" s="59">
        <f>$N$3*_xlfn.XLOOKUP(AD$1,'Input Assumptions'!$C$34:$L$34,'Input Assumptions'!$C$36:$L$36)</f>
        <v>1971.2500000000002</v>
      </c>
      <c r="AE10" s="59">
        <f>$N$3*_xlfn.XLOOKUP(AE$1,'Input Assumptions'!$C$34:$L$34,'Input Assumptions'!$C$36:$L$36)</f>
        <v>1971.2500000000002</v>
      </c>
      <c r="AF10" s="59">
        <f>$N$3*_xlfn.XLOOKUP(AF$1,'Input Assumptions'!$C$34:$L$34,'Input Assumptions'!$C$36:$L$36)</f>
        <v>1971.2500000000002</v>
      </c>
      <c r="AG10" s="59">
        <f>$N$3*_xlfn.XLOOKUP(AG$1,'Input Assumptions'!$C$34:$L$34,'Input Assumptions'!$C$36:$L$36)</f>
        <v>1971.2500000000002</v>
      </c>
      <c r="AH10" s="59">
        <f>$N$3*_xlfn.XLOOKUP(AH$1,'Input Assumptions'!$C$34:$L$34,'Input Assumptions'!$C$36:$L$36)</f>
        <v>1971.2500000000002</v>
      </c>
      <c r="AI10" s="59">
        <f>$N$3*_xlfn.XLOOKUP(AI$1,'Input Assumptions'!$C$34:$L$34,'Input Assumptions'!$C$36:$L$36)</f>
        <v>1971.2500000000002</v>
      </c>
      <c r="AJ10" s="59">
        <f>$N$3*_xlfn.XLOOKUP(AJ$1,'Input Assumptions'!$C$34:$L$34,'Input Assumptions'!$C$36:$L$36)</f>
        <v>1971.2500000000002</v>
      </c>
      <c r="AK10" s="59">
        <f>$N$3*_xlfn.XLOOKUP(AK$1,'Input Assumptions'!$C$34:$L$34,'Input Assumptions'!$C$36:$L$36)</f>
        <v>1971.2500000000002</v>
      </c>
      <c r="AL10" s="59">
        <f>$N$3*_xlfn.XLOOKUP(AL$1,'Input Assumptions'!$C$34:$L$34,'Input Assumptions'!$C$36:$L$36)</f>
        <v>2045.1718750000005</v>
      </c>
      <c r="AM10" s="59">
        <f>$N$3*_xlfn.XLOOKUP(AM$1,'Input Assumptions'!$C$34:$L$34,'Input Assumptions'!$C$36:$L$36)</f>
        <v>2045.1718750000005</v>
      </c>
      <c r="AN10" s="59">
        <f>$N$3*_xlfn.XLOOKUP(AN$1,'Input Assumptions'!$C$34:$L$34,'Input Assumptions'!$C$36:$L$36)</f>
        <v>2045.1718750000005</v>
      </c>
      <c r="AO10" s="59">
        <f>$N$3*_xlfn.XLOOKUP(AO$1,'Input Assumptions'!$C$34:$L$34,'Input Assumptions'!$C$36:$L$36)</f>
        <v>2045.1718750000005</v>
      </c>
      <c r="AP10" s="59">
        <f>$N$3*_xlfn.XLOOKUP(AP$1,'Input Assumptions'!$C$34:$L$34,'Input Assumptions'!$C$36:$L$36)</f>
        <v>2045.1718750000005</v>
      </c>
      <c r="AQ10" s="59">
        <f>$N$3*_xlfn.XLOOKUP(AQ$1,'Input Assumptions'!$C$34:$L$34,'Input Assumptions'!$C$36:$L$36)</f>
        <v>2045.1718750000005</v>
      </c>
      <c r="AR10" s="59">
        <f>$N$3*_xlfn.XLOOKUP(AR$1,'Input Assumptions'!$C$34:$L$34,'Input Assumptions'!$C$36:$L$36)</f>
        <v>2045.1718750000005</v>
      </c>
      <c r="AS10" s="59">
        <f>$N$3*_xlfn.XLOOKUP(AS$1,'Input Assumptions'!$C$34:$L$34,'Input Assumptions'!$C$36:$L$36)</f>
        <v>2045.1718750000005</v>
      </c>
      <c r="AT10" s="59">
        <f>$N$3*_xlfn.XLOOKUP(AT$1,'Input Assumptions'!$C$34:$L$34,'Input Assumptions'!$C$36:$L$36)</f>
        <v>2045.1718750000005</v>
      </c>
      <c r="AU10" s="59">
        <f>$N$3*_xlfn.XLOOKUP(AU$1,'Input Assumptions'!$C$34:$L$34,'Input Assumptions'!$C$36:$L$36)</f>
        <v>2045.1718750000005</v>
      </c>
      <c r="AV10" s="59">
        <f>$N$3*_xlfn.XLOOKUP(AV$1,'Input Assumptions'!$C$34:$L$34,'Input Assumptions'!$C$36:$L$36)</f>
        <v>2045.1718750000005</v>
      </c>
      <c r="AW10" s="59">
        <f>$N$3*_xlfn.XLOOKUP(AW$1,'Input Assumptions'!$C$34:$L$34,'Input Assumptions'!$C$36:$L$36)</f>
        <v>2045.1718750000005</v>
      </c>
      <c r="AX10" s="59">
        <f>$N$3*_xlfn.XLOOKUP(AX$1,'Input Assumptions'!$C$34:$L$34,'Input Assumptions'!$C$36:$L$36)</f>
        <v>2121.8658203125005</v>
      </c>
      <c r="AY10" s="59">
        <f>$N$3*_xlfn.XLOOKUP(AY$1,'Input Assumptions'!$C$34:$L$34,'Input Assumptions'!$C$36:$L$36)</f>
        <v>2121.8658203125005</v>
      </c>
      <c r="AZ10" s="59">
        <f>$N$3*_xlfn.XLOOKUP(AZ$1,'Input Assumptions'!$C$34:$L$34,'Input Assumptions'!$C$36:$L$36)</f>
        <v>2121.8658203125005</v>
      </c>
      <c r="BA10" s="59">
        <f>$N$3*_xlfn.XLOOKUP(BA$1,'Input Assumptions'!$C$34:$L$34,'Input Assumptions'!$C$36:$L$36)</f>
        <v>2121.8658203125005</v>
      </c>
      <c r="BB10" s="59">
        <f>$N$3*_xlfn.XLOOKUP(BB$1,'Input Assumptions'!$C$34:$L$34,'Input Assumptions'!$C$36:$L$36)</f>
        <v>2121.8658203125005</v>
      </c>
      <c r="BC10" s="59">
        <f>$N$3*_xlfn.XLOOKUP(BC$1,'Input Assumptions'!$C$34:$L$34,'Input Assumptions'!$C$36:$L$36)</f>
        <v>2121.8658203125005</v>
      </c>
      <c r="BD10" s="59">
        <f>$N$3*_xlfn.XLOOKUP(BD$1,'Input Assumptions'!$C$34:$L$34,'Input Assumptions'!$C$36:$L$36)</f>
        <v>2121.8658203125005</v>
      </c>
      <c r="BE10" s="59">
        <f>$N$3*_xlfn.XLOOKUP(BE$1,'Input Assumptions'!$C$34:$L$34,'Input Assumptions'!$C$36:$L$36)</f>
        <v>2121.8658203125005</v>
      </c>
      <c r="BF10" s="59">
        <f>$N$3*_xlfn.XLOOKUP(BF$1,'Input Assumptions'!$C$34:$L$34,'Input Assumptions'!$C$36:$L$36)</f>
        <v>2121.8658203125005</v>
      </c>
      <c r="BG10" s="59">
        <f>$N$3*_xlfn.XLOOKUP(BG$1,'Input Assumptions'!$C$34:$L$34,'Input Assumptions'!$C$36:$L$36)</f>
        <v>2121.8658203125005</v>
      </c>
      <c r="BH10" s="59">
        <f>$N$3*_xlfn.XLOOKUP(BH$1,'Input Assumptions'!$C$34:$L$34,'Input Assumptions'!$C$36:$L$36)</f>
        <v>2121.8658203125005</v>
      </c>
      <c r="BI10" s="59">
        <f>$N$3*_xlfn.XLOOKUP(BI$1,'Input Assumptions'!$C$34:$L$34,'Input Assumptions'!$C$36:$L$36)</f>
        <v>2121.8658203125005</v>
      </c>
      <c r="BJ10" s="59">
        <f>$N$3*_xlfn.XLOOKUP(BJ$1,'Input Assumptions'!$C$34:$L$34,'Input Assumptions'!$C$36:$L$36)</f>
        <v>2201.4357885742193</v>
      </c>
      <c r="BK10" s="59">
        <f>$N$3*_xlfn.XLOOKUP(BK$1,'Input Assumptions'!$C$34:$L$34,'Input Assumptions'!$C$36:$L$36)</f>
        <v>2201.4357885742193</v>
      </c>
      <c r="BL10" s="59">
        <f>$N$3*_xlfn.XLOOKUP(BL$1,'Input Assumptions'!$C$34:$L$34,'Input Assumptions'!$C$36:$L$36)</f>
        <v>2201.4357885742193</v>
      </c>
      <c r="BM10" s="59">
        <f>$N$3*_xlfn.XLOOKUP(BM$1,'Input Assumptions'!$C$34:$L$34,'Input Assumptions'!$C$36:$L$36)</f>
        <v>2201.4357885742193</v>
      </c>
      <c r="BN10" s="59">
        <f>$N$3*_xlfn.XLOOKUP(BN$1,'Input Assumptions'!$C$34:$L$34,'Input Assumptions'!$C$36:$L$36)</f>
        <v>2201.4357885742193</v>
      </c>
      <c r="BO10" s="59">
        <f>$N$3*_xlfn.XLOOKUP(BO$1,'Input Assumptions'!$C$34:$L$34,'Input Assumptions'!$C$36:$L$36)</f>
        <v>2201.4357885742193</v>
      </c>
      <c r="BP10" s="59">
        <f>$N$3*_xlfn.XLOOKUP(BP$1,'Input Assumptions'!$C$34:$L$34,'Input Assumptions'!$C$36:$L$36)</f>
        <v>2201.4357885742193</v>
      </c>
      <c r="BQ10" s="59">
        <f>$N$3*_xlfn.XLOOKUP(BQ$1,'Input Assumptions'!$C$34:$L$34,'Input Assumptions'!$C$36:$L$36)</f>
        <v>2201.4357885742193</v>
      </c>
      <c r="BR10" s="59">
        <f>$N$3*_xlfn.XLOOKUP(BR$1,'Input Assumptions'!$C$34:$L$34,'Input Assumptions'!$C$36:$L$36)</f>
        <v>2201.4357885742193</v>
      </c>
      <c r="BS10" s="59">
        <f>$N$3*_xlfn.XLOOKUP(BS$1,'Input Assumptions'!$C$34:$L$34,'Input Assumptions'!$C$36:$L$36)</f>
        <v>2201.4357885742193</v>
      </c>
      <c r="BT10" s="59">
        <f>$N$3*_xlfn.XLOOKUP(BT$1,'Input Assumptions'!$C$34:$L$34,'Input Assumptions'!$C$36:$L$36)</f>
        <v>2201.4357885742193</v>
      </c>
      <c r="BU10" s="59">
        <f>$N$3*_xlfn.XLOOKUP(BU$1,'Input Assumptions'!$C$34:$L$34,'Input Assumptions'!$C$36:$L$36)</f>
        <v>2201.4357885742193</v>
      </c>
      <c r="BV10" s="59">
        <f>$N$3*_xlfn.XLOOKUP(BV$1,'Input Assumptions'!$C$34:$L$34,'Input Assumptions'!$C$36:$L$36)</f>
        <v>2283.9896306457531</v>
      </c>
      <c r="BW10" s="59">
        <f>$N$3*_xlfn.XLOOKUP(BW$1,'Input Assumptions'!$C$34:$L$34,'Input Assumptions'!$C$36:$L$36)</f>
        <v>1900</v>
      </c>
      <c r="BX10" s="59">
        <f>$N$3*_xlfn.XLOOKUP(BX$1,'Input Assumptions'!$C$34:$L$34,'Input Assumptions'!$C$36:$L$36)</f>
        <v>1900</v>
      </c>
      <c r="BY10" s="59">
        <f>$N$3*_xlfn.XLOOKUP(BY$1,'Input Assumptions'!$C$34:$L$34,'Input Assumptions'!$C$36:$L$36)</f>
        <v>1900</v>
      </c>
      <c r="BZ10" s="59">
        <f>$N$3*_xlfn.XLOOKUP(BZ$1,'Input Assumptions'!$C$34:$L$34,'Input Assumptions'!$C$36:$L$36)</f>
        <v>1900</v>
      </c>
      <c r="CA10" s="59">
        <f>$N$3*_xlfn.XLOOKUP(CA$1,'Input Assumptions'!$C$34:$L$34,'Input Assumptions'!$C$36:$L$36)</f>
        <v>1900</v>
      </c>
      <c r="CB10" s="59">
        <f>$N$3*_xlfn.XLOOKUP(CB$1,'Input Assumptions'!$C$34:$L$34,'Input Assumptions'!$C$36:$L$36)</f>
        <v>1900</v>
      </c>
      <c r="CC10" s="59">
        <f>$N$3*_xlfn.XLOOKUP(CC$1,'Input Assumptions'!$C$34:$L$34,'Input Assumptions'!$C$36:$L$36)</f>
        <v>1900</v>
      </c>
      <c r="CD10" s="59">
        <f>$N$3*_xlfn.XLOOKUP(CD$1,'Input Assumptions'!$C$34:$L$34,'Input Assumptions'!$C$36:$L$36)</f>
        <v>1900</v>
      </c>
      <c r="CE10" s="59">
        <f>$N$3*_xlfn.XLOOKUP(CE$1,'Input Assumptions'!$C$34:$L$34,'Input Assumptions'!$C$36:$L$36)</f>
        <v>1900</v>
      </c>
      <c r="CF10" s="59">
        <f>$N$3*_xlfn.XLOOKUP(CF$1,'Input Assumptions'!$C$34:$L$34,'Input Assumptions'!$C$36:$L$36)</f>
        <v>1900</v>
      </c>
      <c r="CG10" s="59">
        <f>$N$3*_xlfn.XLOOKUP(CG$1,'Input Assumptions'!$C$34:$L$34,'Input Assumptions'!$C$36:$L$36)</f>
        <v>1900</v>
      </c>
      <c r="CH10" s="59">
        <f>$N$3*_xlfn.XLOOKUP(CH$1,'Input Assumptions'!$C$34:$L$34,'Input Assumptions'!$C$36:$L$36)</f>
        <v>1900</v>
      </c>
      <c r="CI10" s="59">
        <f>$N$3*_xlfn.XLOOKUP(CI$1,'Input Assumptions'!$C$34:$L$34,'Input Assumptions'!$C$36:$L$36)</f>
        <v>1971.2500000000002</v>
      </c>
      <c r="CJ10" s="59">
        <f>$N$3*_xlfn.XLOOKUP(CJ$1,'Input Assumptions'!$C$34:$L$34,'Input Assumptions'!$C$36:$L$36)</f>
        <v>1971.2500000000002</v>
      </c>
      <c r="CK10" s="59">
        <f>$N$3*_xlfn.XLOOKUP(CK$1,'Input Assumptions'!$C$34:$L$34,'Input Assumptions'!$C$36:$L$36)</f>
        <v>1971.2500000000002</v>
      </c>
      <c r="CL10" s="59">
        <f>$N$3*_xlfn.XLOOKUP(CL$1,'Input Assumptions'!$C$34:$L$34,'Input Assumptions'!$C$36:$L$36)</f>
        <v>1971.2500000000002</v>
      </c>
      <c r="CM10" s="59">
        <f>$N$3*_xlfn.XLOOKUP(CM$1,'Input Assumptions'!$C$34:$L$34,'Input Assumptions'!$C$36:$L$36)</f>
        <v>1971.2500000000002</v>
      </c>
      <c r="CN10" s="59">
        <f>$N$3*_xlfn.XLOOKUP(CN$1,'Input Assumptions'!$C$34:$L$34,'Input Assumptions'!$C$36:$L$36)</f>
        <v>1971.2500000000002</v>
      </c>
      <c r="CO10" s="59">
        <f>$N$3*_xlfn.XLOOKUP(CO$1,'Input Assumptions'!$C$34:$L$34,'Input Assumptions'!$C$36:$L$36)</f>
        <v>1971.2500000000002</v>
      </c>
      <c r="CP10" s="59">
        <f>$N$3*_xlfn.XLOOKUP(CP$1,'Input Assumptions'!$C$34:$L$34,'Input Assumptions'!$C$36:$L$36)</f>
        <v>1971.2500000000002</v>
      </c>
      <c r="CQ10" s="59">
        <f>$N$3*_xlfn.XLOOKUP(CQ$1,'Input Assumptions'!$C$34:$L$34,'Input Assumptions'!$C$36:$L$36)</f>
        <v>1971.2500000000002</v>
      </c>
      <c r="CR10" s="59">
        <f>$N$3*_xlfn.XLOOKUP(CR$1,'Input Assumptions'!$C$34:$L$34,'Input Assumptions'!$C$36:$L$36)</f>
        <v>1971.2500000000002</v>
      </c>
      <c r="CS10" s="59">
        <f>$N$3*_xlfn.XLOOKUP(CS$1,'Input Assumptions'!$C$34:$L$34,'Input Assumptions'!$C$36:$L$36)</f>
        <v>1971.2500000000002</v>
      </c>
      <c r="CT10" s="59">
        <f>$N$3*_xlfn.XLOOKUP(CT$1,'Input Assumptions'!$C$34:$L$34,'Input Assumptions'!$C$36:$L$36)</f>
        <v>1971.2500000000002</v>
      </c>
      <c r="CU10" s="59">
        <f>$N$3*_xlfn.XLOOKUP(CU$1,'Input Assumptions'!$C$34:$L$34,'Input Assumptions'!$C$36:$L$36)</f>
        <v>2045.1718750000005</v>
      </c>
      <c r="CV10" s="59">
        <f>$N$3*_xlfn.XLOOKUP(CV$1,'Input Assumptions'!$C$34:$L$34,'Input Assumptions'!$C$36:$L$36)</f>
        <v>2045.1718750000005</v>
      </c>
      <c r="CW10" s="59">
        <f>$N$3*_xlfn.XLOOKUP(CW$1,'Input Assumptions'!$C$34:$L$34,'Input Assumptions'!$C$36:$L$36)</f>
        <v>2045.1718750000005</v>
      </c>
      <c r="CX10" s="59">
        <f>$N$3*_xlfn.XLOOKUP(CX$1,'Input Assumptions'!$C$34:$L$34,'Input Assumptions'!$C$36:$L$36)</f>
        <v>2045.1718750000005</v>
      </c>
      <c r="CY10" s="59">
        <f>$N$3*_xlfn.XLOOKUP(CY$1,'Input Assumptions'!$C$34:$L$34,'Input Assumptions'!$C$36:$L$36)</f>
        <v>2045.1718750000005</v>
      </c>
      <c r="CZ10" s="59">
        <f>$N$3*_xlfn.XLOOKUP(CZ$1,'Input Assumptions'!$C$34:$L$34,'Input Assumptions'!$C$36:$L$36)</f>
        <v>2045.1718750000005</v>
      </c>
      <c r="DA10" s="59">
        <f>$N$3*_xlfn.XLOOKUP(DA$1,'Input Assumptions'!$C$34:$L$34,'Input Assumptions'!$C$36:$L$36)</f>
        <v>2045.1718750000005</v>
      </c>
      <c r="DB10" s="59">
        <f>$N$3*_xlfn.XLOOKUP(DB$1,'Input Assumptions'!$C$34:$L$34,'Input Assumptions'!$C$36:$L$36)</f>
        <v>2045.1718750000005</v>
      </c>
      <c r="DC10" s="59">
        <f>$N$3*_xlfn.XLOOKUP(DC$1,'Input Assumptions'!$C$34:$L$34,'Input Assumptions'!$C$36:$L$36)</f>
        <v>2045.1718750000005</v>
      </c>
      <c r="DD10" s="59">
        <f>$N$3*_xlfn.XLOOKUP(DD$1,'Input Assumptions'!$C$34:$L$34,'Input Assumptions'!$C$36:$L$36)</f>
        <v>2045.1718750000005</v>
      </c>
      <c r="DE10" s="59">
        <f>$N$3*_xlfn.XLOOKUP(DE$1,'Input Assumptions'!$C$34:$L$34,'Input Assumptions'!$C$36:$L$36)</f>
        <v>2045.1718750000005</v>
      </c>
      <c r="DF10" s="59">
        <f>$N$3*_xlfn.XLOOKUP(DF$1,'Input Assumptions'!$C$34:$L$34,'Input Assumptions'!$C$36:$L$36)</f>
        <v>2045.1718750000005</v>
      </c>
      <c r="DG10" s="59">
        <f>$N$3*_xlfn.XLOOKUP(DG$1,'Input Assumptions'!$C$34:$L$34,'Input Assumptions'!$C$36:$L$36)</f>
        <v>2121.8658203125005</v>
      </c>
      <c r="DH10" s="59">
        <f>$N$3*_xlfn.XLOOKUP(DH$1,'Input Assumptions'!$C$34:$L$34,'Input Assumptions'!$C$36:$L$36)</f>
        <v>2121.8658203125005</v>
      </c>
      <c r="DI10" s="59">
        <f>$N$3*_xlfn.XLOOKUP(DI$1,'Input Assumptions'!$C$34:$L$34,'Input Assumptions'!$C$36:$L$36)</f>
        <v>2121.8658203125005</v>
      </c>
      <c r="DJ10" s="59">
        <f>$N$3*_xlfn.XLOOKUP(DJ$1,'Input Assumptions'!$C$34:$L$34,'Input Assumptions'!$C$36:$L$36)</f>
        <v>2121.8658203125005</v>
      </c>
      <c r="DK10" s="59">
        <f>$N$3*_xlfn.XLOOKUP(DK$1,'Input Assumptions'!$C$34:$L$34,'Input Assumptions'!$C$36:$L$36)</f>
        <v>2121.8658203125005</v>
      </c>
      <c r="DL10" s="59">
        <f>$N$3*_xlfn.XLOOKUP(DL$1,'Input Assumptions'!$C$34:$L$34,'Input Assumptions'!$C$36:$L$36)</f>
        <v>2121.8658203125005</v>
      </c>
      <c r="DM10" s="59">
        <f>$N$3*_xlfn.XLOOKUP(DM$1,'Input Assumptions'!$C$34:$L$34,'Input Assumptions'!$C$36:$L$36)</f>
        <v>2121.8658203125005</v>
      </c>
      <c r="DN10" s="59">
        <f>$N$3*_xlfn.XLOOKUP(DN$1,'Input Assumptions'!$C$34:$L$34,'Input Assumptions'!$C$36:$L$36)</f>
        <v>2121.8658203125005</v>
      </c>
      <c r="DO10" s="59">
        <f>$N$3*_xlfn.XLOOKUP(DO$1,'Input Assumptions'!$C$34:$L$34,'Input Assumptions'!$C$36:$L$36)</f>
        <v>2121.8658203125005</v>
      </c>
      <c r="DP10" s="59">
        <f>$N$3*_xlfn.XLOOKUP(DP$1,'Input Assumptions'!$C$34:$L$34,'Input Assumptions'!$C$36:$L$36)</f>
        <v>2121.8658203125005</v>
      </c>
      <c r="DQ10" s="59">
        <f>$N$3*_xlfn.XLOOKUP(DQ$1,'Input Assumptions'!$C$34:$L$34,'Input Assumptions'!$C$36:$L$36)</f>
        <v>2121.8658203125005</v>
      </c>
      <c r="DR10" s="59">
        <f>$N$3*_xlfn.XLOOKUP(DR$1,'Input Assumptions'!$C$34:$L$34,'Input Assumptions'!$C$36:$L$36)</f>
        <v>2121.8658203125005</v>
      </c>
      <c r="DS10" s="59">
        <f>$N$3*_xlfn.XLOOKUP(DS$1,'Input Assumptions'!$C$34:$L$34,'Input Assumptions'!$C$36:$L$36)</f>
        <v>2201.4357885742193</v>
      </c>
      <c r="DT10" s="59">
        <f>$N$3*_xlfn.XLOOKUP(DT$1,'Input Assumptions'!$C$34:$L$34,'Input Assumptions'!$C$36:$L$36)</f>
        <v>2201.4357885742193</v>
      </c>
      <c r="DU10" s="59">
        <f>$N$3*_xlfn.XLOOKUP(DU$1,'Input Assumptions'!$C$34:$L$34,'Input Assumptions'!$C$36:$L$36)</f>
        <v>2201.4357885742193</v>
      </c>
      <c r="DV10" s="59">
        <f>$N$3*_xlfn.XLOOKUP(DV$1,'Input Assumptions'!$C$34:$L$34,'Input Assumptions'!$C$36:$L$36)</f>
        <v>2201.4357885742193</v>
      </c>
      <c r="DW10" s="59">
        <f>$N$3*_xlfn.XLOOKUP(DW$1,'Input Assumptions'!$C$34:$L$34,'Input Assumptions'!$C$36:$L$36)</f>
        <v>2201.4357885742193</v>
      </c>
      <c r="DX10" s="59">
        <f>$N$3*_xlfn.XLOOKUP(DX$1,'Input Assumptions'!$C$34:$L$34,'Input Assumptions'!$C$36:$L$36)</f>
        <v>2201.4357885742193</v>
      </c>
      <c r="DY10" s="59">
        <f>$N$3*_xlfn.XLOOKUP(DY$1,'Input Assumptions'!$C$34:$L$34,'Input Assumptions'!$C$36:$L$36)</f>
        <v>2201.4357885742193</v>
      </c>
      <c r="DZ10" s="59">
        <f>$N$3*_xlfn.XLOOKUP(DZ$1,'Input Assumptions'!$C$34:$L$34,'Input Assumptions'!$C$36:$L$36)</f>
        <v>2201.4357885742193</v>
      </c>
      <c r="EA10" s="59">
        <f>$N$3*_xlfn.XLOOKUP(EA$1,'Input Assumptions'!$C$34:$L$34,'Input Assumptions'!$C$36:$L$36)</f>
        <v>2201.4357885742193</v>
      </c>
      <c r="EB10" s="59">
        <f>$N$3*_xlfn.XLOOKUP(EB$1,'Input Assumptions'!$C$34:$L$34,'Input Assumptions'!$C$36:$L$36)</f>
        <v>2201.4357885742193</v>
      </c>
      <c r="EC10" s="59">
        <f>$N$3*_xlfn.XLOOKUP(EC$1,'Input Assumptions'!$C$34:$L$34,'Input Assumptions'!$C$36:$L$36)</f>
        <v>2201.4357885742193</v>
      </c>
    </row>
    <row r="11" spans="2:133" x14ac:dyDescent="0.3">
      <c r="B11" s="15">
        <v>1</v>
      </c>
      <c r="C11" s="16">
        <v>9</v>
      </c>
      <c r="D11" s="16" t="s">
        <v>10</v>
      </c>
      <c r="E11" s="16">
        <v>450</v>
      </c>
      <c r="F11" s="20">
        <f t="shared" si="108"/>
        <v>41.80640845790095</v>
      </c>
      <c r="G11" s="19" t="str">
        <f t="shared" si="109"/>
        <v>1</v>
      </c>
      <c r="H11" s="20">
        <f t="shared" si="112"/>
        <v>1</v>
      </c>
      <c r="I11" s="18">
        <f t="shared" si="110"/>
        <v>1710</v>
      </c>
      <c r="J11" s="18">
        <f t="shared" si="111"/>
        <v>1900</v>
      </c>
      <c r="K11" s="18">
        <f>(J11*'Input Assumptions'!$C$20)+I11*('Input Assumptions'!$C$21)</f>
        <v>1900</v>
      </c>
      <c r="L11" s="94"/>
      <c r="N11" s="59">
        <f t="shared" si="113"/>
        <v>1900</v>
      </c>
      <c r="O11" s="59">
        <f>$N$3*_xlfn.XLOOKUP(O$1,'Input Assumptions'!$C$34:$L$34,'Input Assumptions'!$C$36:$L$36)</f>
        <v>1900</v>
      </c>
      <c r="P11" s="59">
        <f>$N$3*_xlfn.XLOOKUP(P$1,'Input Assumptions'!$C$34:$L$34,'Input Assumptions'!$C$36:$L$36)</f>
        <v>1900</v>
      </c>
      <c r="Q11" s="59">
        <f>$N$3*_xlfn.XLOOKUP(Q$1,'Input Assumptions'!$C$34:$L$34,'Input Assumptions'!$C$36:$L$36)</f>
        <v>1900</v>
      </c>
      <c r="R11" s="59">
        <f>$N$3*_xlfn.XLOOKUP(R$1,'Input Assumptions'!$C$34:$L$34,'Input Assumptions'!$C$36:$L$36)</f>
        <v>1900</v>
      </c>
      <c r="S11" s="59">
        <f>$N$3*_xlfn.XLOOKUP(S$1,'Input Assumptions'!$C$34:$L$34,'Input Assumptions'!$C$36:$L$36)</f>
        <v>1900</v>
      </c>
      <c r="T11" s="59">
        <f>$N$3*_xlfn.XLOOKUP(T$1,'Input Assumptions'!$C$34:$L$34,'Input Assumptions'!$C$36:$L$36)</f>
        <v>1900</v>
      </c>
      <c r="U11" s="59">
        <f>$N$3*_xlfn.XLOOKUP(U$1,'Input Assumptions'!$C$34:$L$34,'Input Assumptions'!$C$36:$L$36)</f>
        <v>1900</v>
      </c>
      <c r="V11" s="59">
        <f>$N$3*_xlfn.XLOOKUP(V$1,'Input Assumptions'!$C$34:$L$34,'Input Assumptions'!$C$36:$L$36)</f>
        <v>1900</v>
      </c>
      <c r="W11" s="59">
        <f>$N$3*_xlfn.XLOOKUP(W$1,'Input Assumptions'!$C$34:$L$34,'Input Assumptions'!$C$36:$L$36)</f>
        <v>1900</v>
      </c>
      <c r="X11" s="59">
        <f>$N$3*_xlfn.XLOOKUP(X$1,'Input Assumptions'!$C$34:$L$34,'Input Assumptions'!$C$36:$L$36)</f>
        <v>1900</v>
      </c>
      <c r="Y11" s="59">
        <f>$N$3*_xlfn.XLOOKUP(Y$1,'Input Assumptions'!$C$34:$L$34,'Input Assumptions'!$C$36:$L$36)</f>
        <v>1900</v>
      </c>
      <c r="Z11" s="59">
        <f>$N$3*_xlfn.XLOOKUP(Z$1,'Input Assumptions'!$C$34:$L$34,'Input Assumptions'!$C$36:$L$36)</f>
        <v>1971.2500000000002</v>
      </c>
      <c r="AA11" s="59">
        <f>$N$3*_xlfn.XLOOKUP(AA$1,'Input Assumptions'!$C$34:$L$34,'Input Assumptions'!$C$36:$L$36)</f>
        <v>1971.2500000000002</v>
      </c>
      <c r="AB11" s="59">
        <f>$N$3*_xlfn.XLOOKUP(AB$1,'Input Assumptions'!$C$34:$L$34,'Input Assumptions'!$C$36:$L$36)</f>
        <v>1971.2500000000002</v>
      </c>
      <c r="AC11" s="59">
        <f>$N$3*_xlfn.XLOOKUP(AC$1,'Input Assumptions'!$C$34:$L$34,'Input Assumptions'!$C$36:$L$36)</f>
        <v>1971.2500000000002</v>
      </c>
      <c r="AD11" s="59">
        <f>$N$3*_xlfn.XLOOKUP(AD$1,'Input Assumptions'!$C$34:$L$34,'Input Assumptions'!$C$36:$L$36)</f>
        <v>1971.2500000000002</v>
      </c>
      <c r="AE11" s="59">
        <f>$N$3*_xlfn.XLOOKUP(AE$1,'Input Assumptions'!$C$34:$L$34,'Input Assumptions'!$C$36:$L$36)</f>
        <v>1971.2500000000002</v>
      </c>
      <c r="AF11" s="59">
        <f>$N$3*_xlfn.XLOOKUP(AF$1,'Input Assumptions'!$C$34:$L$34,'Input Assumptions'!$C$36:$L$36)</f>
        <v>1971.2500000000002</v>
      </c>
      <c r="AG11" s="59">
        <f>$N$3*_xlfn.XLOOKUP(AG$1,'Input Assumptions'!$C$34:$L$34,'Input Assumptions'!$C$36:$L$36)</f>
        <v>1971.2500000000002</v>
      </c>
      <c r="AH11" s="59">
        <f>$N$3*_xlfn.XLOOKUP(AH$1,'Input Assumptions'!$C$34:$L$34,'Input Assumptions'!$C$36:$L$36)</f>
        <v>1971.2500000000002</v>
      </c>
      <c r="AI11" s="59">
        <f>$N$3*_xlfn.XLOOKUP(AI$1,'Input Assumptions'!$C$34:$L$34,'Input Assumptions'!$C$36:$L$36)</f>
        <v>1971.2500000000002</v>
      </c>
      <c r="AJ11" s="59">
        <f>$N$3*_xlfn.XLOOKUP(AJ$1,'Input Assumptions'!$C$34:$L$34,'Input Assumptions'!$C$36:$L$36)</f>
        <v>1971.2500000000002</v>
      </c>
      <c r="AK11" s="59">
        <f>$N$3*_xlfn.XLOOKUP(AK$1,'Input Assumptions'!$C$34:$L$34,'Input Assumptions'!$C$36:$L$36)</f>
        <v>1971.2500000000002</v>
      </c>
      <c r="AL11" s="59">
        <f>$N$3*_xlfn.XLOOKUP(AL$1,'Input Assumptions'!$C$34:$L$34,'Input Assumptions'!$C$36:$L$36)</f>
        <v>2045.1718750000005</v>
      </c>
      <c r="AM11" s="59">
        <f>$N$3*_xlfn.XLOOKUP(AM$1,'Input Assumptions'!$C$34:$L$34,'Input Assumptions'!$C$36:$L$36)</f>
        <v>2045.1718750000005</v>
      </c>
      <c r="AN11" s="59">
        <f>$N$3*_xlfn.XLOOKUP(AN$1,'Input Assumptions'!$C$34:$L$34,'Input Assumptions'!$C$36:$L$36)</f>
        <v>2045.1718750000005</v>
      </c>
      <c r="AO11" s="59">
        <f>$N$3*_xlfn.XLOOKUP(AO$1,'Input Assumptions'!$C$34:$L$34,'Input Assumptions'!$C$36:$L$36)</f>
        <v>2045.1718750000005</v>
      </c>
      <c r="AP11" s="59">
        <f>$N$3*_xlfn.XLOOKUP(AP$1,'Input Assumptions'!$C$34:$L$34,'Input Assumptions'!$C$36:$L$36)</f>
        <v>2045.1718750000005</v>
      </c>
      <c r="AQ11" s="59">
        <f>$N$3*_xlfn.XLOOKUP(AQ$1,'Input Assumptions'!$C$34:$L$34,'Input Assumptions'!$C$36:$L$36)</f>
        <v>2045.1718750000005</v>
      </c>
      <c r="AR11" s="59">
        <f>$N$3*_xlfn.XLOOKUP(AR$1,'Input Assumptions'!$C$34:$L$34,'Input Assumptions'!$C$36:$L$36)</f>
        <v>2045.1718750000005</v>
      </c>
      <c r="AS11" s="59">
        <f>$N$3*_xlfn.XLOOKUP(AS$1,'Input Assumptions'!$C$34:$L$34,'Input Assumptions'!$C$36:$L$36)</f>
        <v>2045.1718750000005</v>
      </c>
      <c r="AT11" s="59">
        <f>$N$3*_xlfn.XLOOKUP(AT$1,'Input Assumptions'!$C$34:$L$34,'Input Assumptions'!$C$36:$L$36)</f>
        <v>2045.1718750000005</v>
      </c>
      <c r="AU11" s="59">
        <f>$N$3*_xlfn.XLOOKUP(AU$1,'Input Assumptions'!$C$34:$L$34,'Input Assumptions'!$C$36:$L$36)</f>
        <v>2045.1718750000005</v>
      </c>
      <c r="AV11" s="59">
        <f>$N$3*_xlfn.XLOOKUP(AV$1,'Input Assumptions'!$C$34:$L$34,'Input Assumptions'!$C$36:$L$36)</f>
        <v>2045.1718750000005</v>
      </c>
      <c r="AW11" s="59">
        <f>$N$3*_xlfn.XLOOKUP(AW$1,'Input Assumptions'!$C$34:$L$34,'Input Assumptions'!$C$36:$L$36)</f>
        <v>2045.1718750000005</v>
      </c>
      <c r="AX11" s="59">
        <f>$N$3*_xlfn.XLOOKUP(AX$1,'Input Assumptions'!$C$34:$L$34,'Input Assumptions'!$C$36:$L$36)</f>
        <v>2121.8658203125005</v>
      </c>
      <c r="AY11" s="59">
        <f>$N$3*_xlfn.XLOOKUP(AY$1,'Input Assumptions'!$C$34:$L$34,'Input Assumptions'!$C$36:$L$36)</f>
        <v>2121.8658203125005</v>
      </c>
      <c r="AZ11" s="59">
        <f>$N$3*_xlfn.XLOOKUP(AZ$1,'Input Assumptions'!$C$34:$L$34,'Input Assumptions'!$C$36:$L$36)</f>
        <v>2121.8658203125005</v>
      </c>
      <c r="BA11" s="59">
        <f>$N$3*_xlfn.XLOOKUP(BA$1,'Input Assumptions'!$C$34:$L$34,'Input Assumptions'!$C$36:$L$36)</f>
        <v>2121.8658203125005</v>
      </c>
      <c r="BB11" s="59">
        <f>$N$3*_xlfn.XLOOKUP(BB$1,'Input Assumptions'!$C$34:$L$34,'Input Assumptions'!$C$36:$L$36)</f>
        <v>2121.8658203125005</v>
      </c>
      <c r="BC11" s="59">
        <f>$N$3*_xlfn.XLOOKUP(BC$1,'Input Assumptions'!$C$34:$L$34,'Input Assumptions'!$C$36:$L$36)</f>
        <v>2121.8658203125005</v>
      </c>
      <c r="BD11" s="59">
        <f>$N$3*_xlfn.XLOOKUP(BD$1,'Input Assumptions'!$C$34:$L$34,'Input Assumptions'!$C$36:$L$36)</f>
        <v>2121.8658203125005</v>
      </c>
      <c r="BE11" s="59">
        <f>$N$3*_xlfn.XLOOKUP(BE$1,'Input Assumptions'!$C$34:$L$34,'Input Assumptions'!$C$36:$L$36)</f>
        <v>2121.8658203125005</v>
      </c>
      <c r="BF11" s="59">
        <f>$N$3*_xlfn.XLOOKUP(BF$1,'Input Assumptions'!$C$34:$L$34,'Input Assumptions'!$C$36:$L$36)</f>
        <v>2121.8658203125005</v>
      </c>
      <c r="BG11" s="59">
        <f>$N$3*_xlfn.XLOOKUP(BG$1,'Input Assumptions'!$C$34:$L$34,'Input Assumptions'!$C$36:$L$36)</f>
        <v>2121.8658203125005</v>
      </c>
      <c r="BH11" s="59">
        <f>$N$3*_xlfn.XLOOKUP(BH$1,'Input Assumptions'!$C$34:$L$34,'Input Assumptions'!$C$36:$L$36)</f>
        <v>2121.8658203125005</v>
      </c>
      <c r="BI11" s="59">
        <f>$N$3*_xlfn.XLOOKUP(BI$1,'Input Assumptions'!$C$34:$L$34,'Input Assumptions'!$C$36:$L$36)</f>
        <v>2121.8658203125005</v>
      </c>
      <c r="BJ11" s="59">
        <f>$N$3*_xlfn.XLOOKUP(BJ$1,'Input Assumptions'!$C$34:$L$34,'Input Assumptions'!$C$36:$L$36)</f>
        <v>2201.4357885742193</v>
      </c>
      <c r="BK11" s="59">
        <f>$N$3*_xlfn.XLOOKUP(BK$1,'Input Assumptions'!$C$34:$L$34,'Input Assumptions'!$C$36:$L$36)</f>
        <v>2201.4357885742193</v>
      </c>
      <c r="BL11" s="59">
        <f>$N$3*_xlfn.XLOOKUP(BL$1,'Input Assumptions'!$C$34:$L$34,'Input Assumptions'!$C$36:$L$36)</f>
        <v>2201.4357885742193</v>
      </c>
      <c r="BM11" s="59">
        <f>$N$3*_xlfn.XLOOKUP(BM$1,'Input Assumptions'!$C$34:$L$34,'Input Assumptions'!$C$36:$L$36)</f>
        <v>2201.4357885742193</v>
      </c>
      <c r="BN11" s="59">
        <f>$N$3*_xlfn.XLOOKUP(BN$1,'Input Assumptions'!$C$34:$L$34,'Input Assumptions'!$C$36:$L$36)</f>
        <v>2201.4357885742193</v>
      </c>
      <c r="BO11" s="59">
        <f>$N$3*_xlfn.XLOOKUP(BO$1,'Input Assumptions'!$C$34:$L$34,'Input Assumptions'!$C$36:$L$36)</f>
        <v>2201.4357885742193</v>
      </c>
      <c r="BP11" s="59">
        <f>$N$3*_xlfn.XLOOKUP(BP$1,'Input Assumptions'!$C$34:$L$34,'Input Assumptions'!$C$36:$L$36)</f>
        <v>2201.4357885742193</v>
      </c>
      <c r="BQ11" s="59">
        <f>$N$3*_xlfn.XLOOKUP(BQ$1,'Input Assumptions'!$C$34:$L$34,'Input Assumptions'!$C$36:$L$36)</f>
        <v>2201.4357885742193</v>
      </c>
      <c r="BR11" s="59">
        <f>$N$3*_xlfn.XLOOKUP(BR$1,'Input Assumptions'!$C$34:$L$34,'Input Assumptions'!$C$36:$L$36)</f>
        <v>2201.4357885742193</v>
      </c>
      <c r="BS11" s="59">
        <f>$N$3*_xlfn.XLOOKUP(BS$1,'Input Assumptions'!$C$34:$L$34,'Input Assumptions'!$C$36:$L$36)</f>
        <v>2201.4357885742193</v>
      </c>
      <c r="BT11" s="59">
        <f>$N$3*_xlfn.XLOOKUP(BT$1,'Input Assumptions'!$C$34:$L$34,'Input Assumptions'!$C$36:$L$36)</f>
        <v>2201.4357885742193</v>
      </c>
      <c r="BU11" s="59">
        <f>$N$3*_xlfn.XLOOKUP(BU$1,'Input Assumptions'!$C$34:$L$34,'Input Assumptions'!$C$36:$L$36)</f>
        <v>2201.4357885742193</v>
      </c>
      <c r="BV11" s="59">
        <f>$N$3*_xlfn.XLOOKUP(BV$1,'Input Assumptions'!$C$34:$L$34,'Input Assumptions'!$C$36:$L$36)</f>
        <v>2283.9896306457531</v>
      </c>
      <c r="BW11" s="59">
        <f>$N$3*_xlfn.XLOOKUP(BW$1,'Input Assumptions'!$C$34:$L$34,'Input Assumptions'!$C$36:$L$36)</f>
        <v>1900</v>
      </c>
      <c r="BX11" s="59">
        <f>$N$3*_xlfn.XLOOKUP(BX$1,'Input Assumptions'!$C$34:$L$34,'Input Assumptions'!$C$36:$L$36)</f>
        <v>1900</v>
      </c>
      <c r="BY11" s="59">
        <f>$N$3*_xlfn.XLOOKUP(BY$1,'Input Assumptions'!$C$34:$L$34,'Input Assumptions'!$C$36:$L$36)</f>
        <v>1900</v>
      </c>
      <c r="BZ11" s="59">
        <f>$N$3*_xlfn.XLOOKUP(BZ$1,'Input Assumptions'!$C$34:$L$34,'Input Assumptions'!$C$36:$L$36)</f>
        <v>1900</v>
      </c>
      <c r="CA11" s="59">
        <f>$N$3*_xlfn.XLOOKUP(CA$1,'Input Assumptions'!$C$34:$L$34,'Input Assumptions'!$C$36:$L$36)</f>
        <v>1900</v>
      </c>
      <c r="CB11" s="59">
        <f>$N$3*_xlfn.XLOOKUP(CB$1,'Input Assumptions'!$C$34:$L$34,'Input Assumptions'!$C$36:$L$36)</f>
        <v>1900</v>
      </c>
      <c r="CC11" s="59">
        <f>$N$3*_xlfn.XLOOKUP(CC$1,'Input Assumptions'!$C$34:$L$34,'Input Assumptions'!$C$36:$L$36)</f>
        <v>1900</v>
      </c>
      <c r="CD11" s="59">
        <f>$N$3*_xlfn.XLOOKUP(CD$1,'Input Assumptions'!$C$34:$L$34,'Input Assumptions'!$C$36:$L$36)</f>
        <v>1900</v>
      </c>
      <c r="CE11" s="59">
        <f>$N$3*_xlfn.XLOOKUP(CE$1,'Input Assumptions'!$C$34:$L$34,'Input Assumptions'!$C$36:$L$36)</f>
        <v>1900</v>
      </c>
      <c r="CF11" s="59">
        <f>$N$3*_xlfn.XLOOKUP(CF$1,'Input Assumptions'!$C$34:$L$34,'Input Assumptions'!$C$36:$L$36)</f>
        <v>1900</v>
      </c>
      <c r="CG11" s="59">
        <f>$N$3*_xlfn.XLOOKUP(CG$1,'Input Assumptions'!$C$34:$L$34,'Input Assumptions'!$C$36:$L$36)</f>
        <v>1900</v>
      </c>
      <c r="CH11" s="59">
        <f>$N$3*_xlfn.XLOOKUP(CH$1,'Input Assumptions'!$C$34:$L$34,'Input Assumptions'!$C$36:$L$36)</f>
        <v>1900</v>
      </c>
      <c r="CI11" s="59">
        <f>$N$3*_xlfn.XLOOKUP(CI$1,'Input Assumptions'!$C$34:$L$34,'Input Assumptions'!$C$36:$L$36)</f>
        <v>1971.2500000000002</v>
      </c>
      <c r="CJ11" s="59">
        <f>$N$3*_xlfn.XLOOKUP(CJ$1,'Input Assumptions'!$C$34:$L$34,'Input Assumptions'!$C$36:$L$36)</f>
        <v>1971.2500000000002</v>
      </c>
      <c r="CK11" s="59">
        <f>$N$3*_xlfn.XLOOKUP(CK$1,'Input Assumptions'!$C$34:$L$34,'Input Assumptions'!$C$36:$L$36)</f>
        <v>1971.2500000000002</v>
      </c>
      <c r="CL11" s="59">
        <f>$N$3*_xlfn.XLOOKUP(CL$1,'Input Assumptions'!$C$34:$L$34,'Input Assumptions'!$C$36:$L$36)</f>
        <v>1971.2500000000002</v>
      </c>
      <c r="CM11" s="59">
        <f>$N$3*_xlfn.XLOOKUP(CM$1,'Input Assumptions'!$C$34:$L$34,'Input Assumptions'!$C$36:$L$36)</f>
        <v>1971.2500000000002</v>
      </c>
      <c r="CN11" s="59">
        <f>$N$3*_xlfn.XLOOKUP(CN$1,'Input Assumptions'!$C$34:$L$34,'Input Assumptions'!$C$36:$L$36)</f>
        <v>1971.2500000000002</v>
      </c>
      <c r="CO11" s="59">
        <f>$N$3*_xlfn.XLOOKUP(CO$1,'Input Assumptions'!$C$34:$L$34,'Input Assumptions'!$C$36:$L$36)</f>
        <v>1971.2500000000002</v>
      </c>
      <c r="CP11" s="59">
        <f>$N$3*_xlfn.XLOOKUP(CP$1,'Input Assumptions'!$C$34:$L$34,'Input Assumptions'!$C$36:$L$36)</f>
        <v>1971.2500000000002</v>
      </c>
      <c r="CQ11" s="59">
        <f>$N$3*_xlfn.XLOOKUP(CQ$1,'Input Assumptions'!$C$34:$L$34,'Input Assumptions'!$C$36:$L$36)</f>
        <v>1971.2500000000002</v>
      </c>
      <c r="CR11" s="59">
        <f>$N$3*_xlfn.XLOOKUP(CR$1,'Input Assumptions'!$C$34:$L$34,'Input Assumptions'!$C$36:$L$36)</f>
        <v>1971.2500000000002</v>
      </c>
      <c r="CS11" s="59">
        <f>$N$3*_xlfn.XLOOKUP(CS$1,'Input Assumptions'!$C$34:$L$34,'Input Assumptions'!$C$36:$L$36)</f>
        <v>1971.2500000000002</v>
      </c>
      <c r="CT11" s="59">
        <f>$N$3*_xlfn.XLOOKUP(CT$1,'Input Assumptions'!$C$34:$L$34,'Input Assumptions'!$C$36:$L$36)</f>
        <v>1971.2500000000002</v>
      </c>
      <c r="CU11" s="59">
        <f>$N$3*_xlfn.XLOOKUP(CU$1,'Input Assumptions'!$C$34:$L$34,'Input Assumptions'!$C$36:$L$36)</f>
        <v>2045.1718750000005</v>
      </c>
      <c r="CV11" s="59">
        <f>$N$3*_xlfn.XLOOKUP(CV$1,'Input Assumptions'!$C$34:$L$34,'Input Assumptions'!$C$36:$L$36)</f>
        <v>2045.1718750000005</v>
      </c>
      <c r="CW11" s="59">
        <f>$N$3*_xlfn.XLOOKUP(CW$1,'Input Assumptions'!$C$34:$L$34,'Input Assumptions'!$C$36:$L$36)</f>
        <v>2045.1718750000005</v>
      </c>
      <c r="CX11" s="59">
        <f>$N$3*_xlfn.XLOOKUP(CX$1,'Input Assumptions'!$C$34:$L$34,'Input Assumptions'!$C$36:$L$36)</f>
        <v>2045.1718750000005</v>
      </c>
      <c r="CY11" s="59">
        <f>$N$3*_xlfn.XLOOKUP(CY$1,'Input Assumptions'!$C$34:$L$34,'Input Assumptions'!$C$36:$L$36)</f>
        <v>2045.1718750000005</v>
      </c>
      <c r="CZ11" s="59">
        <f>$N$3*_xlfn.XLOOKUP(CZ$1,'Input Assumptions'!$C$34:$L$34,'Input Assumptions'!$C$36:$L$36)</f>
        <v>2045.1718750000005</v>
      </c>
      <c r="DA11" s="59">
        <f>$N$3*_xlfn.XLOOKUP(DA$1,'Input Assumptions'!$C$34:$L$34,'Input Assumptions'!$C$36:$L$36)</f>
        <v>2045.1718750000005</v>
      </c>
      <c r="DB11" s="59">
        <f>$N$3*_xlfn.XLOOKUP(DB$1,'Input Assumptions'!$C$34:$L$34,'Input Assumptions'!$C$36:$L$36)</f>
        <v>2045.1718750000005</v>
      </c>
      <c r="DC11" s="59">
        <f>$N$3*_xlfn.XLOOKUP(DC$1,'Input Assumptions'!$C$34:$L$34,'Input Assumptions'!$C$36:$L$36)</f>
        <v>2045.1718750000005</v>
      </c>
      <c r="DD11" s="59">
        <f>$N$3*_xlfn.XLOOKUP(DD$1,'Input Assumptions'!$C$34:$L$34,'Input Assumptions'!$C$36:$L$36)</f>
        <v>2045.1718750000005</v>
      </c>
      <c r="DE11" s="59">
        <f>$N$3*_xlfn.XLOOKUP(DE$1,'Input Assumptions'!$C$34:$L$34,'Input Assumptions'!$C$36:$L$36)</f>
        <v>2045.1718750000005</v>
      </c>
      <c r="DF11" s="59">
        <f>$N$3*_xlfn.XLOOKUP(DF$1,'Input Assumptions'!$C$34:$L$34,'Input Assumptions'!$C$36:$L$36)</f>
        <v>2045.1718750000005</v>
      </c>
      <c r="DG11" s="59">
        <f>$N$3*_xlfn.XLOOKUP(DG$1,'Input Assumptions'!$C$34:$L$34,'Input Assumptions'!$C$36:$L$36)</f>
        <v>2121.8658203125005</v>
      </c>
      <c r="DH11" s="59">
        <f>$N$3*_xlfn.XLOOKUP(DH$1,'Input Assumptions'!$C$34:$L$34,'Input Assumptions'!$C$36:$L$36)</f>
        <v>2121.8658203125005</v>
      </c>
      <c r="DI11" s="59">
        <f>$N$3*_xlfn.XLOOKUP(DI$1,'Input Assumptions'!$C$34:$L$34,'Input Assumptions'!$C$36:$L$36)</f>
        <v>2121.8658203125005</v>
      </c>
      <c r="DJ11" s="59">
        <f>$N$3*_xlfn.XLOOKUP(DJ$1,'Input Assumptions'!$C$34:$L$34,'Input Assumptions'!$C$36:$L$36)</f>
        <v>2121.8658203125005</v>
      </c>
      <c r="DK11" s="59">
        <f>$N$3*_xlfn.XLOOKUP(DK$1,'Input Assumptions'!$C$34:$L$34,'Input Assumptions'!$C$36:$L$36)</f>
        <v>2121.8658203125005</v>
      </c>
      <c r="DL11" s="59">
        <f>$N$3*_xlfn.XLOOKUP(DL$1,'Input Assumptions'!$C$34:$L$34,'Input Assumptions'!$C$36:$L$36)</f>
        <v>2121.8658203125005</v>
      </c>
      <c r="DM11" s="59">
        <f>$N$3*_xlfn.XLOOKUP(DM$1,'Input Assumptions'!$C$34:$L$34,'Input Assumptions'!$C$36:$L$36)</f>
        <v>2121.8658203125005</v>
      </c>
      <c r="DN11" s="59">
        <f>$N$3*_xlfn.XLOOKUP(DN$1,'Input Assumptions'!$C$34:$L$34,'Input Assumptions'!$C$36:$L$36)</f>
        <v>2121.8658203125005</v>
      </c>
      <c r="DO11" s="59">
        <f>$N$3*_xlfn.XLOOKUP(DO$1,'Input Assumptions'!$C$34:$L$34,'Input Assumptions'!$C$36:$L$36)</f>
        <v>2121.8658203125005</v>
      </c>
      <c r="DP11" s="59">
        <f>$N$3*_xlfn.XLOOKUP(DP$1,'Input Assumptions'!$C$34:$L$34,'Input Assumptions'!$C$36:$L$36)</f>
        <v>2121.8658203125005</v>
      </c>
      <c r="DQ11" s="59">
        <f>$N$3*_xlfn.XLOOKUP(DQ$1,'Input Assumptions'!$C$34:$L$34,'Input Assumptions'!$C$36:$L$36)</f>
        <v>2121.8658203125005</v>
      </c>
      <c r="DR11" s="59">
        <f>$N$3*_xlfn.XLOOKUP(DR$1,'Input Assumptions'!$C$34:$L$34,'Input Assumptions'!$C$36:$L$36)</f>
        <v>2121.8658203125005</v>
      </c>
      <c r="DS11" s="59">
        <f>$N$3*_xlfn.XLOOKUP(DS$1,'Input Assumptions'!$C$34:$L$34,'Input Assumptions'!$C$36:$L$36)</f>
        <v>2201.4357885742193</v>
      </c>
      <c r="DT11" s="59">
        <f>$N$3*_xlfn.XLOOKUP(DT$1,'Input Assumptions'!$C$34:$L$34,'Input Assumptions'!$C$36:$L$36)</f>
        <v>2201.4357885742193</v>
      </c>
      <c r="DU11" s="59">
        <f>$N$3*_xlfn.XLOOKUP(DU$1,'Input Assumptions'!$C$34:$L$34,'Input Assumptions'!$C$36:$L$36)</f>
        <v>2201.4357885742193</v>
      </c>
      <c r="DV11" s="59">
        <f>$N$3*_xlfn.XLOOKUP(DV$1,'Input Assumptions'!$C$34:$L$34,'Input Assumptions'!$C$36:$L$36)</f>
        <v>2201.4357885742193</v>
      </c>
      <c r="DW11" s="59">
        <f>$N$3*_xlfn.XLOOKUP(DW$1,'Input Assumptions'!$C$34:$L$34,'Input Assumptions'!$C$36:$L$36)</f>
        <v>2201.4357885742193</v>
      </c>
      <c r="DX11" s="59">
        <f>$N$3*_xlfn.XLOOKUP(DX$1,'Input Assumptions'!$C$34:$L$34,'Input Assumptions'!$C$36:$L$36)</f>
        <v>2201.4357885742193</v>
      </c>
      <c r="DY11" s="59">
        <f>$N$3*_xlfn.XLOOKUP(DY$1,'Input Assumptions'!$C$34:$L$34,'Input Assumptions'!$C$36:$L$36)</f>
        <v>2201.4357885742193</v>
      </c>
      <c r="DZ11" s="59">
        <f>$N$3*_xlfn.XLOOKUP(DZ$1,'Input Assumptions'!$C$34:$L$34,'Input Assumptions'!$C$36:$L$36)</f>
        <v>2201.4357885742193</v>
      </c>
      <c r="EA11" s="59">
        <f>$N$3*_xlfn.XLOOKUP(EA$1,'Input Assumptions'!$C$34:$L$34,'Input Assumptions'!$C$36:$L$36)</f>
        <v>2201.4357885742193</v>
      </c>
      <c r="EB11" s="59">
        <f>$N$3*_xlfn.XLOOKUP(EB$1,'Input Assumptions'!$C$34:$L$34,'Input Assumptions'!$C$36:$L$36)</f>
        <v>2201.4357885742193</v>
      </c>
      <c r="EC11" s="59">
        <f>$N$3*_xlfn.XLOOKUP(EC$1,'Input Assumptions'!$C$34:$L$34,'Input Assumptions'!$C$36:$L$36)</f>
        <v>2201.4357885742193</v>
      </c>
    </row>
    <row r="12" spans="2:133" x14ac:dyDescent="0.3">
      <c r="B12" s="15">
        <v>2</v>
      </c>
      <c r="C12" s="16">
        <v>10</v>
      </c>
      <c r="D12" s="16" t="s">
        <v>10</v>
      </c>
      <c r="E12" s="16">
        <v>450</v>
      </c>
      <c r="F12" s="20">
        <f t="shared" si="108"/>
        <v>41.80640845790095</v>
      </c>
      <c r="G12" s="19" t="str">
        <f t="shared" si="109"/>
        <v>1</v>
      </c>
      <c r="H12" s="20">
        <f t="shared" si="112"/>
        <v>1</v>
      </c>
      <c r="I12" s="18">
        <f t="shared" si="110"/>
        <v>1710</v>
      </c>
      <c r="J12" s="18">
        <f t="shared" si="111"/>
        <v>1900</v>
      </c>
      <c r="K12" s="18">
        <f>(J12*'Input Assumptions'!$C$20)+I12*('Input Assumptions'!$C$21)</f>
        <v>1900</v>
      </c>
      <c r="L12" s="94"/>
      <c r="N12" s="59">
        <f t="shared" si="113"/>
        <v>1900</v>
      </c>
      <c r="O12" s="59">
        <f>$N$3*_xlfn.XLOOKUP(O$1,'Input Assumptions'!$C$34:$L$34,'Input Assumptions'!$C$36:$L$36)</f>
        <v>1900</v>
      </c>
      <c r="P12" s="59">
        <f>$N$3*_xlfn.XLOOKUP(P$1,'Input Assumptions'!$C$34:$L$34,'Input Assumptions'!$C$36:$L$36)</f>
        <v>1900</v>
      </c>
      <c r="Q12" s="59">
        <f>$N$3*_xlfn.XLOOKUP(Q$1,'Input Assumptions'!$C$34:$L$34,'Input Assumptions'!$C$36:$L$36)</f>
        <v>1900</v>
      </c>
      <c r="R12" s="59">
        <f>$N$3*_xlfn.XLOOKUP(R$1,'Input Assumptions'!$C$34:$L$34,'Input Assumptions'!$C$36:$L$36)</f>
        <v>1900</v>
      </c>
      <c r="S12" s="59">
        <f>$N$3*_xlfn.XLOOKUP(S$1,'Input Assumptions'!$C$34:$L$34,'Input Assumptions'!$C$36:$L$36)</f>
        <v>1900</v>
      </c>
      <c r="T12" s="59">
        <f>$N$3*_xlfn.XLOOKUP(T$1,'Input Assumptions'!$C$34:$L$34,'Input Assumptions'!$C$36:$L$36)</f>
        <v>1900</v>
      </c>
      <c r="U12" s="59">
        <f>$N$3*_xlfn.XLOOKUP(U$1,'Input Assumptions'!$C$34:$L$34,'Input Assumptions'!$C$36:$L$36)</f>
        <v>1900</v>
      </c>
      <c r="V12" s="59">
        <f>$N$3*_xlfn.XLOOKUP(V$1,'Input Assumptions'!$C$34:$L$34,'Input Assumptions'!$C$36:$L$36)</f>
        <v>1900</v>
      </c>
      <c r="W12" s="59">
        <f>$N$3*_xlfn.XLOOKUP(W$1,'Input Assumptions'!$C$34:$L$34,'Input Assumptions'!$C$36:$L$36)</f>
        <v>1900</v>
      </c>
      <c r="X12" s="59">
        <f>$N$3*_xlfn.XLOOKUP(X$1,'Input Assumptions'!$C$34:$L$34,'Input Assumptions'!$C$36:$L$36)</f>
        <v>1900</v>
      </c>
      <c r="Y12" s="59">
        <f>$N$3*_xlfn.XLOOKUP(Y$1,'Input Assumptions'!$C$34:$L$34,'Input Assumptions'!$C$36:$L$36)</f>
        <v>1900</v>
      </c>
      <c r="Z12" s="59">
        <f>$N$3*_xlfn.XLOOKUP(Z$1,'Input Assumptions'!$C$34:$L$34,'Input Assumptions'!$C$36:$L$36)</f>
        <v>1971.2500000000002</v>
      </c>
      <c r="AA12" s="59">
        <f>$N$3*_xlfn.XLOOKUP(AA$1,'Input Assumptions'!$C$34:$L$34,'Input Assumptions'!$C$36:$L$36)</f>
        <v>1971.2500000000002</v>
      </c>
      <c r="AB12" s="59">
        <f>$N$3*_xlfn.XLOOKUP(AB$1,'Input Assumptions'!$C$34:$L$34,'Input Assumptions'!$C$36:$L$36)</f>
        <v>1971.2500000000002</v>
      </c>
      <c r="AC12" s="59">
        <f>$N$3*_xlfn.XLOOKUP(AC$1,'Input Assumptions'!$C$34:$L$34,'Input Assumptions'!$C$36:$L$36)</f>
        <v>1971.2500000000002</v>
      </c>
      <c r="AD12" s="59">
        <f>$N$3*_xlfn.XLOOKUP(AD$1,'Input Assumptions'!$C$34:$L$34,'Input Assumptions'!$C$36:$L$36)</f>
        <v>1971.2500000000002</v>
      </c>
      <c r="AE12" s="59">
        <f>$N$3*_xlfn.XLOOKUP(AE$1,'Input Assumptions'!$C$34:$L$34,'Input Assumptions'!$C$36:$L$36)</f>
        <v>1971.2500000000002</v>
      </c>
      <c r="AF12" s="59">
        <f>$N$3*_xlfn.XLOOKUP(AF$1,'Input Assumptions'!$C$34:$L$34,'Input Assumptions'!$C$36:$L$36)</f>
        <v>1971.2500000000002</v>
      </c>
      <c r="AG12" s="59">
        <f>$N$3*_xlfn.XLOOKUP(AG$1,'Input Assumptions'!$C$34:$L$34,'Input Assumptions'!$C$36:$L$36)</f>
        <v>1971.2500000000002</v>
      </c>
      <c r="AH12" s="59">
        <f>$N$3*_xlfn.XLOOKUP(AH$1,'Input Assumptions'!$C$34:$L$34,'Input Assumptions'!$C$36:$L$36)</f>
        <v>1971.2500000000002</v>
      </c>
      <c r="AI12" s="59">
        <f>$N$3*_xlfn.XLOOKUP(AI$1,'Input Assumptions'!$C$34:$L$34,'Input Assumptions'!$C$36:$L$36)</f>
        <v>1971.2500000000002</v>
      </c>
      <c r="AJ12" s="59">
        <f>$N$3*_xlfn.XLOOKUP(AJ$1,'Input Assumptions'!$C$34:$L$34,'Input Assumptions'!$C$36:$L$36)</f>
        <v>1971.2500000000002</v>
      </c>
      <c r="AK12" s="59">
        <f>$N$3*_xlfn.XLOOKUP(AK$1,'Input Assumptions'!$C$34:$L$34,'Input Assumptions'!$C$36:$L$36)</f>
        <v>1971.2500000000002</v>
      </c>
      <c r="AL12" s="59">
        <f>$N$3*_xlfn.XLOOKUP(AL$1,'Input Assumptions'!$C$34:$L$34,'Input Assumptions'!$C$36:$L$36)</f>
        <v>2045.1718750000005</v>
      </c>
      <c r="AM12" s="59">
        <f>$N$3*_xlfn.XLOOKUP(AM$1,'Input Assumptions'!$C$34:$L$34,'Input Assumptions'!$C$36:$L$36)</f>
        <v>2045.1718750000005</v>
      </c>
      <c r="AN12" s="59">
        <f>$N$3*_xlfn.XLOOKUP(AN$1,'Input Assumptions'!$C$34:$L$34,'Input Assumptions'!$C$36:$L$36)</f>
        <v>2045.1718750000005</v>
      </c>
      <c r="AO12" s="59">
        <f>$N$3*_xlfn.XLOOKUP(AO$1,'Input Assumptions'!$C$34:$L$34,'Input Assumptions'!$C$36:$L$36)</f>
        <v>2045.1718750000005</v>
      </c>
      <c r="AP12" s="59">
        <f>$N$3*_xlfn.XLOOKUP(AP$1,'Input Assumptions'!$C$34:$L$34,'Input Assumptions'!$C$36:$L$36)</f>
        <v>2045.1718750000005</v>
      </c>
      <c r="AQ12" s="59">
        <f>$N$3*_xlfn.XLOOKUP(AQ$1,'Input Assumptions'!$C$34:$L$34,'Input Assumptions'!$C$36:$L$36)</f>
        <v>2045.1718750000005</v>
      </c>
      <c r="AR12" s="59">
        <f>$N$3*_xlfn.XLOOKUP(AR$1,'Input Assumptions'!$C$34:$L$34,'Input Assumptions'!$C$36:$L$36)</f>
        <v>2045.1718750000005</v>
      </c>
      <c r="AS12" s="59">
        <f>$N$3*_xlfn.XLOOKUP(AS$1,'Input Assumptions'!$C$34:$L$34,'Input Assumptions'!$C$36:$L$36)</f>
        <v>2045.1718750000005</v>
      </c>
      <c r="AT12" s="59">
        <f>$N$3*_xlfn.XLOOKUP(AT$1,'Input Assumptions'!$C$34:$L$34,'Input Assumptions'!$C$36:$L$36)</f>
        <v>2045.1718750000005</v>
      </c>
      <c r="AU12" s="59">
        <f>$N$3*_xlfn.XLOOKUP(AU$1,'Input Assumptions'!$C$34:$L$34,'Input Assumptions'!$C$36:$L$36)</f>
        <v>2045.1718750000005</v>
      </c>
      <c r="AV12" s="59">
        <f>$N$3*_xlfn.XLOOKUP(AV$1,'Input Assumptions'!$C$34:$L$34,'Input Assumptions'!$C$36:$L$36)</f>
        <v>2045.1718750000005</v>
      </c>
      <c r="AW12" s="59">
        <f>$N$3*_xlfn.XLOOKUP(AW$1,'Input Assumptions'!$C$34:$L$34,'Input Assumptions'!$C$36:$L$36)</f>
        <v>2045.1718750000005</v>
      </c>
      <c r="AX12" s="59">
        <f>$N$3*_xlfn.XLOOKUP(AX$1,'Input Assumptions'!$C$34:$L$34,'Input Assumptions'!$C$36:$L$36)</f>
        <v>2121.8658203125005</v>
      </c>
      <c r="AY12" s="59">
        <f>$N$3*_xlfn.XLOOKUP(AY$1,'Input Assumptions'!$C$34:$L$34,'Input Assumptions'!$C$36:$L$36)</f>
        <v>2121.8658203125005</v>
      </c>
      <c r="AZ12" s="59">
        <f>$N$3*_xlfn.XLOOKUP(AZ$1,'Input Assumptions'!$C$34:$L$34,'Input Assumptions'!$C$36:$L$36)</f>
        <v>2121.8658203125005</v>
      </c>
      <c r="BA12" s="59">
        <f>$N$3*_xlfn.XLOOKUP(BA$1,'Input Assumptions'!$C$34:$L$34,'Input Assumptions'!$C$36:$L$36)</f>
        <v>2121.8658203125005</v>
      </c>
      <c r="BB12" s="59">
        <f>$N$3*_xlfn.XLOOKUP(BB$1,'Input Assumptions'!$C$34:$L$34,'Input Assumptions'!$C$36:$L$36)</f>
        <v>2121.8658203125005</v>
      </c>
      <c r="BC12" s="59">
        <f>$N$3*_xlfn.XLOOKUP(BC$1,'Input Assumptions'!$C$34:$L$34,'Input Assumptions'!$C$36:$L$36)</f>
        <v>2121.8658203125005</v>
      </c>
      <c r="BD12" s="59">
        <f>$N$3*_xlfn.XLOOKUP(BD$1,'Input Assumptions'!$C$34:$L$34,'Input Assumptions'!$C$36:$L$36)</f>
        <v>2121.8658203125005</v>
      </c>
      <c r="BE12" s="59">
        <f>$N$3*_xlfn.XLOOKUP(BE$1,'Input Assumptions'!$C$34:$L$34,'Input Assumptions'!$C$36:$L$36)</f>
        <v>2121.8658203125005</v>
      </c>
      <c r="BF12" s="59">
        <f>$N$3*_xlfn.XLOOKUP(BF$1,'Input Assumptions'!$C$34:$L$34,'Input Assumptions'!$C$36:$L$36)</f>
        <v>2121.8658203125005</v>
      </c>
      <c r="BG12" s="59">
        <f>$N$3*_xlfn.XLOOKUP(BG$1,'Input Assumptions'!$C$34:$L$34,'Input Assumptions'!$C$36:$L$36)</f>
        <v>2121.8658203125005</v>
      </c>
      <c r="BH12" s="59">
        <f>$N$3*_xlfn.XLOOKUP(BH$1,'Input Assumptions'!$C$34:$L$34,'Input Assumptions'!$C$36:$L$36)</f>
        <v>2121.8658203125005</v>
      </c>
      <c r="BI12" s="59">
        <f>$N$3*_xlfn.XLOOKUP(BI$1,'Input Assumptions'!$C$34:$L$34,'Input Assumptions'!$C$36:$L$36)</f>
        <v>2121.8658203125005</v>
      </c>
      <c r="BJ12" s="59">
        <f>$N$3*_xlfn.XLOOKUP(BJ$1,'Input Assumptions'!$C$34:$L$34,'Input Assumptions'!$C$36:$L$36)</f>
        <v>2201.4357885742193</v>
      </c>
      <c r="BK12" s="59">
        <f>$N$3*_xlfn.XLOOKUP(BK$1,'Input Assumptions'!$C$34:$L$34,'Input Assumptions'!$C$36:$L$36)</f>
        <v>2201.4357885742193</v>
      </c>
      <c r="BL12" s="59">
        <f>$N$3*_xlfn.XLOOKUP(BL$1,'Input Assumptions'!$C$34:$L$34,'Input Assumptions'!$C$36:$L$36)</f>
        <v>2201.4357885742193</v>
      </c>
      <c r="BM12" s="59">
        <f>$N$3*_xlfn.XLOOKUP(BM$1,'Input Assumptions'!$C$34:$L$34,'Input Assumptions'!$C$36:$L$36)</f>
        <v>2201.4357885742193</v>
      </c>
      <c r="BN12" s="59">
        <f>$N$3*_xlfn.XLOOKUP(BN$1,'Input Assumptions'!$C$34:$L$34,'Input Assumptions'!$C$36:$L$36)</f>
        <v>2201.4357885742193</v>
      </c>
      <c r="BO12" s="59">
        <f>$N$3*_xlfn.XLOOKUP(BO$1,'Input Assumptions'!$C$34:$L$34,'Input Assumptions'!$C$36:$L$36)</f>
        <v>2201.4357885742193</v>
      </c>
      <c r="BP12" s="59">
        <f>$N$3*_xlfn.XLOOKUP(BP$1,'Input Assumptions'!$C$34:$L$34,'Input Assumptions'!$C$36:$L$36)</f>
        <v>2201.4357885742193</v>
      </c>
      <c r="BQ12" s="59">
        <f>$N$3*_xlfn.XLOOKUP(BQ$1,'Input Assumptions'!$C$34:$L$34,'Input Assumptions'!$C$36:$L$36)</f>
        <v>2201.4357885742193</v>
      </c>
      <c r="BR12" s="59">
        <f>$N$3*_xlfn.XLOOKUP(BR$1,'Input Assumptions'!$C$34:$L$34,'Input Assumptions'!$C$36:$L$36)</f>
        <v>2201.4357885742193</v>
      </c>
      <c r="BS12" s="59">
        <f>$N$3*_xlfn.XLOOKUP(BS$1,'Input Assumptions'!$C$34:$L$34,'Input Assumptions'!$C$36:$L$36)</f>
        <v>2201.4357885742193</v>
      </c>
      <c r="BT12" s="59">
        <f>$N$3*_xlfn.XLOOKUP(BT$1,'Input Assumptions'!$C$34:$L$34,'Input Assumptions'!$C$36:$L$36)</f>
        <v>2201.4357885742193</v>
      </c>
      <c r="BU12" s="59">
        <f>$N$3*_xlfn.XLOOKUP(BU$1,'Input Assumptions'!$C$34:$L$34,'Input Assumptions'!$C$36:$L$36)</f>
        <v>2201.4357885742193</v>
      </c>
      <c r="BV12" s="59">
        <f>$N$3*_xlfn.XLOOKUP(BV$1,'Input Assumptions'!$C$34:$L$34,'Input Assumptions'!$C$36:$L$36)</f>
        <v>2283.9896306457531</v>
      </c>
      <c r="BW12" s="59">
        <f>$N$3*_xlfn.XLOOKUP(BW$1,'Input Assumptions'!$C$34:$L$34,'Input Assumptions'!$C$36:$L$36)</f>
        <v>1900</v>
      </c>
      <c r="BX12" s="59">
        <f>$N$3*_xlfn.XLOOKUP(BX$1,'Input Assumptions'!$C$34:$L$34,'Input Assumptions'!$C$36:$L$36)</f>
        <v>1900</v>
      </c>
      <c r="BY12" s="59">
        <f>$N$3*_xlfn.XLOOKUP(BY$1,'Input Assumptions'!$C$34:$L$34,'Input Assumptions'!$C$36:$L$36)</f>
        <v>1900</v>
      </c>
      <c r="BZ12" s="59">
        <f>$N$3*_xlfn.XLOOKUP(BZ$1,'Input Assumptions'!$C$34:$L$34,'Input Assumptions'!$C$36:$L$36)</f>
        <v>1900</v>
      </c>
      <c r="CA12" s="59">
        <f>$N$3*_xlfn.XLOOKUP(CA$1,'Input Assumptions'!$C$34:$L$34,'Input Assumptions'!$C$36:$L$36)</f>
        <v>1900</v>
      </c>
      <c r="CB12" s="59">
        <f>$N$3*_xlfn.XLOOKUP(CB$1,'Input Assumptions'!$C$34:$L$34,'Input Assumptions'!$C$36:$L$36)</f>
        <v>1900</v>
      </c>
      <c r="CC12" s="59">
        <f>$N$3*_xlfn.XLOOKUP(CC$1,'Input Assumptions'!$C$34:$L$34,'Input Assumptions'!$C$36:$L$36)</f>
        <v>1900</v>
      </c>
      <c r="CD12" s="59">
        <f>$N$3*_xlfn.XLOOKUP(CD$1,'Input Assumptions'!$C$34:$L$34,'Input Assumptions'!$C$36:$L$36)</f>
        <v>1900</v>
      </c>
      <c r="CE12" s="59">
        <f>$N$3*_xlfn.XLOOKUP(CE$1,'Input Assumptions'!$C$34:$L$34,'Input Assumptions'!$C$36:$L$36)</f>
        <v>1900</v>
      </c>
      <c r="CF12" s="59">
        <f>$N$3*_xlfn.XLOOKUP(CF$1,'Input Assumptions'!$C$34:$L$34,'Input Assumptions'!$C$36:$L$36)</f>
        <v>1900</v>
      </c>
      <c r="CG12" s="59">
        <f>$N$3*_xlfn.XLOOKUP(CG$1,'Input Assumptions'!$C$34:$L$34,'Input Assumptions'!$C$36:$L$36)</f>
        <v>1900</v>
      </c>
      <c r="CH12" s="59">
        <f>$N$3*_xlfn.XLOOKUP(CH$1,'Input Assumptions'!$C$34:$L$34,'Input Assumptions'!$C$36:$L$36)</f>
        <v>1900</v>
      </c>
      <c r="CI12" s="59">
        <f>$N$3*_xlfn.XLOOKUP(CI$1,'Input Assumptions'!$C$34:$L$34,'Input Assumptions'!$C$36:$L$36)</f>
        <v>1971.2500000000002</v>
      </c>
      <c r="CJ12" s="59">
        <f>$N$3*_xlfn.XLOOKUP(CJ$1,'Input Assumptions'!$C$34:$L$34,'Input Assumptions'!$C$36:$L$36)</f>
        <v>1971.2500000000002</v>
      </c>
      <c r="CK12" s="59">
        <f>$N$3*_xlfn.XLOOKUP(CK$1,'Input Assumptions'!$C$34:$L$34,'Input Assumptions'!$C$36:$L$36)</f>
        <v>1971.2500000000002</v>
      </c>
      <c r="CL12" s="59">
        <f>$N$3*_xlfn.XLOOKUP(CL$1,'Input Assumptions'!$C$34:$L$34,'Input Assumptions'!$C$36:$L$36)</f>
        <v>1971.2500000000002</v>
      </c>
      <c r="CM12" s="59">
        <f>$N$3*_xlfn.XLOOKUP(CM$1,'Input Assumptions'!$C$34:$L$34,'Input Assumptions'!$C$36:$L$36)</f>
        <v>1971.2500000000002</v>
      </c>
      <c r="CN12" s="59">
        <f>$N$3*_xlfn.XLOOKUP(CN$1,'Input Assumptions'!$C$34:$L$34,'Input Assumptions'!$C$36:$L$36)</f>
        <v>1971.2500000000002</v>
      </c>
      <c r="CO12" s="59">
        <f>$N$3*_xlfn.XLOOKUP(CO$1,'Input Assumptions'!$C$34:$L$34,'Input Assumptions'!$C$36:$L$36)</f>
        <v>1971.2500000000002</v>
      </c>
      <c r="CP12" s="59">
        <f>$N$3*_xlfn.XLOOKUP(CP$1,'Input Assumptions'!$C$34:$L$34,'Input Assumptions'!$C$36:$L$36)</f>
        <v>1971.2500000000002</v>
      </c>
      <c r="CQ12" s="59">
        <f>$N$3*_xlfn.XLOOKUP(CQ$1,'Input Assumptions'!$C$34:$L$34,'Input Assumptions'!$C$36:$L$36)</f>
        <v>1971.2500000000002</v>
      </c>
      <c r="CR12" s="59">
        <f>$N$3*_xlfn.XLOOKUP(CR$1,'Input Assumptions'!$C$34:$L$34,'Input Assumptions'!$C$36:$L$36)</f>
        <v>1971.2500000000002</v>
      </c>
      <c r="CS12" s="59">
        <f>$N$3*_xlfn.XLOOKUP(CS$1,'Input Assumptions'!$C$34:$L$34,'Input Assumptions'!$C$36:$L$36)</f>
        <v>1971.2500000000002</v>
      </c>
      <c r="CT12" s="59">
        <f>$N$3*_xlfn.XLOOKUP(CT$1,'Input Assumptions'!$C$34:$L$34,'Input Assumptions'!$C$36:$L$36)</f>
        <v>1971.2500000000002</v>
      </c>
      <c r="CU12" s="59">
        <f>$N$3*_xlfn.XLOOKUP(CU$1,'Input Assumptions'!$C$34:$L$34,'Input Assumptions'!$C$36:$L$36)</f>
        <v>2045.1718750000005</v>
      </c>
      <c r="CV12" s="59">
        <f>$N$3*_xlfn.XLOOKUP(CV$1,'Input Assumptions'!$C$34:$L$34,'Input Assumptions'!$C$36:$L$36)</f>
        <v>2045.1718750000005</v>
      </c>
      <c r="CW12" s="59">
        <f>$N$3*_xlfn.XLOOKUP(CW$1,'Input Assumptions'!$C$34:$L$34,'Input Assumptions'!$C$36:$L$36)</f>
        <v>2045.1718750000005</v>
      </c>
      <c r="CX12" s="59">
        <f>$N$3*_xlfn.XLOOKUP(CX$1,'Input Assumptions'!$C$34:$L$34,'Input Assumptions'!$C$36:$L$36)</f>
        <v>2045.1718750000005</v>
      </c>
      <c r="CY12" s="59">
        <f>$N$3*_xlfn.XLOOKUP(CY$1,'Input Assumptions'!$C$34:$L$34,'Input Assumptions'!$C$36:$L$36)</f>
        <v>2045.1718750000005</v>
      </c>
      <c r="CZ12" s="59">
        <f>$N$3*_xlfn.XLOOKUP(CZ$1,'Input Assumptions'!$C$34:$L$34,'Input Assumptions'!$C$36:$L$36)</f>
        <v>2045.1718750000005</v>
      </c>
      <c r="DA12" s="59">
        <f>$N$3*_xlfn.XLOOKUP(DA$1,'Input Assumptions'!$C$34:$L$34,'Input Assumptions'!$C$36:$L$36)</f>
        <v>2045.1718750000005</v>
      </c>
      <c r="DB12" s="59">
        <f>$N$3*_xlfn.XLOOKUP(DB$1,'Input Assumptions'!$C$34:$L$34,'Input Assumptions'!$C$36:$L$36)</f>
        <v>2045.1718750000005</v>
      </c>
      <c r="DC12" s="59">
        <f>$N$3*_xlfn.XLOOKUP(DC$1,'Input Assumptions'!$C$34:$L$34,'Input Assumptions'!$C$36:$L$36)</f>
        <v>2045.1718750000005</v>
      </c>
      <c r="DD12" s="59">
        <f>$N$3*_xlfn.XLOOKUP(DD$1,'Input Assumptions'!$C$34:$L$34,'Input Assumptions'!$C$36:$L$36)</f>
        <v>2045.1718750000005</v>
      </c>
      <c r="DE12" s="59">
        <f>$N$3*_xlfn.XLOOKUP(DE$1,'Input Assumptions'!$C$34:$L$34,'Input Assumptions'!$C$36:$L$36)</f>
        <v>2045.1718750000005</v>
      </c>
      <c r="DF12" s="59">
        <f>$N$3*_xlfn.XLOOKUP(DF$1,'Input Assumptions'!$C$34:$L$34,'Input Assumptions'!$C$36:$L$36)</f>
        <v>2045.1718750000005</v>
      </c>
      <c r="DG12" s="59">
        <f>$N$3*_xlfn.XLOOKUP(DG$1,'Input Assumptions'!$C$34:$L$34,'Input Assumptions'!$C$36:$L$36)</f>
        <v>2121.8658203125005</v>
      </c>
      <c r="DH12" s="59">
        <f>$N$3*_xlfn.XLOOKUP(DH$1,'Input Assumptions'!$C$34:$L$34,'Input Assumptions'!$C$36:$L$36)</f>
        <v>2121.8658203125005</v>
      </c>
      <c r="DI12" s="59">
        <f>$N$3*_xlfn.XLOOKUP(DI$1,'Input Assumptions'!$C$34:$L$34,'Input Assumptions'!$C$36:$L$36)</f>
        <v>2121.8658203125005</v>
      </c>
      <c r="DJ12" s="59">
        <f>$N$3*_xlfn.XLOOKUP(DJ$1,'Input Assumptions'!$C$34:$L$34,'Input Assumptions'!$C$36:$L$36)</f>
        <v>2121.8658203125005</v>
      </c>
      <c r="DK12" s="59">
        <f>$N$3*_xlfn.XLOOKUP(DK$1,'Input Assumptions'!$C$34:$L$34,'Input Assumptions'!$C$36:$L$36)</f>
        <v>2121.8658203125005</v>
      </c>
      <c r="DL12" s="59">
        <f>$N$3*_xlfn.XLOOKUP(DL$1,'Input Assumptions'!$C$34:$L$34,'Input Assumptions'!$C$36:$L$36)</f>
        <v>2121.8658203125005</v>
      </c>
      <c r="DM12" s="59">
        <f>$N$3*_xlfn.XLOOKUP(DM$1,'Input Assumptions'!$C$34:$L$34,'Input Assumptions'!$C$36:$L$36)</f>
        <v>2121.8658203125005</v>
      </c>
      <c r="DN12" s="59">
        <f>$N$3*_xlfn.XLOOKUP(DN$1,'Input Assumptions'!$C$34:$L$34,'Input Assumptions'!$C$36:$L$36)</f>
        <v>2121.8658203125005</v>
      </c>
      <c r="DO12" s="59">
        <f>$N$3*_xlfn.XLOOKUP(DO$1,'Input Assumptions'!$C$34:$L$34,'Input Assumptions'!$C$36:$L$36)</f>
        <v>2121.8658203125005</v>
      </c>
      <c r="DP12" s="59">
        <f>$N$3*_xlfn.XLOOKUP(DP$1,'Input Assumptions'!$C$34:$L$34,'Input Assumptions'!$C$36:$L$36)</f>
        <v>2121.8658203125005</v>
      </c>
      <c r="DQ12" s="59">
        <f>$N$3*_xlfn.XLOOKUP(DQ$1,'Input Assumptions'!$C$34:$L$34,'Input Assumptions'!$C$36:$L$36)</f>
        <v>2121.8658203125005</v>
      </c>
      <c r="DR12" s="59">
        <f>$N$3*_xlfn.XLOOKUP(DR$1,'Input Assumptions'!$C$34:$L$34,'Input Assumptions'!$C$36:$L$36)</f>
        <v>2121.8658203125005</v>
      </c>
      <c r="DS12" s="59">
        <f>$N$3*_xlfn.XLOOKUP(DS$1,'Input Assumptions'!$C$34:$L$34,'Input Assumptions'!$C$36:$L$36)</f>
        <v>2201.4357885742193</v>
      </c>
      <c r="DT12" s="59">
        <f>$N$3*_xlfn.XLOOKUP(DT$1,'Input Assumptions'!$C$34:$L$34,'Input Assumptions'!$C$36:$L$36)</f>
        <v>2201.4357885742193</v>
      </c>
      <c r="DU12" s="59">
        <f>$N$3*_xlfn.XLOOKUP(DU$1,'Input Assumptions'!$C$34:$L$34,'Input Assumptions'!$C$36:$L$36)</f>
        <v>2201.4357885742193</v>
      </c>
      <c r="DV12" s="59">
        <f>$N$3*_xlfn.XLOOKUP(DV$1,'Input Assumptions'!$C$34:$L$34,'Input Assumptions'!$C$36:$L$36)</f>
        <v>2201.4357885742193</v>
      </c>
      <c r="DW12" s="59">
        <f>$N$3*_xlfn.XLOOKUP(DW$1,'Input Assumptions'!$C$34:$L$34,'Input Assumptions'!$C$36:$L$36)</f>
        <v>2201.4357885742193</v>
      </c>
      <c r="DX12" s="59">
        <f>$N$3*_xlfn.XLOOKUP(DX$1,'Input Assumptions'!$C$34:$L$34,'Input Assumptions'!$C$36:$L$36)</f>
        <v>2201.4357885742193</v>
      </c>
      <c r="DY12" s="59">
        <f>$N$3*_xlfn.XLOOKUP(DY$1,'Input Assumptions'!$C$34:$L$34,'Input Assumptions'!$C$36:$L$36)</f>
        <v>2201.4357885742193</v>
      </c>
      <c r="DZ12" s="59">
        <f>$N$3*_xlfn.XLOOKUP(DZ$1,'Input Assumptions'!$C$34:$L$34,'Input Assumptions'!$C$36:$L$36)</f>
        <v>2201.4357885742193</v>
      </c>
      <c r="EA12" s="59">
        <f>$N$3*_xlfn.XLOOKUP(EA$1,'Input Assumptions'!$C$34:$L$34,'Input Assumptions'!$C$36:$L$36)</f>
        <v>2201.4357885742193</v>
      </c>
      <c r="EB12" s="59">
        <f>$N$3*_xlfn.XLOOKUP(EB$1,'Input Assumptions'!$C$34:$L$34,'Input Assumptions'!$C$36:$L$36)</f>
        <v>2201.4357885742193</v>
      </c>
      <c r="EC12" s="59">
        <f>$N$3*_xlfn.XLOOKUP(EC$1,'Input Assumptions'!$C$34:$L$34,'Input Assumptions'!$C$36:$L$36)</f>
        <v>2201.4357885742193</v>
      </c>
    </row>
    <row r="13" spans="2:133" x14ac:dyDescent="0.3">
      <c r="B13" s="15">
        <v>2</v>
      </c>
      <c r="C13" s="16">
        <v>11</v>
      </c>
      <c r="D13" s="16" t="s">
        <v>10</v>
      </c>
      <c r="E13" s="16">
        <v>450</v>
      </c>
      <c r="F13" s="20">
        <f t="shared" si="108"/>
        <v>41.80640845790095</v>
      </c>
      <c r="G13" s="19" t="str">
        <f t="shared" si="109"/>
        <v>1</v>
      </c>
      <c r="H13" s="20">
        <f t="shared" si="112"/>
        <v>1</v>
      </c>
      <c r="I13" s="18">
        <f t="shared" si="110"/>
        <v>1710</v>
      </c>
      <c r="J13" s="18">
        <f t="shared" si="111"/>
        <v>1900</v>
      </c>
      <c r="K13" s="18">
        <f>(J13*'Input Assumptions'!$C$20)+I13*('Input Assumptions'!$C$21)</f>
        <v>1900</v>
      </c>
      <c r="L13" s="94"/>
      <c r="N13" s="59">
        <f t="shared" si="113"/>
        <v>1900</v>
      </c>
      <c r="O13" s="59">
        <f>$N$3*_xlfn.XLOOKUP(O$1,'Input Assumptions'!$C$34:$L$34,'Input Assumptions'!$C$36:$L$36)</f>
        <v>1900</v>
      </c>
      <c r="P13" s="59">
        <f>$N$3*_xlfn.XLOOKUP(P$1,'Input Assumptions'!$C$34:$L$34,'Input Assumptions'!$C$36:$L$36)</f>
        <v>1900</v>
      </c>
      <c r="Q13" s="59">
        <f>$N$3*_xlfn.XLOOKUP(Q$1,'Input Assumptions'!$C$34:$L$34,'Input Assumptions'!$C$36:$L$36)</f>
        <v>1900</v>
      </c>
      <c r="R13" s="59">
        <f>$N$3*_xlfn.XLOOKUP(R$1,'Input Assumptions'!$C$34:$L$34,'Input Assumptions'!$C$36:$L$36)</f>
        <v>1900</v>
      </c>
      <c r="S13" s="59">
        <f>$N$3*_xlfn.XLOOKUP(S$1,'Input Assumptions'!$C$34:$L$34,'Input Assumptions'!$C$36:$L$36)</f>
        <v>1900</v>
      </c>
      <c r="T13" s="59">
        <f>$N$3*_xlfn.XLOOKUP(T$1,'Input Assumptions'!$C$34:$L$34,'Input Assumptions'!$C$36:$L$36)</f>
        <v>1900</v>
      </c>
      <c r="U13" s="59">
        <f>$N$3*_xlfn.XLOOKUP(U$1,'Input Assumptions'!$C$34:$L$34,'Input Assumptions'!$C$36:$L$36)</f>
        <v>1900</v>
      </c>
      <c r="V13" s="59">
        <f>$N$3*_xlfn.XLOOKUP(V$1,'Input Assumptions'!$C$34:$L$34,'Input Assumptions'!$C$36:$L$36)</f>
        <v>1900</v>
      </c>
      <c r="W13" s="59">
        <f>$N$3*_xlfn.XLOOKUP(W$1,'Input Assumptions'!$C$34:$L$34,'Input Assumptions'!$C$36:$L$36)</f>
        <v>1900</v>
      </c>
      <c r="X13" s="59">
        <f>$N$3*_xlfn.XLOOKUP(X$1,'Input Assumptions'!$C$34:$L$34,'Input Assumptions'!$C$36:$L$36)</f>
        <v>1900</v>
      </c>
      <c r="Y13" s="59">
        <f>$N$3*_xlfn.XLOOKUP(Y$1,'Input Assumptions'!$C$34:$L$34,'Input Assumptions'!$C$36:$L$36)</f>
        <v>1900</v>
      </c>
      <c r="Z13" s="59">
        <f>$N$3*_xlfn.XLOOKUP(Z$1,'Input Assumptions'!$C$34:$L$34,'Input Assumptions'!$C$36:$L$36)</f>
        <v>1971.2500000000002</v>
      </c>
      <c r="AA13" s="59">
        <f>$N$3*_xlfn.XLOOKUP(AA$1,'Input Assumptions'!$C$34:$L$34,'Input Assumptions'!$C$36:$L$36)</f>
        <v>1971.2500000000002</v>
      </c>
      <c r="AB13" s="59">
        <f>$N$3*_xlfn.XLOOKUP(AB$1,'Input Assumptions'!$C$34:$L$34,'Input Assumptions'!$C$36:$L$36)</f>
        <v>1971.2500000000002</v>
      </c>
      <c r="AC13" s="59">
        <f>$N$3*_xlfn.XLOOKUP(AC$1,'Input Assumptions'!$C$34:$L$34,'Input Assumptions'!$C$36:$L$36)</f>
        <v>1971.2500000000002</v>
      </c>
      <c r="AD13" s="59">
        <f>$N$3*_xlfn.XLOOKUP(AD$1,'Input Assumptions'!$C$34:$L$34,'Input Assumptions'!$C$36:$L$36)</f>
        <v>1971.2500000000002</v>
      </c>
      <c r="AE13" s="59">
        <f>$N$3*_xlfn.XLOOKUP(AE$1,'Input Assumptions'!$C$34:$L$34,'Input Assumptions'!$C$36:$L$36)</f>
        <v>1971.2500000000002</v>
      </c>
      <c r="AF13" s="59">
        <f>$N$3*_xlfn.XLOOKUP(AF$1,'Input Assumptions'!$C$34:$L$34,'Input Assumptions'!$C$36:$L$36)</f>
        <v>1971.2500000000002</v>
      </c>
      <c r="AG13" s="59">
        <f>$N$3*_xlfn.XLOOKUP(AG$1,'Input Assumptions'!$C$34:$L$34,'Input Assumptions'!$C$36:$L$36)</f>
        <v>1971.2500000000002</v>
      </c>
      <c r="AH13" s="59">
        <f>$N$3*_xlfn.XLOOKUP(AH$1,'Input Assumptions'!$C$34:$L$34,'Input Assumptions'!$C$36:$L$36)</f>
        <v>1971.2500000000002</v>
      </c>
      <c r="AI13" s="59">
        <f>$N$3*_xlfn.XLOOKUP(AI$1,'Input Assumptions'!$C$34:$L$34,'Input Assumptions'!$C$36:$L$36)</f>
        <v>1971.2500000000002</v>
      </c>
      <c r="AJ13" s="59">
        <f>$N$3*_xlfn.XLOOKUP(AJ$1,'Input Assumptions'!$C$34:$L$34,'Input Assumptions'!$C$36:$L$36)</f>
        <v>1971.2500000000002</v>
      </c>
      <c r="AK13" s="59">
        <f>$N$3*_xlfn.XLOOKUP(AK$1,'Input Assumptions'!$C$34:$L$34,'Input Assumptions'!$C$36:$L$36)</f>
        <v>1971.2500000000002</v>
      </c>
      <c r="AL13" s="59">
        <f>$N$3*_xlfn.XLOOKUP(AL$1,'Input Assumptions'!$C$34:$L$34,'Input Assumptions'!$C$36:$L$36)</f>
        <v>2045.1718750000005</v>
      </c>
      <c r="AM13" s="59">
        <f>$N$3*_xlfn.XLOOKUP(AM$1,'Input Assumptions'!$C$34:$L$34,'Input Assumptions'!$C$36:$L$36)</f>
        <v>2045.1718750000005</v>
      </c>
      <c r="AN13" s="59">
        <f>$N$3*_xlfn.XLOOKUP(AN$1,'Input Assumptions'!$C$34:$L$34,'Input Assumptions'!$C$36:$L$36)</f>
        <v>2045.1718750000005</v>
      </c>
      <c r="AO13" s="59">
        <f>$N$3*_xlfn.XLOOKUP(AO$1,'Input Assumptions'!$C$34:$L$34,'Input Assumptions'!$C$36:$L$36)</f>
        <v>2045.1718750000005</v>
      </c>
      <c r="AP13" s="59">
        <f>$N$3*_xlfn.XLOOKUP(AP$1,'Input Assumptions'!$C$34:$L$34,'Input Assumptions'!$C$36:$L$36)</f>
        <v>2045.1718750000005</v>
      </c>
      <c r="AQ13" s="59">
        <f>$N$3*_xlfn.XLOOKUP(AQ$1,'Input Assumptions'!$C$34:$L$34,'Input Assumptions'!$C$36:$L$36)</f>
        <v>2045.1718750000005</v>
      </c>
      <c r="AR13" s="59">
        <f>$N$3*_xlfn.XLOOKUP(AR$1,'Input Assumptions'!$C$34:$L$34,'Input Assumptions'!$C$36:$L$36)</f>
        <v>2045.1718750000005</v>
      </c>
      <c r="AS13" s="59">
        <f>$N$3*_xlfn.XLOOKUP(AS$1,'Input Assumptions'!$C$34:$L$34,'Input Assumptions'!$C$36:$L$36)</f>
        <v>2045.1718750000005</v>
      </c>
      <c r="AT13" s="59">
        <f>$N$3*_xlfn.XLOOKUP(AT$1,'Input Assumptions'!$C$34:$L$34,'Input Assumptions'!$C$36:$L$36)</f>
        <v>2045.1718750000005</v>
      </c>
      <c r="AU13" s="59">
        <f>$N$3*_xlfn.XLOOKUP(AU$1,'Input Assumptions'!$C$34:$L$34,'Input Assumptions'!$C$36:$L$36)</f>
        <v>2045.1718750000005</v>
      </c>
      <c r="AV13" s="59">
        <f>$N$3*_xlfn.XLOOKUP(AV$1,'Input Assumptions'!$C$34:$L$34,'Input Assumptions'!$C$36:$L$36)</f>
        <v>2045.1718750000005</v>
      </c>
      <c r="AW13" s="59">
        <f>$N$3*_xlfn.XLOOKUP(AW$1,'Input Assumptions'!$C$34:$L$34,'Input Assumptions'!$C$36:$L$36)</f>
        <v>2045.1718750000005</v>
      </c>
      <c r="AX13" s="59">
        <f>$N$3*_xlfn.XLOOKUP(AX$1,'Input Assumptions'!$C$34:$L$34,'Input Assumptions'!$C$36:$L$36)</f>
        <v>2121.8658203125005</v>
      </c>
      <c r="AY13" s="59">
        <f>$N$3*_xlfn.XLOOKUP(AY$1,'Input Assumptions'!$C$34:$L$34,'Input Assumptions'!$C$36:$L$36)</f>
        <v>2121.8658203125005</v>
      </c>
      <c r="AZ13" s="59">
        <f>$N$3*_xlfn.XLOOKUP(AZ$1,'Input Assumptions'!$C$34:$L$34,'Input Assumptions'!$C$36:$L$36)</f>
        <v>2121.8658203125005</v>
      </c>
      <c r="BA13" s="59">
        <f>$N$3*_xlfn.XLOOKUP(BA$1,'Input Assumptions'!$C$34:$L$34,'Input Assumptions'!$C$36:$L$36)</f>
        <v>2121.8658203125005</v>
      </c>
      <c r="BB13" s="59">
        <f>$N$3*_xlfn.XLOOKUP(BB$1,'Input Assumptions'!$C$34:$L$34,'Input Assumptions'!$C$36:$L$36)</f>
        <v>2121.8658203125005</v>
      </c>
      <c r="BC13" s="59">
        <f>$N$3*_xlfn.XLOOKUP(BC$1,'Input Assumptions'!$C$34:$L$34,'Input Assumptions'!$C$36:$L$36)</f>
        <v>2121.8658203125005</v>
      </c>
      <c r="BD13" s="59">
        <f>$N$3*_xlfn.XLOOKUP(BD$1,'Input Assumptions'!$C$34:$L$34,'Input Assumptions'!$C$36:$L$36)</f>
        <v>2121.8658203125005</v>
      </c>
      <c r="BE13" s="59">
        <f>$N$3*_xlfn.XLOOKUP(BE$1,'Input Assumptions'!$C$34:$L$34,'Input Assumptions'!$C$36:$L$36)</f>
        <v>2121.8658203125005</v>
      </c>
      <c r="BF13" s="59">
        <f>$N$3*_xlfn.XLOOKUP(BF$1,'Input Assumptions'!$C$34:$L$34,'Input Assumptions'!$C$36:$L$36)</f>
        <v>2121.8658203125005</v>
      </c>
      <c r="BG13" s="59">
        <f>$N$3*_xlfn.XLOOKUP(BG$1,'Input Assumptions'!$C$34:$L$34,'Input Assumptions'!$C$36:$L$36)</f>
        <v>2121.8658203125005</v>
      </c>
      <c r="BH13" s="59">
        <f>$N$3*_xlfn.XLOOKUP(BH$1,'Input Assumptions'!$C$34:$L$34,'Input Assumptions'!$C$36:$L$36)</f>
        <v>2121.8658203125005</v>
      </c>
      <c r="BI13" s="59">
        <f>$N$3*_xlfn.XLOOKUP(BI$1,'Input Assumptions'!$C$34:$L$34,'Input Assumptions'!$C$36:$L$36)</f>
        <v>2121.8658203125005</v>
      </c>
      <c r="BJ13" s="59">
        <f>$N$3*_xlfn.XLOOKUP(BJ$1,'Input Assumptions'!$C$34:$L$34,'Input Assumptions'!$C$36:$L$36)</f>
        <v>2201.4357885742193</v>
      </c>
      <c r="BK13" s="59">
        <f>$N$3*_xlfn.XLOOKUP(BK$1,'Input Assumptions'!$C$34:$L$34,'Input Assumptions'!$C$36:$L$36)</f>
        <v>2201.4357885742193</v>
      </c>
      <c r="BL13" s="59">
        <f>$N$3*_xlfn.XLOOKUP(BL$1,'Input Assumptions'!$C$34:$L$34,'Input Assumptions'!$C$36:$L$36)</f>
        <v>2201.4357885742193</v>
      </c>
      <c r="BM13" s="59">
        <f>$N$3*_xlfn.XLOOKUP(BM$1,'Input Assumptions'!$C$34:$L$34,'Input Assumptions'!$C$36:$L$36)</f>
        <v>2201.4357885742193</v>
      </c>
      <c r="BN13" s="59">
        <f>$N$3*_xlfn.XLOOKUP(BN$1,'Input Assumptions'!$C$34:$L$34,'Input Assumptions'!$C$36:$L$36)</f>
        <v>2201.4357885742193</v>
      </c>
      <c r="BO13" s="59">
        <f>$N$3*_xlfn.XLOOKUP(BO$1,'Input Assumptions'!$C$34:$L$34,'Input Assumptions'!$C$36:$L$36)</f>
        <v>2201.4357885742193</v>
      </c>
      <c r="BP13" s="59">
        <f>$N$3*_xlfn.XLOOKUP(BP$1,'Input Assumptions'!$C$34:$L$34,'Input Assumptions'!$C$36:$L$36)</f>
        <v>2201.4357885742193</v>
      </c>
      <c r="BQ13" s="59">
        <f>$N$3*_xlfn.XLOOKUP(BQ$1,'Input Assumptions'!$C$34:$L$34,'Input Assumptions'!$C$36:$L$36)</f>
        <v>2201.4357885742193</v>
      </c>
      <c r="BR13" s="59">
        <f>$N$3*_xlfn.XLOOKUP(BR$1,'Input Assumptions'!$C$34:$L$34,'Input Assumptions'!$C$36:$L$36)</f>
        <v>2201.4357885742193</v>
      </c>
      <c r="BS13" s="59">
        <f>$N$3*_xlfn.XLOOKUP(BS$1,'Input Assumptions'!$C$34:$L$34,'Input Assumptions'!$C$36:$L$36)</f>
        <v>2201.4357885742193</v>
      </c>
      <c r="BT13" s="59">
        <f>$N$3*_xlfn.XLOOKUP(BT$1,'Input Assumptions'!$C$34:$L$34,'Input Assumptions'!$C$36:$L$36)</f>
        <v>2201.4357885742193</v>
      </c>
      <c r="BU13" s="59">
        <f>$N$3*_xlfn.XLOOKUP(BU$1,'Input Assumptions'!$C$34:$L$34,'Input Assumptions'!$C$36:$L$36)</f>
        <v>2201.4357885742193</v>
      </c>
      <c r="BV13" s="59">
        <f>$N$3*_xlfn.XLOOKUP(BV$1,'Input Assumptions'!$C$34:$L$34,'Input Assumptions'!$C$36:$L$36)</f>
        <v>2283.9896306457531</v>
      </c>
      <c r="BW13" s="59">
        <f>$N$3*_xlfn.XLOOKUP(BW$1,'Input Assumptions'!$C$34:$L$34,'Input Assumptions'!$C$36:$L$36)</f>
        <v>1900</v>
      </c>
      <c r="BX13" s="59">
        <f>$N$3*_xlfn.XLOOKUP(BX$1,'Input Assumptions'!$C$34:$L$34,'Input Assumptions'!$C$36:$L$36)</f>
        <v>1900</v>
      </c>
      <c r="BY13" s="59">
        <f>$N$3*_xlfn.XLOOKUP(BY$1,'Input Assumptions'!$C$34:$L$34,'Input Assumptions'!$C$36:$L$36)</f>
        <v>1900</v>
      </c>
      <c r="BZ13" s="59">
        <f>$N$3*_xlfn.XLOOKUP(BZ$1,'Input Assumptions'!$C$34:$L$34,'Input Assumptions'!$C$36:$L$36)</f>
        <v>1900</v>
      </c>
      <c r="CA13" s="59">
        <f>$N$3*_xlfn.XLOOKUP(CA$1,'Input Assumptions'!$C$34:$L$34,'Input Assumptions'!$C$36:$L$36)</f>
        <v>1900</v>
      </c>
      <c r="CB13" s="59">
        <f>$N$3*_xlfn.XLOOKUP(CB$1,'Input Assumptions'!$C$34:$L$34,'Input Assumptions'!$C$36:$L$36)</f>
        <v>1900</v>
      </c>
      <c r="CC13" s="59">
        <f>$N$3*_xlfn.XLOOKUP(CC$1,'Input Assumptions'!$C$34:$L$34,'Input Assumptions'!$C$36:$L$36)</f>
        <v>1900</v>
      </c>
      <c r="CD13" s="59">
        <f>$N$3*_xlfn.XLOOKUP(CD$1,'Input Assumptions'!$C$34:$L$34,'Input Assumptions'!$C$36:$L$36)</f>
        <v>1900</v>
      </c>
      <c r="CE13" s="59">
        <f>$N$3*_xlfn.XLOOKUP(CE$1,'Input Assumptions'!$C$34:$L$34,'Input Assumptions'!$C$36:$L$36)</f>
        <v>1900</v>
      </c>
      <c r="CF13" s="59">
        <f>$N$3*_xlfn.XLOOKUP(CF$1,'Input Assumptions'!$C$34:$L$34,'Input Assumptions'!$C$36:$L$36)</f>
        <v>1900</v>
      </c>
      <c r="CG13" s="59">
        <f>$N$3*_xlfn.XLOOKUP(CG$1,'Input Assumptions'!$C$34:$L$34,'Input Assumptions'!$C$36:$L$36)</f>
        <v>1900</v>
      </c>
      <c r="CH13" s="59">
        <f>$N$3*_xlfn.XLOOKUP(CH$1,'Input Assumptions'!$C$34:$L$34,'Input Assumptions'!$C$36:$L$36)</f>
        <v>1900</v>
      </c>
      <c r="CI13" s="59">
        <f>$N$3*_xlfn.XLOOKUP(CI$1,'Input Assumptions'!$C$34:$L$34,'Input Assumptions'!$C$36:$L$36)</f>
        <v>1971.2500000000002</v>
      </c>
      <c r="CJ13" s="59">
        <f>$N$3*_xlfn.XLOOKUP(CJ$1,'Input Assumptions'!$C$34:$L$34,'Input Assumptions'!$C$36:$L$36)</f>
        <v>1971.2500000000002</v>
      </c>
      <c r="CK13" s="59">
        <f>$N$3*_xlfn.XLOOKUP(CK$1,'Input Assumptions'!$C$34:$L$34,'Input Assumptions'!$C$36:$L$36)</f>
        <v>1971.2500000000002</v>
      </c>
      <c r="CL13" s="59">
        <f>$N$3*_xlfn.XLOOKUP(CL$1,'Input Assumptions'!$C$34:$L$34,'Input Assumptions'!$C$36:$L$36)</f>
        <v>1971.2500000000002</v>
      </c>
      <c r="CM13" s="59">
        <f>$N$3*_xlfn.XLOOKUP(CM$1,'Input Assumptions'!$C$34:$L$34,'Input Assumptions'!$C$36:$L$36)</f>
        <v>1971.2500000000002</v>
      </c>
      <c r="CN13" s="59">
        <f>$N$3*_xlfn.XLOOKUP(CN$1,'Input Assumptions'!$C$34:$L$34,'Input Assumptions'!$C$36:$L$36)</f>
        <v>1971.2500000000002</v>
      </c>
      <c r="CO13" s="59">
        <f>$N$3*_xlfn.XLOOKUP(CO$1,'Input Assumptions'!$C$34:$L$34,'Input Assumptions'!$C$36:$L$36)</f>
        <v>1971.2500000000002</v>
      </c>
      <c r="CP13" s="59">
        <f>$N$3*_xlfn.XLOOKUP(CP$1,'Input Assumptions'!$C$34:$L$34,'Input Assumptions'!$C$36:$L$36)</f>
        <v>1971.2500000000002</v>
      </c>
      <c r="CQ13" s="59">
        <f>$N$3*_xlfn.XLOOKUP(CQ$1,'Input Assumptions'!$C$34:$L$34,'Input Assumptions'!$C$36:$L$36)</f>
        <v>1971.2500000000002</v>
      </c>
      <c r="CR13" s="59">
        <f>$N$3*_xlfn.XLOOKUP(CR$1,'Input Assumptions'!$C$34:$L$34,'Input Assumptions'!$C$36:$L$36)</f>
        <v>1971.2500000000002</v>
      </c>
      <c r="CS13" s="59">
        <f>$N$3*_xlfn.XLOOKUP(CS$1,'Input Assumptions'!$C$34:$L$34,'Input Assumptions'!$C$36:$L$36)</f>
        <v>1971.2500000000002</v>
      </c>
      <c r="CT13" s="59">
        <f>$N$3*_xlfn.XLOOKUP(CT$1,'Input Assumptions'!$C$34:$L$34,'Input Assumptions'!$C$36:$L$36)</f>
        <v>1971.2500000000002</v>
      </c>
      <c r="CU13" s="59">
        <f>$N$3*_xlfn.XLOOKUP(CU$1,'Input Assumptions'!$C$34:$L$34,'Input Assumptions'!$C$36:$L$36)</f>
        <v>2045.1718750000005</v>
      </c>
      <c r="CV13" s="59">
        <f>$N$3*_xlfn.XLOOKUP(CV$1,'Input Assumptions'!$C$34:$L$34,'Input Assumptions'!$C$36:$L$36)</f>
        <v>2045.1718750000005</v>
      </c>
      <c r="CW13" s="59">
        <f>$N$3*_xlfn.XLOOKUP(CW$1,'Input Assumptions'!$C$34:$L$34,'Input Assumptions'!$C$36:$L$36)</f>
        <v>2045.1718750000005</v>
      </c>
      <c r="CX13" s="59">
        <f>$N$3*_xlfn.XLOOKUP(CX$1,'Input Assumptions'!$C$34:$L$34,'Input Assumptions'!$C$36:$L$36)</f>
        <v>2045.1718750000005</v>
      </c>
      <c r="CY13" s="59">
        <f>$N$3*_xlfn.XLOOKUP(CY$1,'Input Assumptions'!$C$34:$L$34,'Input Assumptions'!$C$36:$L$36)</f>
        <v>2045.1718750000005</v>
      </c>
      <c r="CZ13" s="59">
        <f>$N$3*_xlfn.XLOOKUP(CZ$1,'Input Assumptions'!$C$34:$L$34,'Input Assumptions'!$C$36:$L$36)</f>
        <v>2045.1718750000005</v>
      </c>
      <c r="DA13" s="59">
        <f>$N$3*_xlfn.XLOOKUP(DA$1,'Input Assumptions'!$C$34:$L$34,'Input Assumptions'!$C$36:$L$36)</f>
        <v>2045.1718750000005</v>
      </c>
      <c r="DB13" s="59">
        <f>$N$3*_xlfn.XLOOKUP(DB$1,'Input Assumptions'!$C$34:$L$34,'Input Assumptions'!$C$36:$L$36)</f>
        <v>2045.1718750000005</v>
      </c>
      <c r="DC13" s="59">
        <f>$N$3*_xlfn.XLOOKUP(DC$1,'Input Assumptions'!$C$34:$L$34,'Input Assumptions'!$C$36:$L$36)</f>
        <v>2045.1718750000005</v>
      </c>
      <c r="DD13" s="59">
        <f>$N$3*_xlfn.XLOOKUP(DD$1,'Input Assumptions'!$C$34:$L$34,'Input Assumptions'!$C$36:$L$36)</f>
        <v>2045.1718750000005</v>
      </c>
      <c r="DE13" s="59">
        <f>$N$3*_xlfn.XLOOKUP(DE$1,'Input Assumptions'!$C$34:$L$34,'Input Assumptions'!$C$36:$L$36)</f>
        <v>2045.1718750000005</v>
      </c>
      <c r="DF13" s="59">
        <f>$N$3*_xlfn.XLOOKUP(DF$1,'Input Assumptions'!$C$34:$L$34,'Input Assumptions'!$C$36:$L$36)</f>
        <v>2045.1718750000005</v>
      </c>
      <c r="DG13" s="59">
        <f>$N$3*_xlfn.XLOOKUP(DG$1,'Input Assumptions'!$C$34:$L$34,'Input Assumptions'!$C$36:$L$36)</f>
        <v>2121.8658203125005</v>
      </c>
      <c r="DH13" s="59">
        <f>$N$3*_xlfn.XLOOKUP(DH$1,'Input Assumptions'!$C$34:$L$34,'Input Assumptions'!$C$36:$L$36)</f>
        <v>2121.8658203125005</v>
      </c>
      <c r="DI13" s="59">
        <f>$N$3*_xlfn.XLOOKUP(DI$1,'Input Assumptions'!$C$34:$L$34,'Input Assumptions'!$C$36:$L$36)</f>
        <v>2121.8658203125005</v>
      </c>
      <c r="DJ13" s="59">
        <f>$N$3*_xlfn.XLOOKUP(DJ$1,'Input Assumptions'!$C$34:$L$34,'Input Assumptions'!$C$36:$L$36)</f>
        <v>2121.8658203125005</v>
      </c>
      <c r="DK13" s="59">
        <f>$N$3*_xlfn.XLOOKUP(DK$1,'Input Assumptions'!$C$34:$L$34,'Input Assumptions'!$C$36:$L$36)</f>
        <v>2121.8658203125005</v>
      </c>
      <c r="DL13" s="59">
        <f>$N$3*_xlfn.XLOOKUP(DL$1,'Input Assumptions'!$C$34:$L$34,'Input Assumptions'!$C$36:$L$36)</f>
        <v>2121.8658203125005</v>
      </c>
      <c r="DM13" s="59">
        <f>$N$3*_xlfn.XLOOKUP(DM$1,'Input Assumptions'!$C$34:$L$34,'Input Assumptions'!$C$36:$L$36)</f>
        <v>2121.8658203125005</v>
      </c>
      <c r="DN13" s="59">
        <f>$N$3*_xlfn.XLOOKUP(DN$1,'Input Assumptions'!$C$34:$L$34,'Input Assumptions'!$C$36:$L$36)</f>
        <v>2121.8658203125005</v>
      </c>
      <c r="DO13" s="59">
        <f>$N$3*_xlfn.XLOOKUP(DO$1,'Input Assumptions'!$C$34:$L$34,'Input Assumptions'!$C$36:$L$36)</f>
        <v>2121.8658203125005</v>
      </c>
      <c r="DP13" s="59">
        <f>$N$3*_xlfn.XLOOKUP(DP$1,'Input Assumptions'!$C$34:$L$34,'Input Assumptions'!$C$36:$L$36)</f>
        <v>2121.8658203125005</v>
      </c>
      <c r="DQ13" s="59">
        <f>$N$3*_xlfn.XLOOKUP(DQ$1,'Input Assumptions'!$C$34:$L$34,'Input Assumptions'!$C$36:$L$36)</f>
        <v>2121.8658203125005</v>
      </c>
      <c r="DR13" s="59">
        <f>$N$3*_xlfn.XLOOKUP(DR$1,'Input Assumptions'!$C$34:$L$34,'Input Assumptions'!$C$36:$L$36)</f>
        <v>2121.8658203125005</v>
      </c>
      <c r="DS13" s="59">
        <f>$N$3*_xlfn.XLOOKUP(DS$1,'Input Assumptions'!$C$34:$L$34,'Input Assumptions'!$C$36:$L$36)</f>
        <v>2201.4357885742193</v>
      </c>
      <c r="DT13" s="59">
        <f>$N$3*_xlfn.XLOOKUP(DT$1,'Input Assumptions'!$C$34:$L$34,'Input Assumptions'!$C$36:$L$36)</f>
        <v>2201.4357885742193</v>
      </c>
      <c r="DU13" s="59">
        <f>$N$3*_xlfn.XLOOKUP(DU$1,'Input Assumptions'!$C$34:$L$34,'Input Assumptions'!$C$36:$L$36)</f>
        <v>2201.4357885742193</v>
      </c>
      <c r="DV13" s="59">
        <f>$N$3*_xlfn.XLOOKUP(DV$1,'Input Assumptions'!$C$34:$L$34,'Input Assumptions'!$C$36:$L$36)</f>
        <v>2201.4357885742193</v>
      </c>
      <c r="DW13" s="59">
        <f>$N$3*_xlfn.XLOOKUP(DW$1,'Input Assumptions'!$C$34:$L$34,'Input Assumptions'!$C$36:$L$36)</f>
        <v>2201.4357885742193</v>
      </c>
      <c r="DX13" s="59">
        <f>$N$3*_xlfn.XLOOKUP(DX$1,'Input Assumptions'!$C$34:$L$34,'Input Assumptions'!$C$36:$L$36)</f>
        <v>2201.4357885742193</v>
      </c>
      <c r="DY13" s="59">
        <f>$N$3*_xlfn.XLOOKUP(DY$1,'Input Assumptions'!$C$34:$L$34,'Input Assumptions'!$C$36:$L$36)</f>
        <v>2201.4357885742193</v>
      </c>
      <c r="DZ13" s="59">
        <f>$N$3*_xlfn.XLOOKUP(DZ$1,'Input Assumptions'!$C$34:$L$34,'Input Assumptions'!$C$36:$L$36)</f>
        <v>2201.4357885742193</v>
      </c>
      <c r="EA13" s="59">
        <f>$N$3*_xlfn.XLOOKUP(EA$1,'Input Assumptions'!$C$34:$L$34,'Input Assumptions'!$C$36:$L$36)</f>
        <v>2201.4357885742193</v>
      </c>
      <c r="EB13" s="59">
        <f>$N$3*_xlfn.XLOOKUP(EB$1,'Input Assumptions'!$C$34:$L$34,'Input Assumptions'!$C$36:$L$36)</f>
        <v>2201.4357885742193</v>
      </c>
      <c r="EC13" s="59">
        <f>$N$3*_xlfn.XLOOKUP(EC$1,'Input Assumptions'!$C$34:$L$34,'Input Assumptions'!$C$36:$L$36)</f>
        <v>2201.4357885742193</v>
      </c>
    </row>
    <row r="14" spans="2:133" x14ac:dyDescent="0.3">
      <c r="B14" s="15">
        <v>2</v>
      </c>
      <c r="C14" s="16">
        <v>12</v>
      </c>
      <c r="D14" s="16" t="s">
        <v>10</v>
      </c>
      <c r="E14" s="16">
        <v>450</v>
      </c>
      <c r="F14" s="20">
        <f t="shared" si="108"/>
        <v>41.80640845790095</v>
      </c>
      <c r="G14" s="19" t="str">
        <f t="shared" si="109"/>
        <v>1</v>
      </c>
      <c r="H14" s="20">
        <f t="shared" si="112"/>
        <v>1</v>
      </c>
      <c r="I14" s="18">
        <f t="shared" si="110"/>
        <v>1710</v>
      </c>
      <c r="J14" s="18">
        <f t="shared" si="111"/>
        <v>1900</v>
      </c>
      <c r="K14" s="18">
        <f>(J14*'Input Assumptions'!$C$20)+I14*('Input Assumptions'!$C$21)</f>
        <v>1900</v>
      </c>
      <c r="L14" s="94"/>
      <c r="N14" s="59">
        <f t="shared" si="113"/>
        <v>1900</v>
      </c>
      <c r="O14" s="59">
        <f>$N$3*_xlfn.XLOOKUP(O$1,'Input Assumptions'!$C$34:$L$34,'Input Assumptions'!$C$36:$L$36)</f>
        <v>1900</v>
      </c>
      <c r="P14" s="59">
        <f>$N$3*_xlfn.XLOOKUP(P$1,'Input Assumptions'!$C$34:$L$34,'Input Assumptions'!$C$36:$L$36)</f>
        <v>1900</v>
      </c>
      <c r="Q14" s="59">
        <f>$N$3*_xlfn.XLOOKUP(Q$1,'Input Assumptions'!$C$34:$L$34,'Input Assumptions'!$C$36:$L$36)</f>
        <v>1900</v>
      </c>
      <c r="R14" s="59">
        <f>$N$3*_xlfn.XLOOKUP(R$1,'Input Assumptions'!$C$34:$L$34,'Input Assumptions'!$C$36:$L$36)</f>
        <v>1900</v>
      </c>
      <c r="S14" s="59">
        <f>$N$3*_xlfn.XLOOKUP(S$1,'Input Assumptions'!$C$34:$L$34,'Input Assumptions'!$C$36:$L$36)</f>
        <v>1900</v>
      </c>
      <c r="T14" s="59">
        <f>$N$3*_xlfn.XLOOKUP(T$1,'Input Assumptions'!$C$34:$L$34,'Input Assumptions'!$C$36:$L$36)</f>
        <v>1900</v>
      </c>
      <c r="U14" s="59">
        <f>$N$3*_xlfn.XLOOKUP(U$1,'Input Assumptions'!$C$34:$L$34,'Input Assumptions'!$C$36:$L$36)</f>
        <v>1900</v>
      </c>
      <c r="V14" s="59">
        <f>$N$3*_xlfn.XLOOKUP(V$1,'Input Assumptions'!$C$34:$L$34,'Input Assumptions'!$C$36:$L$36)</f>
        <v>1900</v>
      </c>
      <c r="W14" s="59">
        <f>$N$3*_xlfn.XLOOKUP(W$1,'Input Assumptions'!$C$34:$L$34,'Input Assumptions'!$C$36:$L$36)</f>
        <v>1900</v>
      </c>
      <c r="X14" s="59">
        <f>$N$3*_xlfn.XLOOKUP(X$1,'Input Assumptions'!$C$34:$L$34,'Input Assumptions'!$C$36:$L$36)</f>
        <v>1900</v>
      </c>
      <c r="Y14" s="59">
        <f>$N$3*_xlfn.XLOOKUP(Y$1,'Input Assumptions'!$C$34:$L$34,'Input Assumptions'!$C$36:$L$36)</f>
        <v>1900</v>
      </c>
      <c r="Z14" s="59">
        <f>$N$3*_xlfn.XLOOKUP(Z$1,'Input Assumptions'!$C$34:$L$34,'Input Assumptions'!$C$36:$L$36)</f>
        <v>1971.2500000000002</v>
      </c>
      <c r="AA14" s="59">
        <f>$N$3*_xlfn.XLOOKUP(AA$1,'Input Assumptions'!$C$34:$L$34,'Input Assumptions'!$C$36:$L$36)</f>
        <v>1971.2500000000002</v>
      </c>
      <c r="AB14" s="59">
        <f>$N$3*_xlfn.XLOOKUP(AB$1,'Input Assumptions'!$C$34:$L$34,'Input Assumptions'!$C$36:$L$36)</f>
        <v>1971.2500000000002</v>
      </c>
      <c r="AC14" s="59">
        <f>$N$3*_xlfn.XLOOKUP(AC$1,'Input Assumptions'!$C$34:$L$34,'Input Assumptions'!$C$36:$L$36)</f>
        <v>1971.2500000000002</v>
      </c>
      <c r="AD14" s="59">
        <f>$N$3*_xlfn.XLOOKUP(AD$1,'Input Assumptions'!$C$34:$L$34,'Input Assumptions'!$C$36:$L$36)</f>
        <v>1971.2500000000002</v>
      </c>
      <c r="AE14" s="59">
        <f>$N$3*_xlfn.XLOOKUP(AE$1,'Input Assumptions'!$C$34:$L$34,'Input Assumptions'!$C$36:$L$36)</f>
        <v>1971.2500000000002</v>
      </c>
      <c r="AF14" s="59">
        <f>$N$3*_xlfn.XLOOKUP(AF$1,'Input Assumptions'!$C$34:$L$34,'Input Assumptions'!$C$36:$L$36)</f>
        <v>1971.2500000000002</v>
      </c>
      <c r="AG14" s="59">
        <f>$N$3*_xlfn.XLOOKUP(AG$1,'Input Assumptions'!$C$34:$L$34,'Input Assumptions'!$C$36:$L$36)</f>
        <v>1971.2500000000002</v>
      </c>
      <c r="AH14" s="59">
        <f>$N$3*_xlfn.XLOOKUP(AH$1,'Input Assumptions'!$C$34:$L$34,'Input Assumptions'!$C$36:$L$36)</f>
        <v>1971.2500000000002</v>
      </c>
      <c r="AI14" s="59">
        <f>$N$3*_xlfn.XLOOKUP(AI$1,'Input Assumptions'!$C$34:$L$34,'Input Assumptions'!$C$36:$L$36)</f>
        <v>1971.2500000000002</v>
      </c>
      <c r="AJ14" s="59">
        <f>$N$3*_xlfn.XLOOKUP(AJ$1,'Input Assumptions'!$C$34:$L$34,'Input Assumptions'!$C$36:$L$36)</f>
        <v>1971.2500000000002</v>
      </c>
      <c r="AK14" s="59">
        <f>$N$3*_xlfn.XLOOKUP(AK$1,'Input Assumptions'!$C$34:$L$34,'Input Assumptions'!$C$36:$L$36)</f>
        <v>1971.2500000000002</v>
      </c>
      <c r="AL14" s="59">
        <f>$N$3*_xlfn.XLOOKUP(AL$1,'Input Assumptions'!$C$34:$L$34,'Input Assumptions'!$C$36:$L$36)</f>
        <v>2045.1718750000005</v>
      </c>
      <c r="AM14" s="59">
        <f>$N$3*_xlfn.XLOOKUP(AM$1,'Input Assumptions'!$C$34:$L$34,'Input Assumptions'!$C$36:$L$36)</f>
        <v>2045.1718750000005</v>
      </c>
      <c r="AN14" s="59">
        <f>$N$3*_xlfn.XLOOKUP(AN$1,'Input Assumptions'!$C$34:$L$34,'Input Assumptions'!$C$36:$L$36)</f>
        <v>2045.1718750000005</v>
      </c>
      <c r="AO14" s="59">
        <f>$N$3*_xlfn.XLOOKUP(AO$1,'Input Assumptions'!$C$34:$L$34,'Input Assumptions'!$C$36:$L$36)</f>
        <v>2045.1718750000005</v>
      </c>
      <c r="AP14" s="59">
        <f>$N$3*_xlfn.XLOOKUP(AP$1,'Input Assumptions'!$C$34:$L$34,'Input Assumptions'!$C$36:$L$36)</f>
        <v>2045.1718750000005</v>
      </c>
      <c r="AQ14" s="59">
        <f>$N$3*_xlfn.XLOOKUP(AQ$1,'Input Assumptions'!$C$34:$L$34,'Input Assumptions'!$C$36:$L$36)</f>
        <v>2045.1718750000005</v>
      </c>
      <c r="AR14" s="59">
        <f>$N$3*_xlfn.XLOOKUP(AR$1,'Input Assumptions'!$C$34:$L$34,'Input Assumptions'!$C$36:$L$36)</f>
        <v>2045.1718750000005</v>
      </c>
      <c r="AS14" s="59">
        <f>$N$3*_xlfn.XLOOKUP(AS$1,'Input Assumptions'!$C$34:$L$34,'Input Assumptions'!$C$36:$L$36)</f>
        <v>2045.1718750000005</v>
      </c>
      <c r="AT14" s="59">
        <f>$N$3*_xlfn.XLOOKUP(AT$1,'Input Assumptions'!$C$34:$L$34,'Input Assumptions'!$C$36:$L$36)</f>
        <v>2045.1718750000005</v>
      </c>
      <c r="AU14" s="59">
        <f>$N$3*_xlfn.XLOOKUP(AU$1,'Input Assumptions'!$C$34:$L$34,'Input Assumptions'!$C$36:$L$36)</f>
        <v>2045.1718750000005</v>
      </c>
      <c r="AV14" s="59">
        <f>$N$3*_xlfn.XLOOKUP(AV$1,'Input Assumptions'!$C$34:$L$34,'Input Assumptions'!$C$36:$L$36)</f>
        <v>2045.1718750000005</v>
      </c>
      <c r="AW14" s="59">
        <f>$N$3*_xlfn.XLOOKUP(AW$1,'Input Assumptions'!$C$34:$L$34,'Input Assumptions'!$C$36:$L$36)</f>
        <v>2045.1718750000005</v>
      </c>
      <c r="AX14" s="59">
        <f>$N$3*_xlfn.XLOOKUP(AX$1,'Input Assumptions'!$C$34:$L$34,'Input Assumptions'!$C$36:$L$36)</f>
        <v>2121.8658203125005</v>
      </c>
      <c r="AY14" s="59">
        <f>$N$3*_xlfn.XLOOKUP(AY$1,'Input Assumptions'!$C$34:$L$34,'Input Assumptions'!$C$36:$L$36)</f>
        <v>2121.8658203125005</v>
      </c>
      <c r="AZ14" s="59">
        <f>$N$3*_xlfn.XLOOKUP(AZ$1,'Input Assumptions'!$C$34:$L$34,'Input Assumptions'!$C$36:$L$36)</f>
        <v>2121.8658203125005</v>
      </c>
      <c r="BA14" s="59">
        <f>$N$3*_xlfn.XLOOKUP(BA$1,'Input Assumptions'!$C$34:$L$34,'Input Assumptions'!$C$36:$L$36)</f>
        <v>2121.8658203125005</v>
      </c>
      <c r="BB14" s="59">
        <f>$N$3*_xlfn.XLOOKUP(BB$1,'Input Assumptions'!$C$34:$L$34,'Input Assumptions'!$C$36:$L$36)</f>
        <v>2121.8658203125005</v>
      </c>
      <c r="BC14" s="59">
        <f>$N$3*_xlfn.XLOOKUP(BC$1,'Input Assumptions'!$C$34:$L$34,'Input Assumptions'!$C$36:$L$36)</f>
        <v>2121.8658203125005</v>
      </c>
      <c r="BD14" s="59">
        <f>$N$3*_xlfn.XLOOKUP(BD$1,'Input Assumptions'!$C$34:$L$34,'Input Assumptions'!$C$36:$L$36)</f>
        <v>2121.8658203125005</v>
      </c>
      <c r="BE14" s="59">
        <f>$N$3*_xlfn.XLOOKUP(BE$1,'Input Assumptions'!$C$34:$L$34,'Input Assumptions'!$C$36:$L$36)</f>
        <v>2121.8658203125005</v>
      </c>
      <c r="BF14" s="59">
        <f>$N$3*_xlfn.XLOOKUP(BF$1,'Input Assumptions'!$C$34:$L$34,'Input Assumptions'!$C$36:$L$36)</f>
        <v>2121.8658203125005</v>
      </c>
      <c r="BG14" s="59">
        <f>$N$3*_xlfn.XLOOKUP(BG$1,'Input Assumptions'!$C$34:$L$34,'Input Assumptions'!$C$36:$L$36)</f>
        <v>2121.8658203125005</v>
      </c>
      <c r="BH14" s="59">
        <f>$N$3*_xlfn.XLOOKUP(BH$1,'Input Assumptions'!$C$34:$L$34,'Input Assumptions'!$C$36:$L$36)</f>
        <v>2121.8658203125005</v>
      </c>
      <c r="BI14" s="59">
        <f>$N$3*_xlfn.XLOOKUP(BI$1,'Input Assumptions'!$C$34:$L$34,'Input Assumptions'!$C$36:$L$36)</f>
        <v>2121.8658203125005</v>
      </c>
      <c r="BJ14" s="59">
        <f>$N$3*_xlfn.XLOOKUP(BJ$1,'Input Assumptions'!$C$34:$L$34,'Input Assumptions'!$C$36:$L$36)</f>
        <v>2201.4357885742193</v>
      </c>
      <c r="BK14" s="59">
        <f>$N$3*_xlfn.XLOOKUP(BK$1,'Input Assumptions'!$C$34:$L$34,'Input Assumptions'!$C$36:$L$36)</f>
        <v>2201.4357885742193</v>
      </c>
      <c r="BL14" s="59">
        <f>$N$3*_xlfn.XLOOKUP(BL$1,'Input Assumptions'!$C$34:$L$34,'Input Assumptions'!$C$36:$L$36)</f>
        <v>2201.4357885742193</v>
      </c>
      <c r="BM14" s="59">
        <f>$N$3*_xlfn.XLOOKUP(BM$1,'Input Assumptions'!$C$34:$L$34,'Input Assumptions'!$C$36:$L$36)</f>
        <v>2201.4357885742193</v>
      </c>
      <c r="BN14" s="59">
        <f>$N$3*_xlfn.XLOOKUP(BN$1,'Input Assumptions'!$C$34:$L$34,'Input Assumptions'!$C$36:$L$36)</f>
        <v>2201.4357885742193</v>
      </c>
      <c r="BO14" s="59">
        <f>$N$3*_xlfn.XLOOKUP(BO$1,'Input Assumptions'!$C$34:$L$34,'Input Assumptions'!$C$36:$L$36)</f>
        <v>2201.4357885742193</v>
      </c>
      <c r="BP14" s="59">
        <f>$N$3*_xlfn.XLOOKUP(BP$1,'Input Assumptions'!$C$34:$L$34,'Input Assumptions'!$C$36:$L$36)</f>
        <v>2201.4357885742193</v>
      </c>
      <c r="BQ14" s="59">
        <f>$N$3*_xlfn.XLOOKUP(BQ$1,'Input Assumptions'!$C$34:$L$34,'Input Assumptions'!$C$36:$L$36)</f>
        <v>2201.4357885742193</v>
      </c>
      <c r="BR14" s="59">
        <f>$N$3*_xlfn.XLOOKUP(BR$1,'Input Assumptions'!$C$34:$L$34,'Input Assumptions'!$C$36:$L$36)</f>
        <v>2201.4357885742193</v>
      </c>
      <c r="BS14" s="59">
        <f>$N$3*_xlfn.XLOOKUP(BS$1,'Input Assumptions'!$C$34:$L$34,'Input Assumptions'!$C$36:$L$36)</f>
        <v>2201.4357885742193</v>
      </c>
      <c r="BT14" s="59">
        <f>$N$3*_xlfn.XLOOKUP(BT$1,'Input Assumptions'!$C$34:$L$34,'Input Assumptions'!$C$36:$L$36)</f>
        <v>2201.4357885742193</v>
      </c>
      <c r="BU14" s="59">
        <f>$N$3*_xlfn.XLOOKUP(BU$1,'Input Assumptions'!$C$34:$L$34,'Input Assumptions'!$C$36:$L$36)</f>
        <v>2201.4357885742193</v>
      </c>
      <c r="BV14" s="59">
        <f>$N$3*_xlfn.XLOOKUP(BV$1,'Input Assumptions'!$C$34:$L$34,'Input Assumptions'!$C$36:$L$36)</f>
        <v>2283.9896306457531</v>
      </c>
      <c r="BW14" s="59">
        <f>$N$3*_xlfn.XLOOKUP(BW$1,'Input Assumptions'!$C$34:$L$34,'Input Assumptions'!$C$36:$L$36)</f>
        <v>1900</v>
      </c>
      <c r="BX14" s="59">
        <f>$N$3*_xlfn.XLOOKUP(BX$1,'Input Assumptions'!$C$34:$L$34,'Input Assumptions'!$C$36:$L$36)</f>
        <v>1900</v>
      </c>
      <c r="BY14" s="59">
        <f>$N$3*_xlfn.XLOOKUP(BY$1,'Input Assumptions'!$C$34:$L$34,'Input Assumptions'!$C$36:$L$36)</f>
        <v>1900</v>
      </c>
      <c r="BZ14" s="59">
        <f>$N$3*_xlfn.XLOOKUP(BZ$1,'Input Assumptions'!$C$34:$L$34,'Input Assumptions'!$C$36:$L$36)</f>
        <v>1900</v>
      </c>
      <c r="CA14" s="59">
        <f>$N$3*_xlfn.XLOOKUP(CA$1,'Input Assumptions'!$C$34:$L$34,'Input Assumptions'!$C$36:$L$36)</f>
        <v>1900</v>
      </c>
      <c r="CB14" s="59">
        <f>$N$3*_xlfn.XLOOKUP(CB$1,'Input Assumptions'!$C$34:$L$34,'Input Assumptions'!$C$36:$L$36)</f>
        <v>1900</v>
      </c>
      <c r="CC14" s="59">
        <f>$N$3*_xlfn.XLOOKUP(CC$1,'Input Assumptions'!$C$34:$L$34,'Input Assumptions'!$C$36:$L$36)</f>
        <v>1900</v>
      </c>
      <c r="CD14" s="59">
        <f>$N$3*_xlfn.XLOOKUP(CD$1,'Input Assumptions'!$C$34:$L$34,'Input Assumptions'!$C$36:$L$36)</f>
        <v>1900</v>
      </c>
      <c r="CE14" s="59">
        <f>$N$3*_xlfn.XLOOKUP(CE$1,'Input Assumptions'!$C$34:$L$34,'Input Assumptions'!$C$36:$L$36)</f>
        <v>1900</v>
      </c>
      <c r="CF14" s="59">
        <f>$N$3*_xlfn.XLOOKUP(CF$1,'Input Assumptions'!$C$34:$L$34,'Input Assumptions'!$C$36:$L$36)</f>
        <v>1900</v>
      </c>
      <c r="CG14" s="59">
        <f>$N$3*_xlfn.XLOOKUP(CG$1,'Input Assumptions'!$C$34:$L$34,'Input Assumptions'!$C$36:$L$36)</f>
        <v>1900</v>
      </c>
      <c r="CH14" s="59">
        <f>$N$3*_xlfn.XLOOKUP(CH$1,'Input Assumptions'!$C$34:$L$34,'Input Assumptions'!$C$36:$L$36)</f>
        <v>1900</v>
      </c>
      <c r="CI14" s="59">
        <f>$N$3*_xlfn.XLOOKUP(CI$1,'Input Assumptions'!$C$34:$L$34,'Input Assumptions'!$C$36:$L$36)</f>
        <v>1971.2500000000002</v>
      </c>
      <c r="CJ14" s="59">
        <f>$N$3*_xlfn.XLOOKUP(CJ$1,'Input Assumptions'!$C$34:$L$34,'Input Assumptions'!$C$36:$L$36)</f>
        <v>1971.2500000000002</v>
      </c>
      <c r="CK14" s="59">
        <f>$N$3*_xlfn.XLOOKUP(CK$1,'Input Assumptions'!$C$34:$L$34,'Input Assumptions'!$C$36:$L$36)</f>
        <v>1971.2500000000002</v>
      </c>
      <c r="CL14" s="59">
        <f>$N$3*_xlfn.XLOOKUP(CL$1,'Input Assumptions'!$C$34:$L$34,'Input Assumptions'!$C$36:$L$36)</f>
        <v>1971.2500000000002</v>
      </c>
      <c r="CM14" s="59">
        <f>$N$3*_xlfn.XLOOKUP(CM$1,'Input Assumptions'!$C$34:$L$34,'Input Assumptions'!$C$36:$L$36)</f>
        <v>1971.2500000000002</v>
      </c>
      <c r="CN14" s="59">
        <f>$N$3*_xlfn.XLOOKUP(CN$1,'Input Assumptions'!$C$34:$L$34,'Input Assumptions'!$C$36:$L$36)</f>
        <v>1971.2500000000002</v>
      </c>
      <c r="CO14" s="59">
        <f>$N$3*_xlfn.XLOOKUP(CO$1,'Input Assumptions'!$C$34:$L$34,'Input Assumptions'!$C$36:$L$36)</f>
        <v>1971.2500000000002</v>
      </c>
      <c r="CP14" s="59">
        <f>$N$3*_xlfn.XLOOKUP(CP$1,'Input Assumptions'!$C$34:$L$34,'Input Assumptions'!$C$36:$L$36)</f>
        <v>1971.2500000000002</v>
      </c>
      <c r="CQ14" s="59">
        <f>$N$3*_xlfn.XLOOKUP(CQ$1,'Input Assumptions'!$C$34:$L$34,'Input Assumptions'!$C$36:$L$36)</f>
        <v>1971.2500000000002</v>
      </c>
      <c r="CR14" s="59">
        <f>$N$3*_xlfn.XLOOKUP(CR$1,'Input Assumptions'!$C$34:$L$34,'Input Assumptions'!$C$36:$L$36)</f>
        <v>1971.2500000000002</v>
      </c>
      <c r="CS14" s="59">
        <f>$N$3*_xlfn.XLOOKUP(CS$1,'Input Assumptions'!$C$34:$L$34,'Input Assumptions'!$C$36:$L$36)</f>
        <v>1971.2500000000002</v>
      </c>
      <c r="CT14" s="59">
        <f>$N$3*_xlfn.XLOOKUP(CT$1,'Input Assumptions'!$C$34:$L$34,'Input Assumptions'!$C$36:$L$36)</f>
        <v>1971.2500000000002</v>
      </c>
      <c r="CU14" s="59">
        <f>$N$3*_xlfn.XLOOKUP(CU$1,'Input Assumptions'!$C$34:$L$34,'Input Assumptions'!$C$36:$L$36)</f>
        <v>2045.1718750000005</v>
      </c>
      <c r="CV14" s="59">
        <f>$N$3*_xlfn.XLOOKUP(CV$1,'Input Assumptions'!$C$34:$L$34,'Input Assumptions'!$C$36:$L$36)</f>
        <v>2045.1718750000005</v>
      </c>
      <c r="CW14" s="59">
        <f>$N$3*_xlfn.XLOOKUP(CW$1,'Input Assumptions'!$C$34:$L$34,'Input Assumptions'!$C$36:$L$36)</f>
        <v>2045.1718750000005</v>
      </c>
      <c r="CX14" s="59">
        <f>$N$3*_xlfn.XLOOKUP(CX$1,'Input Assumptions'!$C$34:$L$34,'Input Assumptions'!$C$36:$L$36)</f>
        <v>2045.1718750000005</v>
      </c>
      <c r="CY14" s="59">
        <f>$N$3*_xlfn.XLOOKUP(CY$1,'Input Assumptions'!$C$34:$L$34,'Input Assumptions'!$C$36:$L$36)</f>
        <v>2045.1718750000005</v>
      </c>
      <c r="CZ14" s="59">
        <f>$N$3*_xlfn.XLOOKUP(CZ$1,'Input Assumptions'!$C$34:$L$34,'Input Assumptions'!$C$36:$L$36)</f>
        <v>2045.1718750000005</v>
      </c>
      <c r="DA14" s="59">
        <f>$N$3*_xlfn.XLOOKUP(DA$1,'Input Assumptions'!$C$34:$L$34,'Input Assumptions'!$C$36:$L$36)</f>
        <v>2045.1718750000005</v>
      </c>
      <c r="DB14" s="59">
        <f>$N$3*_xlfn.XLOOKUP(DB$1,'Input Assumptions'!$C$34:$L$34,'Input Assumptions'!$C$36:$L$36)</f>
        <v>2045.1718750000005</v>
      </c>
      <c r="DC14" s="59">
        <f>$N$3*_xlfn.XLOOKUP(DC$1,'Input Assumptions'!$C$34:$L$34,'Input Assumptions'!$C$36:$L$36)</f>
        <v>2045.1718750000005</v>
      </c>
      <c r="DD14" s="59">
        <f>$N$3*_xlfn.XLOOKUP(DD$1,'Input Assumptions'!$C$34:$L$34,'Input Assumptions'!$C$36:$L$36)</f>
        <v>2045.1718750000005</v>
      </c>
      <c r="DE14" s="59">
        <f>$N$3*_xlfn.XLOOKUP(DE$1,'Input Assumptions'!$C$34:$L$34,'Input Assumptions'!$C$36:$L$36)</f>
        <v>2045.1718750000005</v>
      </c>
      <c r="DF14" s="59">
        <f>$N$3*_xlfn.XLOOKUP(DF$1,'Input Assumptions'!$C$34:$L$34,'Input Assumptions'!$C$36:$L$36)</f>
        <v>2045.1718750000005</v>
      </c>
      <c r="DG14" s="59">
        <f>$N$3*_xlfn.XLOOKUP(DG$1,'Input Assumptions'!$C$34:$L$34,'Input Assumptions'!$C$36:$L$36)</f>
        <v>2121.8658203125005</v>
      </c>
      <c r="DH14" s="59">
        <f>$N$3*_xlfn.XLOOKUP(DH$1,'Input Assumptions'!$C$34:$L$34,'Input Assumptions'!$C$36:$L$36)</f>
        <v>2121.8658203125005</v>
      </c>
      <c r="DI14" s="59">
        <f>$N$3*_xlfn.XLOOKUP(DI$1,'Input Assumptions'!$C$34:$L$34,'Input Assumptions'!$C$36:$L$36)</f>
        <v>2121.8658203125005</v>
      </c>
      <c r="DJ14" s="59">
        <f>$N$3*_xlfn.XLOOKUP(DJ$1,'Input Assumptions'!$C$34:$L$34,'Input Assumptions'!$C$36:$L$36)</f>
        <v>2121.8658203125005</v>
      </c>
      <c r="DK14" s="59">
        <f>$N$3*_xlfn.XLOOKUP(DK$1,'Input Assumptions'!$C$34:$L$34,'Input Assumptions'!$C$36:$L$36)</f>
        <v>2121.8658203125005</v>
      </c>
      <c r="DL14" s="59">
        <f>$N$3*_xlfn.XLOOKUP(DL$1,'Input Assumptions'!$C$34:$L$34,'Input Assumptions'!$C$36:$L$36)</f>
        <v>2121.8658203125005</v>
      </c>
      <c r="DM14" s="59">
        <f>$N$3*_xlfn.XLOOKUP(DM$1,'Input Assumptions'!$C$34:$L$34,'Input Assumptions'!$C$36:$L$36)</f>
        <v>2121.8658203125005</v>
      </c>
      <c r="DN14" s="59">
        <f>$N$3*_xlfn.XLOOKUP(DN$1,'Input Assumptions'!$C$34:$L$34,'Input Assumptions'!$C$36:$L$36)</f>
        <v>2121.8658203125005</v>
      </c>
      <c r="DO14" s="59">
        <f>$N$3*_xlfn.XLOOKUP(DO$1,'Input Assumptions'!$C$34:$L$34,'Input Assumptions'!$C$36:$L$36)</f>
        <v>2121.8658203125005</v>
      </c>
      <c r="DP14" s="59">
        <f>$N$3*_xlfn.XLOOKUP(DP$1,'Input Assumptions'!$C$34:$L$34,'Input Assumptions'!$C$36:$L$36)</f>
        <v>2121.8658203125005</v>
      </c>
      <c r="DQ14" s="59">
        <f>$N$3*_xlfn.XLOOKUP(DQ$1,'Input Assumptions'!$C$34:$L$34,'Input Assumptions'!$C$36:$L$36)</f>
        <v>2121.8658203125005</v>
      </c>
      <c r="DR14" s="59">
        <f>$N$3*_xlfn.XLOOKUP(DR$1,'Input Assumptions'!$C$34:$L$34,'Input Assumptions'!$C$36:$L$36)</f>
        <v>2121.8658203125005</v>
      </c>
      <c r="DS14" s="59">
        <f>$N$3*_xlfn.XLOOKUP(DS$1,'Input Assumptions'!$C$34:$L$34,'Input Assumptions'!$C$36:$L$36)</f>
        <v>2201.4357885742193</v>
      </c>
      <c r="DT14" s="59">
        <f>$N$3*_xlfn.XLOOKUP(DT$1,'Input Assumptions'!$C$34:$L$34,'Input Assumptions'!$C$36:$L$36)</f>
        <v>2201.4357885742193</v>
      </c>
      <c r="DU14" s="59">
        <f>$N$3*_xlfn.XLOOKUP(DU$1,'Input Assumptions'!$C$34:$L$34,'Input Assumptions'!$C$36:$L$36)</f>
        <v>2201.4357885742193</v>
      </c>
      <c r="DV14" s="59">
        <f>$N$3*_xlfn.XLOOKUP(DV$1,'Input Assumptions'!$C$34:$L$34,'Input Assumptions'!$C$36:$L$36)</f>
        <v>2201.4357885742193</v>
      </c>
      <c r="DW14" s="59">
        <f>$N$3*_xlfn.XLOOKUP(DW$1,'Input Assumptions'!$C$34:$L$34,'Input Assumptions'!$C$36:$L$36)</f>
        <v>2201.4357885742193</v>
      </c>
      <c r="DX14" s="59">
        <f>$N$3*_xlfn.XLOOKUP(DX$1,'Input Assumptions'!$C$34:$L$34,'Input Assumptions'!$C$36:$L$36)</f>
        <v>2201.4357885742193</v>
      </c>
      <c r="DY14" s="59">
        <f>$N$3*_xlfn.XLOOKUP(DY$1,'Input Assumptions'!$C$34:$L$34,'Input Assumptions'!$C$36:$L$36)</f>
        <v>2201.4357885742193</v>
      </c>
      <c r="DZ14" s="59">
        <f>$N$3*_xlfn.XLOOKUP(DZ$1,'Input Assumptions'!$C$34:$L$34,'Input Assumptions'!$C$36:$L$36)</f>
        <v>2201.4357885742193</v>
      </c>
      <c r="EA14" s="59">
        <f>$N$3*_xlfn.XLOOKUP(EA$1,'Input Assumptions'!$C$34:$L$34,'Input Assumptions'!$C$36:$L$36)</f>
        <v>2201.4357885742193</v>
      </c>
      <c r="EB14" s="59">
        <f>$N$3*_xlfn.XLOOKUP(EB$1,'Input Assumptions'!$C$34:$L$34,'Input Assumptions'!$C$36:$L$36)</f>
        <v>2201.4357885742193</v>
      </c>
      <c r="EC14" s="59">
        <f>$N$3*_xlfn.XLOOKUP(EC$1,'Input Assumptions'!$C$34:$L$34,'Input Assumptions'!$C$36:$L$36)</f>
        <v>2201.4357885742193</v>
      </c>
    </row>
    <row r="15" spans="2:133" x14ac:dyDescent="0.3">
      <c r="B15" s="15">
        <v>2</v>
      </c>
      <c r="C15" s="16">
        <v>13</v>
      </c>
      <c r="D15" s="16" t="s">
        <v>10</v>
      </c>
      <c r="E15" s="16">
        <v>450</v>
      </c>
      <c r="F15" s="20">
        <f t="shared" si="108"/>
        <v>41.80640845790095</v>
      </c>
      <c r="G15" s="19" t="str">
        <f t="shared" si="109"/>
        <v>1</v>
      </c>
      <c r="H15" s="20">
        <f t="shared" si="112"/>
        <v>1</v>
      </c>
      <c r="I15" s="18">
        <f t="shared" si="110"/>
        <v>1710</v>
      </c>
      <c r="J15" s="18">
        <f t="shared" si="111"/>
        <v>1900</v>
      </c>
      <c r="K15" s="18">
        <f>(J15*'Input Assumptions'!$C$20)+I15*('Input Assumptions'!$C$21)</f>
        <v>1900</v>
      </c>
      <c r="L15" s="94"/>
      <c r="N15" s="59">
        <f t="shared" si="113"/>
        <v>1900</v>
      </c>
      <c r="O15" s="59">
        <f>$N$3*_xlfn.XLOOKUP(O$1,'Input Assumptions'!$C$34:$L$34,'Input Assumptions'!$C$36:$L$36)</f>
        <v>1900</v>
      </c>
      <c r="P15" s="59">
        <f>$N$3*_xlfn.XLOOKUP(P$1,'Input Assumptions'!$C$34:$L$34,'Input Assumptions'!$C$36:$L$36)</f>
        <v>1900</v>
      </c>
      <c r="Q15" s="59">
        <f>$N$3*_xlfn.XLOOKUP(Q$1,'Input Assumptions'!$C$34:$L$34,'Input Assumptions'!$C$36:$L$36)</f>
        <v>1900</v>
      </c>
      <c r="R15" s="59">
        <f>$N$3*_xlfn.XLOOKUP(R$1,'Input Assumptions'!$C$34:$L$34,'Input Assumptions'!$C$36:$L$36)</f>
        <v>1900</v>
      </c>
      <c r="S15" s="59">
        <f>$N$3*_xlfn.XLOOKUP(S$1,'Input Assumptions'!$C$34:$L$34,'Input Assumptions'!$C$36:$L$36)</f>
        <v>1900</v>
      </c>
      <c r="T15" s="59">
        <f>$N$3*_xlfn.XLOOKUP(T$1,'Input Assumptions'!$C$34:$L$34,'Input Assumptions'!$C$36:$L$36)</f>
        <v>1900</v>
      </c>
      <c r="U15" s="59">
        <f>$N$3*_xlfn.XLOOKUP(U$1,'Input Assumptions'!$C$34:$L$34,'Input Assumptions'!$C$36:$L$36)</f>
        <v>1900</v>
      </c>
      <c r="V15" s="59">
        <f>$N$3*_xlfn.XLOOKUP(V$1,'Input Assumptions'!$C$34:$L$34,'Input Assumptions'!$C$36:$L$36)</f>
        <v>1900</v>
      </c>
      <c r="W15" s="59">
        <f>$N$3*_xlfn.XLOOKUP(W$1,'Input Assumptions'!$C$34:$L$34,'Input Assumptions'!$C$36:$L$36)</f>
        <v>1900</v>
      </c>
      <c r="X15" s="59">
        <f>$N$3*_xlfn.XLOOKUP(X$1,'Input Assumptions'!$C$34:$L$34,'Input Assumptions'!$C$36:$L$36)</f>
        <v>1900</v>
      </c>
      <c r="Y15" s="59">
        <f>$N$3*_xlfn.XLOOKUP(Y$1,'Input Assumptions'!$C$34:$L$34,'Input Assumptions'!$C$36:$L$36)</f>
        <v>1900</v>
      </c>
      <c r="Z15" s="59">
        <f>$N$3*_xlfn.XLOOKUP(Z$1,'Input Assumptions'!$C$34:$L$34,'Input Assumptions'!$C$36:$L$36)</f>
        <v>1971.2500000000002</v>
      </c>
      <c r="AA15" s="59">
        <f>$N$3*_xlfn.XLOOKUP(AA$1,'Input Assumptions'!$C$34:$L$34,'Input Assumptions'!$C$36:$L$36)</f>
        <v>1971.2500000000002</v>
      </c>
      <c r="AB15" s="59">
        <f>$N$3*_xlfn.XLOOKUP(AB$1,'Input Assumptions'!$C$34:$L$34,'Input Assumptions'!$C$36:$L$36)</f>
        <v>1971.2500000000002</v>
      </c>
      <c r="AC15" s="59">
        <f>$N$3*_xlfn.XLOOKUP(AC$1,'Input Assumptions'!$C$34:$L$34,'Input Assumptions'!$C$36:$L$36)</f>
        <v>1971.2500000000002</v>
      </c>
      <c r="AD15" s="59">
        <f>$N$3*_xlfn.XLOOKUP(AD$1,'Input Assumptions'!$C$34:$L$34,'Input Assumptions'!$C$36:$L$36)</f>
        <v>1971.2500000000002</v>
      </c>
      <c r="AE15" s="59">
        <f>$N$3*_xlfn.XLOOKUP(AE$1,'Input Assumptions'!$C$34:$L$34,'Input Assumptions'!$C$36:$L$36)</f>
        <v>1971.2500000000002</v>
      </c>
      <c r="AF15" s="59">
        <f>$N$3*_xlfn.XLOOKUP(AF$1,'Input Assumptions'!$C$34:$L$34,'Input Assumptions'!$C$36:$L$36)</f>
        <v>1971.2500000000002</v>
      </c>
      <c r="AG15" s="59">
        <f>$N$3*_xlfn.XLOOKUP(AG$1,'Input Assumptions'!$C$34:$L$34,'Input Assumptions'!$C$36:$L$36)</f>
        <v>1971.2500000000002</v>
      </c>
      <c r="AH15" s="59">
        <f>$N$3*_xlfn.XLOOKUP(AH$1,'Input Assumptions'!$C$34:$L$34,'Input Assumptions'!$C$36:$L$36)</f>
        <v>1971.2500000000002</v>
      </c>
      <c r="AI15" s="59">
        <f>$N$3*_xlfn.XLOOKUP(AI$1,'Input Assumptions'!$C$34:$L$34,'Input Assumptions'!$C$36:$L$36)</f>
        <v>1971.2500000000002</v>
      </c>
      <c r="AJ15" s="59">
        <f>$N$3*_xlfn.XLOOKUP(AJ$1,'Input Assumptions'!$C$34:$L$34,'Input Assumptions'!$C$36:$L$36)</f>
        <v>1971.2500000000002</v>
      </c>
      <c r="AK15" s="59">
        <f>$N$3*_xlfn.XLOOKUP(AK$1,'Input Assumptions'!$C$34:$L$34,'Input Assumptions'!$C$36:$L$36)</f>
        <v>1971.2500000000002</v>
      </c>
      <c r="AL15" s="59">
        <f>$N$3*_xlfn.XLOOKUP(AL$1,'Input Assumptions'!$C$34:$L$34,'Input Assumptions'!$C$36:$L$36)</f>
        <v>2045.1718750000005</v>
      </c>
      <c r="AM15" s="59">
        <f>$N$3*_xlfn.XLOOKUP(AM$1,'Input Assumptions'!$C$34:$L$34,'Input Assumptions'!$C$36:$L$36)</f>
        <v>2045.1718750000005</v>
      </c>
      <c r="AN15" s="59">
        <f>$N$3*_xlfn.XLOOKUP(AN$1,'Input Assumptions'!$C$34:$L$34,'Input Assumptions'!$C$36:$L$36)</f>
        <v>2045.1718750000005</v>
      </c>
      <c r="AO15" s="59">
        <f>$N$3*_xlfn.XLOOKUP(AO$1,'Input Assumptions'!$C$34:$L$34,'Input Assumptions'!$C$36:$L$36)</f>
        <v>2045.1718750000005</v>
      </c>
      <c r="AP15" s="59">
        <f>$N$3*_xlfn.XLOOKUP(AP$1,'Input Assumptions'!$C$34:$L$34,'Input Assumptions'!$C$36:$L$36)</f>
        <v>2045.1718750000005</v>
      </c>
      <c r="AQ15" s="59">
        <f>$N$3*_xlfn.XLOOKUP(AQ$1,'Input Assumptions'!$C$34:$L$34,'Input Assumptions'!$C$36:$L$36)</f>
        <v>2045.1718750000005</v>
      </c>
      <c r="AR15" s="59">
        <f>$N$3*_xlfn.XLOOKUP(AR$1,'Input Assumptions'!$C$34:$L$34,'Input Assumptions'!$C$36:$L$36)</f>
        <v>2045.1718750000005</v>
      </c>
      <c r="AS15" s="59">
        <f>$N$3*_xlfn.XLOOKUP(AS$1,'Input Assumptions'!$C$34:$L$34,'Input Assumptions'!$C$36:$L$36)</f>
        <v>2045.1718750000005</v>
      </c>
      <c r="AT15" s="59">
        <f>$N$3*_xlfn.XLOOKUP(AT$1,'Input Assumptions'!$C$34:$L$34,'Input Assumptions'!$C$36:$L$36)</f>
        <v>2045.1718750000005</v>
      </c>
      <c r="AU15" s="59">
        <f>$N$3*_xlfn.XLOOKUP(AU$1,'Input Assumptions'!$C$34:$L$34,'Input Assumptions'!$C$36:$L$36)</f>
        <v>2045.1718750000005</v>
      </c>
      <c r="AV15" s="59">
        <f>$N$3*_xlfn.XLOOKUP(AV$1,'Input Assumptions'!$C$34:$L$34,'Input Assumptions'!$C$36:$L$36)</f>
        <v>2045.1718750000005</v>
      </c>
      <c r="AW15" s="59">
        <f>$N$3*_xlfn.XLOOKUP(AW$1,'Input Assumptions'!$C$34:$L$34,'Input Assumptions'!$C$36:$L$36)</f>
        <v>2045.1718750000005</v>
      </c>
      <c r="AX15" s="59">
        <f>$N$3*_xlfn.XLOOKUP(AX$1,'Input Assumptions'!$C$34:$L$34,'Input Assumptions'!$C$36:$L$36)</f>
        <v>2121.8658203125005</v>
      </c>
      <c r="AY15" s="59">
        <f>$N$3*_xlfn.XLOOKUP(AY$1,'Input Assumptions'!$C$34:$L$34,'Input Assumptions'!$C$36:$L$36)</f>
        <v>2121.8658203125005</v>
      </c>
      <c r="AZ15" s="59">
        <f>$N$3*_xlfn.XLOOKUP(AZ$1,'Input Assumptions'!$C$34:$L$34,'Input Assumptions'!$C$36:$L$36)</f>
        <v>2121.8658203125005</v>
      </c>
      <c r="BA15" s="59">
        <f>$N$3*_xlfn.XLOOKUP(BA$1,'Input Assumptions'!$C$34:$L$34,'Input Assumptions'!$C$36:$L$36)</f>
        <v>2121.8658203125005</v>
      </c>
      <c r="BB15" s="59">
        <f>$N$3*_xlfn.XLOOKUP(BB$1,'Input Assumptions'!$C$34:$L$34,'Input Assumptions'!$C$36:$L$36)</f>
        <v>2121.8658203125005</v>
      </c>
      <c r="BC15" s="59">
        <f>$N$3*_xlfn.XLOOKUP(BC$1,'Input Assumptions'!$C$34:$L$34,'Input Assumptions'!$C$36:$L$36)</f>
        <v>2121.8658203125005</v>
      </c>
      <c r="BD15" s="59">
        <f>$N$3*_xlfn.XLOOKUP(BD$1,'Input Assumptions'!$C$34:$L$34,'Input Assumptions'!$C$36:$L$36)</f>
        <v>2121.8658203125005</v>
      </c>
      <c r="BE15" s="59">
        <f>$N$3*_xlfn.XLOOKUP(BE$1,'Input Assumptions'!$C$34:$L$34,'Input Assumptions'!$C$36:$L$36)</f>
        <v>2121.8658203125005</v>
      </c>
      <c r="BF15" s="59">
        <f>$N$3*_xlfn.XLOOKUP(BF$1,'Input Assumptions'!$C$34:$L$34,'Input Assumptions'!$C$36:$L$36)</f>
        <v>2121.8658203125005</v>
      </c>
      <c r="BG15" s="59">
        <f>$N$3*_xlfn.XLOOKUP(BG$1,'Input Assumptions'!$C$34:$L$34,'Input Assumptions'!$C$36:$L$36)</f>
        <v>2121.8658203125005</v>
      </c>
      <c r="BH15" s="59">
        <f>$N$3*_xlfn.XLOOKUP(BH$1,'Input Assumptions'!$C$34:$L$34,'Input Assumptions'!$C$36:$L$36)</f>
        <v>2121.8658203125005</v>
      </c>
      <c r="BI15" s="59">
        <f>$N$3*_xlfn.XLOOKUP(BI$1,'Input Assumptions'!$C$34:$L$34,'Input Assumptions'!$C$36:$L$36)</f>
        <v>2121.8658203125005</v>
      </c>
      <c r="BJ15" s="59">
        <f>$N$3*_xlfn.XLOOKUP(BJ$1,'Input Assumptions'!$C$34:$L$34,'Input Assumptions'!$C$36:$L$36)</f>
        <v>2201.4357885742193</v>
      </c>
      <c r="BK15" s="59">
        <f>$N$3*_xlfn.XLOOKUP(BK$1,'Input Assumptions'!$C$34:$L$34,'Input Assumptions'!$C$36:$L$36)</f>
        <v>2201.4357885742193</v>
      </c>
      <c r="BL15" s="59">
        <f>$N$3*_xlfn.XLOOKUP(BL$1,'Input Assumptions'!$C$34:$L$34,'Input Assumptions'!$C$36:$L$36)</f>
        <v>2201.4357885742193</v>
      </c>
      <c r="BM15" s="59">
        <f>$N$3*_xlfn.XLOOKUP(BM$1,'Input Assumptions'!$C$34:$L$34,'Input Assumptions'!$C$36:$L$36)</f>
        <v>2201.4357885742193</v>
      </c>
      <c r="BN15" s="59">
        <f>$N$3*_xlfn.XLOOKUP(BN$1,'Input Assumptions'!$C$34:$L$34,'Input Assumptions'!$C$36:$L$36)</f>
        <v>2201.4357885742193</v>
      </c>
      <c r="BO15" s="59">
        <f>$N$3*_xlfn.XLOOKUP(BO$1,'Input Assumptions'!$C$34:$L$34,'Input Assumptions'!$C$36:$L$36)</f>
        <v>2201.4357885742193</v>
      </c>
      <c r="BP15" s="59">
        <f>$N$3*_xlfn.XLOOKUP(BP$1,'Input Assumptions'!$C$34:$L$34,'Input Assumptions'!$C$36:$L$36)</f>
        <v>2201.4357885742193</v>
      </c>
      <c r="BQ15" s="59">
        <f>$N$3*_xlfn.XLOOKUP(BQ$1,'Input Assumptions'!$C$34:$L$34,'Input Assumptions'!$C$36:$L$36)</f>
        <v>2201.4357885742193</v>
      </c>
      <c r="BR15" s="59">
        <f>$N$3*_xlfn.XLOOKUP(BR$1,'Input Assumptions'!$C$34:$L$34,'Input Assumptions'!$C$36:$L$36)</f>
        <v>2201.4357885742193</v>
      </c>
      <c r="BS15" s="59">
        <f>$N$3*_xlfn.XLOOKUP(BS$1,'Input Assumptions'!$C$34:$L$34,'Input Assumptions'!$C$36:$L$36)</f>
        <v>2201.4357885742193</v>
      </c>
      <c r="BT15" s="59">
        <f>$N$3*_xlfn.XLOOKUP(BT$1,'Input Assumptions'!$C$34:$L$34,'Input Assumptions'!$C$36:$L$36)</f>
        <v>2201.4357885742193</v>
      </c>
      <c r="BU15" s="59">
        <f>$N$3*_xlfn.XLOOKUP(BU$1,'Input Assumptions'!$C$34:$L$34,'Input Assumptions'!$C$36:$L$36)</f>
        <v>2201.4357885742193</v>
      </c>
      <c r="BV15" s="59">
        <f>$N$3*_xlfn.XLOOKUP(BV$1,'Input Assumptions'!$C$34:$L$34,'Input Assumptions'!$C$36:$L$36)</f>
        <v>2283.9896306457531</v>
      </c>
      <c r="BW15" s="59">
        <f>$N$3*_xlfn.XLOOKUP(BW$1,'Input Assumptions'!$C$34:$L$34,'Input Assumptions'!$C$36:$L$36)</f>
        <v>1900</v>
      </c>
      <c r="BX15" s="59">
        <f>$N$3*_xlfn.XLOOKUP(BX$1,'Input Assumptions'!$C$34:$L$34,'Input Assumptions'!$C$36:$L$36)</f>
        <v>1900</v>
      </c>
      <c r="BY15" s="59">
        <f>$N$3*_xlfn.XLOOKUP(BY$1,'Input Assumptions'!$C$34:$L$34,'Input Assumptions'!$C$36:$L$36)</f>
        <v>1900</v>
      </c>
      <c r="BZ15" s="59">
        <f>$N$3*_xlfn.XLOOKUP(BZ$1,'Input Assumptions'!$C$34:$L$34,'Input Assumptions'!$C$36:$L$36)</f>
        <v>1900</v>
      </c>
      <c r="CA15" s="59">
        <f>$N$3*_xlfn.XLOOKUP(CA$1,'Input Assumptions'!$C$34:$L$34,'Input Assumptions'!$C$36:$L$36)</f>
        <v>1900</v>
      </c>
      <c r="CB15" s="59">
        <f>$N$3*_xlfn.XLOOKUP(CB$1,'Input Assumptions'!$C$34:$L$34,'Input Assumptions'!$C$36:$L$36)</f>
        <v>1900</v>
      </c>
      <c r="CC15" s="59">
        <f>$N$3*_xlfn.XLOOKUP(CC$1,'Input Assumptions'!$C$34:$L$34,'Input Assumptions'!$C$36:$L$36)</f>
        <v>1900</v>
      </c>
      <c r="CD15" s="59">
        <f>$N$3*_xlfn.XLOOKUP(CD$1,'Input Assumptions'!$C$34:$L$34,'Input Assumptions'!$C$36:$L$36)</f>
        <v>1900</v>
      </c>
      <c r="CE15" s="59">
        <f>$N$3*_xlfn.XLOOKUP(CE$1,'Input Assumptions'!$C$34:$L$34,'Input Assumptions'!$C$36:$L$36)</f>
        <v>1900</v>
      </c>
      <c r="CF15" s="59">
        <f>$N$3*_xlfn.XLOOKUP(CF$1,'Input Assumptions'!$C$34:$L$34,'Input Assumptions'!$C$36:$L$36)</f>
        <v>1900</v>
      </c>
      <c r="CG15" s="59">
        <f>$N$3*_xlfn.XLOOKUP(CG$1,'Input Assumptions'!$C$34:$L$34,'Input Assumptions'!$C$36:$L$36)</f>
        <v>1900</v>
      </c>
      <c r="CH15" s="59">
        <f>$N$3*_xlfn.XLOOKUP(CH$1,'Input Assumptions'!$C$34:$L$34,'Input Assumptions'!$C$36:$L$36)</f>
        <v>1900</v>
      </c>
      <c r="CI15" s="59">
        <f>$N$3*_xlfn.XLOOKUP(CI$1,'Input Assumptions'!$C$34:$L$34,'Input Assumptions'!$C$36:$L$36)</f>
        <v>1971.2500000000002</v>
      </c>
      <c r="CJ15" s="59">
        <f>$N$3*_xlfn.XLOOKUP(CJ$1,'Input Assumptions'!$C$34:$L$34,'Input Assumptions'!$C$36:$L$36)</f>
        <v>1971.2500000000002</v>
      </c>
      <c r="CK15" s="59">
        <f>$N$3*_xlfn.XLOOKUP(CK$1,'Input Assumptions'!$C$34:$L$34,'Input Assumptions'!$C$36:$L$36)</f>
        <v>1971.2500000000002</v>
      </c>
      <c r="CL15" s="59">
        <f>$N$3*_xlfn.XLOOKUP(CL$1,'Input Assumptions'!$C$34:$L$34,'Input Assumptions'!$C$36:$L$36)</f>
        <v>1971.2500000000002</v>
      </c>
      <c r="CM15" s="59">
        <f>$N$3*_xlfn.XLOOKUP(CM$1,'Input Assumptions'!$C$34:$L$34,'Input Assumptions'!$C$36:$L$36)</f>
        <v>1971.2500000000002</v>
      </c>
      <c r="CN15" s="59">
        <f>$N$3*_xlfn.XLOOKUP(CN$1,'Input Assumptions'!$C$34:$L$34,'Input Assumptions'!$C$36:$L$36)</f>
        <v>1971.2500000000002</v>
      </c>
      <c r="CO15" s="59">
        <f>$N$3*_xlfn.XLOOKUP(CO$1,'Input Assumptions'!$C$34:$L$34,'Input Assumptions'!$C$36:$L$36)</f>
        <v>1971.2500000000002</v>
      </c>
      <c r="CP15" s="59">
        <f>$N$3*_xlfn.XLOOKUP(CP$1,'Input Assumptions'!$C$34:$L$34,'Input Assumptions'!$C$36:$L$36)</f>
        <v>1971.2500000000002</v>
      </c>
      <c r="CQ15" s="59">
        <f>$N$3*_xlfn.XLOOKUP(CQ$1,'Input Assumptions'!$C$34:$L$34,'Input Assumptions'!$C$36:$L$36)</f>
        <v>1971.2500000000002</v>
      </c>
      <c r="CR15" s="59">
        <f>$N$3*_xlfn.XLOOKUP(CR$1,'Input Assumptions'!$C$34:$L$34,'Input Assumptions'!$C$36:$L$36)</f>
        <v>1971.2500000000002</v>
      </c>
      <c r="CS15" s="59">
        <f>$N$3*_xlfn.XLOOKUP(CS$1,'Input Assumptions'!$C$34:$L$34,'Input Assumptions'!$C$36:$L$36)</f>
        <v>1971.2500000000002</v>
      </c>
      <c r="CT15" s="59">
        <f>$N$3*_xlfn.XLOOKUP(CT$1,'Input Assumptions'!$C$34:$L$34,'Input Assumptions'!$C$36:$L$36)</f>
        <v>1971.2500000000002</v>
      </c>
      <c r="CU15" s="59">
        <f>$N$3*_xlfn.XLOOKUP(CU$1,'Input Assumptions'!$C$34:$L$34,'Input Assumptions'!$C$36:$L$36)</f>
        <v>2045.1718750000005</v>
      </c>
      <c r="CV15" s="59">
        <f>$N$3*_xlfn.XLOOKUP(CV$1,'Input Assumptions'!$C$34:$L$34,'Input Assumptions'!$C$36:$L$36)</f>
        <v>2045.1718750000005</v>
      </c>
      <c r="CW15" s="59">
        <f>$N$3*_xlfn.XLOOKUP(CW$1,'Input Assumptions'!$C$34:$L$34,'Input Assumptions'!$C$36:$L$36)</f>
        <v>2045.1718750000005</v>
      </c>
      <c r="CX15" s="59">
        <f>$N$3*_xlfn.XLOOKUP(CX$1,'Input Assumptions'!$C$34:$L$34,'Input Assumptions'!$C$36:$L$36)</f>
        <v>2045.1718750000005</v>
      </c>
      <c r="CY15" s="59">
        <f>$N$3*_xlfn.XLOOKUP(CY$1,'Input Assumptions'!$C$34:$L$34,'Input Assumptions'!$C$36:$L$36)</f>
        <v>2045.1718750000005</v>
      </c>
      <c r="CZ15" s="59">
        <f>$N$3*_xlfn.XLOOKUP(CZ$1,'Input Assumptions'!$C$34:$L$34,'Input Assumptions'!$C$36:$L$36)</f>
        <v>2045.1718750000005</v>
      </c>
      <c r="DA15" s="59">
        <f>$N$3*_xlfn.XLOOKUP(DA$1,'Input Assumptions'!$C$34:$L$34,'Input Assumptions'!$C$36:$L$36)</f>
        <v>2045.1718750000005</v>
      </c>
      <c r="DB15" s="59">
        <f>$N$3*_xlfn.XLOOKUP(DB$1,'Input Assumptions'!$C$34:$L$34,'Input Assumptions'!$C$36:$L$36)</f>
        <v>2045.1718750000005</v>
      </c>
      <c r="DC15" s="59">
        <f>$N$3*_xlfn.XLOOKUP(DC$1,'Input Assumptions'!$C$34:$L$34,'Input Assumptions'!$C$36:$L$36)</f>
        <v>2045.1718750000005</v>
      </c>
      <c r="DD15" s="59">
        <f>$N$3*_xlfn.XLOOKUP(DD$1,'Input Assumptions'!$C$34:$L$34,'Input Assumptions'!$C$36:$L$36)</f>
        <v>2045.1718750000005</v>
      </c>
      <c r="DE15" s="59">
        <f>$N$3*_xlfn.XLOOKUP(DE$1,'Input Assumptions'!$C$34:$L$34,'Input Assumptions'!$C$36:$L$36)</f>
        <v>2045.1718750000005</v>
      </c>
      <c r="DF15" s="59">
        <f>$N$3*_xlfn.XLOOKUP(DF$1,'Input Assumptions'!$C$34:$L$34,'Input Assumptions'!$C$36:$L$36)</f>
        <v>2045.1718750000005</v>
      </c>
      <c r="DG15" s="59">
        <f>$N$3*_xlfn.XLOOKUP(DG$1,'Input Assumptions'!$C$34:$L$34,'Input Assumptions'!$C$36:$L$36)</f>
        <v>2121.8658203125005</v>
      </c>
      <c r="DH15" s="59">
        <f>$N$3*_xlfn.XLOOKUP(DH$1,'Input Assumptions'!$C$34:$L$34,'Input Assumptions'!$C$36:$L$36)</f>
        <v>2121.8658203125005</v>
      </c>
      <c r="DI15" s="59">
        <f>$N$3*_xlfn.XLOOKUP(DI$1,'Input Assumptions'!$C$34:$L$34,'Input Assumptions'!$C$36:$L$36)</f>
        <v>2121.8658203125005</v>
      </c>
      <c r="DJ15" s="59">
        <f>$N$3*_xlfn.XLOOKUP(DJ$1,'Input Assumptions'!$C$34:$L$34,'Input Assumptions'!$C$36:$L$36)</f>
        <v>2121.8658203125005</v>
      </c>
      <c r="DK15" s="59">
        <f>$N$3*_xlfn.XLOOKUP(DK$1,'Input Assumptions'!$C$34:$L$34,'Input Assumptions'!$C$36:$L$36)</f>
        <v>2121.8658203125005</v>
      </c>
      <c r="DL15" s="59">
        <f>$N$3*_xlfn.XLOOKUP(DL$1,'Input Assumptions'!$C$34:$L$34,'Input Assumptions'!$C$36:$L$36)</f>
        <v>2121.8658203125005</v>
      </c>
      <c r="DM15" s="59">
        <f>$N$3*_xlfn.XLOOKUP(DM$1,'Input Assumptions'!$C$34:$L$34,'Input Assumptions'!$C$36:$L$36)</f>
        <v>2121.8658203125005</v>
      </c>
      <c r="DN15" s="59">
        <f>$N$3*_xlfn.XLOOKUP(DN$1,'Input Assumptions'!$C$34:$L$34,'Input Assumptions'!$C$36:$L$36)</f>
        <v>2121.8658203125005</v>
      </c>
      <c r="DO15" s="59">
        <f>$N$3*_xlfn.XLOOKUP(DO$1,'Input Assumptions'!$C$34:$L$34,'Input Assumptions'!$C$36:$L$36)</f>
        <v>2121.8658203125005</v>
      </c>
      <c r="DP15" s="59">
        <f>$N$3*_xlfn.XLOOKUP(DP$1,'Input Assumptions'!$C$34:$L$34,'Input Assumptions'!$C$36:$L$36)</f>
        <v>2121.8658203125005</v>
      </c>
      <c r="DQ15" s="59">
        <f>$N$3*_xlfn.XLOOKUP(DQ$1,'Input Assumptions'!$C$34:$L$34,'Input Assumptions'!$C$36:$L$36)</f>
        <v>2121.8658203125005</v>
      </c>
      <c r="DR15" s="59">
        <f>$N$3*_xlfn.XLOOKUP(DR$1,'Input Assumptions'!$C$34:$L$34,'Input Assumptions'!$C$36:$L$36)</f>
        <v>2121.8658203125005</v>
      </c>
      <c r="DS15" s="59">
        <f>$N$3*_xlfn.XLOOKUP(DS$1,'Input Assumptions'!$C$34:$L$34,'Input Assumptions'!$C$36:$L$36)</f>
        <v>2201.4357885742193</v>
      </c>
      <c r="DT15" s="59">
        <f>$N$3*_xlfn.XLOOKUP(DT$1,'Input Assumptions'!$C$34:$L$34,'Input Assumptions'!$C$36:$L$36)</f>
        <v>2201.4357885742193</v>
      </c>
      <c r="DU15" s="59">
        <f>$N$3*_xlfn.XLOOKUP(DU$1,'Input Assumptions'!$C$34:$L$34,'Input Assumptions'!$C$36:$L$36)</f>
        <v>2201.4357885742193</v>
      </c>
      <c r="DV15" s="59">
        <f>$N$3*_xlfn.XLOOKUP(DV$1,'Input Assumptions'!$C$34:$L$34,'Input Assumptions'!$C$36:$L$36)</f>
        <v>2201.4357885742193</v>
      </c>
      <c r="DW15" s="59">
        <f>$N$3*_xlfn.XLOOKUP(DW$1,'Input Assumptions'!$C$34:$L$34,'Input Assumptions'!$C$36:$L$36)</f>
        <v>2201.4357885742193</v>
      </c>
      <c r="DX15" s="59">
        <f>$N$3*_xlfn.XLOOKUP(DX$1,'Input Assumptions'!$C$34:$L$34,'Input Assumptions'!$C$36:$L$36)</f>
        <v>2201.4357885742193</v>
      </c>
      <c r="DY15" s="59">
        <f>$N$3*_xlfn.XLOOKUP(DY$1,'Input Assumptions'!$C$34:$L$34,'Input Assumptions'!$C$36:$L$36)</f>
        <v>2201.4357885742193</v>
      </c>
      <c r="DZ15" s="59">
        <f>$N$3*_xlfn.XLOOKUP(DZ$1,'Input Assumptions'!$C$34:$L$34,'Input Assumptions'!$C$36:$L$36)</f>
        <v>2201.4357885742193</v>
      </c>
      <c r="EA15" s="59">
        <f>$N$3*_xlfn.XLOOKUP(EA$1,'Input Assumptions'!$C$34:$L$34,'Input Assumptions'!$C$36:$L$36)</f>
        <v>2201.4357885742193</v>
      </c>
      <c r="EB15" s="59">
        <f>$N$3*_xlfn.XLOOKUP(EB$1,'Input Assumptions'!$C$34:$L$34,'Input Assumptions'!$C$36:$L$36)</f>
        <v>2201.4357885742193</v>
      </c>
      <c r="EC15" s="59">
        <f>$N$3*_xlfn.XLOOKUP(EC$1,'Input Assumptions'!$C$34:$L$34,'Input Assumptions'!$C$36:$L$36)</f>
        <v>2201.4357885742193</v>
      </c>
    </row>
    <row r="16" spans="2:133" x14ac:dyDescent="0.3">
      <c r="B16" s="15">
        <v>2</v>
      </c>
      <c r="C16" s="16">
        <v>14</v>
      </c>
      <c r="D16" s="16" t="s">
        <v>10</v>
      </c>
      <c r="E16" s="16">
        <v>450</v>
      </c>
      <c r="F16" s="20">
        <f t="shared" si="108"/>
        <v>41.80640845790095</v>
      </c>
      <c r="G16" s="19" t="str">
        <f t="shared" si="109"/>
        <v>1</v>
      </c>
      <c r="H16" s="20">
        <f t="shared" si="112"/>
        <v>1</v>
      </c>
      <c r="I16" s="18">
        <f t="shared" si="110"/>
        <v>1710</v>
      </c>
      <c r="J16" s="18">
        <f t="shared" si="111"/>
        <v>1900</v>
      </c>
      <c r="K16" s="18">
        <f>(J16*'Input Assumptions'!$C$20)+I16*('Input Assumptions'!$C$21)</f>
        <v>1900</v>
      </c>
      <c r="L16" s="94"/>
      <c r="N16" s="59">
        <f t="shared" si="113"/>
        <v>1900</v>
      </c>
      <c r="O16" s="59">
        <f>$N$3*_xlfn.XLOOKUP(O$1,'Input Assumptions'!$C$34:$L$34,'Input Assumptions'!$C$36:$L$36)</f>
        <v>1900</v>
      </c>
      <c r="P16" s="59">
        <f>$N$3*_xlfn.XLOOKUP(P$1,'Input Assumptions'!$C$34:$L$34,'Input Assumptions'!$C$36:$L$36)</f>
        <v>1900</v>
      </c>
      <c r="Q16" s="59">
        <f>$N$3*_xlfn.XLOOKUP(Q$1,'Input Assumptions'!$C$34:$L$34,'Input Assumptions'!$C$36:$L$36)</f>
        <v>1900</v>
      </c>
      <c r="R16" s="59">
        <f>$N$3*_xlfn.XLOOKUP(R$1,'Input Assumptions'!$C$34:$L$34,'Input Assumptions'!$C$36:$L$36)</f>
        <v>1900</v>
      </c>
      <c r="S16" s="59">
        <f>$N$3*_xlfn.XLOOKUP(S$1,'Input Assumptions'!$C$34:$L$34,'Input Assumptions'!$C$36:$L$36)</f>
        <v>1900</v>
      </c>
      <c r="T16" s="59">
        <f>$N$3*_xlfn.XLOOKUP(T$1,'Input Assumptions'!$C$34:$L$34,'Input Assumptions'!$C$36:$L$36)</f>
        <v>1900</v>
      </c>
      <c r="U16" s="59">
        <f>$N$3*_xlfn.XLOOKUP(U$1,'Input Assumptions'!$C$34:$L$34,'Input Assumptions'!$C$36:$L$36)</f>
        <v>1900</v>
      </c>
      <c r="V16" s="59">
        <f>$N$3*_xlfn.XLOOKUP(V$1,'Input Assumptions'!$C$34:$L$34,'Input Assumptions'!$C$36:$L$36)</f>
        <v>1900</v>
      </c>
      <c r="W16" s="59">
        <f>$N$3*_xlfn.XLOOKUP(W$1,'Input Assumptions'!$C$34:$L$34,'Input Assumptions'!$C$36:$L$36)</f>
        <v>1900</v>
      </c>
      <c r="X16" s="59">
        <f>$N$3*_xlfn.XLOOKUP(X$1,'Input Assumptions'!$C$34:$L$34,'Input Assumptions'!$C$36:$L$36)</f>
        <v>1900</v>
      </c>
      <c r="Y16" s="59">
        <f>$N$3*_xlfn.XLOOKUP(Y$1,'Input Assumptions'!$C$34:$L$34,'Input Assumptions'!$C$36:$L$36)</f>
        <v>1900</v>
      </c>
      <c r="Z16" s="59">
        <f>$N$3*_xlfn.XLOOKUP(Z$1,'Input Assumptions'!$C$34:$L$34,'Input Assumptions'!$C$36:$L$36)</f>
        <v>1971.2500000000002</v>
      </c>
      <c r="AA16" s="59">
        <f>$N$3*_xlfn.XLOOKUP(AA$1,'Input Assumptions'!$C$34:$L$34,'Input Assumptions'!$C$36:$L$36)</f>
        <v>1971.2500000000002</v>
      </c>
      <c r="AB16" s="59">
        <f>$N$3*_xlfn.XLOOKUP(AB$1,'Input Assumptions'!$C$34:$L$34,'Input Assumptions'!$C$36:$L$36)</f>
        <v>1971.2500000000002</v>
      </c>
      <c r="AC16" s="59">
        <f>$N$3*_xlfn.XLOOKUP(AC$1,'Input Assumptions'!$C$34:$L$34,'Input Assumptions'!$C$36:$L$36)</f>
        <v>1971.2500000000002</v>
      </c>
      <c r="AD16" s="59">
        <f>$N$3*_xlfn.XLOOKUP(AD$1,'Input Assumptions'!$C$34:$L$34,'Input Assumptions'!$C$36:$L$36)</f>
        <v>1971.2500000000002</v>
      </c>
      <c r="AE16" s="59">
        <f>$N$3*_xlfn.XLOOKUP(AE$1,'Input Assumptions'!$C$34:$L$34,'Input Assumptions'!$C$36:$L$36)</f>
        <v>1971.2500000000002</v>
      </c>
      <c r="AF16" s="59">
        <f>$N$3*_xlfn.XLOOKUP(AF$1,'Input Assumptions'!$C$34:$L$34,'Input Assumptions'!$C$36:$L$36)</f>
        <v>1971.2500000000002</v>
      </c>
      <c r="AG16" s="59">
        <f>$N$3*_xlfn.XLOOKUP(AG$1,'Input Assumptions'!$C$34:$L$34,'Input Assumptions'!$C$36:$L$36)</f>
        <v>1971.2500000000002</v>
      </c>
      <c r="AH16" s="59">
        <f>$N$3*_xlfn.XLOOKUP(AH$1,'Input Assumptions'!$C$34:$L$34,'Input Assumptions'!$C$36:$L$36)</f>
        <v>1971.2500000000002</v>
      </c>
      <c r="AI16" s="59">
        <f>$N$3*_xlfn.XLOOKUP(AI$1,'Input Assumptions'!$C$34:$L$34,'Input Assumptions'!$C$36:$L$36)</f>
        <v>1971.2500000000002</v>
      </c>
      <c r="AJ16" s="59">
        <f>$N$3*_xlfn.XLOOKUP(AJ$1,'Input Assumptions'!$C$34:$L$34,'Input Assumptions'!$C$36:$L$36)</f>
        <v>1971.2500000000002</v>
      </c>
      <c r="AK16" s="59">
        <f>$N$3*_xlfn.XLOOKUP(AK$1,'Input Assumptions'!$C$34:$L$34,'Input Assumptions'!$C$36:$L$36)</f>
        <v>1971.2500000000002</v>
      </c>
      <c r="AL16" s="59">
        <f>$N$3*_xlfn.XLOOKUP(AL$1,'Input Assumptions'!$C$34:$L$34,'Input Assumptions'!$C$36:$L$36)</f>
        <v>2045.1718750000005</v>
      </c>
      <c r="AM16" s="59">
        <f>$N$3*_xlfn.XLOOKUP(AM$1,'Input Assumptions'!$C$34:$L$34,'Input Assumptions'!$C$36:$L$36)</f>
        <v>2045.1718750000005</v>
      </c>
      <c r="AN16" s="59">
        <f>$N$3*_xlfn.XLOOKUP(AN$1,'Input Assumptions'!$C$34:$L$34,'Input Assumptions'!$C$36:$L$36)</f>
        <v>2045.1718750000005</v>
      </c>
      <c r="AO16" s="59">
        <f>$N$3*_xlfn.XLOOKUP(AO$1,'Input Assumptions'!$C$34:$L$34,'Input Assumptions'!$C$36:$L$36)</f>
        <v>2045.1718750000005</v>
      </c>
      <c r="AP16" s="59">
        <f>$N$3*_xlfn.XLOOKUP(AP$1,'Input Assumptions'!$C$34:$L$34,'Input Assumptions'!$C$36:$L$36)</f>
        <v>2045.1718750000005</v>
      </c>
      <c r="AQ16" s="59">
        <f>$N$3*_xlfn.XLOOKUP(AQ$1,'Input Assumptions'!$C$34:$L$34,'Input Assumptions'!$C$36:$L$36)</f>
        <v>2045.1718750000005</v>
      </c>
      <c r="AR16" s="59">
        <f>$N$3*_xlfn.XLOOKUP(AR$1,'Input Assumptions'!$C$34:$L$34,'Input Assumptions'!$C$36:$L$36)</f>
        <v>2045.1718750000005</v>
      </c>
      <c r="AS16" s="59">
        <f>$N$3*_xlfn.XLOOKUP(AS$1,'Input Assumptions'!$C$34:$L$34,'Input Assumptions'!$C$36:$L$36)</f>
        <v>2045.1718750000005</v>
      </c>
      <c r="AT16" s="59">
        <f>$N$3*_xlfn.XLOOKUP(AT$1,'Input Assumptions'!$C$34:$L$34,'Input Assumptions'!$C$36:$L$36)</f>
        <v>2045.1718750000005</v>
      </c>
      <c r="AU16" s="59">
        <f>$N$3*_xlfn.XLOOKUP(AU$1,'Input Assumptions'!$C$34:$L$34,'Input Assumptions'!$C$36:$L$36)</f>
        <v>2045.1718750000005</v>
      </c>
      <c r="AV16" s="59">
        <f>$N$3*_xlfn.XLOOKUP(AV$1,'Input Assumptions'!$C$34:$L$34,'Input Assumptions'!$C$36:$L$36)</f>
        <v>2045.1718750000005</v>
      </c>
      <c r="AW16" s="59">
        <f>$N$3*_xlfn.XLOOKUP(AW$1,'Input Assumptions'!$C$34:$L$34,'Input Assumptions'!$C$36:$L$36)</f>
        <v>2045.1718750000005</v>
      </c>
      <c r="AX16" s="59">
        <f>$N$3*_xlfn.XLOOKUP(AX$1,'Input Assumptions'!$C$34:$L$34,'Input Assumptions'!$C$36:$L$36)</f>
        <v>2121.8658203125005</v>
      </c>
      <c r="AY16" s="59">
        <f>$N$3*_xlfn.XLOOKUP(AY$1,'Input Assumptions'!$C$34:$L$34,'Input Assumptions'!$C$36:$L$36)</f>
        <v>2121.8658203125005</v>
      </c>
      <c r="AZ16" s="59">
        <f>$N$3*_xlfn.XLOOKUP(AZ$1,'Input Assumptions'!$C$34:$L$34,'Input Assumptions'!$C$36:$L$36)</f>
        <v>2121.8658203125005</v>
      </c>
      <c r="BA16" s="59">
        <f>$N$3*_xlfn.XLOOKUP(BA$1,'Input Assumptions'!$C$34:$L$34,'Input Assumptions'!$C$36:$L$36)</f>
        <v>2121.8658203125005</v>
      </c>
      <c r="BB16" s="59">
        <f>$N$3*_xlfn.XLOOKUP(BB$1,'Input Assumptions'!$C$34:$L$34,'Input Assumptions'!$C$36:$L$36)</f>
        <v>2121.8658203125005</v>
      </c>
      <c r="BC16" s="59">
        <f>$N$3*_xlfn.XLOOKUP(BC$1,'Input Assumptions'!$C$34:$L$34,'Input Assumptions'!$C$36:$L$36)</f>
        <v>2121.8658203125005</v>
      </c>
      <c r="BD16" s="59">
        <f>$N$3*_xlfn.XLOOKUP(BD$1,'Input Assumptions'!$C$34:$L$34,'Input Assumptions'!$C$36:$L$36)</f>
        <v>2121.8658203125005</v>
      </c>
      <c r="BE16" s="59">
        <f>$N$3*_xlfn.XLOOKUP(BE$1,'Input Assumptions'!$C$34:$L$34,'Input Assumptions'!$C$36:$L$36)</f>
        <v>2121.8658203125005</v>
      </c>
      <c r="BF16" s="59">
        <f>$N$3*_xlfn.XLOOKUP(BF$1,'Input Assumptions'!$C$34:$L$34,'Input Assumptions'!$C$36:$L$36)</f>
        <v>2121.8658203125005</v>
      </c>
      <c r="BG16" s="59">
        <f>$N$3*_xlfn.XLOOKUP(BG$1,'Input Assumptions'!$C$34:$L$34,'Input Assumptions'!$C$36:$L$36)</f>
        <v>2121.8658203125005</v>
      </c>
      <c r="BH16" s="59">
        <f>$N$3*_xlfn.XLOOKUP(BH$1,'Input Assumptions'!$C$34:$L$34,'Input Assumptions'!$C$36:$L$36)</f>
        <v>2121.8658203125005</v>
      </c>
      <c r="BI16" s="59">
        <f>$N$3*_xlfn.XLOOKUP(BI$1,'Input Assumptions'!$C$34:$L$34,'Input Assumptions'!$C$36:$L$36)</f>
        <v>2121.8658203125005</v>
      </c>
      <c r="BJ16" s="59">
        <f>$N$3*_xlfn.XLOOKUP(BJ$1,'Input Assumptions'!$C$34:$L$34,'Input Assumptions'!$C$36:$L$36)</f>
        <v>2201.4357885742193</v>
      </c>
      <c r="BK16" s="59">
        <f>$N$3*_xlfn.XLOOKUP(BK$1,'Input Assumptions'!$C$34:$L$34,'Input Assumptions'!$C$36:$L$36)</f>
        <v>2201.4357885742193</v>
      </c>
      <c r="BL16" s="59">
        <f>$N$3*_xlfn.XLOOKUP(BL$1,'Input Assumptions'!$C$34:$L$34,'Input Assumptions'!$C$36:$L$36)</f>
        <v>2201.4357885742193</v>
      </c>
      <c r="BM16" s="59">
        <f>$N$3*_xlfn.XLOOKUP(BM$1,'Input Assumptions'!$C$34:$L$34,'Input Assumptions'!$C$36:$L$36)</f>
        <v>2201.4357885742193</v>
      </c>
      <c r="BN16" s="59">
        <f>$N$3*_xlfn.XLOOKUP(BN$1,'Input Assumptions'!$C$34:$L$34,'Input Assumptions'!$C$36:$L$36)</f>
        <v>2201.4357885742193</v>
      </c>
      <c r="BO16" s="59">
        <f>$N$3*_xlfn.XLOOKUP(BO$1,'Input Assumptions'!$C$34:$L$34,'Input Assumptions'!$C$36:$L$36)</f>
        <v>2201.4357885742193</v>
      </c>
      <c r="BP16" s="59">
        <f>$N$3*_xlfn.XLOOKUP(BP$1,'Input Assumptions'!$C$34:$L$34,'Input Assumptions'!$C$36:$L$36)</f>
        <v>2201.4357885742193</v>
      </c>
      <c r="BQ16" s="59">
        <f>$N$3*_xlfn.XLOOKUP(BQ$1,'Input Assumptions'!$C$34:$L$34,'Input Assumptions'!$C$36:$L$36)</f>
        <v>2201.4357885742193</v>
      </c>
      <c r="BR16" s="59">
        <f>$N$3*_xlfn.XLOOKUP(BR$1,'Input Assumptions'!$C$34:$L$34,'Input Assumptions'!$C$36:$L$36)</f>
        <v>2201.4357885742193</v>
      </c>
      <c r="BS16" s="59">
        <f>$N$3*_xlfn.XLOOKUP(BS$1,'Input Assumptions'!$C$34:$L$34,'Input Assumptions'!$C$36:$L$36)</f>
        <v>2201.4357885742193</v>
      </c>
      <c r="BT16" s="59">
        <f>$N$3*_xlfn.XLOOKUP(BT$1,'Input Assumptions'!$C$34:$L$34,'Input Assumptions'!$C$36:$L$36)</f>
        <v>2201.4357885742193</v>
      </c>
      <c r="BU16" s="59">
        <f>$N$3*_xlfn.XLOOKUP(BU$1,'Input Assumptions'!$C$34:$L$34,'Input Assumptions'!$C$36:$L$36)</f>
        <v>2201.4357885742193</v>
      </c>
      <c r="BV16" s="59">
        <f>$N$3*_xlfn.XLOOKUP(BV$1,'Input Assumptions'!$C$34:$L$34,'Input Assumptions'!$C$36:$L$36)</f>
        <v>2283.9896306457531</v>
      </c>
      <c r="BW16" s="59">
        <f>$N$3*_xlfn.XLOOKUP(BW$1,'Input Assumptions'!$C$34:$L$34,'Input Assumptions'!$C$36:$L$36)</f>
        <v>1900</v>
      </c>
      <c r="BX16" s="59">
        <f>$N$3*_xlfn.XLOOKUP(BX$1,'Input Assumptions'!$C$34:$L$34,'Input Assumptions'!$C$36:$L$36)</f>
        <v>1900</v>
      </c>
      <c r="BY16" s="59">
        <f>$N$3*_xlfn.XLOOKUP(BY$1,'Input Assumptions'!$C$34:$L$34,'Input Assumptions'!$C$36:$L$36)</f>
        <v>1900</v>
      </c>
      <c r="BZ16" s="59">
        <f>$N$3*_xlfn.XLOOKUP(BZ$1,'Input Assumptions'!$C$34:$L$34,'Input Assumptions'!$C$36:$L$36)</f>
        <v>1900</v>
      </c>
      <c r="CA16" s="59">
        <f>$N$3*_xlfn.XLOOKUP(CA$1,'Input Assumptions'!$C$34:$L$34,'Input Assumptions'!$C$36:$L$36)</f>
        <v>1900</v>
      </c>
      <c r="CB16" s="59">
        <f>$N$3*_xlfn.XLOOKUP(CB$1,'Input Assumptions'!$C$34:$L$34,'Input Assumptions'!$C$36:$L$36)</f>
        <v>1900</v>
      </c>
      <c r="CC16" s="59">
        <f>$N$3*_xlfn.XLOOKUP(CC$1,'Input Assumptions'!$C$34:$L$34,'Input Assumptions'!$C$36:$L$36)</f>
        <v>1900</v>
      </c>
      <c r="CD16" s="59">
        <f>$N$3*_xlfn.XLOOKUP(CD$1,'Input Assumptions'!$C$34:$L$34,'Input Assumptions'!$C$36:$L$36)</f>
        <v>1900</v>
      </c>
      <c r="CE16" s="59">
        <f>$N$3*_xlfn.XLOOKUP(CE$1,'Input Assumptions'!$C$34:$L$34,'Input Assumptions'!$C$36:$L$36)</f>
        <v>1900</v>
      </c>
      <c r="CF16" s="59">
        <f>$N$3*_xlfn.XLOOKUP(CF$1,'Input Assumptions'!$C$34:$L$34,'Input Assumptions'!$C$36:$L$36)</f>
        <v>1900</v>
      </c>
      <c r="CG16" s="59">
        <f>$N$3*_xlfn.XLOOKUP(CG$1,'Input Assumptions'!$C$34:$L$34,'Input Assumptions'!$C$36:$L$36)</f>
        <v>1900</v>
      </c>
      <c r="CH16" s="59">
        <f>$N$3*_xlfn.XLOOKUP(CH$1,'Input Assumptions'!$C$34:$L$34,'Input Assumptions'!$C$36:$L$36)</f>
        <v>1900</v>
      </c>
      <c r="CI16" s="59">
        <f>$N$3*_xlfn.XLOOKUP(CI$1,'Input Assumptions'!$C$34:$L$34,'Input Assumptions'!$C$36:$L$36)</f>
        <v>1971.2500000000002</v>
      </c>
      <c r="CJ16" s="59">
        <f>$N$3*_xlfn.XLOOKUP(CJ$1,'Input Assumptions'!$C$34:$L$34,'Input Assumptions'!$C$36:$L$36)</f>
        <v>1971.2500000000002</v>
      </c>
      <c r="CK16" s="59">
        <f>$N$3*_xlfn.XLOOKUP(CK$1,'Input Assumptions'!$C$34:$L$34,'Input Assumptions'!$C$36:$L$36)</f>
        <v>1971.2500000000002</v>
      </c>
      <c r="CL16" s="59">
        <f>$N$3*_xlfn.XLOOKUP(CL$1,'Input Assumptions'!$C$34:$L$34,'Input Assumptions'!$C$36:$L$36)</f>
        <v>1971.2500000000002</v>
      </c>
      <c r="CM16" s="59">
        <f>$N$3*_xlfn.XLOOKUP(CM$1,'Input Assumptions'!$C$34:$L$34,'Input Assumptions'!$C$36:$L$36)</f>
        <v>1971.2500000000002</v>
      </c>
      <c r="CN16" s="59">
        <f>$N$3*_xlfn.XLOOKUP(CN$1,'Input Assumptions'!$C$34:$L$34,'Input Assumptions'!$C$36:$L$36)</f>
        <v>1971.2500000000002</v>
      </c>
      <c r="CO16" s="59">
        <f>$N$3*_xlfn.XLOOKUP(CO$1,'Input Assumptions'!$C$34:$L$34,'Input Assumptions'!$C$36:$L$36)</f>
        <v>1971.2500000000002</v>
      </c>
      <c r="CP16" s="59">
        <f>$N$3*_xlfn.XLOOKUP(CP$1,'Input Assumptions'!$C$34:$L$34,'Input Assumptions'!$C$36:$L$36)</f>
        <v>1971.2500000000002</v>
      </c>
      <c r="CQ16" s="59">
        <f>$N$3*_xlfn.XLOOKUP(CQ$1,'Input Assumptions'!$C$34:$L$34,'Input Assumptions'!$C$36:$L$36)</f>
        <v>1971.2500000000002</v>
      </c>
      <c r="CR16" s="59">
        <f>$N$3*_xlfn.XLOOKUP(CR$1,'Input Assumptions'!$C$34:$L$34,'Input Assumptions'!$C$36:$L$36)</f>
        <v>1971.2500000000002</v>
      </c>
      <c r="CS16" s="59">
        <f>$N$3*_xlfn.XLOOKUP(CS$1,'Input Assumptions'!$C$34:$L$34,'Input Assumptions'!$C$36:$L$36)</f>
        <v>1971.2500000000002</v>
      </c>
      <c r="CT16" s="59">
        <f>$N$3*_xlfn.XLOOKUP(CT$1,'Input Assumptions'!$C$34:$L$34,'Input Assumptions'!$C$36:$L$36)</f>
        <v>1971.2500000000002</v>
      </c>
      <c r="CU16" s="59">
        <f>$N$3*_xlfn.XLOOKUP(CU$1,'Input Assumptions'!$C$34:$L$34,'Input Assumptions'!$C$36:$L$36)</f>
        <v>2045.1718750000005</v>
      </c>
      <c r="CV16" s="59">
        <f>$N$3*_xlfn.XLOOKUP(CV$1,'Input Assumptions'!$C$34:$L$34,'Input Assumptions'!$C$36:$L$36)</f>
        <v>2045.1718750000005</v>
      </c>
      <c r="CW16" s="59">
        <f>$N$3*_xlfn.XLOOKUP(CW$1,'Input Assumptions'!$C$34:$L$34,'Input Assumptions'!$C$36:$L$36)</f>
        <v>2045.1718750000005</v>
      </c>
      <c r="CX16" s="59">
        <f>$N$3*_xlfn.XLOOKUP(CX$1,'Input Assumptions'!$C$34:$L$34,'Input Assumptions'!$C$36:$L$36)</f>
        <v>2045.1718750000005</v>
      </c>
      <c r="CY16" s="59">
        <f>$N$3*_xlfn.XLOOKUP(CY$1,'Input Assumptions'!$C$34:$L$34,'Input Assumptions'!$C$36:$L$36)</f>
        <v>2045.1718750000005</v>
      </c>
      <c r="CZ16" s="59">
        <f>$N$3*_xlfn.XLOOKUP(CZ$1,'Input Assumptions'!$C$34:$L$34,'Input Assumptions'!$C$36:$L$36)</f>
        <v>2045.1718750000005</v>
      </c>
      <c r="DA16" s="59">
        <f>$N$3*_xlfn.XLOOKUP(DA$1,'Input Assumptions'!$C$34:$L$34,'Input Assumptions'!$C$36:$L$36)</f>
        <v>2045.1718750000005</v>
      </c>
      <c r="DB16" s="59">
        <f>$N$3*_xlfn.XLOOKUP(DB$1,'Input Assumptions'!$C$34:$L$34,'Input Assumptions'!$C$36:$L$36)</f>
        <v>2045.1718750000005</v>
      </c>
      <c r="DC16" s="59">
        <f>$N$3*_xlfn.XLOOKUP(DC$1,'Input Assumptions'!$C$34:$L$34,'Input Assumptions'!$C$36:$L$36)</f>
        <v>2045.1718750000005</v>
      </c>
      <c r="DD16" s="59">
        <f>$N$3*_xlfn.XLOOKUP(DD$1,'Input Assumptions'!$C$34:$L$34,'Input Assumptions'!$C$36:$L$36)</f>
        <v>2045.1718750000005</v>
      </c>
      <c r="DE16" s="59">
        <f>$N$3*_xlfn.XLOOKUP(DE$1,'Input Assumptions'!$C$34:$L$34,'Input Assumptions'!$C$36:$L$36)</f>
        <v>2045.1718750000005</v>
      </c>
      <c r="DF16" s="59">
        <f>$N$3*_xlfn.XLOOKUP(DF$1,'Input Assumptions'!$C$34:$L$34,'Input Assumptions'!$C$36:$L$36)</f>
        <v>2045.1718750000005</v>
      </c>
      <c r="DG16" s="59">
        <f>$N$3*_xlfn.XLOOKUP(DG$1,'Input Assumptions'!$C$34:$L$34,'Input Assumptions'!$C$36:$L$36)</f>
        <v>2121.8658203125005</v>
      </c>
      <c r="DH16" s="59">
        <f>$N$3*_xlfn.XLOOKUP(DH$1,'Input Assumptions'!$C$34:$L$34,'Input Assumptions'!$C$36:$L$36)</f>
        <v>2121.8658203125005</v>
      </c>
      <c r="DI16" s="59">
        <f>$N$3*_xlfn.XLOOKUP(DI$1,'Input Assumptions'!$C$34:$L$34,'Input Assumptions'!$C$36:$L$36)</f>
        <v>2121.8658203125005</v>
      </c>
      <c r="DJ16" s="59">
        <f>$N$3*_xlfn.XLOOKUP(DJ$1,'Input Assumptions'!$C$34:$L$34,'Input Assumptions'!$C$36:$L$36)</f>
        <v>2121.8658203125005</v>
      </c>
      <c r="DK16" s="59">
        <f>$N$3*_xlfn.XLOOKUP(DK$1,'Input Assumptions'!$C$34:$L$34,'Input Assumptions'!$C$36:$L$36)</f>
        <v>2121.8658203125005</v>
      </c>
      <c r="DL16" s="59">
        <f>$N$3*_xlfn.XLOOKUP(DL$1,'Input Assumptions'!$C$34:$L$34,'Input Assumptions'!$C$36:$L$36)</f>
        <v>2121.8658203125005</v>
      </c>
      <c r="DM16" s="59">
        <f>$N$3*_xlfn.XLOOKUP(DM$1,'Input Assumptions'!$C$34:$L$34,'Input Assumptions'!$C$36:$L$36)</f>
        <v>2121.8658203125005</v>
      </c>
      <c r="DN16" s="59">
        <f>$N$3*_xlfn.XLOOKUP(DN$1,'Input Assumptions'!$C$34:$L$34,'Input Assumptions'!$C$36:$L$36)</f>
        <v>2121.8658203125005</v>
      </c>
      <c r="DO16" s="59">
        <f>$N$3*_xlfn.XLOOKUP(DO$1,'Input Assumptions'!$C$34:$L$34,'Input Assumptions'!$C$36:$L$36)</f>
        <v>2121.8658203125005</v>
      </c>
      <c r="DP16" s="59">
        <f>$N$3*_xlfn.XLOOKUP(DP$1,'Input Assumptions'!$C$34:$L$34,'Input Assumptions'!$C$36:$L$36)</f>
        <v>2121.8658203125005</v>
      </c>
      <c r="DQ16" s="59">
        <f>$N$3*_xlfn.XLOOKUP(DQ$1,'Input Assumptions'!$C$34:$L$34,'Input Assumptions'!$C$36:$L$36)</f>
        <v>2121.8658203125005</v>
      </c>
      <c r="DR16" s="59">
        <f>$N$3*_xlfn.XLOOKUP(DR$1,'Input Assumptions'!$C$34:$L$34,'Input Assumptions'!$C$36:$L$36)</f>
        <v>2121.8658203125005</v>
      </c>
      <c r="DS16" s="59">
        <f>$N$3*_xlfn.XLOOKUP(DS$1,'Input Assumptions'!$C$34:$L$34,'Input Assumptions'!$C$36:$L$36)</f>
        <v>2201.4357885742193</v>
      </c>
      <c r="DT16" s="59">
        <f>$N$3*_xlfn.XLOOKUP(DT$1,'Input Assumptions'!$C$34:$L$34,'Input Assumptions'!$C$36:$L$36)</f>
        <v>2201.4357885742193</v>
      </c>
      <c r="DU16" s="59">
        <f>$N$3*_xlfn.XLOOKUP(DU$1,'Input Assumptions'!$C$34:$L$34,'Input Assumptions'!$C$36:$L$36)</f>
        <v>2201.4357885742193</v>
      </c>
      <c r="DV16" s="59">
        <f>$N$3*_xlfn.XLOOKUP(DV$1,'Input Assumptions'!$C$34:$L$34,'Input Assumptions'!$C$36:$L$36)</f>
        <v>2201.4357885742193</v>
      </c>
      <c r="DW16" s="59">
        <f>$N$3*_xlfn.XLOOKUP(DW$1,'Input Assumptions'!$C$34:$L$34,'Input Assumptions'!$C$36:$L$36)</f>
        <v>2201.4357885742193</v>
      </c>
      <c r="DX16" s="59">
        <f>$N$3*_xlfn.XLOOKUP(DX$1,'Input Assumptions'!$C$34:$L$34,'Input Assumptions'!$C$36:$L$36)</f>
        <v>2201.4357885742193</v>
      </c>
      <c r="DY16" s="59">
        <f>$N$3*_xlfn.XLOOKUP(DY$1,'Input Assumptions'!$C$34:$L$34,'Input Assumptions'!$C$36:$L$36)</f>
        <v>2201.4357885742193</v>
      </c>
      <c r="DZ16" s="59">
        <f>$N$3*_xlfn.XLOOKUP(DZ$1,'Input Assumptions'!$C$34:$L$34,'Input Assumptions'!$C$36:$L$36)</f>
        <v>2201.4357885742193</v>
      </c>
      <c r="EA16" s="59">
        <f>$N$3*_xlfn.XLOOKUP(EA$1,'Input Assumptions'!$C$34:$L$34,'Input Assumptions'!$C$36:$L$36)</f>
        <v>2201.4357885742193</v>
      </c>
      <c r="EB16" s="59">
        <f>$N$3*_xlfn.XLOOKUP(EB$1,'Input Assumptions'!$C$34:$L$34,'Input Assumptions'!$C$36:$L$36)</f>
        <v>2201.4357885742193</v>
      </c>
      <c r="EC16" s="59">
        <f>$N$3*_xlfn.XLOOKUP(EC$1,'Input Assumptions'!$C$34:$L$34,'Input Assumptions'!$C$36:$L$36)</f>
        <v>2201.4357885742193</v>
      </c>
    </row>
    <row r="17" spans="2:133" x14ac:dyDescent="0.3">
      <c r="B17" s="15">
        <v>2</v>
      </c>
      <c r="C17" s="16">
        <v>15</v>
      </c>
      <c r="D17" s="16" t="s">
        <v>10</v>
      </c>
      <c r="E17" s="16">
        <v>450</v>
      </c>
      <c r="F17" s="20">
        <f t="shared" si="108"/>
        <v>41.80640845790095</v>
      </c>
      <c r="G17" s="19" t="str">
        <f t="shared" si="109"/>
        <v>1</v>
      </c>
      <c r="H17" s="20">
        <f t="shared" si="112"/>
        <v>1</v>
      </c>
      <c r="I17" s="18">
        <f t="shared" si="110"/>
        <v>1710</v>
      </c>
      <c r="J17" s="18">
        <f t="shared" si="111"/>
        <v>1900</v>
      </c>
      <c r="K17" s="18">
        <f>(J17*'Input Assumptions'!$C$20)+I17*('Input Assumptions'!$C$21)</f>
        <v>1900</v>
      </c>
      <c r="L17" s="94"/>
      <c r="N17" s="59">
        <f t="shared" si="113"/>
        <v>1900</v>
      </c>
      <c r="O17" s="59">
        <f>$N$3*_xlfn.XLOOKUP(O$1,'Input Assumptions'!$C$34:$L$34,'Input Assumptions'!$C$36:$L$36)</f>
        <v>1900</v>
      </c>
      <c r="P17" s="59">
        <f>$N$3*_xlfn.XLOOKUP(P$1,'Input Assumptions'!$C$34:$L$34,'Input Assumptions'!$C$36:$L$36)</f>
        <v>1900</v>
      </c>
      <c r="Q17" s="59">
        <f>$N$3*_xlfn.XLOOKUP(Q$1,'Input Assumptions'!$C$34:$L$34,'Input Assumptions'!$C$36:$L$36)</f>
        <v>1900</v>
      </c>
      <c r="R17" s="59">
        <f>$N$3*_xlfn.XLOOKUP(R$1,'Input Assumptions'!$C$34:$L$34,'Input Assumptions'!$C$36:$L$36)</f>
        <v>1900</v>
      </c>
      <c r="S17" s="59">
        <f>$N$3*_xlfn.XLOOKUP(S$1,'Input Assumptions'!$C$34:$L$34,'Input Assumptions'!$C$36:$L$36)</f>
        <v>1900</v>
      </c>
      <c r="T17" s="59">
        <f>$N$3*_xlfn.XLOOKUP(T$1,'Input Assumptions'!$C$34:$L$34,'Input Assumptions'!$C$36:$L$36)</f>
        <v>1900</v>
      </c>
      <c r="U17" s="59">
        <f>$N$3*_xlfn.XLOOKUP(U$1,'Input Assumptions'!$C$34:$L$34,'Input Assumptions'!$C$36:$L$36)</f>
        <v>1900</v>
      </c>
      <c r="V17" s="59">
        <f>$N$3*_xlfn.XLOOKUP(V$1,'Input Assumptions'!$C$34:$L$34,'Input Assumptions'!$C$36:$L$36)</f>
        <v>1900</v>
      </c>
      <c r="W17" s="59">
        <f>$N$3*_xlfn.XLOOKUP(W$1,'Input Assumptions'!$C$34:$L$34,'Input Assumptions'!$C$36:$L$36)</f>
        <v>1900</v>
      </c>
      <c r="X17" s="59">
        <f>$N$3*_xlfn.XLOOKUP(X$1,'Input Assumptions'!$C$34:$L$34,'Input Assumptions'!$C$36:$L$36)</f>
        <v>1900</v>
      </c>
      <c r="Y17" s="59">
        <f>$N$3*_xlfn.XLOOKUP(Y$1,'Input Assumptions'!$C$34:$L$34,'Input Assumptions'!$C$36:$L$36)</f>
        <v>1900</v>
      </c>
      <c r="Z17" s="59">
        <f>$N$3*_xlfn.XLOOKUP(Z$1,'Input Assumptions'!$C$34:$L$34,'Input Assumptions'!$C$36:$L$36)</f>
        <v>1971.2500000000002</v>
      </c>
      <c r="AA17" s="59">
        <f>$N$3*_xlfn.XLOOKUP(AA$1,'Input Assumptions'!$C$34:$L$34,'Input Assumptions'!$C$36:$L$36)</f>
        <v>1971.2500000000002</v>
      </c>
      <c r="AB17" s="59">
        <f>$N$3*_xlfn.XLOOKUP(AB$1,'Input Assumptions'!$C$34:$L$34,'Input Assumptions'!$C$36:$L$36)</f>
        <v>1971.2500000000002</v>
      </c>
      <c r="AC17" s="59">
        <f>$N$3*_xlfn.XLOOKUP(AC$1,'Input Assumptions'!$C$34:$L$34,'Input Assumptions'!$C$36:$L$36)</f>
        <v>1971.2500000000002</v>
      </c>
      <c r="AD17" s="59">
        <f>$N$3*_xlfn.XLOOKUP(AD$1,'Input Assumptions'!$C$34:$L$34,'Input Assumptions'!$C$36:$L$36)</f>
        <v>1971.2500000000002</v>
      </c>
      <c r="AE17" s="59">
        <f>$N$3*_xlfn.XLOOKUP(AE$1,'Input Assumptions'!$C$34:$L$34,'Input Assumptions'!$C$36:$L$36)</f>
        <v>1971.2500000000002</v>
      </c>
      <c r="AF17" s="59">
        <f>$N$3*_xlfn.XLOOKUP(AF$1,'Input Assumptions'!$C$34:$L$34,'Input Assumptions'!$C$36:$L$36)</f>
        <v>1971.2500000000002</v>
      </c>
      <c r="AG17" s="59">
        <f>$N$3*_xlfn.XLOOKUP(AG$1,'Input Assumptions'!$C$34:$L$34,'Input Assumptions'!$C$36:$L$36)</f>
        <v>1971.2500000000002</v>
      </c>
      <c r="AH17" s="59">
        <f>$N$3*_xlfn.XLOOKUP(AH$1,'Input Assumptions'!$C$34:$L$34,'Input Assumptions'!$C$36:$L$36)</f>
        <v>1971.2500000000002</v>
      </c>
      <c r="AI17" s="59">
        <f>$N$3*_xlfn.XLOOKUP(AI$1,'Input Assumptions'!$C$34:$L$34,'Input Assumptions'!$C$36:$L$36)</f>
        <v>1971.2500000000002</v>
      </c>
      <c r="AJ17" s="59">
        <f>$N$3*_xlfn.XLOOKUP(AJ$1,'Input Assumptions'!$C$34:$L$34,'Input Assumptions'!$C$36:$L$36)</f>
        <v>1971.2500000000002</v>
      </c>
      <c r="AK17" s="59">
        <f>$N$3*_xlfn.XLOOKUP(AK$1,'Input Assumptions'!$C$34:$L$34,'Input Assumptions'!$C$36:$L$36)</f>
        <v>1971.2500000000002</v>
      </c>
      <c r="AL17" s="59">
        <f>$N$3*_xlfn.XLOOKUP(AL$1,'Input Assumptions'!$C$34:$L$34,'Input Assumptions'!$C$36:$L$36)</f>
        <v>2045.1718750000005</v>
      </c>
      <c r="AM17" s="59">
        <f>$N$3*_xlfn.XLOOKUP(AM$1,'Input Assumptions'!$C$34:$L$34,'Input Assumptions'!$C$36:$L$36)</f>
        <v>2045.1718750000005</v>
      </c>
      <c r="AN17" s="59">
        <f>$N$3*_xlfn.XLOOKUP(AN$1,'Input Assumptions'!$C$34:$L$34,'Input Assumptions'!$C$36:$L$36)</f>
        <v>2045.1718750000005</v>
      </c>
      <c r="AO17" s="59">
        <f>$N$3*_xlfn.XLOOKUP(AO$1,'Input Assumptions'!$C$34:$L$34,'Input Assumptions'!$C$36:$L$36)</f>
        <v>2045.1718750000005</v>
      </c>
      <c r="AP17" s="59">
        <f>$N$3*_xlfn.XLOOKUP(AP$1,'Input Assumptions'!$C$34:$L$34,'Input Assumptions'!$C$36:$L$36)</f>
        <v>2045.1718750000005</v>
      </c>
      <c r="AQ17" s="59">
        <f>$N$3*_xlfn.XLOOKUP(AQ$1,'Input Assumptions'!$C$34:$L$34,'Input Assumptions'!$C$36:$L$36)</f>
        <v>2045.1718750000005</v>
      </c>
      <c r="AR17" s="59">
        <f>$N$3*_xlfn.XLOOKUP(AR$1,'Input Assumptions'!$C$34:$L$34,'Input Assumptions'!$C$36:$L$36)</f>
        <v>2045.1718750000005</v>
      </c>
      <c r="AS17" s="59">
        <f>$N$3*_xlfn.XLOOKUP(AS$1,'Input Assumptions'!$C$34:$L$34,'Input Assumptions'!$C$36:$L$36)</f>
        <v>2045.1718750000005</v>
      </c>
      <c r="AT17" s="59">
        <f>$N$3*_xlfn.XLOOKUP(AT$1,'Input Assumptions'!$C$34:$L$34,'Input Assumptions'!$C$36:$L$36)</f>
        <v>2045.1718750000005</v>
      </c>
      <c r="AU17" s="59">
        <f>$N$3*_xlfn.XLOOKUP(AU$1,'Input Assumptions'!$C$34:$L$34,'Input Assumptions'!$C$36:$L$36)</f>
        <v>2045.1718750000005</v>
      </c>
      <c r="AV17" s="59">
        <f>$N$3*_xlfn.XLOOKUP(AV$1,'Input Assumptions'!$C$34:$L$34,'Input Assumptions'!$C$36:$L$36)</f>
        <v>2045.1718750000005</v>
      </c>
      <c r="AW17" s="59">
        <f>$N$3*_xlfn.XLOOKUP(AW$1,'Input Assumptions'!$C$34:$L$34,'Input Assumptions'!$C$36:$L$36)</f>
        <v>2045.1718750000005</v>
      </c>
      <c r="AX17" s="59">
        <f>$N$3*_xlfn.XLOOKUP(AX$1,'Input Assumptions'!$C$34:$L$34,'Input Assumptions'!$C$36:$L$36)</f>
        <v>2121.8658203125005</v>
      </c>
      <c r="AY17" s="59">
        <f>$N$3*_xlfn.XLOOKUP(AY$1,'Input Assumptions'!$C$34:$L$34,'Input Assumptions'!$C$36:$L$36)</f>
        <v>2121.8658203125005</v>
      </c>
      <c r="AZ17" s="59">
        <f>$N$3*_xlfn.XLOOKUP(AZ$1,'Input Assumptions'!$C$34:$L$34,'Input Assumptions'!$C$36:$L$36)</f>
        <v>2121.8658203125005</v>
      </c>
      <c r="BA17" s="59">
        <f>$N$3*_xlfn.XLOOKUP(BA$1,'Input Assumptions'!$C$34:$L$34,'Input Assumptions'!$C$36:$L$36)</f>
        <v>2121.8658203125005</v>
      </c>
      <c r="BB17" s="59">
        <f>$N$3*_xlfn.XLOOKUP(BB$1,'Input Assumptions'!$C$34:$L$34,'Input Assumptions'!$C$36:$L$36)</f>
        <v>2121.8658203125005</v>
      </c>
      <c r="BC17" s="59">
        <f>$N$3*_xlfn.XLOOKUP(BC$1,'Input Assumptions'!$C$34:$L$34,'Input Assumptions'!$C$36:$L$36)</f>
        <v>2121.8658203125005</v>
      </c>
      <c r="BD17" s="59">
        <f>$N$3*_xlfn.XLOOKUP(BD$1,'Input Assumptions'!$C$34:$L$34,'Input Assumptions'!$C$36:$L$36)</f>
        <v>2121.8658203125005</v>
      </c>
      <c r="BE17" s="59">
        <f>$N$3*_xlfn.XLOOKUP(BE$1,'Input Assumptions'!$C$34:$L$34,'Input Assumptions'!$C$36:$L$36)</f>
        <v>2121.8658203125005</v>
      </c>
      <c r="BF17" s="59">
        <f>$N$3*_xlfn.XLOOKUP(BF$1,'Input Assumptions'!$C$34:$L$34,'Input Assumptions'!$C$36:$L$36)</f>
        <v>2121.8658203125005</v>
      </c>
      <c r="BG17" s="59">
        <f>$N$3*_xlfn.XLOOKUP(BG$1,'Input Assumptions'!$C$34:$L$34,'Input Assumptions'!$C$36:$L$36)</f>
        <v>2121.8658203125005</v>
      </c>
      <c r="BH17" s="59">
        <f>$N$3*_xlfn.XLOOKUP(BH$1,'Input Assumptions'!$C$34:$L$34,'Input Assumptions'!$C$36:$L$36)</f>
        <v>2121.8658203125005</v>
      </c>
      <c r="BI17" s="59">
        <f>$N$3*_xlfn.XLOOKUP(BI$1,'Input Assumptions'!$C$34:$L$34,'Input Assumptions'!$C$36:$L$36)</f>
        <v>2121.8658203125005</v>
      </c>
      <c r="BJ17" s="59">
        <f>$N$3*_xlfn.XLOOKUP(BJ$1,'Input Assumptions'!$C$34:$L$34,'Input Assumptions'!$C$36:$L$36)</f>
        <v>2201.4357885742193</v>
      </c>
      <c r="BK17" s="59">
        <f>$N$3*_xlfn.XLOOKUP(BK$1,'Input Assumptions'!$C$34:$L$34,'Input Assumptions'!$C$36:$L$36)</f>
        <v>2201.4357885742193</v>
      </c>
      <c r="BL17" s="59">
        <f>$N$3*_xlfn.XLOOKUP(BL$1,'Input Assumptions'!$C$34:$L$34,'Input Assumptions'!$C$36:$L$36)</f>
        <v>2201.4357885742193</v>
      </c>
      <c r="BM17" s="59">
        <f>$N$3*_xlfn.XLOOKUP(BM$1,'Input Assumptions'!$C$34:$L$34,'Input Assumptions'!$C$36:$L$36)</f>
        <v>2201.4357885742193</v>
      </c>
      <c r="BN17" s="59">
        <f>$N$3*_xlfn.XLOOKUP(BN$1,'Input Assumptions'!$C$34:$L$34,'Input Assumptions'!$C$36:$L$36)</f>
        <v>2201.4357885742193</v>
      </c>
      <c r="BO17" s="59">
        <f>$N$3*_xlfn.XLOOKUP(BO$1,'Input Assumptions'!$C$34:$L$34,'Input Assumptions'!$C$36:$L$36)</f>
        <v>2201.4357885742193</v>
      </c>
      <c r="BP17" s="59">
        <f>$N$3*_xlfn.XLOOKUP(BP$1,'Input Assumptions'!$C$34:$L$34,'Input Assumptions'!$C$36:$L$36)</f>
        <v>2201.4357885742193</v>
      </c>
      <c r="BQ17" s="59">
        <f>$N$3*_xlfn.XLOOKUP(BQ$1,'Input Assumptions'!$C$34:$L$34,'Input Assumptions'!$C$36:$L$36)</f>
        <v>2201.4357885742193</v>
      </c>
      <c r="BR17" s="59">
        <f>$N$3*_xlfn.XLOOKUP(BR$1,'Input Assumptions'!$C$34:$L$34,'Input Assumptions'!$C$36:$L$36)</f>
        <v>2201.4357885742193</v>
      </c>
      <c r="BS17" s="59">
        <f>$N$3*_xlfn.XLOOKUP(BS$1,'Input Assumptions'!$C$34:$L$34,'Input Assumptions'!$C$36:$L$36)</f>
        <v>2201.4357885742193</v>
      </c>
      <c r="BT17" s="59">
        <f>$N$3*_xlfn.XLOOKUP(BT$1,'Input Assumptions'!$C$34:$L$34,'Input Assumptions'!$C$36:$L$36)</f>
        <v>2201.4357885742193</v>
      </c>
      <c r="BU17" s="59">
        <f>$N$3*_xlfn.XLOOKUP(BU$1,'Input Assumptions'!$C$34:$L$34,'Input Assumptions'!$C$36:$L$36)</f>
        <v>2201.4357885742193</v>
      </c>
      <c r="BV17" s="59">
        <f>$N$3*_xlfn.XLOOKUP(BV$1,'Input Assumptions'!$C$34:$L$34,'Input Assumptions'!$C$36:$L$36)</f>
        <v>2283.9896306457531</v>
      </c>
      <c r="BW17" s="59">
        <f>$N$3*_xlfn.XLOOKUP(BW$1,'Input Assumptions'!$C$34:$L$34,'Input Assumptions'!$C$36:$L$36)</f>
        <v>1900</v>
      </c>
      <c r="BX17" s="59">
        <f>$N$3*_xlfn.XLOOKUP(BX$1,'Input Assumptions'!$C$34:$L$34,'Input Assumptions'!$C$36:$L$36)</f>
        <v>1900</v>
      </c>
      <c r="BY17" s="59">
        <f>$N$3*_xlfn.XLOOKUP(BY$1,'Input Assumptions'!$C$34:$L$34,'Input Assumptions'!$C$36:$L$36)</f>
        <v>1900</v>
      </c>
      <c r="BZ17" s="59">
        <f>$N$3*_xlfn.XLOOKUP(BZ$1,'Input Assumptions'!$C$34:$L$34,'Input Assumptions'!$C$36:$L$36)</f>
        <v>1900</v>
      </c>
      <c r="CA17" s="59">
        <f>$N$3*_xlfn.XLOOKUP(CA$1,'Input Assumptions'!$C$34:$L$34,'Input Assumptions'!$C$36:$L$36)</f>
        <v>1900</v>
      </c>
      <c r="CB17" s="59">
        <f>$N$3*_xlfn.XLOOKUP(CB$1,'Input Assumptions'!$C$34:$L$34,'Input Assumptions'!$C$36:$L$36)</f>
        <v>1900</v>
      </c>
      <c r="CC17" s="59">
        <f>$N$3*_xlfn.XLOOKUP(CC$1,'Input Assumptions'!$C$34:$L$34,'Input Assumptions'!$C$36:$L$36)</f>
        <v>1900</v>
      </c>
      <c r="CD17" s="59">
        <f>$N$3*_xlfn.XLOOKUP(CD$1,'Input Assumptions'!$C$34:$L$34,'Input Assumptions'!$C$36:$L$36)</f>
        <v>1900</v>
      </c>
      <c r="CE17" s="59">
        <f>$N$3*_xlfn.XLOOKUP(CE$1,'Input Assumptions'!$C$34:$L$34,'Input Assumptions'!$C$36:$L$36)</f>
        <v>1900</v>
      </c>
      <c r="CF17" s="59">
        <f>$N$3*_xlfn.XLOOKUP(CF$1,'Input Assumptions'!$C$34:$L$34,'Input Assumptions'!$C$36:$L$36)</f>
        <v>1900</v>
      </c>
      <c r="CG17" s="59">
        <f>$N$3*_xlfn.XLOOKUP(CG$1,'Input Assumptions'!$C$34:$L$34,'Input Assumptions'!$C$36:$L$36)</f>
        <v>1900</v>
      </c>
      <c r="CH17" s="59">
        <f>$N$3*_xlfn.XLOOKUP(CH$1,'Input Assumptions'!$C$34:$L$34,'Input Assumptions'!$C$36:$L$36)</f>
        <v>1900</v>
      </c>
      <c r="CI17" s="59">
        <f>$N$3*_xlfn.XLOOKUP(CI$1,'Input Assumptions'!$C$34:$L$34,'Input Assumptions'!$C$36:$L$36)</f>
        <v>1971.2500000000002</v>
      </c>
      <c r="CJ17" s="59">
        <f>$N$3*_xlfn.XLOOKUP(CJ$1,'Input Assumptions'!$C$34:$L$34,'Input Assumptions'!$C$36:$L$36)</f>
        <v>1971.2500000000002</v>
      </c>
      <c r="CK17" s="59">
        <f>$N$3*_xlfn.XLOOKUP(CK$1,'Input Assumptions'!$C$34:$L$34,'Input Assumptions'!$C$36:$L$36)</f>
        <v>1971.2500000000002</v>
      </c>
      <c r="CL17" s="59">
        <f>$N$3*_xlfn.XLOOKUP(CL$1,'Input Assumptions'!$C$34:$L$34,'Input Assumptions'!$C$36:$L$36)</f>
        <v>1971.2500000000002</v>
      </c>
      <c r="CM17" s="59">
        <f>$N$3*_xlfn.XLOOKUP(CM$1,'Input Assumptions'!$C$34:$L$34,'Input Assumptions'!$C$36:$L$36)</f>
        <v>1971.2500000000002</v>
      </c>
      <c r="CN17" s="59">
        <f>$N$3*_xlfn.XLOOKUP(CN$1,'Input Assumptions'!$C$34:$L$34,'Input Assumptions'!$C$36:$L$36)</f>
        <v>1971.2500000000002</v>
      </c>
      <c r="CO17" s="59">
        <f>$N$3*_xlfn.XLOOKUP(CO$1,'Input Assumptions'!$C$34:$L$34,'Input Assumptions'!$C$36:$L$36)</f>
        <v>1971.2500000000002</v>
      </c>
      <c r="CP17" s="59">
        <f>$N$3*_xlfn.XLOOKUP(CP$1,'Input Assumptions'!$C$34:$L$34,'Input Assumptions'!$C$36:$L$36)</f>
        <v>1971.2500000000002</v>
      </c>
      <c r="CQ17" s="59">
        <f>$N$3*_xlfn.XLOOKUP(CQ$1,'Input Assumptions'!$C$34:$L$34,'Input Assumptions'!$C$36:$L$36)</f>
        <v>1971.2500000000002</v>
      </c>
      <c r="CR17" s="59">
        <f>$N$3*_xlfn.XLOOKUP(CR$1,'Input Assumptions'!$C$34:$L$34,'Input Assumptions'!$C$36:$L$36)</f>
        <v>1971.2500000000002</v>
      </c>
      <c r="CS17" s="59">
        <f>$N$3*_xlfn.XLOOKUP(CS$1,'Input Assumptions'!$C$34:$L$34,'Input Assumptions'!$C$36:$L$36)</f>
        <v>1971.2500000000002</v>
      </c>
      <c r="CT17" s="59">
        <f>$N$3*_xlfn.XLOOKUP(CT$1,'Input Assumptions'!$C$34:$L$34,'Input Assumptions'!$C$36:$L$36)</f>
        <v>1971.2500000000002</v>
      </c>
      <c r="CU17" s="59">
        <f>$N$3*_xlfn.XLOOKUP(CU$1,'Input Assumptions'!$C$34:$L$34,'Input Assumptions'!$C$36:$L$36)</f>
        <v>2045.1718750000005</v>
      </c>
      <c r="CV17" s="59">
        <f>$N$3*_xlfn.XLOOKUP(CV$1,'Input Assumptions'!$C$34:$L$34,'Input Assumptions'!$C$36:$L$36)</f>
        <v>2045.1718750000005</v>
      </c>
      <c r="CW17" s="59">
        <f>$N$3*_xlfn.XLOOKUP(CW$1,'Input Assumptions'!$C$34:$L$34,'Input Assumptions'!$C$36:$L$36)</f>
        <v>2045.1718750000005</v>
      </c>
      <c r="CX17" s="59">
        <f>$N$3*_xlfn.XLOOKUP(CX$1,'Input Assumptions'!$C$34:$L$34,'Input Assumptions'!$C$36:$L$36)</f>
        <v>2045.1718750000005</v>
      </c>
      <c r="CY17" s="59">
        <f>$N$3*_xlfn.XLOOKUP(CY$1,'Input Assumptions'!$C$34:$L$34,'Input Assumptions'!$C$36:$L$36)</f>
        <v>2045.1718750000005</v>
      </c>
      <c r="CZ17" s="59">
        <f>$N$3*_xlfn.XLOOKUP(CZ$1,'Input Assumptions'!$C$34:$L$34,'Input Assumptions'!$C$36:$L$36)</f>
        <v>2045.1718750000005</v>
      </c>
      <c r="DA17" s="59">
        <f>$N$3*_xlfn.XLOOKUP(DA$1,'Input Assumptions'!$C$34:$L$34,'Input Assumptions'!$C$36:$L$36)</f>
        <v>2045.1718750000005</v>
      </c>
      <c r="DB17" s="59">
        <f>$N$3*_xlfn.XLOOKUP(DB$1,'Input Assumptions'!$C$34:$L$34,'Input Assumptions'!$C$36:$L$36)</f>
        <v>2045.1718750000005</v>
      </c>
      <c r="DC17" s="59">
        <f>$N$3*_xlfn.XLOOKUP(DC$1,'Input Assumptions'!$C$34:$L$34,'Input Assumptions'!$C$36:$L$36)</f>
        <v>2045.1718750000005</v>
      </c>
      <c r="DD17" s="59">
        <f>$N$3*_xlfn.XLOOKUP(DD$1,'Input Assumptions'!$C$34:$L$34,'Input Assumptions'!$C$36:$L$36)</f>
        <v>2045.1718750000005</v>
      </c>
      <c r="DE17" s="59">
        <f>$N$3*_xlfn.XLOOKUP(DE$1,'Input Assumptions'!$C$34:$L$34,'Input Assumptions'!$C$36:$L$36)</f>
        <v>2045.1718750000005</v>
      </c>
      <c r="DF17" s="59">
        <f>$N$3*_xlfn.XLOOKUP(DF$1,'Input Assumptions'!$C$34:$L$34,'Input Assumptions'!$C$36:$L$36)</f>
        <v>2045.1718750000005</v>
      </c>
      <c r="DG17" s="59">
        <f>$N$3*_xlfn.XLOOKUP(DG$1,'Input Assumptions'!$C$34:$L$34,'Input Assumptions'!$C$36:$L$36)</f>
        <v>2121.8658203125005</v>
      </c>
      <c r="DH17" s="59">
        <f>$N$3*_xlfn.XLOOKUP(DH$1,'Input Assumptions'!$C$34:$L$34,'Input Assumptions'!$C$36:$L$36)</f>
        <v>2121.8658203125005</v>
      </c>
      <c r="DI17" s="59">
        <f>$N$3*_xlfn.XLOOKUP(DI$1,'Input Assumptions'!$C$34:$L$34,'Input Assumptions'!$C$36:$L$36)</f>
        <v>2121.8658203125005</v>
      </c>
      <c r="DJ17" s="59">
        <f>$N$3*_xlfn.XLOOKUP(DJ$1,'Input Assumptions'!$C$34:$L$34,'Input Assumptions'!$C$36:$L$36)</f>
        <v>2121.8658203125005</v>
      </c>
      <c r="DK17" s="59">
        <f>$N$3*_xlfn.XLOOKUP(DK$1,'Input Assumptions'!$C$34:$L$34,'Input Assumptions'!$C$36:$L$36)</f>
        <v>2121.8658203125005</v>
      </c>
      <c r="DL17" s="59">
        <f>$N$3*_xlfn.XLOOKUP(DL$1,'Input Assumptions'!$C$34:$L$34,'Input Assumptions'!$C$36:$L$36)</f>
        <v>2121.8658203125005</v>
      </c>
      <c r="DM17" s="59">
        <f>$N$3*_xlfn.XLOOKUP(DM$1,'Input Assumptions'!$C$34:$L$34,'Input Assumptions'!$C$36:$L$36)</f>
        <v>2121.8658203125005</v>
      </c>
      <c r="DN17" s="59">
        <f>$N$3*_xlfn.XLOOKUP(DN$1,'Input Assumptions'!$C$34:$L$34,'Input Assumptions'!$C$36:$L$36)</f>
        <v>2121.8658203125005</v>
      </c>
      <c r="DO17" s="59">
        <f>$N$3*_xlfn.XLOOKUP(DO$1,'Input Assumptions'!$C$34:$L$34,'Input Assumptions'!$C$36:$L$36)</f>
        <v>2121.8658203125005</v>
      </c>
      <c r="DP17" s="59">
        <f>$N$3*_xlfn.XLOOKUP(DP$1,'Input Assumptions'!$C$34:$L$34,'Input Assumptions'!$C$36:$L$36)</f>
        <v>2121.8658203125005</v>
      </c>
      <c r="DQ17" s="59">
        <f>$N$3*_xlfn.XLOOKUP(DQ$1,'Input Assumptions'!$C$34:$L$34,'Input Assumptions'!$C$36:$L$36)</f>
        <v>2121.8658203125005</v>
      </c>
      <c r="DR17" s="59">
        <f>$N$3*_xlfn.XLOOKUP(DR$1,'Input Assumptions'!$C$34:$L$34,'Input Assumptions'!$C$36:$L$36)</f>
        <v>2121.8658203125005</v>
      </c>
      <c r="DS17" s="59">
        <f>$N$3*_xlfn.XLOOKUP(DS$1,'Input Assumptions'!$C$34:$L$34,'Input Assumptions'!$C$36:$L$36)</f>
        <v>2201.4357885742193</v>
      </c>
      <c r="DT17" s="59">
        <f>$N$3*_xlfn.XLOOKUP(DT$1,'Input Assumptions'!$C$34:$L$34,'Input Assumptions'!$C$36:$L$36)</f>
        <v>2201.4357885742193</v>
      </c>
      <c r="DU17" s="59">
        <f>$N$3*_xlfn.XLOOKUP(DU$1,'Input Assumptions'!$C$34:$L$34,'Input Assumptions'!$C$36:$L$36)</f>
        <v>2201.4357885742193</v>
      </c>
      <c r="DV17" s="59">
        <f>$N$3*_xlfn.XLOOKUP(DV$1,'Input Assumptions'!$C$34:$L$34,'Input Assumptions'!$C$36:$L$36)</f>
        <v>2201.4357885742193</v>
      </c>
      <c r="DW17" s="59">
        <f>$N$3*_xlfn.XLOOKUP(DW$1,'Input Assumptions'!$C$34:$L$34,'Input Assumptions'!$C$36:$L$36)</f>
        <v>2201.4357885742193</v>
      </c>
      <c r="DX17" s="59">
        <f>$N$3*_xlfn.XLOOKUP(DX$1,'Input Assumptions'!$C$34:$L$34,'Input Assumptions'!$C$36:$L$36)</f>
        <v>2201.4357885742193</v>
      </c>
      <c r="DY17" s="59">
        <f>$N$3*_xlfn.XLOOKUP(DY$1,'Input Assumptions'!$C$34:$L$34,'Input Assumptions'!$C$36:$L$36)</f>
        <v>2201.4357885742193</v>
      </c>
      <c r="DZ17" s="59">
        <f>$N$3*_xlfn.XLOOKUP(DZ$1,'Input Assumptions'!$C$34:$L$34,'Input Assumptions'!$C$36:$L$36)</f>
        <v>2201.4357885742193</v>
      </c>
      <c r="EA17" s="59">
        <f>$N$3*_xlfn.XLOOKUP(EA$1,'Input Assumptions'!$C$34:$L$34,'Input Assumptions'!$C$36:$L$36)</f>
        <v>2201.4357885742193</v>
      </c>
      <c r="EB17" s="59">
        <f>$N$3*_xlfn.XLOOKUP(EB$1,'Input Assumptions'!$C$34:$L$34,'Input Assumptions'!$C$36:$L$36)</f>
        <v>2201.4357885742193</v>
      </c>
      <c r="EC17" s="59">
        <f>$N$3*_xlfn.XLOOKUP(EC$1,'Input Assumptions'!$C$34:$L$34,'Input Assumptions'!$C$36:$L$36)</f>
        <v>2201.4357885742193</v>
      </c>
    </row>
    <row r="18" spans="2:133" x14ac:dyDescent="0.3">
      <c r="B18" s="15">
        <v>2</v>
      </c>
      <c r="C18" s="16">
        <v>16</v>
      </c>
      <c r="D18" s="16" t="s">
        <v>10</v>
      </c>
      <c r="E18" s="16">
        <v>450</v>
      </c>
      <c r="F18" s="20">
        <f t="shared" si="108"/>
        <v>41.80640845790095</v>
      </c>
      <c r="G18" s="19" t="str">
        <f t="shared" si="109"/>
        <v>1</v>
      </c>
      <c r="H18" s="20">
        <f t="shared" si="112"/>
        <v>1</v>
      </c>
      <c r="I18" s="18">
        <f t="shared" si="110"/>
        <v>1710</v>
      </c>
      <c r="J18" s="18">
        <f t="shared" si="111"/>
        <v>1900</v>
      </c>
      <c r="K18" s="18">
        <f>(J18*'Input Assumptions'!$C$20)+I18*('Input Assumptions'!$C$21)</f>
        <v>1900</v>
      </c>
      <c r="L18" s="94"/>
      <c r="N18" s="59">
        <f t="shared" si="113"/>
        <v>1900</v>
      </c>
      <c r="O18" s="59">
        <f>$N$3*_xlfn.XLOOKUP(O$1,'Input Assumptions'!$C$34:$L$34,'Input Assumptions'!$C$36:$L$36)</f>
        <v>1900</v>
      </c>
      <c r="P18" s="59">
        <f>$N$3*_xlfn.XLOOKUP(P$1,'Input Assumptions'!$C$34:$L$34,'Input Assumptions'!$C$36:$L$36)</f>
        <v>1900</v>
      </c>
      <c r="Q18" s="59">
        <f>$N$3*_xlfn.XLOOKUP(Q$1,'Input Assumptions'!$C$34:$L$34,'Input Assumptions'!$C$36:$L$36)</f>
        <v>1900</v>
      </c>
      <c r="R18" s="59">
        <f>$N$3*_xlfn.XLOOKUP(R$1,'Input Assumptions'!$C$34:$L$34,'Input Assumptions'!$C$36:$L$36)</f>
        <v>1900</v>
      </c>
      <c r="S18" s="59">
        <f>$N$3*_xlfn.XLOOKUP(S$1,'Input Assumptions'!$C$34:$L$34,'Input Assumptions'!$C$36:$L$36)</f>
        <v>1900</v>
      </c>
      <c r="T18" s="59">
        <f>$N$3*_xlfn.XLOOKUP(T$1,'Input Assumptions'!$C$34:$L$34,'Input Assumptions'!$C$36:$L$36)</f>
        <v>1900</v>
      </c>
      <c r="U18" s="59">
        <f>$N$3*_xlfn.XLOOKUP(U$1,'Input Assumptions'!$C$34:$L$34,'Input Assumptions'!$C$36:$L$36)</f>
        <v>1900</v>
      </c>
      <c r="V18" s="59">
        <f>$N$3*_xlfn.XLOOKUP(V$1,'Input Assumptions'!$C$34:$L$34,'Input Assumptions'!$C$36:$L$36)</f>
        <v>1900</v>
      </c>
      <c r="W18" s="59">
        <f>$N$3*_xlfn.XLOOKUP(W$1,'Input Assumptions'!$C$34:$L$34,'Input Assumptions'!$C$36:$L$36)</f>
        <v>1900</v>
      </c>
      <c r="X18" s="59">
        <f>$N$3*_xlfn.XLOOKUP(X$1,'Input Assumptions'!$C$34:$L$34,'Input Assumptions'!$C$36:$L$36)</f>
        <v>1900</v>
      </c>
      <c r="Y18" s="59">
        <f>$N$3*_xlfn.XLOOKUP(Y$1,'Input Assumptions'!$C$34:$L$34,'Input Assumptions'!$C$36:$L$36)</f>
        <v>1900</v>
      </c>
      <c r="Z18" s="59">
        <f>$N$3*_xlfn.XLOOKUP(Z$1,'Input Assumptions'!$C$34:$L$34,'Input Assumptions'!$C$36:$L$36)</f>
        <v>1971.2500000000002</v>
      </c>
      <c r="AA18" s="59">
        <f>$N$3*_xlfn.XLOOKUP(AA$1,'Input Assumptions'!$C$34:$L$34,'Input Assumptions'!$C$36:$L$36)</f>
        <v>1971.2500000000002</v>
      </c>
      <c r="AB18" s="59">
        <f>$N$3*_xlfn.XLOOKUP(AB$1,'Input Assumptions'!$C$34:$L$34,'Input Assumptions'!$C$36:$L$36)</f>
        <v>1971.2500000000002</v>
      </c>
      <c r="AC18" s="59">
        <f>$N$3*_xlfn.XLOOKUP(AC$1,'Input Assumptions'!$C$34:$L$34,'Input Assumptions'!$C$36:$L$36)</f>
        <v>1971.2500000000002</v>
      </c>
      <c r="AD18" s="59">
        <f>$N$3*_xlfn.XLOOKUP(AD$1,'Input Assumptions'!$C$34:$L$34,'Input Assumptions'!$C$36:$L$36)</f>
        <v>1971.2500000000002</v>
      </c>
      <c r="AE18" s="59">
        <f>$N$3*_xlfn.XLOOKUP(AE$1,'Input Assumptions'!$C$34:$L$34,'Input Assumptions'!$C$36:$L$36)</f>
        <v>1971.2500000000002</v>
      </c>
      <c r="AF18" s="59">
        <f>$N$3*_xlfn.XLOOKUP(AF$1,'Input Assumptions'!$C$34:$L$34,'Input Assumptions'!$C$36:$L$36)</f>
        <v>1971.2500000000002</v>
      </c>
      <c r="AG18" s="59">
        <f>$N$3*_xlfn.XLOOKUP(AG$1,'Input Assumptions'!$C$34:$L$34,'Input Assumptions'!$C$36:$L$36)</f>
        <v>1971.2500000000002</v>
      </c>
      <c r="AH18" s="59">
        <f>$N$3*_xlfn.XLOOKUP(AH$1,'Input Assumptions'!$C$34:$L$34,'Input Assumptions'!$C$36:$L$36)</f>
        <v>1971.2500000000002</v>
      </c>
      <c r="AI18" s="59">
        <f>$N$3*_xlfn.XLOOKUP(AI$1,'Input Assumptions'!$C$34:$L$34,'Input Assumptions'!$C$36:$L$36)</f>
        <v>1971.2500000000002</v>
      </c>
      <c r="AJ18" s="59">
        <f>$N$3*_xlfn.XLOOKUP(AJ$1,'Input Assumptions'!$C$34:$L$34,'Input Assumptions'!$C$36:$L$36)</f>
        <v>1971.2500000000002</v>
      </c>
      <c r="AK18" s="59">
        <f>$N$3*_xlfn.XLOOKUP(AK$1,'Input Assumptions'!$C$34:$L$34,'Input Assumptions'!$C$36:$L$36)</f>
        <v>1971.2500000000002</v>
      </c>
      <c r="AL18" s="59">
        <f>$N$3*_xlfn.XLOOKUP(AL$1,'Input Assumptions'!$C$34:$L$34,'Input Assumptions'!$C$36:$L$36)</f>
        <v>2045.1718750000005</v>
      </c>
      <c r="AM18" s="59">
        <f>$N$3*_xlfn.XLOOKUP(AM$1,'Input Assumptions'!$C$34:$L$34,'Input Assumptions'!$C$36:$L$36)</f>
        <v>2045.1718750000005</v>
      </c>
      <c r="AN18" s="59">
        <f>$N$3*_xlfn.XLOOKUP(AN$1,'Input Assumptions'!$C$34:$L$34,'Input Assumptions'!$C$36:$L$36)</f>
        <v>2045.1718750000005</v>
      </c>
      <c r="AO18" s="59">
        <f>$N$3*_xlfn.XLOOKUP(AO$1,'Input Assumptions'!$C$34:$L$34,'Input Assumptions'!$C$36:$L$36)</f>
        <v>2045.1718750000005</v>
      </c>
      <c r="AP18" s="59">
        <f>$N$3*_xlfn.XLOOKUP(AP$1,'Input Assumptions'!$C$34:$L$34,'Input Assumptions'!$C$36:$L$36)</f>
        <v>2045.1718750000005</v>
      </c>
      <c r="AQ18" s="59">
        <f>$N$3*_xlfn.XLOOKUP(AQ$1,'Input Assumptions'!$C$34:$L$34,'Input Assumptions'!$C$36:$L$36)</f>
        <v>2045.1718750000005</v>
      </c>
      <c r="AR18" s="59">
        <f>$N$3*_xlfn.XLOOKUP(AR$1,'Input Assumptions'!$C$34:$L$34,'Input Assumptions'!$C$36:$L$36)</f>
        <v>2045.1718750000005</v>
      </c>
      <c r="AS18" s="59">
        <f>$N$3*_xlfn.XLOOKUP(AS$1,'Input Assumptions'!$C$34:$L$34,'Input Assumptions'!$C$36:$L$36)</f>
        <v>2045.1718750000005</v>
      </c>
      <c r="AT18" s="59">
        <f>$N$3*_xlfn.XLOOKUP(AT$1,'Input Assumptions'!$C$34:$L$34,'Input Assumptions'!$C$36:$L$36)</f>
        <v>2045.1718750000005</v>
      </c>
      <c r="AU18" s="59">
        <f>$N$3*_xlfn.XLOOKUP(AU$1,'Input Assumptions'!$C$34:$L$34,'Input Assumptions'!$C$36:$L$36)</f>
        <v>2045.1718750000005</v>
      </c>
      <c r="AV18" s="59">
        <f>$N$3*_xlfn.XLOOKUP(AV$1,'Input Assumptions'!$C$34:$L$34,'Input Assumptions'!$C$36:$L$36)</f>
        <v>2045.1718750000005</v>
      </c>
      <c r="AW18" s="59">
        <f>$N$3*_xlfn.XLOOKUP(AW$1,'Input Assumptions'!$C$34:$L$34,'Input Assumptions'!$C$36:$L$36)</f>
        <v>2045.1718750000005</v>
      </c>
      <c r="AX18" s="59">
        <f>$N$3*_xlfn.XLOOKUP(AX$1,'Input Assumptions'!$C$34:$L$34,'Input Assumptions'!$C$36:$L$36)</f>
        <v>2121.8658203125005</v>
      </c>
      <c r="AY18" s="59">
        <f>$N$3*_xlfn.XLOOKUP(AY$1,'Input Assumptions'!$C$34:$L$34,'Input Assumptions'!$C$36:$L$36)</f>
        <v>2121.8658203125005</v>
      </c>
      <c r="AZ18" s="59">
        <f>$N$3*_xlfn.XLOOKUP(AZ$1,'Input Assumptions'!$C$34:$L$34,'Input Assumptions'!$C$36:$L$36)</f>
        <v>2121.8658203125005</v>
      </c>
      <c r="BA18" s="59">
        <f>$N$3*_xlfn.XLOOKUP(BA$1,'Input Assumptions'!$C$34:$L$34,'Input Assumptions'!$C$36:$L$36)</f>
        <v>2121.8658203125005</v>
      </c>
      <c r="BB18" s="59">
        <f>$N$3*_xlfn.XLOOKUP(BB$1,'Input Assumptions'!$C$34:$L$34,'Input Assumptions'!$C$36:$L$36)</f>
        <v>2121.8658203125005</v>
      </c>
      <c r="BC18" s="59">
        <f>$N$3*_xlfn.XLOOKUP(BC$1,'Input Assumptions'!$C$34:$L$34,'Input Assumptions'!$C$36:$L$36)</f>
        <v>2121.8658203125005</v>
      </c>
      <c r="BD18" s="59">
        <f>$N$3*_xlfn.XLOOKUP(BD$1,'Input Assumptions'!$C$34:$L$34,'Input Assumptions'!$C$36:$L$36)</f>
        <v>2121.8658203125005</v>
      </c>
      <c r="BE18" s="59">
        <f>$N$3*_xlfn.XLOOKUP(BE$1,'Input Assumptions'!$C$34:$L$34,'Input Assumptions'!$C$36:$L$36)</f>
        <v>2121.8658203125005</v>
      </c>
      <c r="BF18" s="59">
        <f>$N$3*_xlfn.XLOOKUP(BF$1,'Input Assumptions'!$C$34:$L$34,'Input Assumptions'!$C$36:$L$36)</f>
        <v>2121.8658203125005</v>
      </c>
      <c r="BG18" s="59">
        <f>$N$3*_xlfn.XLOOKUP(BG$1,'Input Assumptions'!$C$34:$L$34,'Input Assumptions'!$C$36:$L$36)</f>
        <v>2121.8658203125005</v>
      </c>
      <c r="BH18" s="59">
        <f>$N$3*_xlfn.XLOOKUP(BH$1,'Input Assumptions'!$C$34:$L$34,'Input Assumptions'!$C$36:$L$36)</f>
        <v>2121.8658203125005</v>
      </c>
      <c r="BI18" s="59">
        <f>$N$3*_xlfn.XLOOKUP(BI$1,'Input Assumptions'!$C$34:$L$34,'Input Assumptions'!$C$36:$L$36)</f>
        <v>2121.8658203125005</v>
      </c>
      <c r="BJ18" s="59">
        <f>$N$3*_xlfn.XLOOKUP(BJ$1,'Input Assumptions'!$C$34:$L$34,'Input Assumptions'!$C$36:$L$36)</f>
        <v>2201.4357885742193</v>
      </c>
      <c r="BK18" s="59">
        <f>$N$3*_xlfn.XLOOKUP(BK$1,'Input Assumptions'!$C$34:$L$34,'Input Assumptions'!$C$36:$L$36)</f>
        <v>2201.4357885742193</v>
      </c>
      <c r="BL18" s="59">
        <f>$N$3*_xlfn.XLOOKUP(BL$1,'Input Assumptions'!$C$34:$L$34,'Input Assumptions'!$C$36:$L$36)</f>
        <v>2201.4357885742193</v>
      </c>
      <c r="BM18" s="59">
        <f>$N$3*_xlfn.XLOOKUP(BM$1,'Input Assumptions'!$C$34:$L$34,'Input Assumptions'!$C$36:$L$36)</f>
        <v>2201.4357885742193</v>
      </c>
      <c r="BN18" s="59">
        <f>$N$3*_xlfn.XLOOKUP(BN$1,'Input Assumptions'!$C$34:$L$34,'Input Assumptions'!$C$36:$L$36)</f>
        <v>2201.4357885742193</v>
      </c>
      <c r="BO18" s="59">
        <f>$N$3*_xlfn.XLOOKUP(BO$1,'Input Assumptions'!$C$34:$L$34,'Input Assumptions'!$C$36:$L$36)</f>
        <v>2201.4357885742193</v>
      </c>
      <c r="BP18" s="59">
        <f>$N$3*_xlfn.XLOOKUP(BP$1,'Input Assumptions'!$C$34:$L$34,'Input Assumptions'!$C$36:$L$36)</f>
        <v>2201.4357885742193</v>
      </c>
      <c r="BQ18" s="59">
        <f>$N$3*_xlfn.XLOOKUP(BQ$1,'Input Assumptions'!$C$34:$L$34,'Input Assumptions'!$C$36:$L$36)</f>
        <v>2201.4357885742193</v>
      </c>
      <c r="BR18" s="59">
        <f>$N$3*_xlfn.XLOOKUP(BR$1,'Input Assumptions'!$C$34:$L$34,'Input Assumptions'!$C$36:$L$36)</f>
        <v>2201.4357885742193</v>
      </c>
      <c r="BS18" s="59">
        <f>$N$3*_xlfn.XLOOKUP(BS$1,'Input Assumptions'!$C$34:$L$34,'Input Assumptions'!$C$36:$L$36)</f>
        <v>2201.4357885742193</v>
      </c>
      <c r="BT18" s="59">
        <f>$N$3*_xlfn.XLOOKUP(BT$1,'Input Assumptions'!$C$34:$L$34,'Input Assumptions'!$C$36:$L$36)</f>
        <v>2201.4357885742193</v>
      </c>
      <c r="BU18" s="59">
        <f>$N$3*_xlfn.XLOOKUP(BU$1,'Input Assumptions'!$C$34:$L$34,'Input Assumptions'!$C$36:$L$36)</f>
        <v>2201.4357885742193</v>
      </c>
      <c r="BV18" s="59">
        <f>$N$3*_xlfn.XLOOKUP(BV$1,'Input Assumptions'!$C$34:$L$34,'Input Assumptions'!$C$36:$L$36)</f>
        <v>2283.9896306457531</v>
      </c>
      <c r="BW18" s="59">
        <f>$N$3*_xlfn.XLOOKUP(BW$1,'Input Assumptions'!$C$34:$L$34,'Input Assumptions'!$C$36:$L$36)</f>
        <v>1900</v>
      </c>
      <c r="BX18" s="59">
        <f>$N$3*_xlfn.XLOOKUP(BX$1,'Input Assumptions'!$C$34:$L$34,'Input Assumptions'!$C$36:$L$36)</f>
        <v>1900</v>
      </c>
      <c r="BY18" s="59">
        <f>$N$3*_xlfn.XLOOKUP(BY$1,'Input Assumptions'!$C$34:$L$34,'Input Assumptions'!$C$36:$L$36)</f>
        <v>1900</v>
      </c>
      <c r="BZ18" s="59">
        <f>$N$3*_xlfn.XLOOKUP(BZ$1,'Input Assumptions'!$C$34:$L$34,'Input Assumptions'!$C$36:$L$36)</f>
        <v>1900</v>
      </c>
      <c r="CA18" s="59">
        <f>$N$3*_xlfn.XLOOKUP(CA$1,'Input Assumptions'!$C$34:$L$34,'Input Assumptions'!$C$36:$L$36)</f>
        <v>1900</v>
      </c>
      <c r="CB18" s="59">
        <f>$N$3*_xlfn.XLOOKUP(CB$1,'Input Assumptions'!$C$34:$L$34,'Input Assumptions'!$C$36:$L$36)</f>
        <v>1900</v>
      </c>
      <c r="CC18" s="59">
        <f>$N$3*_xlfn.XLOOKUP(CC$1,'Input Assumptions'!$C$34:$L$34,'Input Assumptions'!$C$36:$L$36)</f>
        <v>1900</v>
      </c>
      <c r="CD18" s="59">
        <f>$N$3*_xlfn.XLOOKUP(CD$1,'Input Assumptions'!$C$34:$L$34,'Input Assumptions'!$C$36:$L$36)</f>
        <v>1900</v>
      </c>
      <c r="CE18" s="59">
        <f>$N$3*_xlfn.XLOOKUP(CE$1,'Input Assumptions'!$C$34:$L$34,'Input Assumptions'!$C$36:$L$36)</f>
        <v>1900</v>
      </c>
      <c r="CF18" s="59">
        <f>$N$3*_xlfn.XLOOKUP(CF$1,'Input Assumptions'!$C$34:$L$34,'Input Assumptions'!$C$36:$L$36)</f>
        <v>1900</v>
      </c>
      <c r="CG18" s="59">
        <f>$N$3*_xlfn.XLOOKUP(CG$1,'Input Assumptions'!$C$34:$L$34,'Input Assumptions'!$C$36:$L$36)</f>
        <v>1900</v>
      </c>
      <c r="CH18" s="59">
        <f>$N$3*_xlfn.XLOOKUP(CH$1,'Input Assumptions'!$C$34:$L$34,'Input Assumptions'!$C$36:$L$36)</f>
        <v>1900</v>
      </c>
      <c r="CI18" s="59">
        <f>$N$3*_xlfn.XLOOKUP(CI$1,'Input Assumptions'!$C$34:$L$34,'Input Assumptions'!$C$36:$L$36)</f>
        <v>1971.2500000000002</v>
      </c>
      <c r="CJ18" s="59">
        <f>$N$3*_xlfn.XLOOKUP(CJ$1,'Input Assumptions'!$C$34:$L$34,'Input Assumptions'!$C$36:$L$36)</f>
        <v>1971.2500000000002</v>
      </c>
      <c r="CK18" s="59">
        <f>$N$3*_xlfn.XLOOKUP(CK$1,'Input Assumptions'!$C$34:$L$34,'Input Assumptions'!$C$36:$L$36)</f>
        <v>1971.2500000000002</v>
      </c>
      <c r="CL18" s="59">
        <f>$N$3*_xlfn.XLOOKUP(CL$1,'Input Assumptions'!$C$34:$L$34,'Input Assumptions'!$C$36:$L$36)</f>
        <v>1971.2500000000002</v>
      </c>
      <c r="CM18" s="59">
        <f>$N$3*_xlfn.XLOOKUP(CM$1,'Input Assumptions'!$C$34:$L$34,'Input Assumptions'!$C$36:$L$36)</f>
        <v>1971.2500000000002</v>
      </c>
      <c r="CN18" s="59">
        <f>$N$3*_xlfn.XLOOKUP(CN$1,'Input Assumptions'!$C$34:$L$34,'Input Assumptions'!$C$36:$L$36)</f>
        <v>1971.2500000000002</v>
      </c>
      <c r="CO18" s="59">
        <f>$N$3*_xlfn.XLOOKUP(CO$1,'Input Assumptions'!$C$34:$L$34,'Input Assumptions'!$C$36:$L$36)</f>
        <v>1971.2500000000002</v>
      </c>
      <c r="CP18" s="59">
        <f>$N$3*_xlfn.XLOOKUP(CP$1,'Input Assumptions'!$C$34:$L$34,'Input Assumptions'!$C$36:$L$36)</f>
        <v>1971.2500000000002</v>
      </c>
      <c r="CQ18" s="59">
        <f>$N$3*_xlfn.XLOOKUP(CQ$1,'Input Assumptions'!$C$34:$L$34,'Input Assumptions'!$C$36:$L$36)</f>
        <v>1971.2500000000002</v>
      </c>
      <c r="CR18" s="59">
        <f>$N$3*_xlfn.XLOOKUP(CR$1,'Input Assumptions'!$C$34:$L$34,'Input Assumptions'!$C$36:$L$36)</f>
        <v>1971.2500000000002</v>
      </c>
      <c r="CS18" s="59">
        <f>$N$3*_xlfn.XLOOKUP(CS$1,'Input Assumptions'!$C$34:$L$34,'Input Assumptions'!$C$36:$L$36)</f>
        <v>1971.2500000000002</v>
      </c>
      <c r="CT18" s="59">
        <f>$N$3*_xlfn.XLOOKUP(CT$1,'Input Assumptions'!$C$34:$L$34,'Input Assumptions'!$C$36:$L$36)</f>
        <v>1971.2500000000002</v>
      </c>
      <c r="CU18" s="59">
        <f>$N$3*_xlfn.XLOOKUP(CU$1,'Input Assumptions'!$C$34:$L$34,'Input Assumptions'!$C$36:$L$36)</f>
        <v>2045.1718750000005</v>
      </c>
      <c r="CV18" s="59">
        <f>$N$3*_xlfn.XLOOKUP(CV$1,'Input Assumptions'!$C$34:$L$34,'Input Assumptions'!$C$36:$L$36)</f>
        <v>2045.1718750000005</v>
      </c>
      <c r="CW18" s="59">
        <f>$N$3*_xlfn.XLOOKUP(CW$1,'Input Assumptions'!$C$34:$L$34,'Input Assumptions'!$C$36:$L$36)</f>
        <v>2045.1718750000005</v>
      </c>
      <c r="CX18" s="59">
        <f>$N$3*_xlfn.XLOOKUP(CX$1,'Input Assumptions'!$C$34:$L$34,'Input Assumptions'!$C$36:$L$36)</f>
        <v>2045.1718750000005</v>
      </c>
      <c r="CY18" s="59">
        <f>$N$3*_xlfn.XLOOKUP(CY$1,'Input Assumptions'!$C$34:$L$34,'Input Assumptions'!$C$36:$L$36)</f>
        <v>2045.1718750000005</v>
      </c>
      <c r="CZ18" s="59">
        <f>$N$3*_xlfn.XLOOKUP(CZ$1,'Input Assumptions'!$C$34:$L$34,'Input Assumptions'!$C$36:$L$36)</f>
        <v>2045.1718750000005</v>
      </c>
      <c r="DA18" s="59">
        <f>$N$3*_xlfn.XLOOKUP(DA$1,'Input Assumptions'!$C$34:$L$34,'Input Assumptions'!$C$36:$L$36)</f>
        <v>2045.1718750000005</v>
      </c>
      <c r="DB18" s="59">
        <f>$N$3*_xlfn.XLOOKUP(DB$1,'Input Assumptions'!$C$34:$L$34,'Input Assumptions'!$C$36:$L$36)</f>
        <v>2045.1718750000005</v>
      </c>
      <c r="DC18" s="59">
        <f>$N$3*_xlfn.XLOOKUP(DC$1,'Input Assumptions'!$C$34:$L$34,'Input Assumptions'!$C$36:$L$36)</f>
        <v>2045.1718750000005</v>
      </c>
      <c r="DD18" s="59">
        <f>$N$3*_xlfn.XLOOKUP(DD$1,'Input Assumptions'!$C$34:$L$34,'Input Assumptions'!$C$36:$L$36)</f>
        <v>2045.1718750000005</v>
      </c>
      <c r="DE18" s="59">
        <f>$N$3*_xlfn.XLOOKUP(DE$1,'Input Assumptions'!$C$34:$L$34,'Input Assumptions'!$C$36:$L$36)</f>
        <v>2045.1718750000005</v>
      </c>
      <c r="DF18" s="59">
        <f>$N$3*_xlfn.XLOOKUP(DF$1,'Input Assumptions'!$C$34:$L$34,'Input Assumptions'!$C$36:$L$36)</f>
        <v>2045.1718750000005</v>
      </c>
      <c r="DG18" s="59">
        <f>$N$3*_xlfn.XLOOKUP(DG$1,'Input Assumptions'!$C$34:$L$34,'Input Assumptions'!$C$36:$L$36)</f>
        <v>2121.8658203125005</v>
      </c>
      <c r="DH18" s="59">
        <f>$N$3*_xlfn.XLOOKUP(DH$1,'Input Assumptions'!$C$34:$L$34,'Input Assumptions'!$C$36:$L$36)</f>
        <v>2121.8658203125005</v>
      </c>
      <c r="DI18" s="59">
        <f>$N$3*_xlfn.XLOOKUP(DI$1,'Input Assumptions'!$C$34:$L$34,'Input Assumptions'!$C$36:$L$36)</f>
        <v>2121.8658203125005</v>
      </c>
      <c r="DJ18" s="59">
        <f>$N$3*_xlfn.XLOOKUP(DJ$1,'Input Assumptions'!$C$34:$L$34,'Input Assumptions'!$C$36:$L$36)</f>
        <v>2121.8658203125005</v>
      </c>
      <c r="DK18" s="59">
        <f>$N$3*_xlfn.XLOOKUP(DK$1,'Input Assumptions'!$C$34:$L$34,'Input Assumptions'!$C$36:$L$36)</f>
        <v>2121.8658203125005</v>
      </c>
      <c r="DL18" s="59">
        <f>$N$3*_xlfn.XLOOKUP(DL$1,'Input Assumptions'!$C$34:$L$34,'Input Assumptions'!$C$36:$L$36)</f>
        <v>2121.8658203125005</v>
      </c>
      <c r="DM18" s="59">
        <f>$N$3*_xlfn.XLOOKUP(DM$1,'Input Assumptions'!$C$34:$L$34,'Input Assumptions'!$C$36:$L$36)</f>
        <v>2121.8658203125005</v>
      </c>
      <c r="DN18" s="59">
        <f>$N$3*_xlfn.XLOOKUP(DN$1,'Input Assumptions'!$C$34:$L$34,'Input Assumptions'!$C$36:$L$36)</f>
        <v>2121.8658203125005</v>
      </c>
      <c r="DO18" s="59">
        <f>$N$3*_xlfn.XLOOKUP(DO$1,'Input Assumptions'!$C$34:$L$34,'Input Assumptions'!$C$36:$L$36)</f>
        <v>2121.8658203125005</v>
      </c>
      <c r="DP18" s="59">
        <f>$N$3*_xlfn.XLOOKUP(DP$1,'Input Assumptions'!$C$34:$L$34,'Input Assumptions'!$C$36:$L$36)</f>
        <v>2121.8658203125005</v>
      </c>
      <c r="DQ18" s="59">
        <f>$N$3*_xlfn.XLOOKUP(DQ$1,'Input Assumptions'!$C$34:$L$34,'Input Assumptions'!$C$36:$L$36)</f>
        <v>2121.8658203125005</v>
      </c>
      <c r="DR18" s="59">
        <f>$N$3*_xlfn.XLOOKUP(DR$1,'Input Assumptions'!$C$34:$L$34,'Input Assumptions'!$C$36:$L$36)</f>
        <v>2121.8658203125005</v>
      </c>
      <c r="DS18" s="59">
        <f>$N$3*_xlfn.XLOOKUP(DS$1,'Input Assumptions'!$C$34:$L$34,'Input Assumptions'!$C$36:$L$36)</f>
        <v>2201.4357885742193</v>
      </c>
      <c r="DT18" s="59">
        <f>$N$3*_xlfn.XLOOKUP(DT$1,'Input Assumptions'!$C$34:$L$34,'Input Assumptions'!$C$36:$L$36)</f>
        <v>2201.4357885742193</v>
      </c>
      <c r="DU18" s="59">
        <f>$N$3*_xlfn.XLOOKUP(DU$1,'Input Assumptions'!$C$34:$L$34,'Input Assumptions'!$C$36:$L$36)</f>
        <v>2201.4357885742193</v>
      </c>
      <c r="DV18" s="59">
        <f>$N$3*_xlfn.XLOOKUP(DV$1,'Input Assumptions'!$C$34:$L$34,'Input Assumptions'!$C$36:$L$36)</f>
        <v>2201.4357885742193</v>
      </c>
      <c r="DW18" s="59">
        <f>$N$3*_xlfn.XLOOKUP(DW$1,'Input Assumptions'!$C$34:$L$34,'Input Assumptions'!$C$36:$L$36)</f>
        <v>2201.4357885742193</v>
      </c>
      <c r="DX18" s="59">
        <f>$N$3*_xlfn.XLOOKUP(DX$1,'Input Assumptions'!$C$34:$L$34,'Input Assumptions'!$C$36:$L$36)</f>
        <v>2201.4357885742193</v>
      </c>
      <c r="DY18" s="59">
        <f>$N$3*_xlfn.XLOOKUP(DY$1,'Input Assumptions'!$C$34:$L$34,'Input Assumptions'!$C$36:$L$36)</f>
        <v>2201.4357885742193</v>
      </c>
      <c r="DZ18" s="59">
        <f>$N$3*_xlfn.XLOOKUP(DZ$1,'Input Assumptions'!$C$34:$L$34,'Input Assumptions'!$C$36:$L$36)</f>
        <v>2201.4357885742193</v>
      </c>
      <c r="EA18" s="59">
        <f>$N$3*_xlfn.XLOOKUP(EA$1,'Input Assumptions'!$C$34:$L$34,'Input Assumptions'!$C$36:$L$36)</f>
        <v>2201.4357885742193</v>
      </c>
      <c r="EB18" s="59">
        <f>$N$3*_xlfn.XLOOKUP(EB$1,'Input Assumptions'!$C$34:$L$34,'Input Assumptions'!$C$36:$L$36)</f>
        <v>2201.4357885742193</v>
      </c>
      <c r="EC18" s="59">
        <f>$N$3*_xlfn.XLOOKUP(EC$1,'Input Assumptions'!$C$34:$L$34,'Input Assumptions'!$C$36:$L$36)</f>
        <v>2201.4357885742193</v>
      </c>
    </row>
    <row r="19" spans="2:133" x14ac:dyDescent="0.3">
      <c r="B19" s="15">
        <v>2</v>
      </c>
      <c r="C19" s="16">
        <v>17</v>
      </c>
      <c r="D19" s="16" t="s">
        <v>10</v>
      </c>
      <c r="E19" s="16">
        <v>450</v>
      </c>
      <c r="F19" s="20">
        <f t="shared" si="108"/>
        <v>41.80640845790095</v>
      </c>
      <c r="G19" s="19" t="str">
        <f t="shared" si="109"/>
        <v>1</v>
      </c>
      <c r="H19" s="20">
        <f t="shared" si="112"/>
        <v>1</v>
      </c>
      <c r="I19" s="18">
        <f t="shared" si="110"/>
        <v>1710</v>
      </c>
      <c r="J19" s="18">
        <f t="shared" si="111"/>
        <v>1900</v>
      </c>
      <c r="K19" s="18">
        <f>(J19*'Input Assumptions'!$C$20)+I19*('Input Assumptions'!$C$21)</f>
        <v>1900</v>
      </c>
      <c r="L19" s="94"/>
      <c r="N19" s="59">
        <f t="shared" si="113"/>
        <v>1900</v>
      </c>
      <c r="O19" s="59">
        <f>$N$3*_xlfn.XLOOKUP(O$1,'Input Assumptions'!$C$34:$L$34,'Input Assumptions'!$C$36:$L$36)</f>
        <v>1900</v>
      </c>
      <c r="P19" s="59">
        <f>$N$3*_xlfn.XLOOKUP(P$1,'Input Assumptions'!$C$34:$L$34,'Input Assumptions'!$C$36:$L$36)</f>
        <v>1900</v>
      </c>
      <c r="Q19" s="59">
        <f>$N$3*_xlfn.XLOOKUP(Q$1,'Input Assumptions'!$C$34:$L$34,'Input Assumptions'!$C$36:$L$36)</f>
        <v>1900</v>
      </c>
      <c r="R19" s="59">
        <f>$N$3*_xlfn.XLOOKUP(R$1,'Input Assumptions'!$C$34:$L$34,'Input Assumptions'!$C$36:$L$36)</f>
        <v>1900</v>
      </c>
      <c r="S19" s="59">
        <f>$N$3*_xlfn.XLOOKUP(S$1,'Input Assumptions'!$C$34:$L$34,'Input Assumptions'!$C$36:$L$36)</f>
        <v>1900</v>
      </c>
      <c r="T19" s="59">
        <f>$N$3*_xlfn.XLOOKUP(T$1,'Input Assumptions'!$C$34:$L$34,'Input Assumptions'!$C$36:$L$36)</f>
        <v>1900</v>
      </c>
      <c r="U19" s="59">
        <f>$N$3*_xlfn.XLOOKUP(U$1,'Input Assumptions'!$C$34:$L$34,'Input Assumptions'!$C$36:$L$36)</f>
        <v>1900</v>
      </c>
      <c r="V19" s="59">
        <f>$N$3*_xlfn.XLOOKUP(V$1,'Input Assumptions'!$C$34:$L$34,'Input Assumptions'!$C$36:$L$36)</f>
        <v>1900</v>
      </c>
      <c r="W19" s="59">
        <f>$N$3*_xlfn.XLOOKUP(W$1,'Input Assumptions'!$C$34:$L$34,'Input Assumptions'!$C$36:$L$36)</f>
        <v>1900</v>
      </c>
      <c r="X19" s="59">
        <f>$N$3*_xlfn.XLOOKUP(X$1,'Input Assumptions'!$C$34:$L$34,'Input Assumptions'!$C$36:$L$36)</f>
        <v>1900</v>
      </c>
      <c r="Y19" s="59">
        <f>$N$3*_xlfn.XLOOKUP(Y$1,'Input Assumptions'!$C$34:$L$34,'Input Assumptions'!$C$36:$L$36)</f>
        <v>1900</v>
      </c>
      <c r="Z19" s="59">
        <f>$N$3*_xlfn.XLOOKUP(Z$1,'Input Assumptions'!$C$34:$L$34,'Input Assumptions'!$C$36:$L$36)</f>
        <v>1971.2500000000002</v>
      </c>
      <c r="AA19" s="59">
        <f>$N$3*_xlfn.XLOOKUP(AA$1,'Input Assumptions'!$C$34:$L$34,'Input Assumptions'!$C$36:$L$36)</f>
        <v>1971.2500000000002</v>
      </c>
      <c r="AB19" s="59">
        <f>$N$3*_xlfn.XLOOKUP(AB$1,'Input Assumptions'!$C$34:$L$34,'Input Assumptions'!$C$36:$L$36)</f>
        <v>1971.2500000000002</v>
      </c>
      <c r="AC19" s="59">
        <f>$N$3*_xlfn.XLOOKUP(AC$1,'Input Assumptions'!$C$34:$L$34,'Input Assumptions'!$C$36:$L$36)</f>
        <v>1971.2500000000002</v>
      </c>
      <c r="AD19" s="59">
        <f>$N$3*_xlfn.XLOOKUP(AD$1,'Input Assumptions'!$C$34:$L$34,'Input Assumptions'!$C$36:$L$36)</f>
        <v>1971.2500000000002</v>
      </c>
      <c r="AE19" s="59">
        <f>$N$3*_xlfn.XLOOKUP(AE$1,'Input Assumptions'!$C$34:$L$34,'Input Assumptions'!$C$36:$L$36)</f>
        <v>1971.2500000000002</v>
      </c>
      <c r="AF19" s="59">
        <f>$N$3*_xlfn.XLOOKUP(AF$1,'Input Assumptions'!$C$34:$L$34,'Input Assumptions'!$C$36:$L$36)</f>
        <v>1971.2500000000002</v>
      </c>
      <c r="AG19" s="59">
        <f>$N$3*_xlfn.XLOOKUP(AG$1,'Input Assumptions'!$C$34:$L$34,'Input Assumptions'!$C$36:$L$36)</f>
        <v>1971.2500000000002</v>
      </c>
      <c r="AH19" s="59">
        <f>$N$3*_xlfn.XLOOKUP(AH$1,'Input Assumptions'!$C$34:$L$34,'Input Assumptions'!$C$36:$L$36)</f>
        <v>1971.2500000000002</v>
      </c>
      <c r="AI19" s="59">
        <f>$N$3*_xlfn.XLOOKUP(AI$1,'Input Assumptions'!$C$34:$L$34,'Input Assumptions'!$C$36:$L$36)</f>
        <v>1971.2500000000002</v>
      </c>
      <c r="AJ19" s="59">
        <f>$N$3*_xlfn.XLOOKUP(AJ$1,'Input Assumptions'!$C$34:$L$34,'Input Assumptions'!$C$36:$L$36)</f>
        <v>1971.2500000000002</v>
      </c>
      <c r="AK19" s="59">
        <f>$N$3*_xlfn.XLOOKUP(AK$1,'Input Assumptions'!$C$34:$L$34,'Input Assumptions'!$C$36:$L$36)</f>
        <v>1971.2500000000002</v>
      </c>
      <c r="AL19" s="59">
        <f>$N$3*_xlfn.XLOOKUP(AL$1,'Input Assumptions'!$C$34:$L$34,'Input Assumptions'!$C$36:$L$36)</f>
        <v>2045.1718750000005</v>
      </c>
      <c r="AM19" s="59">
        <f>$N$3*_xlfn.XLOOKUP(AM$1,'Input Assumptions'!$C$34:$L$34,'Input Assumptions'!$C$36:$L$36)</f>
        <v>2045.1718750000005</v>
      </c>
      <c r="AN19" s="59">
        <f>$N$3*_xlfn.XLOOKUP(AN$1,'Input Assumptions'!$C$34:$L$34,'Input Assumptions'!$C$36:$L$36)</f>
        <v>2045.1718750000005</v>
      </c>
      <c r="AO19" s="59">
        <f>$N$3*_xlfn.XLOOKUP(AO$1,'Input Assumptions'!$C$34:$L$34,'Input Assumptions'!$C$36:$L$36)</f>
        <v>2045.1718750000005</v>
      </c>
      <c r="AP19" s="59">
        <f>$N$3*_xlfn.XLOOKUP(AP$1,'Input Assumptions'!$C$34:$L$34,'Input Assumptions'!$C$36:$L$36)</f>
        <v>2045.1718750000005</v>
      </c>
      <c r="AQ19" s="59">
        <f>$N$3*_xlfn.XLOOKUP(AQ$1,'Input Assumptions'!$C$34:$L$34,'Input Assumptions'!$C$36:$L$36)</f>
        <v>2045.1718750000005</v>
      </c>
      <c r="AR19" s="59">
        <f>$N$3*_xlfn.XLOOKUP(AR$1,'Input Assumptions'!$C$34:$L$34,'Input Assumptions'!$C$36:$L$36)</f>
        <v>2045.1718750000005</v>
      </c>
      <c r="AS19" s="59">
        <f>$N$3*_xlfn.XLOOKUP(AS$1,'Input Assumptions'!$C$34:$L$34,'Input Assumptions'!$C$36:$L$36)</f>
        <v>2045.1718750000005</v>
      </c>
      <c r="AT19" s="59">
        <f>$N$3*_xlfn.XLOOKUP(AT$1,'Input Assumptions'!$C$34:$L$34,'Input Assumptions'!$C$36:$L$36)</f>
        <v>2045.1718750000005</v>
      </c>
      <c r="AU19" s="59">
        <f>$N$3*_xlfn.XLOOKUP(AU$1,'Input Assumptions'!$C$34:$L$34,'Input Assumptions'!$C$36:$L$36)</f>
        <v>2045.1718750000005</v>
      </c>
      <c r="AV19" s="59">
        <f>$N$3*_xlfn.XLOOKUP(AV$1,'Input Assumptions'!$C$34:$L$34,'Input Assumptions'!$C$36:$L$36)</f>
        <v>2045.1718750000005</v>
      </c>
      <c r="AW19" s="59">
        <f>$N$3*_xlfn.XLOOKUP(AW$1,'Input Assumptions'!$C$34:$L$34,'Input Assumptions'!$C$36:$L$36)</f>
        <v>2045.1718750000005</v>
      </c>
      <c r="AX19" s="59">
        <f>$N$3*_xlfn.XLOOKUP(AX$1,'Input Assumptions'!$C$34:$L$34,'Input Assumptions'!$C$36:$L$36)</f>
        <v>2121.8658203125005</v>
      </c>
      <c r="AY19" s="59">
        <f>$N$3*_xlfn.XLOOKUP(AY$1,'Input Assumptions'!$C$34:$L$34,'Input Assumptions'!$C$36:$L$36)</f>
        <v>2121.8658203125005</v>
      </c>
      <c r="AZ19" s="59">
        <f>$N$3*_xlfn.XLOOKUP(AZ$1,'Input Assumptions'!$C$34:$L$34,'Input Assumptions'!$C$36:$L$36)</f>
        <v>2121.8658203125005</v>
      </c>
      <c r="BA19" s="59">
        <f>$N$3*_xlfn.XLOOKUP(BA$1,'Input Assumptions'!$C$34:$L$34,'Input Assumptions'!$C$36:$L$36)</f>
        <v>2121.8658203125005</v>
      </c>
      <c r="BB19" s="59">
        <f>$N$3*_xlfn.XLOOKUP(BB$1,'Input Assumptions'!$C$34:$L$34,'Input Assumptions'!$C$36:$L$36)</f>
        <v>2121.8658203125005</v>
      </c>
      <c r="BC19" s="59">
        <f>$N$3*_xlfn.XLOOKUP(BC$1,'Input Assumptions'!$C$34:$L$34,'Input Assumptions'!$C$36:$L$36)</f>
        <v>2121.8658203125005</v>
      </c>
      <c r="BD19" s="59">
        <f>$N$3*_xlfn.XLOOKUP(BD$1,'Input Assumptions'!$C$34:$L$34,'Input Assumptions'!$C$36:$L$36)</f>
        <v>2121.8658203125005</v>
      </c>
      <c r="BE19" s="59">
        <f>$N$3*_xlfn.XLOOKUP(BE$1,'Input Assumptions'!$C$34:$L$34,'Input Assumptions'!$C$36:$L$36)</f>
        <v>2121.8658203125005</v>
      </c>
      <c r="BF19" s="59">
        <f>$N$3*_xlfn.XLOOKUP(BF$1,'Input Assumptions'!$C$34:$L$34,'Input Assumptions'!$C$36:$L$36)</f>
        <v>2121.8658203125005</v>
      </c>
      <c r="BG19" s="59">
        <f>$N$3*_xlfn.XLOOKUP(BG$1,'Input Assumptions'!$C$34:$L$34,'Input Assumptions'!$C$36:$L$36)</f>
        <v>2121.8658203125005</v>
      </c>
      <c r="BH19" s="59">
        <f>$N$3*_xlfn.XLOOKUP(BH$1,'Input Assumptions'!$C$34:$L$34,'Input Assumptions'!$C$36:$L$36)</f>
        <v>2121.8658203125005</v>
      </c>
      <c r="BI19" s="59">
        <f>$N$3*_xlfn.XLOOKUP(BI$1,'Input Assumptions'!$C$34:$L$34,'Input Assumptions'!$C$36:$L$36)</f>
        <v>2121.8658203125005</v>
      </c>
      <c r="BJ19" s="59">
        <f>$N$3*_xlfn.XLOOKUP(BJ$1,'Input Assumptions'!$C$34:$L$34,'Input Assumptions'!$C$36:$L$36)</f>
        <v>2201.4357885742193</v>
      </c>
      <c r="BK19" s="59">
        <f>$N$3*_xlfn.XLOOKUP(BK$1,'Input Assumptions'!$C$34:$L$34,'Input Assumptions'!$C$36:$L$36)</f>
        <v>2201.4357885742193</v>
      </c>
      <c r="BL19" s="59">
        <f>$N$3*_xlfn.XLOOKUP(BL$1,'Input Assumptions'!$C$34:$L$34,'Input Assumptions'!$C$36:$L$36)</f>
        <v>2201.4357885742193</v>
      </c>
      <c r="BM19" s="59">
        <f>$N$3*_xlfn.XLOOKUP(BM$1,'Input Assumptions'!$C$34:$L$34,'Input Assumptions'!$C$36:$L$36)</f>
        <v>2201.4357885742193</v>
      </c>
      <c r="BN19" s="59">
        <f>$N$3*_xlfn.XLOOKUP(BN$1,'Input Assumptions'!$C$34:$L$34,'Input Assumptions'!$C$36:$L$36)</f>
        <v>2201.4357885742193</v>
      </c>
      <c r="BO19" s="59">
        <f>$N$3*_xlfn.XLOOKUP(BO$1,'Input Assumptions'!$C$34:$L$34,'Input Assumptions'!$C$36:$L$36)</f>
        <v>2201.4357885742193</v>
      </c>
      <c r="BP19" s="59">
        <f>$N$3*_xlfn.XLOOKUP(BP$1,'Input Assumptions'!$C$34:$L$34,'Input Assumptions'!$C$36:$L$36)</f>
        <v>2201.4357885742193</v>
      </c>
      <c r="BQ19" s="59">
        <f>$N$3*_xlfn.XLOOKUP(BQ$1,'Input Assumptions'!$C$34:$L$34,'Input Assumptions'!$C$36:$L$36)</f>
        <v>2201.4357885742193</v>
      </c>
      <c r="BR19" s="59">
        <f>$N$3*_xlfn.XLOOKUP(BR$1,'Input Assumptions'!$C$34:$L$34,'Input Assumptions'!$C$36:$L$36)</f>
        <v>2201.4357885742193</v>
      </c>
      <c r="BS19" s="59">
        <f>$N$3*_xlfn.XLOOKUP(BS$1,'Input Assumptions'!$C$34:$L$34,'Input Assumptions'!$C$36:$L$36)</f>
        <v>2201.4357885742193</v>
      </c>
      <c r="BT19" s="59">
        <f>$N$3*_xlfn.XLOOKUP(BT$1,'Input Assumptions'!$C$34:$L$34,'Input Assumptions'!$C$36:$L$36)</f>
        <v>2201.4357885742193</v>
      </c>
      <c r="BU19" s="59">
        <f>$N$3*_xlfn.XLOOKUP(BU$1,'Input Assumptions'!$C$34:$L$34,'Input Assumptions'!$C$36:$L$36)</f>
        <v>2201.4357885742193</v>
      </c>
      <c r="BV19" s="59">
        <f>$N$3*_xlfn.XLOOKUP(BV$1,'Input Assumptions'!$C$34:$L$34,'Input Assumptions'!$C$36:$L$36)</f>
        <v>2283.9896306457531</v>
      </c>
      <c r="BW19" s="59">
        <f>$N$3*_xlfn.XLOOKUP(BW$1,'Input Assumptions'!$C$34:$L$34,'Input Assumptions'!$C$36:$L$36)</f>
        <v>1900</v>
      </c>
      <c r="BX19" s="59">
        <f>$N$3*_xlfn.XLOOKUP(BX$1,'Input Assumptions'!$C$34:$L$34,'Input Assumptions'!$C$36:$L$36)</f>
        <v>1900</v>
      </c>
      <c r="BY19" s="59">
        <f>$N$3*_xlfn.XLOOKUP(BY$1,'Input Assumptions'!$C$34:$L$34,'Input Assumptions'!$C$36:$L$36)</f>
        <v>1900</v>
      </c>
      <c r="BZ19" s="59">
        <f>$N$3*_xlfn.XLOOKUP(BZ$1,'Input Assumptions'!$C$34:$L$34,'Input Assumptions'!$C$36:$L$36)</f>
        <v>1900</v>
      </c>
      <c r="CA19" s="59">
        <f>$N$3*_xlfn.XLOOKUP(CA$1,'Input Assumptions'!$C$34:$L$34,'Input Assumptions'!$C$36:$L$36)</f>
        <v>1900</v>
      </c>
      <c r="CB19" s="59">
        <f>$N$3*_xlfn.XLOOKUP(CB$1,'Input Assumptions'!$C$34:$L$34,'Input Assumptions'!$C$36:$L$36)</f>
        <v>1900</v>
      </c>
      <c r="CC19" s="59">
        <f>$N$3*_xlfn.XLOOKUP(CC$1,'Input Assumptions'!$C$34:$L$34,'Input Assumptions'!$C$36:$L$36)</f>
        <v>1900</v>
      </c>
      <c r="CD19" s="59">
        <f>$N$3*_xlfn.XLOOKUP(CD$1,'Input Assumptions'!$C$34:$L$34,'Input Assumptions'!$C$36:$L$36)</f>
        <v>1900</v>
      </c>
      <c r="CE19" s="59">
        <f>$N$3*_xlfn.XLOOKUP(CE$1,'Input Assumptions'!$C$34:$L$34,'Input Assumptions'!$C$36:$L$36)</f>
        <v>1900</v>
      </c>
      <c r="CF19" s="59">
        <f>$N$3*_xlfn.XLOOKUP(CF$1,'Input Assumptions'!$C$34:$L$34,'Input Assumptions'!$C$36:$L$36)</f>
        <v>1900</v>
      </c>
      <c r="CG19" s="59">
        <f>$N$3*_xlfn.XLOOKUP(CG$1,'Input Assumptions'!$C$34:$L$34,'Input Assumptions'!$C$36:$L$36)</f>
        <v>1900</v>
      </c>
      <c r="CH19" s="59">
        <f>$N$3*_xlfn.XLOOKUP(CH$1,'Input Assumptions'!$C$34:$L$34,'Input Assumptions'!$C$36:$L$36)</f>
        <v>1900</v>
      </c>
      <c r="CI19" s="59">
        <f>$N$3*_xlfn.XLOOKUP(CI$1,'Input Assumptions'!$C$34:$L$34,'Input Assumptions'!$C$36:$L$36)</f>
        <v>1971.2500000000002</v>
      </c>
      <c r="CJ19" s="59">
        <f>$N$3*_xlfn.XLOOKUP(CJ$1,'Input Assumptions'!$C$34:$L$34,'Input Assumptions'!$C$36:$L$36)</f>
        <v>1971.2500000000002</v>
      </c>
      <c r="CK19" s="59">
        <f>$N$3*_xlfn.XLOOKUP(CK$1,'Input Assumptions'!$C$34:$L$34,'Input Assumptions'!$C$36:$L$36)</f>
        <v>1971.2500000000002</v>
      </c>
      <c r="CL19" s="59">
        <f>$N$3*_xlfn.XLOOKUP(CL$1,'Input Assumptions'!$C$34:$L$34,'Input Assumptions'!$C$36:$L$36)</f>
        <v>1971.2500000000002</v>
      </c>
      <c r="CM19" s="59">
        <f>$N$3*_xlfn.XLOOKUP(CM$1,'Input Assumptions'!$C$34:$L$34,'Input Assumptions'!$C$36:$L$36)</f>
        <v>1971.2500000000002</v>
      </c>
      <c r="CN19" s="59">
        <f>$N$3*_xlfn.XLOOKUP(CN$1,'Input Assumptions'!$C$34:$L$34,'Input Assumptions'!$C$36:$L$36)</f>
        <v>1971.2500000000002</v>
      </c>
      <c r="CO19" s="59">
        <f>$N$3*_xlfn.XLOOKUP(CO$1,'Input Assumptions'!$C$34:$L$34,'Input Assumptions'!$C$36:$L$36)</f>
        <v>1971.2500000000002</v>
      </c>
      <c r="CP19" s="59">
        <f>$N$3*_xlfn.XLOOKUP(CP$1,'Input Assumptions'!$C$34:$L$34,'Input Assumptions'!$C$36:$L$36)</f>
        <v>1971.2500000000002</v>
      </c>
      <c r="CQ19" s="59">
        <f>$N$3*_xlfn.XLOOKUP(CQ$1,'Input Assumptions'!$C$34:$L$34,'Input Assumptions'!$C$36:$L$36)</f>
        <v>1971.2500000000002</v>
      </c>
      <c r="CR19" s="59">
        <f>$N$3*_xlfn.XLOOKUP(CR$1,'Input Assumptions'!$C$34:$L$34,'Input Assumptions'!$C$36:$L$36)</f>
        <v>1971.2500000000002</v>
      </c>
      <c r="CS19" s="59">
        <f>$N$3*_xlfn.XLOOKUP(CS$1,'Input Assumptions'!$C$34:$L$34,'Input Assumptions'!$C$36:$L$36)</f>
        <v>1971.2500000000002</v>
      </c>
      <c r="CT19" s="59">
        <f>$N$3*_xlfn.XLOOKUP(CT$1,'Input Assumptions'!$C$34:$L$34,'Input Assumptions'!$C$36:$L$36)</f>
        <v>1971.2500000000002</v>
      </c>
      <c r="CU19" s="59">
        <f>$N$3*_xlfn.XLOOKUP(CU$1,'Input Assumptions'!$C$34:$L$34,'Input Assumptions'!$C$36:$L$36)</f>
        <v>2045.1718750000005</v>
      </c>
      <c r="CV19" s="59">
        <f>$N$3*_xlfn.XLOOKUP(CV$1,'Input Assumptions'!$C$34:$L$34,'Input Assumptions'!$C$36:$L$36)</f>
        <v>2045.1718750000005</v>
      </c>
      <c r="CW19" s="59">
        <f>$N$3*_xlfn.XLOOKUP(CW$1,'Input Assumptions'!$C$34:$L$34,'Input Assumptions'!$C$36:$L$36)</f>
        <v>2045.1718750000005</v>
      </c>
      <c r="CX19" s="59">
        <f>$N$3*_xlfn.XLOOKUP(CX$1,'Input Assumptions'!$C$34:$L$34,'Input Assumptions'!$C$36:$L$36)</f>
        <v>2045.1718750000005</v>
      </c>
      <c r="CY19" s="59">
        <f>$N$3*_xlfn.XLOOKUP(CY$1,'Input Assumptions'!$C$34:$L$34,'Input Assumptions'!$C$36:$L$36)</f>
        <v>2045.1718750000005</v>
      </c>
      <c r="CZ19" s="59">
        <f>$N$3*_xlfn.XLOOKUP(CZ$1,'Input Assumptions'!$C$34:$L$34,'Input Assumptions'!$C$36:$L$36)</f>
        <v>2045.1718750000005</v>
      </c>
      <c r="DA19" s="59">
        <f>$N$3*_xlfn.XLOOKUP(DA$1,'Input Assumptions'!$C$34:$L$34,'Input Assumptions'!$C$36:$L$36)</f>
        <v>2045.1718750000005</v>
      </c>
      <c r="DB19" s="59">
        <f>$N$3*_xlfn.XLOOKUP(DB$1,'Input Assumptions'!$C$34:$L$34,'Input Assumptions'!$C$36:$L$36)</f>
        <v>2045.1718750000005</v>
      </c>
      <c r="DC19" s="59">
        <f>$N$3*_xlfn.XLOOKUP(DC$1,'Input Assumptions'!$C$34:$L$34,'Input Assumptions'!$C$36:$L$36)</f>
        <v>2045.1718750000005</v>
      </c>
      <c r="DD19" s="59">
        <f>$N$3*_xlfn.XLOOKUP(DD$1,'Input Assumptions'!$C$34:$L$34,'Input Assumptions'!$C$36:$L$36)</f>
        <v>2045.1718750000005</v>
      </c>
      <c r="DE19" s="59">
        <f>$N$3*_xlfn.XLOOKUP(DE$1,'Input Assumptions'!$C$34:$L$34,'Input Assumptions'!$C$36:$L$36)</f>
        <v>2045.1718750000005</v>
      </c>
      <c r="DF19" s="59">
        <f>$N$3*_xlfn.XLOOKUP(DF$1,'Input Assumptions'!$C$34:$L$34,'Input Assumptions'!$C$36:$L$36)</f>
        <v>2045.1718750000005</v>
      </c>
      <c r="DG19" s="59">
        <f>$N$3*_xlfn.XLOOKUP(DG$1,'Input Assumptions'!$C$34:$L$34,'Input Assumptions'!$C$36:$L$36)</f>
        <v>2121.8658203125005</v>
      </c>
      <c r="DH19" s="59">
        <f>$N$3*_xlfn.XLOOKUP(DH$1,'Input Assumptions'!$C$34:$L$34,'Input Assumptions'!$C$36:$L$36)</f>
        <v>2121.8658203125005</v>
      </c>
      <c r="DI19" s="59">
        <f>$N$3*_xlfn.XLOOKUP(DI$1,'Input Assumptions'!$C$34:$L$34,'Input Assumptions'!$C$36:$L$36)</f>
        <v>2121.8658203125005</v>
      </c>
      <c r="DJ19" s="59">
        <f>$N$3*_xlfn.XLOOKUP(DJ$1,'Input Assumptions'!$C$34:$L$34,'Input Assumptions'!$C$36:$L$36)</f>
        <v>2121.8658203125005</v>
      </c>
      <c r="DK19" s="59">
        <f>$N$3*_xlfn.XLOOKUP(DK$1,'Input Assumptions'!$C$34:$L$34,'Input Assumptions'!$C$36:$L$36)</f>
        <v>2121.8658203125005</v>
      </c>
      <c r="DL19" s="59">
        <f>$N$3*_xlfn.XLOOKUP(DL$1,'Input Assumptions'!$C$34:$L$34,'Input Assumptions'!$C$36:$L$36)</f>
        <v>2121.8658203125005</v>
      </c>
      <c r="DM19" s="59">
        <f>$N$3*_xlfn.XLOOKUP(DM$1,'Input Assumptions'!$C$34:$L$34,'Input Assumptions'!$C$36:$L$36)</f>
        <v>2121.8658203125005</v>
      </c>
      <c r="DN19" s="59">
        <f>$N$3*_xlfn.XLOOKUP(DN$1,'Input Assumptions'!$C$34:$L$34,'Input Assumptions'!$C$36:$L$36)</f>
        <v>2121.8658203125005</v>
      </c>
      <c r="DO19" s="59">
        <f>$N$3*_xlfn.XLOOKUP(DO$1,'Input Assumptions'!$C$34:$L$34,'Input Assumptions'!$C$36:$L$36)</f>
        <v>2121.8658203125005</v>
      </c>
      <c r="DP19" s="59">
        <f>$N$3*_xlfn.XLOOKUP(DP$1,'Input Assumptions'!$C$34:$L$34,'Input Assumptions'!$C$36:$L$36)</f>
        <v>2121.8658203125005</v>
      </c>
      <c r="DQ19" s="59">
        <f>$N$3*_xlfn.XLOOKUP(DQ$1,'Input Assumptions'!$C$34:$L$34,'Input Assumptions'!$C$36:$L$36)</f>
        <v>2121.8658203125005</v>
      </c>
      <c r="DR19" s="59">
        <f>$N$3*_xlfn.XLOOKUP(DR$1,'Input Assumptions'!$C$34:$L$34,'Input Assumptions'!$C$36:$L$36)</f>
        <v>2121.8658203125005</v>
      </c>
      <c r="DS19" s="59">
        <f>$N$3*_xlfn.XLOOKUP(DS$1,'Input Assumptions'!$C$34:$L$34,'Input Assumptions'!$C$36:$L$36)</f>
        <v>2201.4357885742193</v>
      </c>
      <c r="DT19" s="59">
        <f>$N$3*_xlfn.XLOOKUP(DT$1,'Input Assumptions'!$C$34:$L$34,'Input Assumptions'!$C$36:$L$36)</f>
        <v>2201.4357885742193</v>
      </c>
      <c r="DU19" s="59">
        <f>$N$3*_xlfn.XLOOKUP(DU$1,'Input Assumptions'!$C$34:$L$34,'Input Assumptions'!$C$36:$L$36)</f>
        <v>2201.4357885742193</v>
      </c>
      <c r="DV19" s="59">
        <f>$N$3*_xlfn.XLOOKUP(DV$1,'Input Assumptions'!$C$34:$L$34,'Input Assumptions'!$C$36:$L$36)</f>
        <v>2201.4357885742193</v>
      </c>
      <c r="DW19" s="59">
        <f>$N$3*_xlfn.XLOOKUP(DW$1,'Input Assumptions'!$C$34:$L$34,'Input Assumptions'!$C$36:$L$36)</f>
        <v>2201.4357885742193</v>
      </c>
      <c r="DX19" s="59">
        <f>$N$3*_xlfn.XLOOKUP(DX$1,'Input Assumptions'!$C$34:$L$34,'Input Assumptions'!$C$36:$L$36)</f>
        <v>2201.4357885742193</v>
      </c>
      <c r="DY19" s="59">
        <f>$N$3*_xlfn.XLOOKUP(DY$1,'Input Assumptions'!$C$34:$L$34,'Input Assumptions'!$C$36:$L$36)</f>
        <v>2201.4357885742193</v>
      </c>
      <c r="DZ19" s="59">
        <f>$N$3*_xlfn.XLOOKUP(DZ$1,'Input Assumptions'!$C$34:$L$34,'Input Assumptions'!$C$36:$L$36)</f>
        <v>2201.4357885742193</v>
      </c>
      <c r="EA19" s="59">
        <f>$N$3*_xlfn.XLOOKUP(EA$1,'Input Assumptions'!$C$34:$L$34,'Input Assumptions'!$C$36:$L$36)</f>
        <v>2201.4357885742193</v>
      </c>
      <c r="EB19" s="59">
        <f>$N$3*_xlfn.XLOOKUP(EB$1,'Input Assumptions'!$C$34:$L$34,'Input Assumptions'!$C$36:$L$36)</f>
        <v>2201.4357885742193</v>
      </c>
      <c r="EC19" s="59">
        <f>$N$3*_xlfn.XLOOKUP(EC$1,'Input Assumptions'!$C$34:$L$34,'Input Assumptions'!$C$36:$L$36)</f>
        <v>2201.4357885742193</v>
      </c>
    </row>
    <row r="20" spans="2:133" x14ac:dyDescent="0.3">
      <c r="B20" s="15">
        <v>2</v>
      </c>
      <c r="C20" s="16">
        <v>18</v>
      </c>
      <c r="D20" s="16" t="s">
        <v>10</v>
      </c>
      <c r="E20" s="16">
        <v>450</v>
      </c>
      <c r="F20" s="20">
        <f t="shared" si="108"/>
        <v>41.80640845790095</v>
      </c>
      <c r="G20" s="19" t="str">
        <f t="shared" si="109"/>
        <v>1</v>
      </c>
      <c r="H20" s="20">
        <f t="shared" si="112"/>
        <v>1</v>
      </c>
      <c r="I20" s="18">
        <f t="shared" si="110"/>
        <v>1710</v>
      </c>
      <c r="J20" s="18">
        <f t="shared" si="111"/>
        <v>1900</v>
      </c>
      <c r="K20" s="18">
        <f>(J20*'Input Assumptions'!$C$20)+I20*('Input Assumptions'!$C$21)</f>
        <v>1900</v>
      </c>
      <c r="L20" s="94"/>
      <c r="N20" s="59">
        <f t="shared" si="113"/>
        <v>1900</v>
      </c>
      <c r="O20" s="59">
        <f>$N$3*_xlfn.XLOOKUP(O$1,'Input Assumptions'!$C$34:$L$34,'Input Assumptions'!$C$36:$L$36)</f>
        <v>1900</v>
      </c>
      <c r="P20" s="59">
        <f>$N$3*_xlfn.XLOOKUP(P$1,'Input Assumptions'!$C$34:$L$34,'Input Assumptions'!$C$36:$L$36)</f>
        <v>1900</v>
      </c>
      <c r="Q20" s="59">
        <f>$N$3*_xlfn.XLOOKUP(Q$1,'Input Assumptions'!$C$34:$L$34,'Input Assumptions'!$C$36:$L$36)</f>
        <v>1900</v>
      </c>
      <c r="R20" s="59">
        <f>$N$3*_xlfn.XLOOKUP(R$1,'Input Assumptions'!$C$34:$L$34,'Input Assumptions'!$C$36:$L$36)</f>
        <v>1900</v>
      </c>
      <c r="S20" s="59">
        <f>$N$3*_xlfn.XLOOKUP(S$1,'Input Assumptions'!$C$34:$L$34,'Input Assumptions'!$C$36:$L$36)</f>
        <v>1900</v>
      </c>
      <c r="T20" s="59">
        <f>$N$3*_xlfn.XLOOKUP(T$1,'Input Assumptions'!$C$34:$L$34,'Input Assumptions'!$C$36:$L$36)</f>
        <v>1900</v>
      </c>
      <c r="U20" s="59">
        <f>$N$3*_xlfn.XLOOKUP(U$1,'Input Assumptions'!$C$34:$L$34,'Input Assumptions'!$C$36:$L$36)</f>
        <v>1900</v>
      </c>
      <c r="V20" s="59">
        <f>$N$3*_xlfn.XLOOKUP(V$1,'Input Assumptions'!$C$34:$L$34,'Input Assumptions'!$C$36:$L$36)</f>
        <v>1900</v>
      </c>
      <c r="W20" s="59">
        <f>$N$3*_xlfn.XLOOKUP(W$1,'Input Assumptions'!$C$34:$L$34,'Input Assumptions'!$C$36:$L$36)</f>
        <v>1900</v>
      </c>
      <c r="X20" s="59">
        <f>$N$3*_xlfn.XLOOKUP(X$1,'Input Assumptions'!$C$34:$L$34,'Input Assumptions'!$C$36:$L$36)</f>
        <v>1900</v>
      </c>
      <c r="Y20" s="59">
        <f>$N$3*_xlfn.XLOOKUP(Y$1,'Input Assumptions'!$C$34:$L$34,'Input Assumptions'!$C$36:$L$36)</f>
        <v>1900</v>
      </c>
      <c r="Z20" s="59">
        <f>$N$3*_xlfn.XLOOKUP(Z$1,'Input Assumptions'!$C$34:$L$34,'Input Assumptions'!$C$36:$L$36)</f>
        <v>1971.2500000000002</v>
      </c>
      <c r="AA20" s="59">
        <f>$N$3*_xlfn.XLOOKUP(AA$1,'Input Assumptions'!$C$34:$L$34,'Input Assumptions'!$C$36:$L$36)</f>
        <v>1971.2500000000002</v>
      </c>
      <c r="AB20" s="59">
        <f>$N$3*_xlfn.XLOOKUP(AB$1,'Input Assumptions'!$C$34:$L$34,'Input Assumptions'!$C$36:$L$36)</f>
        <v>1971.2500000000002</v>
      </c>
      <c r="AC20" s="59">
        <f>$N$3*_xlfn.XLOOKUP(AC$1,'Input Assumptions'!$C$34:$L$34,'Input Assumptions'!$C$36:$L$36)</f>
        <v>1971.2500000000002</v>
      </c>
      <c r="AD20" s="59">
        <f>$N$3*_xlfn.XLOOKUP(AD$1,'Input Assumptions'!$C$34:$L$34,'Input Assumptions'!$C$36:$L$36)</f>
        <v>1971.2500000000002</v>
      </c>
      <c r="AE20" s="59">
        <f>$N$3*_xlfn.XLOOKUP(AE$1,'Input Assumptions'!$C$34:$L$34,'Input Assumptions'!$C$36:$L$36)</f>
        <v>1971.2500000000002</v>
      </c>
      <c r="AF20" s="59">
        <f>$N$3*_xlfn.XLOOKUP(AF$1,'Input Assumptions'!$C$34:$L$34,'Input Assumptions'!$C$36:$L$36)</f>
        <v>1971.2500000000002</v>
      </c>
      <c r="AG20" s="59">
        <f>$N$3*_xlfn.XLOOKUP(AG$1,'Input Assumptions'!$C$34:$L$34,'Input Assumptions'!$C$36:$L$36)</f>
        <v>1971.2500000000002</v>
      </c>
      <c r="AH20" s="59">
        <f>$N$3*_xlfn.XLOOKUP(AH$1,'Input Assumptions'!$C$34:$L$34,'Input Assumptions'!$C$36:$L$36)</f>
        <v>1971.2500000000002</v>
      </c>
      <c r="AI20" s="59">
        <f>$N$3*_xlfn.XLOOKUP(AI$1,'Input Assumptions'!$C$34:$L$34,'Input Assumptions'!$C$36:$L$36)</f>
        <v>1971.2500000000002</v>
      </c>
      <c r="AJ20" s="59">
        <f>$N$3*_xlfn.XLOOKUP(AJ$1,'Input Assumptions'!$C$34:$L$34,'Input Assumptions'!$C$36:$L$36)</f>
        <v>1971.2500000000002</v>
      </c>
      <c r="AK20" s="59">
        <f>$N$3*_xlfn.XLOOKUP(AK$1,'Input Assumptions'!$C$34:$L$34,'Input Assumptions'!$C$36:$L$36)</f>
        <v>1971.2500000000002</v>
      </c>
      <c r="AL20" s="59">
        <f>$N$3*_xlfn.XLOOKUP(AL$1,'Input Assumptions'!$C$34:$L$34,'Input Assumptions'!$C$36:$L$36)</f>
        <v>2045.1718750000005</v>
      </c>
      <c r="AM20" s="59">
        <f>$N$3*_xlfn.XLOOKUP(AM$1,'Input Assumptions'!$C$34:$L$34,'Input Assumptions'!$C$36:$L$36)</f>
        <v>2045.1718750000005</v>
      </c>
      <c r="AN20" s="59">
        <f>$N$3*_xlfn.XLOOKUP(AN$1,'Input Assumptions'!$C$34:$L$34,'Input Assumptions'!$C$36:$L$36)</f>
        <v>2045.1718750000005</v>
      </c>
      <c r="AO20" s="59">
        <f>$N$3*_xlfn.XLOOKUP(AO$1,'Input Assumptions'!$C$34:$L$34,'Input Assumptions'!$C$36:$L$36)</f>
        <v>2045.1718750000005</v>
      </c>
      <c r="AP20" s="59">
        <f>$N$3*_xlfn.XLOOKUP(AP$1,'Input Assumptions'!$C$34:$L$34,'Input Assumptions'!$C$36:$L$36)</f>
        <v>2045.1718750000005</v>
      </c>
      <c r="AQ20" s="59">
        <f>$N$3*_xlfn.XLOOKUP(AQ$1,'Input Assumptions'!$C$34:$L$34,'Input Assumptions'!$C$36:$L$36)</f>
        <v>2045.1718750000005</v>
      </c>
      <c r="AR20" s="59">
        <f>$N$3*_xlfn.XLOOKUP(AR$1,'Input Assumptions'!$C$34:$L$34,'Input Assumptions'!$C$36:$L$36)</f>
        <v>2045.1718750000005</v>
      </c>
      <c r="AS20" s="59">
        <f>$N$3*_xlfn.XLOOKUP(AS$1,'Input Assumptions'!$C$34:$L$34,'Input Assumptions'!$C$36:$L$36)</f>
        <v>2045.1718750000005</v>
      </c>
      <c r="AT20" s="59">
        <f>$N$3*_xlfn.XLOOKUP(AT$1,'Input Assumptions'!$C$34:$L$34,'Input Assumptions'!$C$36:$L$36)</f>
        <v>2045.1718750000005</v>
      </c>
      <c r="AU20" s="59">
        <f>$N$3*_xlfn.XLOOKUP(AU$1,'Input Assumptions'!$C$34:$L$34,'Input Assumptions'!$C$36:$L$36)</f>
        <v>2045.1718750000005</v>
      </c>
      <c r="AV20" s="59">
        <f>$N$3*_xlfn.XLOOKUP(AV$1,'Input Assumptions'!$C$34:$L$34,'Input Assumptions'!$C$36:$L$36)</f>
        <v>2045.1718750000005</v>
      </c>
      <c r="AW20" s="59">
        <f>$N$3*_xlfn.XLOOKUP(AW$1,'Input Assumptions'!$C$34:$L$34,'Input Assumptions'!$C$36:$L$36)</f>
        <v>2045.1718750000005</v>
      </c>
      <c r="AX20" s="59">
        <f>$N$3*_xlfn.XLOOKUP(AX$1,'Input Assumptions'!$C$34:$L$34,'Input Assumptions'!$C$36:$L$36)</f>
        <v>2121.8658203125005</v>
      </c>
      <c r="AY20" s="59">
        <f>$N$3*_xlfn.XLOOKUP(AY$1,'Input Assumptions'!$C$34:$L$34,'Input Assumptions'!$C$36:$L$36)</f>
        <v>2121.8658203125005</v>
      </c>
      <c r="AZ20" s="59">
        <f>$N$3*_xlfn.XLOOKUP(AZ$1,'Input Assumptions'!$C$34:$L$34,'Input Assumptions'!$C$36:$L$36)</f>
        <v>2121.8658203125005</v>
      </c>
      <c r="BA20" s="59">
        <f>$N$3*_xlfn.XLOOKUP(BA$1,'Input Assumptions'!$C$34:$L$34,'Input Assumptions'!$C$36:$L$36)</f>
        <v>2121.8658203125005</v>
      </c>
      <c r="BB20" s="59">
        <f>$N$3*_xlfn.XLOOKUP(BB$1,'Input Assumptions'!$C$34:$L$34,'Input Assumptions'!$C$36:$L$36)</f>
        <v>2121.8658203125005</v>
      </c>
      <c r="BC20" s="59">
        <f>$N$3*_xlfn.XLOOKUP(BC$1,'Input Assumptions'!$C$34:$L$34,'Input Assumptions'!$C$36:$L$36)</f>
        <v>2121.8658203125005</v>
      </c>
      <c r="BD20" s="59">
        <f>$N$3*_xlfn.XLOOKUP(BD$1,'Input Assumptions'!$C$34:$L$34,'Input Assumptions'!$C$36:$L$36)</f>
        <v>2121.8658203125005</v>
      </c>
      <c r="BE20" s="59">
        <f>$N$3*_xlfn.XLOOKUP(BE$1,'Input Assumptions'!$C$34:$L$34,'Input Assumptions'!$C$36:$L$36)</f>
        <v>2121.8658203125005</v>
      </c>
      <c r="BF20" s="59">
        <f>$N$3*_xlfn.XLOOKUP(BF$1,'Input Assumptions'!$C$34:$L$34,'Input Assumptions'!$C$36:$L$36)</f>
        <v>2121.8658203125005</v>
      </c>
      <c r="BG20" s="59">
        <f>$N$3*_xlfn.XLOOKUP(BG$1,'Input Assumptions'!$C$34:$L$34,'Input Assumptions'!$C$36:$L$36)</f>
        <v>2121.8658203125005</v>
      </c>
      <c r="BH20" s="59">
        <f>$N$3*_xlfn.XLOOKUP(BH$1,'Input Assumptions'!$C$34:$L$34,'Input Assumptions'!$C$36:$L$36)</f>
        <v>2121.8658203125005</v>
      </c>
      <c r="BI20" s="59">
        <f>$N$3*_xlfn.XLOOKUP(BI$1,'Input Assumptions'!$C$34:$L$34,'Input Assumptions'!$C$36:$L$36)</f>
        <v>2121.8658203125005</v>
      </c>
      <c r="BJ20" s="59">
        <f>$N$3*_xlfn.XLOOKUP(BJ$1,'Input Assumptions'!$C$34:$L$34,'Input Assumptions'!$C$36:$L$36)</f>
        <v>2201.4357885742193</v>
      </c>
      <c r="BK20" s="59">
        <f>$N$3*_xlfn.XLOOKUP(BK$1,'Input Assumptions'!$C$34:$L$34,'Input Assumptions'!$C$36:$L$36)</f>
        <v>2201.4357885742193</v>
      </c>
      <c r="BL20" s="59">
        <f>$N$3*_xlfn.XLOOKUP(BL$1,'Input Assumptions'!$C$34:$L$34,'Input Assumptions'!$C$36:$L$36)</f>
        <v>2201.4357885742193</v>
      </c>
      <c r="BM20" s="59">
        <f>$N$3*_xlfn.XLOOKUP(BM$1,'Input Assumptions'!$C$34:$L$34,'Input Assumptions'!$C$36:$L$36)</f>
        <v>2201.4357885742193</v>
      </c>
      <c r="BN20" s="59">
        <f>$N$3*_xlfn.XLOOKUP(BN$1,'Input Assumptions'!$C$34:$L$34,'Input Assumptions'!$C$36:$L$36)</f>
        <v>2201.4357885742193</v>
      </c>
      <c r="BO20" s="59">
        <f>$N$3*_xlfn.XLOOKUP(BO$1,'Input Assumptions'!$C$34:$L$34,'Input Assumptions'!$C$36:$L$36)</f>
        <v>2201.4357885742193</v>
      </c>
      <c r="BP20" s="59">
        <f>$N$3*_xlfn.XLOOKUP(BP$1,'Input Assumptions'!$C$34:$L$34,'Input Assumptions'!$C$36:$L$36)</f>
        <v>2201.4357885742193</v>
      </c>
      <c r="BQ20" s="59">
        <f>$N$3*_xlfn.XLOOKUP(BQ$1,'Input Assumptions'!$C$34:$L$34,'Input Assumptions'!$C$36:$L$36)</f>
        <v>2201.4357885742193</v>
      </c>
      <c r="BR20" s="59">
        <f>$N$3*_xlfn.XLOOKUP(BR$1,'Input Assumptions'!$C$34:$L$34,'Input Assumptions'!$C$36:$L$36)</f>
        <v>2201.4357885742193</v>
      </c>
      <c r="BS20" s="59">
        <f>$N$3*_xlfn.XLOOKUP(BS$1,'Input Assumptions'!$C$34:$L$34,'Input Assumptions'!$C$36:$L$36)</f>
        <v>2201.4357885742193</v>
      </c>
      <c r="BT20" s="59">
        <f>$N$3*_xlfn.XLOOKUP(BT$1,'Input Assumptions'!$C$34:$L$34,'Input Assumptions'!$C$36:$L$36)</f>
        <v>2201.4357885742193</v>
      </c>
      <c r="BU20" s="59">
        <f>$N$3*_xlfn.XLOOKUP(BU$1,'Input Assumptions'!$C$34:$L$34,'Input Assumptions'!$C$36:$L$36)</f>
        <v>2201.4357885742193</v>
      </c>
      <c r="BV20" s="59">
        <f>$N$3*_xlfn.XLOOKUP(BV$1,'Input Assumptions'!$C$34:$L$34,'Input Assumptions'!$C$36:$L$36)</f>
        <v>2283.9896306457531</v>
      </c>
      <c r="BW20" s="59">
        <f>$N$3*_xlfn.XLOOKUP(BW$1,'Input Assumptions'!$C$34:$L$34,'Input Assumptions'!$C$36:$L$36)</f>
        <v>1900</v>
      </c>
      <c r="BX20" s="59">
        <f>$N$3*_xlfn.XLOOKUP(BX$1,'Input Assumptions'!$C$34:$L$34,'Input Assumptions'!$C$36:$L$36)</f>
        <v>1900</v>
      </c>
      <c r="BY20" s="59">
        <f>$N$3*_xlfn.XLOOKUP(BY$1,'Input Assumptions'!$C$34:$L$34,'Input Assumptions'!$C$36:$L$36)</f>
        <v>1900</v>
      </c>
      <c r="BZ20" s="59">
        <f>$N$3*_xlfn.XLOOKUP(BZ$1,'Input Assumptions'!$C$34:$L$34,'Input Assumptions'!$C$36:$L$36)</f>
        <v>1900</v>
      </c>
      <c r="CA20" s="59">
        <f>$N$3*_xlfn.XLOOKUP(CA$1,'Input Assumptions'!$C$34:$L$34,'Input Assumptions'!$C$36:$L$36)</f>
        <v>1900</v>
      </c>
      <c r="CB20" s="59">
        <f>$N$3*_xlfn.XLOOKUP(CB$1,'Input Assumptions'!$C$34:$L$34,'Input Assumptions'!$C$36:$L$36)</f>
        <v>1900</v>
      </c>
      <c r="CC20" s="59">
        <f>$N$3*_xlfn.XLOOKUP(CC$1,'Input Assumptions'!$C$34:$L$34,'Input Assumptions'!$C$36:$L$36)</f>
        <v>1900</v>
      </c>
      <c r="CD20" s="59">
        <f>$N$3*_xlfn.XLOOKUP(CD$1,'Input Assumptions'!$C$34:$L$34,'Input Assumptions'!$C$36:$L$36)</f>
        <v>1900</v>
      </c>
      <c r="CE20" s="59">
        <f>$N$3*_xlfn.XLOOKUP(CE$1,'Input Assumptions'!$C$34:$L$34,'Input Assumptions'!$C$36:$L$36)</f>
        <v>1900</v>
      </c>
      <c r="CF20" s="59">
        <f>$N$3*_xlfn.XLOOKUP(CF$1,'Input Assumptions'!$C$34:$L$34,'Input Assumptions'!$C$36:$L$36)</f>
        <v>1900</v>
      </c>
      <c r="CG20" s="59">
        <f>$N$3*_xlfn.XLOOKUP(CG$1,'Input Assumptions'!$C$34:$L$34,'Input Assumptions'!$C$36:$L$36)</f>
        <v>1900</v>
      </c>
      <c r="CH20" s="59">
        <f>$N$3*_xlfn.XLOOKUP(CH$1,'Input Assumptions'!$C$34:$L$34,'Input Assumptions'!$C$36:$L$36)</f>
        <v>1900</v>
      </c>
      <c r="CI20" s="59">
        <f>$N$3*_xlfn.XLOOKUP(CI$1,'Input Assumptions'!$C$34:$L$34,'Input Assumptions'!$C$36:$L$36)</f>
        <v>1971.2500000000002</v>
      </c>
      <c r="CJ20" s="59">
        <f>$N$3*_xlfn.XLOOKUP(CJ$1,'Input Assumptions'!$C$34:$L$34,'Input Assumptions'!$C$36:$L$36)</f>
        <v>1971.2500000000002</v>
      </c>
      <c r="CK20" s="59">
        <f>$N$3*_xlfn.XLOOKUP(CK$1,'Input Assumptions'!$C$34:$L$34,'Input Assumptions'!$C$36:$L$36)</f>
        <v>1971.2500000000002</v>
      </c>
      <c r="CL20" s="59">
        <f>$N$3*_xlfn.XLOOKUP(CL$1,'Input Assumptions'!$C$34:$L$34,'Input Assumptions'!$C$36:$L$36)</f>
        <v>1971.2500000000002</v>
      </c>
      <c r="CM20" s="59">
        <f>$N$3*_xlfn.XLOOKUP(CM$1,'Input Assumptions'!$C$34:$L$34,'Input Assumptions'!$C$36:$L$36)</f>
        <v>1971.2500000000002</v>
      </c>
      <c r="CN20" s="59">
        <f>$N$3*_xlfn.XLOOKUP(CN$1,'Input Assumptions'!$C$34:$L$34,'Input Assumptions'!$C$36:$L$36)</f>
        <v>1971.2500000000002</v>
      </c>
      <c r="CO20" s="59">
        <f>$N$3*_xlfn.XLOOKUP(CO$1,'Input Assumptions'!$C$34:$L$34,'Input Assumptions'!$C$36:$L$36)</f>
        <v>1971.2500000000002</v>
      </c>
      <c r="CP20" s="59">
        <f>$N$3*_xlfn.XLOOKUP(CP$1,'Input Assumptions'!$C$34:$L$34,'Input Assumptions'!$C$36:$L$36)</f>
        <v>1971.2500000000002</v>
      </c>
      <c r="CQ20" s="59">
        <f>$N$3*_xlfn.XLOOKUP(CQ$1,'Input Assumptions'!$C$34:$L$34,'Input Assumptions'!$C$36:$L$36)</f>
        <v>1971.2500000000002</v>
      </c>
      <c r="CR20" s="59">
        <f>$N$3*_xlfn.XLOOKUP(CR$1,'Input Assumptions'!$C$34:$L$34,'Input Assumptions'!$C$36:$L$36)</f>
        <v>1971.2500000000002</v>
      </c>
      <c r="CS20" s="59">
        <f>$N$3*_xlfn.XLOOKUP(CS$1,'Input Assumptions'!$C$34:$L$34,'Input Assumptions'!$C$36:$L$36)</f>
        <v>1971.2500000000002</v>
      </c>
      <c r="CT20" s="59">
        <f>$N$3*_xlfn.XLOOKUP(CT$1,'Input Assumptions'!$C$34:$L$34,'Input Assumptions'!$C$36:$L$36)</f>
        <v>1971.2500000000002</v>
      </c>
      <c r="CU20" s="59">
        <f>$N$3*_xlfn.XLOOKUP(CU$1,'Input Assumptions'!$C$34:$L$34,'Input Assumptions'!$C$36:$L$36)</f>
        <v>2045.1718750000005</v>
      </c>
      <c r="CV20" s="59">
        <f>$N$3*_xlfn.XLOOKUP(CV$1,'Input Assumptions'!$C$34:$L$34,'Input Assumptions'!$C$36:$L$36)</f>
        <v>2045.1718750000005</v>
      </c>
      <c r="CW20" s="59">
        <f>$N$3*_xlfn.XLOOKUP(CW$1,'Input Assumptions'!$C$34:$L$34,'Input Assumptions'!$C$36:$L$36)</f>
        <v>2045.1718750000005</v>
      </c>
      <c r="CX20" s="59">
        <f>$N$3*_xlfn.XLOOKUP(CX$1,'Input Assumptions'!$C$34:$L$34,'Input Assumptions'!$C$36:$L$36)</f>
        <v>2045.1718750000005</v>
      </c>
      <c r="CY20" s="59">
        <f>$N$3*_xlfn.XLOOKUP(CY$1,'Input Assumptions'!$C$34:$L$34,'Input Assumptions'!$C$36:$L$36)</f>
        <v>2045.1718750000005</v>
      </c>
      <c r="CZ20" s="59">
        <f>$N$3*_xlfn.XLOOKUP(CZ$1,'Input Assumptions'!$C$34:$L$34,'Input Assumptions'!$C$36:$L$36)</f>
        <v>2045.1718750000005</v>
      </c>
      <c r="DA20" s="59">
        <f>$N$3*_xlfn.XLOOKUP(DA$1,'Input Assumptions'!$C$34:$L$34,'Input Assumptions'!$C$36:$L$36)</f>
        <v>2045.1718750000005</v>
      </c>
      <c r="DB20" s="59">
        <f>$N$3*_xlfn.XLOOKUP(DB$1,'Input Assumptions'!$C$34:$L$34,'Input Assumptions'!$C$36:$L$36)</f>
        <v>2045.1718750000005</v>
      </c>
      <c r="DC20" s="59">
        <f>$N$3*_xlfn.XLOOKUP(DC$1,'Input Assumptions'!$C$34:$L$34,'Input Assumptions'!$C$36:$L$36)</f>
        <v>2045.1718750000005</v>
      </c>
      <c r="DD20" s="59">
        <f>$N$3*_xlfn.XLOOKUP(DD$1,'Input Assumptions'!$C$34:$L$34,'Input Assumptions'!$C$36:$L$36)</f>
        <v>2045.1718750000005</v>
      </c>
      <c r="DE20" s="59">
        <f>$N$3*_xlfn.XLOOKUP(DE$1,'Input Assumptions'!$C$34:$L$34,'Input Assumptions'!$C$36:$L$36)</f>
        <v>2045.1718750000005</v>
      </c>
      <c r="DF20" s="59">
        <f>$N$3*_xlfn.XLOOKUP(DF$1,'Input Assumptions'!$C$34:$L$34,'Input Assumptions'!$C$36:$L$36)</f>
        <v>2045.1718750000005</v>
      </c>
      <c r="DG20" s="59">
        <f>$N$3*_xlfn.XLOOKUP(DG$1,'Input Assumptions'!$C$34:$L$34,'Input Assumptions'!$C$36:$L$36)</f>
        <v>2121.8658203125005</v>
      </c>
      <c r="DH20" s="59">
        <f>$N$3*_xlfn.XLOOKUP(DH$1,'Input Assumptions'!$C$34:$L$34,'Input Assumptions'!$C$36:$L$36)</f>
        <v>2121.8658203125005</v>
      </c>
      <c r="DI20" s="59">
        <f>$N$3*_xlfn.XLOOKUP(DI$1,'Input Assumptions'!$C$34:$L$34,'Input Assumptions'!$C$36:$L$36)</f>
        <v>2121.8658203125005</v>
      </c>
      <c r="DJ20" s="59">
        <f>$N$3*_xlfn.XLOOKUP(DJ$1,'Input Assumptions'!$C$34:$L$34,'Input Assumptions'!$C$36:$L$36)</f>
        <v>2121.8658203125005</v>
      </c>
      <c r="DK20" s="59">
        <f>$N$3*_xlfn.XLOOKUP(DK$1,'Input Assumptions'!$C$34:$L$34,'Input Assumptions'!$C$36:$L$36)</f>
        <v>2121.8658203125005</v>
      </c>
      <c r="DL20" s="59">
        <f>$N$3*_xlfn.XLOOKUP(DL$1,'Input Assumptions'!$C$34:$L$34,'Input Assumptions'!$C$36:$L$36)</f>
        <v>2121.8658203125005</v>
      </c>
      <c r="DM20" s="59">
        <f>$N$3*_xlfn.XLOOKUP(DM$1,'Input Assumptions'!$C$34:$L$34,'Input Assumptions'!$C$36:$L$36)</f>
        <v>2121.8658203125005</v>
      </c>
      <c r="DN20" s="59">
        <f>$N$3*_xlfn.XLOOKUP(DN$1,'Input Assumptions'!$C$34:$L$34,'Input Assumptions'!$C$36:$L$36)</f>
        <v>2121.8658203125005</v>
      </c>
      <c r="DO20" s="59">
        <f>$N$3*_xlfn.XLOOKUP(DO$1,'Input Assumptions'!$C$34:$L$34,'Input Assumptions'!$C$36:$L$36)</f>
        <v>2121.8658203125005</v>
      </c>
      <c r="DP20" s="59">
        <f>$N$3*_xlfn.XLOOKUP(DP$1,'Input Assumptions'!$C$34:$L$34,'Input Assumptions'!$C$36:$L$36)</f>
        <v>2121.8658203125005</v>
      </c>
      <c r="DQ20" s="59">
        <f>$N$3*_xlfn.XLOOKUP(DQ$1,'Input Assumptions'!$C$34:$L$34,'Input Assumptions'!$C$36:$L$36)</f>
        <v>2121.8658203125005</v>
      </c>
      <c r="DR20" s="59">
        <f>$N$3*_xlfn.XLOOKUP(DR$1,'Input Assumptions'!$C$34:$L$34,'Input Assumptions'!$C$36:$L$36)</f>
        <v>2121.8658203125005</v>
      </c>
      <c r="DS20" s="59">
        <f>$N$3*_xlfn.XLOOKUP(DS$1,'Input Assumptions'!$C$34:$L$34,'Input Assumptions'!$C$36:$L$36)</f>
        <v>2201.4357885742193</v>
      </c>
      <c r="DT20" s="59">
        <f>$N$3*_xlfn.XLOOKUP(DT$1,'Input Assumptions'!$C$34:$L$34,'Input Assumptions'!$C$36:$L$36)</f>
        <v>2201.4357885742193</v>
      </c>
      <c r="DU20" s="59">
        <f>$N$3*_xlfn.XLOOKUP(DU$1,'Input Assumptions'!$C$34:$L$34,'Input Assumptions'!$C$36:$L$36)</f>
        <v>2201.4357885742193</v>
      </c>
      <c r="DV20" s="59">
        <f>$N$3*_xlfn.XLOOKUP(DV$1,'Input Assumptions'!$C$34:$L$34,'Input Assumptions'!$C$36:$L$36)</f>
        <v>2201.4357885742193</v>
      </c>
      <c r="DW20" s="59">
        <f>$N$3*_xlfn.XLOOKUP(DW$1,'Input Assumptions'!$C$34:$L$34,'Input Assumptions'!$C$36:$L$36)</f>
        <v>2201.4357885742193</v>
      </c>
      <c r="DX20" s="59">
        <f>$N$3*_xlfn.XLOOKUP(DX$1,'Input Assumptions'!$C$34:$L$34,'Input Assumptions'!$C$36:$L$36)</f>
        <v>2201.4357885742193</v>
      </c>
      <c r="DY20" s="59">
        <f>$N$3*_xlfn.XLOOKUP(DY$1,'Input Assumptions'!$C$34:$L$34,'Input Assumptions'!$C$36:$L$36)</f>
        <v>2201.4357885742193</v>
      </c>
      <c r="DZ20" s="59">
        <f>$N$3*_xlfn.XLOOKUP(DZ$1,'Input Assumptions'!$C$34:$L$34,'Input Assumptions'!$C$36:$L$36)</f>
        <v>2201.4357885742193</v>
      </c>
      <c r="EA20" s="59">
        <f>$N$3*_xlfn.XLOOKUP(EA$1,'Input Assumptions'!$C$34:$L$34,'Input Assumptions'!$C$36:$L$36)</f>
        <v>2201.4357885742193</v>
      </c>
      <c r="EB20" s="59">
        <f>$N$3*_xlfn.XLOOKUP(EB$1,'Input Assumptions'!$C$34:$L$34,'Input Assumptions'!$C$36:$L$36)</f>
        <v>2201.4357885742193</v>
      </c>
      <c r="EC20" s="59">
        <f>$N$3*_xlfn.XLOOKUP(EC$1,'Input Assumptions'!$C$34:$L$34,'Input Assumptions'!$C$36:$L$36)</f>
        <v>2201.4357885742193</v>
      </c>
    </row>
    <row r="21" spans="2:133" x14ac:dyDescent="0.3">
      <c r="B21" s="15">
        <v>3</v>
      </c>
      <c r="C21" s="16">
        <v>19</v>
      </c>
      <c r="D21" s="16" t="s">
        <v>10</v>
      </c>
      <c r="E21" s="16">
        <v>450</v>
      </c>
      <c r="F21" s="20">
        <f t="shared" si="108"/>
        <v>41.80640845790095</v>
      </c>
      <c r="G21" s="19" t="str">
        <f t="shared" si="109"/>
        <v>1</v>
      </c>
      <c r="H21" s="20">
        <f t="shared" si="112"/>
        <v>1</v>
      </c>
      <c r="I21" s="18">
        <f t="shared" si="110"/>
        <v>1710</v>
      </c>
      <c r="J21" s="18">
        <f t="shared" si="111"/>
        <v>1900</v>
      </c>
      <c r="K21" s="18">
        <f>(J21*'Input Assumptions'!$C$20)+I21*('Input Assumptions'!$C$21)</f>
        <v>1900</v>
      </c>
      <c r="L21" s="94"/>
      <c r="N21" s="59">
        <f t="shared" si="113"/>
        <v>1900</v>
      </c>
      <c r="O21" s="59">
        <f>$N$3*_xlfn.XLOOKUP(O$1,'Input Assumptions'!$C$34:$L$34,'Input Assumptions'!$C$36:$L$36)</f>
        <v>1900</v>
      </c>
      <c r="P21" s="59">
        <f>$N$3*_xlfn.XLOOKUP(P$1,'Input Assumptions'!$C$34:$L$34,'Input Assumptions'!$C$36:$L$36)</f>
        <v>1900</v>
      </c>
      <c r="Q21" s="59">
        <f>$N$3*_xlfn.XLOOKUP(Q$1,'Input Assumptions'!$C$34:$L$34,'Input Assumptions'!$C$36:$L$36)</f>
        <v>1900</v>
      </c>
      <c r="R21" s="59">
        <f>$N$3*_xlfn.XLOOKUP(R$1,'Input Assumptions'!$C$34:$L$34,'Input Assumptions'!$C$36:$L$36)</f>
        <v>1900</v>
      </c>
      <c r="S21" s="59">
        <f>$N$3*_xlfn.XLOOKUP(S$1,'Input Assumptions'!$C$34:$L$34,'Input Assumptions'!$C$36:$L$36)</f>
        <v>1900</v>
      </c>
      <c r="T21" s="59">
        <f>$N$3*_xlfn.XLOOKUP(T$1,'Input Assumptions'!$C$34:$L$34,'Input Assumptions'!$C$36:$L$36)</f>
        <v>1900</v>
      </c>
      <c r="U21" s="59">
        <f>$N$3*_xlfn.XLOOKUP(U$1,'Input Assumptions'!$C$34:$L$34,'Input Assumptions'!$C$36:$L$36)</f>
        <v>1900</v>
      </c>
      <c r="V21" s="59">
        <f>$N$3*_xlfn.XLOOKUP(V$1,'Input Assumptions'!$C$34:$L$34,'Input Assumptions'!$C$36:$L$36)</f>
        <v>1900</v>
      </c>
      <c r="W21" s="59">
        <f>$N$3*_xlfn.XLOOKUP(W$1,'Input Assumptions'!$C$34:$L$34,'Input Assumptions'!$C$36:$L$36)</f>
        <v>1900</v>
      </c>
      <c r="X21" s="59">
        <f>$N$3*_xlfn.XLOOKUP(X$1,'Input Assumptions'!$C$34:$L$34,'Input Assumptions'!$C$36:$L$36)</f>
        <v>1900</v>
      </c>
      <c r="Y21" s="59">
        <f>$N$3*_xlfn.XLOOKUP(Y$1,'Input Assumptions'!$C$34:$L$34,'Input Assumptions'!$C$36:$L$36)</f>
        <v>1900</v>
      </c>
      <c r="Z21" s="59">
        <f>$N$3*_xlfn.XLOOKUP(Z$1,'Input Assumptions'!$C$34:$L$34,'Input Assumptions'!$C$36:$L$36)</f>
        <v>1971.2500000000002</v>
      </c>
      <c r="AA21" s="59">
        <f>$N$3*_xlfn.XLOOKUP(AA$1,'Input Assumptions'!$C$34:$L$34,'Input Assumptions'!$C$36:$L$36)</f>
        <v>1971.2500000000002</v>
      </c>
      <c r="AB21" s="59">
        <f>$N$3*_xlfn.XLOOKUP(AB$1,'Input Assumptions'!$C$34:$L$34,'Input Assumptions'!$C$36:$L$36)</f>
        <v>1971.2500000000002</v>
      </c>
      <c r="AC21" s="59">
        <f>$N$3*_xlfn.XLOOKUP(AC$1,'Input Assumptions'!$C$34:$L$34,'Input Assumptions'!$C$36:$L$36)</f>
        <v>1971.2500000000002</v>
      </c>
      <c r="AD21" s="59">
        <f>$N$3*_xlfn.XLOOKUP(AD$1,'Input Assumptions'!$C$34:$L$34,'Input Assumptions'!$C$36:$L$36)</f>
        <v>1971.2500000000002</v>
      </c>
      <c r="AE21" s="59">
        <f>$N$3*_xlfn.XLOOKUP(AE$1,'Input Assumptions'!$C$34:$L$34,'Input Assumptions'!$C$36:$L$36)</f>
        <v>1971.2500000000002</v>
      </c>
      <c r="AF21" s="59">
        <f>$N$3*_xlfn.XLOOKUP(AF$1,'Input Assumptions'!$C$34:$L$34,'Input Assumptions'!$C$36:$L$36)</f>
        <v>1971.2500000000002</v>
      </c>
      <c r="AG21" s="59">
        <f>$N$3*_xlfn.XLOOKUP(AG$1,'Input Assumptions'!$C$34:$L$34,'Input Assumptions'!$C$36:$L$36)</f>
        <v>1971.2500000000002</v>
      </c>
      <c r="AH21" s="59">
        <f>$N$3*_xlfn.XLOOKUP(AH$1,'Input Assumptions'!$C$34:$L$34,'Input Assumptions'!$C$36:$L$36)</f>
        <v>1971.2500000000002</v>
      </c>
      <c r="AI21" s="59">
        <f>$N$3*_xlfn.XLOOKUP(AI$1,'Input Assumptions'!$C$34:$L$34,'Input Assumptions'!$C$36:$L$36)</f>
        <v>1971.2500000000002</v>
      </c>
      <c r="AJ21" s="59">
        <f>$N$3*_xlfn.XLOOKUP(AJ$1,'Input Assumptions'!$C$34:$L$34,'Input Assumptions'!$C$36:$L$36)</f>
        <v>1971.2500000000002</v>
      </c>
      <c r="AK21" s="59">
        <f>$N$3*_xlfn.XLOOKUP(AK$1,'Input Assumptions'!$C$34:$L$34,'Input Assumptions'!$C$36:$L$36)</f>
        <v>1971.2500000000002</v>
      </c>
      <c r="AL21" s="59">
        <f>$N$3*_xlfn.XLOOKUP(AL$1,'Input Assumptions'!$C$34:$L$34,'Input Assumptions'!$C$36:$L$36)</f>
        <v>2045.1718750000005</v>
      </c>
      <c r="AM21" s="59">
        <f>$N$3*_xlfn.XLOOKUP(AM$1,'Input Assumptions'!$C$34:$L$34,'Input Assumptions'!$C$36:$L$36)</f>
        <v>2045.1718750000005</v>
      </c>
      <c r="AN21" s="59">
        <f>$N$3*_xlfn.XLOOKUP(AN$1,'Input Assumptions'!$C$34:$L$34,'Input Assumptions'!$C$36:$L$36)</f>
        <v>2045.1718750000005</v>
      </c>
      <c r="AO21" s="59">
        <f>$N$3*_xlfn.XLOOKUP(AO$1,'Input Assumptions'!$C$34:$L$34,'Input Assumptions'!$C$36:$L$36)</f>
        <v>2045.1718750000005</v>
      </c>
      <c r="AP21" s="59">
        <f>$N$3*_xlfn.XLOOKUP(AP$1,'Input Assumptions'!$C$34:$L$34,'Input Assumptions'!$C$36:$L$36)</f>
        <v>2045.1718750000005</v>
      </c>
      <c r="AQ21" s="59">
        <f>$N$3*_xlfn.XLOOKUP(AQ$1,'Input Assumptions'!$C$34:$L$34,'Input Assumptions'!$C$36:$L$36)</f>
        <v>2045.1718750000005</v>
      </c>
      <c r="AR21" s="59">
        <f>$N$3*_xlfn.XLOOKUP(AR$1,'Input Assumptions'!$C$34:$L$34,'Input Assumptions'!$C$36:$L$36)</f>
        <v>2045.1718750000005</v>
      </c>
      <c r="AS21" s="59">
        <f>$N$3*_xlfn.XLOOKUP(AS$1,'Input Assumptions'!$C$34:$L$34,'Input Assumptions'!$C$36:$L$36)</f>
        <v>2045.1718750000005</v>
      </c>
      <c r="AT21" s="59">
        <f>$N$3*_xlfn.XLOOKUP(AT$1,'Input Assumptions'!$C$34:$L$34,'Input Assumptions'!$C$36:$L$36)</f>
        <v>2045.1718750000005</v>
      </c>
      <c r="AU21" s="59">
        <f>$N$3*_xlfn.XLOOKUP(AU$1,'Input Assumptions'!$C$34:$L$34,'Input Assumptions'!$C$36:$L$36)</f>
        <v>2045.1718750000005</v>
      </c>
      <c r="AV21" s="59">
        <f>$N$3*_xlfn.XLOOKUP(AV$1,'Input Assumptions'!$C$34:$L$34,'Input Assumptions'!$C$36:$L$36)</f>
        <v>2045.1718750000005</v>
      </c>
      <c r="AW21" s="59">
        <f>$N$3*_xlfn.XLOOKUP(AW$1,'Input Assumptions'!$C$34:$L$34,'Input Assumptions'!$C$36:$L$36)</f>
        <v>2045.1718750000005</v>
      </c>
      <c r="AX21" s="59">
        <f>$N$3*_xlfn.XLOOKUP(AX$1,'Input Assumptions'!$C$34:$L$34,'Input Assumptions'!$C$36:$L$36)</f>
        <v>2121.8658203125005</v>
      </c>
      <c r="AY21" s="59">
        <f>$N$3*_xlfn.XLOOKUP(AY$1,'Input Assumptions'!$C$34:$L$34,'Input Assumptions'!$C$36:$L$36)</f>
        <v>2121.8658203125005</v>
      </c>
      <c r="AZ21" s="59">
        <f>$N$3*_xlfn.XLOOKUP(AZ$1,'Input Assumptions'!$C$34:$L$34,'Input Assumptions'!$C$36:$L$36)</f>
        <v>2121.8658203125005</v>
      </c>
      <c r="BA21" s="59">
        <f>$N$3*_xlfn.XLOOKUP(BA$1,'Input Assumptions'!$C$34:$L$34,'Input Assumptions'!$C$36:$L$36)</f>
        <v>2121.8658203125005</v>
      </c>
      <c r="BB21" s="59">
        <f>$N$3*_xlfn.XLOOKUP(BB$1,'Input Assumptions'!$C$34:$L$34,'Input Assumptions'!$C$36:$L$36)</f>
        <v>2121.8658203125005</v>
      </c>
      <c r="BC21" s="59">
        <f>$N$3*_xlfn.XLOOKUP(BC$1,'Input Assumptions'!$C$34:$L$34,'Input Assumptions'!$C$36:$L$36)</f>
        <v>2121.8658203125005</v>
      </c>
      <c r="BD21" s="59">
        <f>$N$3*_xlfn.XLOOKUP(BD$1,'Input Assumptions'!$C$34:$L$34,'Input Assumptions'!$C$36:$L$36)</f>
        <v>2121.8658203125005</v>
      </c>
      <c r="BE21" s="59">
        <f>$N$3*_xlfn.XLOOKUP(BE$1,'Input Assumptions'!$C$34:$L$34,'Input Assumptions'!$C$36:$L$36)</f>
        <v>2121.8658203125005</v>
      </c>
      <c r="BF21" s="59">
        <f>$N$3*_xlfn.XLOOKUP(BF$1,'Input Assumptions'!$C$34:$L$34,'Input Assumptions'!$C$36:$L$36)</f>
        <v>2121.8658203125005</v>
      </c>
      <c r="BG21" s="59">
        <f>$N$3*_xlfn.XLOOKUP(BG$1,'Input Assumptions'!$C$34:$L$34,'Input Assumptions'!$C$36:$L$36)</f>
        <v>2121.8658203125005</v>
      </c>
      <c r="BH21" s="59">
        <f>$N$3*_xlfn.XLOOKUP(BH$1,'Input Assumptions'!$C$34:$L$34,'Input Assumptions'!$C$36:$L$36)</f>
        <v>2121.8658203125005</v>
      </c>
      <c r="BI21" s="59">
        <f>$N$3*_xlfn.XLOOKUP(BI$1,'Input Assumptions'!$C$34:$L$34,'Input Assumptions'!$C$36:$L$36)</f>
        <v>2121.8658203125005</v>
      </c>
      <c r="BJ21" s="59">
        <f>$N$3*_xlfn.XLOOKUP(BJ$1,'Input Assumptions'!$C$34:$L$34,'Input Assumptions'!$C$36:$L$36)</f>
        <v>2201.4357885742193</v>
      </c>
      <c r="BK21" s="59">
        <f>$N$3*_xlfn.XLOOKUP(BK$1,'Input Assumptions'!$C$34:$L$34,'Input Assumptions'!$C$36:$L$36)</f>
        <v>2201.4357885742193</v>
      </c>
      <c r="BL21" s="59">
        <f>$N$3*_xlfn.XLOOKUP(BL$1,'Input Assumptions'!$C$34:$L$34,'Input Assumptions'!$C$36:$L$36)</f>
        <v>2201.4357885742193</v>
      </c>
      <c r="BM21" s="59">
        <f>$N$3*_xlfn.XLOOKUP(BM$1,'Input Assumptions'!$C$34:$L$34,'Input Assumptions'!$C$36:$L$36)</f>
        <v>2201.4357885742193</v>
      </c>
      <c r="BN21" s="59">
        <f>$N$3*_xlfn.XLOOKUP(BN$1,'Input Assumptions'!$C$34:$L$34,'Input Assumptions'!$C$36:$L$36)</f>
        <v>2201.4357885742193</v>
      </c>
      <c r="BO21" s="59">
        <f>$N$3*_xlfn.XLOOKUP(BO$1,'Input Assumptions'!$C$34:$L$34,'Input Assumptions'!$C$36:$L$36)</f>
        <v>2201.4357885742193</v>
      </c>
      <c r="BP21" s="59">
        <f>$N$3*_xlfn.XLOOKUP(BP$1,'Input Assumptions'!$C$34:$L$34,'Input Assumptions'!$C$36:$L$36)</f>
        <v>2201.4357885742193</v>
      </c>
      <c r="BQ21" s="59">
        <f>$N$3*_xlfn.XLOOKUP(BQ$1,'Input Assumptions'!$C$34:$L$34,'Input Assumptions'!$C$36:$L$36)</f>
        <v>2201.4357885742193</v>
      </c>
      <c r="BR21" s="59">
        <f>$N$3*_xlfn.XLOOKUP(BR$1,'Input Assumptions'!$C$34:$L$34,'Input Assumptions'!$C$36:$L$36)</f>
        <v>2201.4357885742193</v>
      </c>
      <c r="BS21" s="59">
        <f>$N$3*_xlfn.XLOOKUP(BS$1,'Input Assumptions'!$C$34:$L$34,'Input Assumptions'!$C$36:$L$36)</f>
        <v>2201.4357885742193</v>
      </c>
      <c r="BT21" s="59">
        <f>$N$3*_xlfn.XLOOKUP(BT$1,'Input Assumptions'!$C$34:$L$34,'Input Assumptions'!$C$36:$L$36)</f>
        <v>2201.4357885742193</v>
      </c>
      <c r="BU21" s="59">
        <f>$N$3*_xlfn.XLOOKUP(BU$1,'Input Assumptions'!$C$34:$L$34,'Input Assumptions'!$C$36:$L$36)</f>
        <v>2201.4357885742193</v>
      </c>
      <c r="BV21" s="59">
        <f>$N$3*_xlfn.XLOOKUP(BV$1,'Input Assumptions'!$C$34:$L$34,'Input Assumptions'!$C$36:$L$36)</f>
        <v>2283.9896306457531</v>
      </c>
      <c r="BW21" s="59">
        <f>$N$3*_xlfn.XLOOKUP(BW$1,'Input Assumptions'!$C$34:$L$34,'Input Assumptions'!$C$36:$L$36)</f>
        <v>1900</v>
      </c>
      <c r="BX21" s="59">
        <f>$N$3*_xlfn.XLOOKUP(BX$1,'Input Assumptions'!$C$34:$L$34,'Input Assumptions'!$C$36:$L$36)</f>
        <v>1900</v>
      </c>
      <c r="BY21" s="59">
        <f>$N$3*_xlfn.XLOOKUP(BY$1,'Input Assumptions'!$C$34:$L$34,'Input Assumptions'!$C$36:$L$36)</f>
        <v>1900</v>
      </c>
      <c r="BZ21" s="59">
        <f>$N$3*_xlfn.XLOOKUP(BZ$1,'Input Assumptions'!$C$34:$L$34,'Input Assumptions'!$C$36:$L$36)</f>
        <v>1900</v>
      </c>
      <c r="CA21" s="59">
        <f>$N$3*_xlfn.XLOOKUP(CA$1,'Input Assumptions'!$C$34:$L$34,'Input Assumptions'!$C$36:$L$36)</f>
        <v>1900</v>
      </c>
      <c r="CB21" s="59">
        <f>$N$3*_xlfn.XLOOKUP(CB$1,'Input Assumptions'!$C$34:$L$34,'Input Assumptions'!$C$36:$L$36)</f>
        <v>1900</v>
      </c>
      <c r="CC21" s="59">
        <f>$N$3*_xlfn.XLOOKUP(CC$1,'Input Assumptions'!$C$34:$L$34,'Input Assumptions'!$C$36:$L$36)</f>
        <v>1900</v>
      </c>
      <c r="CD21" s="59">
        <f>$N$3*_xlfn.XLOOKUP(CD$1,'Input Assumptions'!$C$34:$L$34,'Input Assumptions'!$C$36:$L$36)</f>
        <v>1900</v>
      </c>
      <c r="CE21" s="59">
        <f>$N$3*_xlfn.XLOOKUP(CE$1,'Input Assumptions'!$C$34:$L$34,'Input Assumptions'!$C$36:$L$36)</f>
        <v>1900</v>
      </c>
      <c r="CF21" s="59">
        <f>$N$3*_xlfn.XLOOKUP(CF$1,'Input Assumptions'!$C$34:$L$34,'Input Assumptions'!$C$36:$L$36)</f>
        <v>1900</v>
      </c>
      <c r="CG21" s="59">
        <f>$N$3*_xlfn.XLOOKUP(CG$1,'Input Assumptions'!$C$34:$L$34,'Input Assumptions'!$C$36:$L$36)</f>
        <v>1900</v>
      </c>
      <c r="CH21" s="59">
        <f>$N$3*_xlfn.XLOOKUP(CH$1,'Input Assumptions'!$C$34:$L$34,'Input Assumptions'!$C$36:$L$36)</f>
        <v>1900</v>
      </c>
      <c r="CI21" s="59">
        <f>$N$3*_xlfn.XLOOKUP(CI$1,'Input Assumptions'!$C$34:$L$34,'Input Assumptions'!$C$36:$L$36)</f>
        <v>1971.2500000000002</v>
      </c>
      <c r="CJ21" s="59">
        <f>$N$3*_xlfn.XLOOKUP(CJ$1,'Input Assumptions'!$C$34:$L$34,'Input Assumptions'!$C$36:$L$36)</f>
        <v>1971.2500000000002</v>
      </c>
      <c r="CK21" s="59">
        <f>$N$3*_xlfn.XLOOKUP(CK$1,'Input Assumptions'!$C$34:$L$34,'Input Assumptions'!$C$36:$L$36)</f>
        <v>1971.2500000000002</v>
      </c>
      <c r="CL21" s="59">
        <f>$N$3*_xlfn.XLOOKUP(CL$1,'Input Assumptions'!$C$34:$L$34,'Input Assumptions'!$C$36:$L$36)</f>
        <v>1971.2500000000002</v>
      </c>
      <c r="CM21" s="59">
        <f>$N$3*_xlfn.XLOOKUP(CM$1,'Input Assumptions'!$C$34:$L$34,'Input Assumptions'!$C$36:$L$36)</f>
        <v>1971.2500000000002</v>
      </c>
      <c r="CN21" s="59">
        <f>$N$3*_xlfn.XLOOKUP(CN$1,'Input Assumptions'!$C$34:$L$34,'Input Assumptions'!$C$36:$L$36)</f>
        <v>1971.2500000000002</v>
      </c>
      <c r="CO21" s="59">
        <f>$N$3*_xlfn.XLOOKUP(CO$1,'Input Assumptions'!$C$34:$L$34,'Input Assumptions'!$C$36:$L$36)</f>
        <v>1971.2500000000002</v>
      </c>
      <c r="CP21" s="59">
        <f>$N$3*_xlfn.XLOOKUP(CP$1,'Input Assumptions'!$C$34:$L$34,'Input Assumptions'!$C$36:$L$36)</f>
        <v>1971.2500000000002</v>
      </c>
      <c r="CQ21" s="59">
        <f>$N$3*_xlfn.XLOOKUP(CQ$1,'Input Assumptions'!$C$34:$L$34,'Input Assumptions'!$C$36:$L$36)</f>
        <v>1971.2500000000002</v>
      </c>
      <c r="CR21" s="59">
        <f>$N$3*_xlfn.XLOOKUP(CR$1,'Input Assumptions'!$C$34:$L$34,'Input Assumptions'!$C$36:$L$36)</f>
        <v>1971.2500000000002</v>
      </c>
      <c r="CS21" s="59">
        <f>$N$3*_xlfn.XLOOKUP(CS$1,'Input Assumptions'!$C$34:$L$34,'Input Assumptions'!$C$36:$L$36)</f>
        <v>1971.2500000000002</v>
      </c>
      <c r="CT21" s="59">
        <f>$N$3*_xlfn.XLOOKUP(CT$1,'Input Assumptions'!$C$34:$L$34,'Input Assumptions'!$C$36:$L$36)</f>
        <v>1971.2500000000002</v>
      </c>
      <c r="CU21" s="59">
        <f>$N$3*_xlfn.XLOOKUP(CU$1,'Input Assumptions'!$C$34:$L$34,'Input Assumptions'!$C$36:$L$36)</f>
        <v>2045.1718750000005</v>
      </c>
      <c r="CV21" s="59">
        <f>$N$3*_xlfn.XLOOKUP(CV$1,'Input Assumptions'!$C$34:$L$34,'Input Assumptions'!$C$36:$L$36)</f>
        <v>2045.1718750000005</v>
      </c>
      <c r="CW21" s="59">
        <f>$N$3*_xlfn.XLOOKUP(CW$1,'Input Assumptions'!$C$34:$L$34,'Input Assumptions'!$C$36:$L$36)</f>
        <v>2045.1718750000005</v>
      </c>
      <c r="CX21" s="59">
        <f>$N$3*_xlfn.XLOOKUP(CX$1,'Input Assumptions'!$C$34:$L$34,'Input Assumptions'!$C$36:$L$36)</f>
        <v>2045.1718750000005</v>
      </c>
      <c r="CY21" s="59">
        <f>$N$3*_xlfn.XLOOKUP(CY$1,'Input Assumptions'!$C$34:$L$34,'Input Assumptions'!$C$36:$L$36)</f>
        <v>2045.1718750000005</v>
      </c>
      <c r="CZ21" s="59">
        <f>$N$3*_xlfn.XLOOKUP(CZ$1,'Input Assumptions'!$C$34:$L$34,'Input Assumptions'!$C$36:$L$36)</f>
        <v>2045.1718750000005</v>
      </c>
      <c r="DA21" s="59">
        <f>$N$3*_xlfn.XLOOKUP(DA$1,'Input Assumptions'!$C$34:$L$34,'Input Assumptions'!$C$36:$L$36)</f>
        <v>2045.1718750000005</v>
      </c>
      <c r="DB21" s="59">
        <f>$N$3*_xlfn.XLOOKUP(DB$1,'Input Assumptions'!$C$34:$L$34,'Input Assumptions'!$C$36:$L$36)</f>
        <v>2045.1718750000005</v>
      </c>
      <c r="DC21" s="59">
        <f>$N$3*_xlfn.XLOOKUP(DC$1,'Input Assumptions'!$C$34:$L$34,'Input Assumptions'!$C$36:$L$36)</f>
        <v>2045.1718750000005</v>
      </c>
      <c r="DD21" s="59">
        <f>$N$3*_xlfn.XLOOKUP(DD$1,'Input Assumptions'!$C$34:$L$34,'Input Assumptions'!$C$36:$L$36)</f>
        <v>2045.1718750000005</v>
      </c>
      <c r="DE21" s="59">
        <f>$N$3*_xlfn.XLOOKUP(DE$1,'Input Assumptions'!$C$34:$L$34,'Input Assumptions'!$C$36:$L$36)</f>
        <v>2045.1718750000005</v>
      </c>
      <c r="DF21" s="59">
        <f>$N$3*_xlfn.XLOOKUP(DF$1,'Input Assumptions'!$C$34:$L$34,'Input Assumptions'!$C$36:$L$36)</f>
        <v>2045.1718750000005</v>
      </c>
      <c r="DG21" s="59">
        <f>$N$3*_xlfn.XLOOKUP(DG$1,'Input Assumptions'!$C$34:$L$34,'Input Assumptions'!$C$36:$L$36)</f>
        <v>2121.8658203125005</v>
      </c>
      <c r="DH21" s="59">
        <f>$N$3*_xlfn.XLOOKUP(DH$1,'Input Assumptions'!$C$34:$L$34,'Input Assumptions'!$C$36:$L$36)</f>
        <v>2121.8658203125005</v>
      </c>
      <c r="DI21" s="59">
        <f>$N$3*_xlfn.XLOOKUP(DI$1,'Input Assumptions'!$C$34:$L$34,'Input Assumptions'!$C$36:$L$36)</f>
        <v>2121.8658203125005</v>
      </c>
      <c r="DJ21" s="59">
        <f>$N$3*_xlfn.XLOOKUP(DJ$1,'Input Assumptions'!$C$34:$L$34,'Input Assumptions'!$C$36:$L$36)</f>
        <v>2121.8658203125005</v>
      </c>
      <c r="DK21" s="59">
        <f>$N$3*_xlfn.XLOOKUP(DK$1,'Input Assumptions'!$C$34:$L$34,'Input Assumptions'!$C$36:$L$36)</f>
        <v>2121.8658203125005</v>
      </c>
      <c r="DL21" s="59">
        <f>$N$3*_xlfn.XLOOKUP(DL$1,'Input Assumptions'!$C$34:$L$34,'Input Assumptions'!$C$36:$L$36)</f>
        <v>2121.8658203125005</v>
      </c>
      <c r="DM21" s="59">
        <f>$N$3*_xlfn.XLOOKUP(DM$1,'Input Assumptions'!$C$34:$L$34,'Input Assumptions'!$C$36:$L$36)</f>
        <v>2121.8658203125005</v>
      </c>
      <c r="DN21" s="59">
        <f>$N$3*_xlfn.XLOOKUP(DN$1,'Input Assumptions'!$C$34:$L$34,'Input Assumptions'!$C$36:$L$36)</f>
        <v>2121.8658203125005</v>
      </c>
      <c r="DO21" s="59">
        <f>$N$3*_xlfn.XLOOKUP(DO$1,'Input Assumptions'!$C$34:$L$34,'Input Assumptions'!$C$36:$L$36)</f>
        <v>2121.8658203125005</v>
      </c>
      <c r="DP21" s="59">
        <f>$N$3*_xlfn.XLOOKUP(DP$1,'Input Assumptions'!$C$34:$L$34,'Input Assumptions'!$C$36:$L$36)</f>
        <v>2121.8658203125005</v>
      </c>
      <c r="DQ21" s="59">
        <f>$N$3*_xlfn.XLOOKUP(DQ$1,'Input Assumptions'!$C$34:$L$34,'Input Assumptions'!$C$36:$L$36)</f>
        <v>2121.8658203125005</v>
      </c>
      <c r="DR21" s="59">
        <f>$N$3*_xlfn.XLOOKUP(DR$1,'Input Assumptions'!$C$34:$L$34,'Input Assumptions'!$C$36:$L$36)</f>
        <v>2121.8658203125005</v>
      </c>
      <c r="DS21" s="59">
        <f>$N$3*_xlfn.XLOOKUP(DS$1,'Input Assumptions'!$C$34:$L$34,'Input Assumptions'!$C$36:$L$36)</f>
        <v>2201.4357885742193</v>
      </c>
      <c r="DT21" s="59">
        <f>$N$3*_xlfn.XLOOKUP(DT$1,'Input Assumptions'!$C$34:$L$34,'Input Assumptions'!$C$36:$L$36)</f>
        <v>2201.4357885742193</v>
      </c>
      <c r="DU21" s="59">
        <f>$N$3*_xlfn.XLOOKUP(DU$1,'Input Assumptions'!$C$34:$L$34,'Input Assumptions'!$C$36:$L$36)</f>
        <v>2201.4357885742193</v>
      </c>
      <c r="DV21" s="59">
        <f>$N$3*_xlfn.XLOOKUP(DV$1,'Input Assumptions'!$C$34:$L$34,'Input Assumptions'!$C$36:$L$36)</f>
        <v>2201.4357885742193</v>
      </c>
      <c r="DW21" s="59">
        <f>$N$3*_xlfn.XLOOKUP(DW$1,'Input Assumptions'!$C$34:$L$34,'Input Assumptions'!$C$36:$L$36)</f>
        <v>2201.4357885742193</v>
      </c>
      <c r="DX21" s="59">
        <f>$N$3*_xlfn.XLOOKUP(DX$1,'Input Assumptions'!$C$34:$L$34,'Input Assumptions'!$C$36:$L$36)</f>
        <v>2201.4357885742193</v>
      </c>
      <c r="DY21" s="59">
        <f>$N$3*_xlfn.XLOOKUP(DY$1,'Input Assumptions'!$C$34:$L$34,'Input Assumptions'!$C$36:$L$36)</f>
        <v>2201.4357885742193</v>
      </c>
      <c r="DZ21" s="59">
        <f>$N$3*_xlfn.XLOOKUP(DZ$1,'Input Assumptions'!$C$34:$L$34,'Input Assumptions'!$C$36:$L$36)</f>
        <v>2201.4357885742193</v>
      </c>
      <c r="EA21" s="59">
        <f>$N$3*_xlfn.XLOOKUP(EA$1,'Input Assumptions'!$C$34:$L$34,'Input Assumptions'!$C$36:$L$36)</f>
        <v>2201.4357885742193</v>
      </c>
      <c r="EB21" s="59">
        <f>$N$3*_xlfn.XLOOKUP(EB$1,'Input Assumptions'!$C$34:$L$34,'Input Assumptions'!$C$36:$L$36)</f>
        <v>2201.4357885742193</v>
      </c>
      <c r="EC21" s="59">
        <f>$N$3*_xlfn.XLOOKUP(EC$1,'Input Assumptions'!$C$34:$L$34,'Input Assumptions'!$C$36:$L$36)</f>
        <v>2201.4357885742193</v>
      </c>
    </row>
    <row r="22" spans="2:133" x14ac:dyDescent="0.3">
      <c r="B22" s="15">
        <v>3</v>
      </c>
      <c r="C22" s="16">
        <v>20</v>
      </c>
      <c r="D22" s="16" t="s">
        <v>10</v>
      </c>
      <c r="E22" s="16">
        <v>450</v>
      </c>
      <c r="F22" s="20">
        <f t="shared" si="108"/>
        <v>41.80640845790095</v>
      </c>
      <c r="G22" s="19" t="str">
        <f t="shared" si="109"/>
        <v>1</v>
      </c>
      <c r="H22" s="20">
        <f t="shared" si="112"/>
        <v>1</v>
      </c>
      <c r="I22" s="18">
        <f t="shared" si="110"/>
        <v>1710</v>
      </c>
      <c r="J22" s="18">
        <f t="shared" si="111"/>
        <v>1900</v>
      </c>
      <c r="K22" s="18">
        <f>(J22*'Input Assumptions'!$C$20)+I22*('Input Assumptions'!$C$21)</f>
        <v>1900</v>
      </c>
      <c r="L22" s="94"/>
      <c r="N22" s="59">
        <f t="shared" si="113"/>
        <v>1900</v>
      </c>
      <c r="O22" s="59">
        <f>$N$3*_xlfn.XLOOKUP(O$1,'Input Assumptions'!$C$34:$L$34,'Input Assumptions'!$C$36:$L$36)</f>
        <v>1900</v>
      </c>
      <c r="P22" s="59">
        <f>$N$3*_xlfn.XLOOKUP(P$1,'Input Assumptions'!$C$34:$L$34,'Input Assumptions'!$C$36:$L$36)</f>
        <v>1900</v>
      </c>
      <c r="Q22" s="59">
        <f>$N$3*_xlfn.XLOOKUP(Q$1,'Input Assumptions'!$C$34:$L$34,'Input Assumptions'!$C$36:$L$36)</f>
        <v>1900</v>
      </c>
      <c r="R22" s="59">
        <f>$N$3*_xlfn.XLOOKUP(R$1,'Input Assumptions'!$C$34:$L$34,'Input Assumptions'!$C$36:$L$36)</f>
        <v>1900</v>
      </c>
      <c r="S22" s="59">
        <f>$N$3*_xlfn.XLOOKUP(S$1,'Input Assumptions'!$C$34:$L$34,'Input Assumptions'!$C$36:$L$36)</f>
        <v>1900</v>
      </c>
      <c r="T22" s="59">
        <f>$N$3*_xlfn.XLOOKUP(T$1,'Input Assumptions'!$C$34:$L$34,'Input Assumptions'!$C$36:$L$36)</f>
        <v>1900</v>
      </c>
      <c r="U22" s="59">
        <f>$N$3*_xlfn.XLOOKUP(U$1,'Input Assumptions'!$C$34:$L$34,'Input Assumptions'!$C$36:$L$36)</f>
        <v>1900</v>
      </c>
      <c r="V22" s="59">
        <f>$N$3*_xlfn.XLOOKUP(V$1,'Input Assumptions'!$C$34:$L$34,'Input Assumptions'!$C$36:$L$36)</f>
        <v>1900</v>
      </c>
      <c r="W22" s="59">
        <f>$N$3*_xlfn.XLOOKUP(W$1,'Input Assumptions'!$C$34:$L$34,'Input Assumptions'!$C$36:$L$36)</f>
        <v>1900</v>
      </c>
      <c r="X22" s="59">
        <f>$N$3*_xlfn.XLOOKUP(X$1,'Input Assumptions'!$C$34:$L$34,'Input Assumptions'!$C$36:$L$36)</f>
        <v>1900</v>
      </c>
      <c r="Y22" s="59">
        <f>$N$3*_xlfn.XLOOKUP(Y$1,'Input Assumptions'!$C$34:$L$34,'Input Assumptions'!$C$36:$L$36)</f>
        <v>1900</v>
      </c>
      <c r="Z22" s="59">
        <f>$N$3*_xlfn.XLOOKUP(Z$1,'Input Assumptions'!$C$34:$L$34,'Input Assumptions'!$C$36:$L$36)</f>
        <v>1971.2500000000002</v>
      </c>
      <c r="AA22" s="59">
        <f>$N$3*_xlfn.XLOOKUP(AA$1,'Input Assumptions'!$C$34:$L$34,'Input Assumptions'!$C$36:$L$36)</f>
        <v>1971.2500000000002</v>
      </c>
      <c r="AB22" s="59">
        <f>$N$3*_xlfn.XLOOKUP(AB$1,'Input Assumptions'!$C$34:$L$34,'Input Assumptions'!$C$36:$L$36)</f>
        <v>1971.2500000000002</v>
      </c>
      <c r="AC22" s="59">
        <f>$N$3*_xlfn.XLOOKUP(AC$1,'Input Assumptions'!$C$34:$L$34,'Input Assumptions'!$C$36:$L$36)</f>
        <v>1971.2500000000002</v>
      </c>
      <c r="AD22" s="59">
        <f>$N$3*_xlfn.XLOOKUP(AD$1,'Input Assumptions'!$C$34:$L$34,'Input Assumptions'!$C$36:$L$36)</f>
        <v>1971.2500000000002</v>
      </c>
      <c r="AE22" s="59">
        <f>$N$3*_xlfn.XLOOKUP(AE$1,'Input Assumptions'!$C$34:$L$34,'Input Assumptions'!$C$36:$L$36)</f>
        <v>1971.2500000000002</v>
      </c>
      <c r="AF22" s="59">
        <f>$N$3*_xlfn.XLOOKUP(AF$1,'Input Assumptions'!$C$34:$L$34,'Input Assumptions'!$C$36:$L$36)</f>
        <v>1971.2500000000002</v>
      </c>
      <c r="AG22" s="59">
        <f>$N$3*_xlfn.XLOOKUP(AG$1,'Input Assumptions'!$C$34:$L$34,'Input Assumptions'!$C$36:$L$36)</f>
        <v>1971.2500000000002</v>
      </c>
      <c r="AH22" s="59">
        <f>$N$3*_xlfn.XLOOKUP(AH$1,'Input Assumptions'!$C$34:$L$34,'Input Assumptions'!$C$36:$L$36)</f>
        <v>1971.2500000000002</v>
      </c>
      <c r="AI22" s="59">
        <f>$N$3*_xlfn.XLOOKUP(AI$1,'Input Assumptions'!$C$34:$L$34,'Input Assumptions'!$C$36:$L$36)</f>
        <v>1971.2500000000002</v>
      </c>
      <c r="AJ22" s="59">
        <f>$N$3*_xlfn.XLOOKUP(AJ$1,'Input Assumptions'!$C$34:$L$34,'Input Assumptions'!$C$36:$L$36)</f>
        <v>1971.2500000000002</v>
      </c>
      <c r="AK22" s="59">
        <f>$N$3*_xlfn.XLOOKUP(AK$1,'Input Assumptions'!$C$34:$L$34,'Input Assumptions'!$C$36:$L$36)</f>
        <v>1971.2500000000002</v>
      </c>
      <c r="AL22" s="59">
        <f>$N$3*_xlfn.XLOOKUP(AL$1,'Input Assumptions'!$C$34:$L$34,'Input Assumptions'!$C$36:$L$36)</f>
        <v>2045.1718750000005</v>
      </c>
      <c r="AM22" s="59">
        <f>$N$3*_xlfn.XLOOKUP(AM$1,'Input Assumptions'!$C$34:$L$34,'Input Assumptions'!$C$36:$L$36)</f>
        <v>2045.1718750000005</v>
      </c>
      <c r="AN22" s="59">
        <f>$N$3*_xlfn.XLOOKUP(AN$1,'Input Assumptions'!$C$34:$L$34,'Input Assumptions'!$C$36:$L$36)</f>
        <v>2045.1718750000005</v>
      </c>
      <c r="AO22" s="59">
        <f>$N$3*_xlfn.XLOOKUP(AO$1,'Input Assumptions'!$C$34:$L$34,'Input Assumptions'!$C$36:$L$36)</f>
        <v>2045.1718750000005</v>
      </c>
      <c r="AP22" s="59">
        <f>$N$3*_xlfn.XLOOKUP(AP$1,'Input Assumptions'!$C$34:$L$34,'Input Assumptions'!$C$36:$L$36)</f>
        <v>2045.1718750000005</v>
      </c>
      <c r="AQ22" s="59">
        <f>$N$3*_xlfn.XLOOKUP(AQ$1,'Input Assumptions'!$C$34:$L$34,'Input Assumptions'!$C$36:$L$36)</f>
        <v>2045.1718750000005</v>
      </c>
      <c r="AR22" s="59">
        <f>$N$3*_xlfn.XLOOKUP(AR$1,'Input Assumptions'!$C$34:$L$34,'Input Assumptions'!$C$36:$L$36)</f>
        <v>2045.1718750000005</v>
      </c>
      <c r="AS22" s="59">
        <f>$N$3*_xlfn.XLOOKUP(AS$1,'Input Assumptions'!$C$34:$L$34,'Input Assumptions'!$C$36:$L$36)</f>
        <v>2045.1718750000005</v>
      </c>
      <c r="AT22" s="59">
        <f>$N$3*_xlfn.XLOOKUP(AT$1,'Input Assumptions'!$C$34:$L$34,'Input Assumptions'!$C$36:$L$36)</f>
        <v>2045.1718750000005</v>
      </c>
      <c r="AU22" s="59">
        <f>$N$3*_xlfn.XLOOKUP(AU$1,'Input Assumptions'!$C$34:$L$34,'Input Assumptions'!$C$36:$L$36)</f>
        <v>2045.1718750000005</v>
      </c>
      <c r="AV22" s="59">
        <f>$N$3*_xlfn.XLOOKUP(AV$1,'Input Assumptions'!$C$34:$L$34,'Input Assumptions'!$C$36:$L$36)</f>
        <v>2045.1718750000005</v>
      </c>
      <c r="AW22" s="59">
        <f>$N$3*_xlfn.XLOOKUP(AW$1,'Input Assumptions'!$C$34:$L$34,'Input Assumptions'!$C$36:$L$36)</f>
        <v>2045.1718750000005</v>
      </c>
      <c r="AX22" s="59">
        <f>$N$3*_xlfn.XLOOKUP(AX$1,'Input Assumptions'!$C$34:$L$34,'Input Assumptions'!$C$36:$L$36)</f>
        <v>2121.8658203125005</v>
      </c>
      <c r="AY22" s="59">
        <f>$N$3*_xlfn.XLOOKUP(AY$1,'Input Assumptions'!$C$34:$L$34,'Input Assumptions'!$C$36:$L$36)</f>
        <v>2121.8658203125005</v>
      </c>
      <c r="AZ22" s="59">
        <f>$N$3*_xlfn.XLOOKUP(AZ$1,'Input Assumptions'!$C$34:$L$34,'Input Assumptions'!$C$36:$L$36)</f>
        <v>2121.8658203125005</v>
      </c>
      <c r="BA22" s="59">
        <f>$N$3*_xlfn.XLOOKUP(BA$1,'Input Assumptions'!$C$34:$L$34,'Input Assumptions'!$C$36:$L$36)</f>
        <v>2121.8658203125005</v>
      </c>
      <c r="BB22" s="59">
        <f>$N$3*_xlfn.XLOOKUP(BB$1,'Input Assumptions'!$C$34:$L$34,'Input Assumptions'!$C$36:$L$36)</f>
        <v>2121.8658203125005</v>
      </c>
      <c r="BC22" s="59">
        <f>$N$3*_xlfn.XLOOKUP(BC$1,'Input Assumptions'!$C$34:$L$34,'Input Assumptions'!$C$36:$L$36)</f>
        <v>2121.8658203125005</v>
      </c>
      <c r="BD22" s="59">
        <f>$N$3*_xlfn.XLOOKUP(BD$1,'Input Assumptions'!$C$34:$L$34,'Input Assumptions'!$C$36:$L$36)</f>
        <v>2121.8658203125005</v>
      </c>
      <c r="BE22" s="59">
        <f>$N$3*_xlfn.XLOOKUP(BE$1,'Input Assumptions'!$C$34:$L$34,'Input Assumptions'!$C$36:$L$36)</f>
        <v>2121.8658203125005</v>
      </c>
      <c r="BF22" s="59">
        <f>$N$3*_xlfn.XLOOKUP(BF$1,'Input Assumptions'!$C$34:$L$34,'Input Assumptions'!$C$36:$L$36)</f>
        <v>2121.8658203125005</v>
      </c>
      <c r="BG22" s="59">
        <f>$N$3*_xlfn.XLOOKUP(BG$1,'Input Assumptions'!$C$34:$L$34,'Input Assumptions'!$C$36:$L$36)</f>
        <v>2121.8658203125005</v>
      </c>
      <c r="BH22" s="59">
        <f>$N$3*_xlfn.XLOOKUP(BH$1,'Input Assumptions'!$C$34:$L$34,'Input Assumptions'!$C$36:$L$36)</f>
        <v>2121.8658203125005</v>
      </c>
      <c r="BI22" s="59">
        <f>$N$3*_xlfn.XLOOKUP(BI$1,'Input Assumptions'!$C$34:$L$34,'Input Assumptions'!$C$36:$L$36)</f>
        <v>2121.8658203125005</v>
      </c>
      <c r="BJ22" s="59">
        <f>$N$3*_xlfn.XLOOKUP(BJ$1,'Input Assumptions'!$C$34:$L$34,'Input Assumptions'!$C$36:$L$36)</f>
        <v>2201.4357885742193</v>
      </c>
      <c r="BK22" s="59">
        <f>$N$3*_xlfn.XLOOKUP(BK$1,'Input Assumptions'!$C$34:$L$34,'Input Assumptions'!$C$36:$L$36)</f>
        <v>2201.4357885742193</v>
      </c>
      <c r="BL22" s="59">
        <f>$N$3*_xlfn.XLOOKUP(BL$1,'Input Assumptions'!$C$34:$L$34,'Input Assumptions'!$C$36:$L$36)</f>
        <v>2201.4357885742193</v>
      </c>
      <c r="BM22" s="59">
        <f>$N$3*_xlfn.XLOOKUP(BM$1,'Input Assumptions'!$C$34:$L$34,'Input Assumptions'!$C$36:$L$36)</f>
        <v>2201.4357885742193</v>
      </c>
      <c r="BN22" s="59">
        <f>$N$3*_xlfn.XLOOKUP(BN$1,'Input Assumptions'!$C$34:$L$34,'Input Assumptions'!$C$36:$L$36)</f>
        <v>2201.4357885742193</v>
      </c>
      <c r="BO22" s="59">
        <f>$N$3*_xlfn.XLOOKUP(BO$1,'Input Assumptions'!$C$34:$L$34,'Input Assumptions'!$C$36:$L$36)</f>
        <v>2201.4357885742193</v>
      </c>
      <c r="BP22" s="59">
        <f>$N$3*_xlfn.XLOOKUP(BP$1,'Input Assumptions'!$C$34:$L$34,'Input Assumptions'!$C$36:$L$36)</f>
        <v>2201.4357885742193</v>
      </c>
      <c r="BQ22" s="59">
        <f>$N$3*_xlfn.XLOOKUP(BQ$1,'Input Assumptions'!$C$34:$L$34,'Input Assumptions'!$C$36:$L$36)</f>
        <v>2201.4357885742193</v>
      </c>
      <c r="BR22" s="59">
        <f>$N$3*_xlfn.XLOOKUP(BR$1,'Input Assumptions'!$C$34:$L$34,'Input Assumptions'!$C$36:$L$36)</f>
        <v>2201.4357885742193</v>
      </c>
      <c r="BS22" s="59">
        <f>$N$3*_xlfn.XLOOKUP(BS$1,'Input Assumptions'!$C$34:$L$34,'Input Assumptions'!$C$36:$L$36)</f>
        <v>2201.4357885742193</v>
      </c>
      <c r="BT22" s="59">
        <f>$N$3*_xlfn.XLOOKUP(BT$1,'Input Assumptions'!$C$34:$L$34,'Input Assumptions'!$C$36:$L$36)</f>
        <v>2201.4357885742193</v>
      </c>
      <c r="BU22" s="59">
        <f>$N$3*_xlfn.XLOOKUP(BU$1,'Input Assumptions'!$C$34:$L$34,'Input Assumptions'!$C$36:$L$36)</f>
        <v>2201.4357885742193</v>
      </c>
      <c r="BV22" s="59">
        <f>$N$3*_xlfn.XLOOKUP(BV$1,'Input Assumptions'!$C$34:$L$34,'Input Assumptions'!$C$36:$L$36)</f>
        <v>2283.9896306457531</v>
      </c>
      <c r="BW22" s="59">
        <f>$N$3*_xlfn.XLOOKUP(BW$1,'Input Assumptions'!$C$34:$L$34,'Input Assumptions'!$C$36:$L$36)</f>
        <v>1900</v>
      </c>
      <c r="BX22" s="59">
        <f>$N$3*_xlfn.XLOOKUP(BX$1,'Input Assumptions'!$C$34:$L$34,'Input Assumptions'!$C$36:$L$36)</f>
        <v>1900</v>
      </c>
      <c r="BY22" s="59">
        <f>$N$3*_xlfn.XLOOKUP(BY$1,'Input Assumptions'!$C$34:$L$34,'Input Assumptions'!$C$36:$L$36)</f>
        <v>1900</v>
      </c>
      <c r="BZ22" s="59">
        <f>$N$3*_xlfn.XLOOKUP(BZ$1,'Input Assumptions'!$C$34:$L$34,'Input Assumptions'!$C$36:$L$36)</f>
        <v>1900</v>
      </c>
      <c r="CA22" s="59">
        <f>$N$3*_xlfn.XLOOKUP(CA$1,'Input Assumptions'!$C$34:$L$34,'Input Assumptions'!$C$36:$L$36)</f>
        <v>1900</v>
      </c>
      <c r="CB22" s="59">
        <f>$N$3*_xlfn.XLOOKUP(CB$1,'Input Assumptions'!$C$34:$L$34,'Input Assumptions'!$C$36:$L$36)</f>
        <v>1900</v>
      </c>
      <c r="CC22" s="59">
        <f>$N$3*_xlfn.XLOOKUP(CC$1,'Input Assumptions'!$C$34:$L$34,'Input Assumptions'!$C$36:$L$36)</f>
        <v>1900</v>
      </c>
      <c r="CD22" s="59">
        <f>$N$3*_xlfn.XLOOKUP(CD$1,'Input Assumptions'!$C$34:$L$34,'Input Assumptions'!$C$36:$L$36)</f>
        <v>1900</v>
      </c>
      <c r="CE22" s="59">
        <f>$N$3*_xlfn.XLOOKUP(CE$1,'Input Assumptions'!$C$34:$L$34,'Input Assumptions'!$C$36:$L$36)</f>
        <v>1900</v>
      </c>
      <c r="CF22" s="59">
        <f>$N$3*_xlfn.XLOOKUP(CF$1,'Input Assumptions'!$C$34:$L$34,'Input Assumptions'!$C$36:$L$36)</f>
        <v>1900</v>
      </c>
      <c r="CG22" s="59">
        <f>$N$3*_xlfn.XLOOKUP(CG$1,'Input Assumptions'!$C$34:$L$34,'Input Assumptions'!$C$36:$L$36)</f>
        <v>1900</v>
      </c>
      <c r="CH22" s="59">
        <f>$N$3*_xlfn.XLOOKUP(CH$1,'Input Assumptions'!$C$34:$L$34,'Input Assumptions'!$C$36:$L$36)</f>
        <v>1900</v>
      </c>
      <c r="CI22" s="59">
        <f>$N$3*_xlfn.XLOOKUP(CI$1,'Input Assumptions'!$C$34:$L$34,'Input Assumptions'!$C$36:$L$36)</f>
        <v>1971.2500000000002</v>
      </c>
      <c r="CJ22" s="59">
        <f>$N$3*_xlfn.XLOOKUP(CJ$1,'Input Assumptions'!$C$34:$L$34,'Input Assumptions'!$C$36:$L$36)</f>
        <v>1971.2500000000002</v>
      </c>
      <c r="CK22" s="59">
        <f>$N$3*_xlfn.XLOOKUP(CK$1,'Input Assumptions'!$C$34:$L$34,'Input Assumptions'!$C$36:$L$36)</f>
        <v>1971.2500000000002</v>
      </c>
      <c r="CL22" s="59">
        <f>$N$3*_xlfn.XLOOKUP(CL$1,'Input Assumptions'!$C$34:$L$34,'Input Assumptions'!$C$36:$L$36)</f>
        <v>1971.2500000000002</v>
      </c>
      <c r="CM22" s="59">
        <f>$N$3*_xlfn.XLOOKUP(CM$1,'Input Assumptions'!$C$34:$L$34,'Input Assumptions'!$C$36:$L$36)</f>
        <v>1971.2500000000002</v>
      </c>
      <c r="CN22" s="59">
        <f>$N$3*_xlfn.XLOOKUP(CN$1,'Input Assumptions'!$C$34:$L$34,'Input Assumptions'!$C$36:$L$36)</f>
        <v>1971.2500000000002</v>
      </c>
      <c r="CO22" s="59">
        <f>$N$3*_xlfn.XLOOKUP(CO$1,'Input Assumptions'!$C$34:$L$34,'Input Assumptions'!$C$36:$L$36)</f>
        <v>1971.2500000000002</v>
      </c>
      <c r="CP22" s="59">
        <f>$N$3*_xlfn.XLOOKUP(CP$1,'Input Assumptions'!$C$34:$L$34,'Input Assumptions'!$C$36:$L$36)</f>
        <v>1971.2500000000002</v>
      </c>
      <c r="CQ22" s="59">
        <f>$N$3*_xlfn.XLOOKUP(CQ$1,'Input Assumptions'!$C$34:$L$34,'Input Assumptions'!$C$36:$L$36)</f>
        <v>1971.2500000000002</v>
      </c>
      <c r="CR22" s="59">
        <f>$N$3*_xlfn.XLOOKUP(CR$1,'Input Assumptions'!$C$34:$L$34,'Input Assumptions'!$C$36:$L$36)</f>
        <v>1971.2500000000002</v>
      </c>
      <c r="CS22" s="59">
        <f>$N$3*_xlfn.XLOOKUP(CS$1,'Input Assumptions'!$C$34:$L$34,'Input Assumptions'!$C$36:$L$36)</f>
        <v>1971.2500000000002</v>
      </c>
      <c r="CT22" s="59">
        <f>$N$3*_xlfn.XLOOKUP(CT$1,'Input Assumptions'!$C$34:$L$34,'Input Assumptions'!$C$36:$L$36)</f>
        <v>1971.2500000000002</v>
      </c>
      <c r="CU22" s="59">
        <f>$N$3*_xlfn.XLOOKUP(CU$1,'Input Assumptions'!$C$34:$L$34,'Input Assumptions'!$C$36:$L$36)</f>
        <v>2045.1718750000005</v>
      </c>
      <c r="CV22" s="59">
        <f>$N$3*_xlfn.XLOOKUP(CV$1,'Input Assumptions'!$C$34:$L$34,'Input Assumptions'!$C$36:$L$36)</f>
        <v>2045.1718750000005</v>
      </c>
      <c r="CW22" s="59">
        <f>$N$3*_xlfn.XLOOKUP(CW$1,'Input Assumptions'!$C$34:$L$34,'Input Assumptions'!$C$36:$L$36)</f>
        <v>2045.1718750000005</v>
      </c>
      <c r="CX22" s="59">
        <f>$N$3*_xlfn.XLOOKUP(CX$1,'Input Assumptions'!$C$34:$L$34,'Input Assumptions'!$C$36:$L$36)</f>
        <v>2045.1718750000005</v>
      </c>
      <c r="CY22" s="59">
        <f>$N$3*_xlfn.XLOOKUP(CY$1,'Input Assumptions'!$C$34:$L$34,'Input Assumptions'!$C$36:$L$36)</f>
        <v>2045.1718750000005</v>
      </c>
      <c r="CZ22" s="59">
        <f>$N$3*_xlfn.XLOOKUP(CZ$1,'Input Assumptions'!$C$34:$L$34,'Input Assumptions'!$C$36:$L$36)</f>
        <v>2045.1718750000005</v>
      </c>
      <c r="DA22" s="59">
        <f>$N$3*_xlfn.XLOOKUP(DA$1,'Input Assumptions'!$C$34:$L$34,'Input Assumptions'!$C$36:$L$36)</f>
        <v>2045.1718750000005</v>
      </c>
      <c r="DB22" s="59">
        <f>$N$3*_xlfn.XLOOKUP(DB$1,'Input Assumptions'!$C$34:$L$34,'Input Assumptions'!$C$36:$L$36)</f>
        <v>2045.1718750000005</v>
      </c>
      <c r="DC22" s="59">
        <f>$N$3*_xlfn.XLOOKUP(DC$1,'Input Assumptions'!$C$34:$L$34,'Input Assumptions'!$C$36:$L$36)</f>
        <v>2045.1718750000005</v>
      </c>
      <c r="DD22" s="59">
        <f>$N$3*_xlfn.XLOOKUP(DD$1,'Input Assumptions'!$C$34:$L$34,'Input Assumptions'!$C$36:$L$36)</f>
        <v>2045.1718750000005</v>
      </c>
      <c r="DE22" s="59">
        <f>$N$3*_xlfn.XLOOKUP(DE$1,'Input Assumptions'!$C$34:$L$34,'Input Assumptions'!$C$36:$L$36)</f>
        <v>2045.1718750000005</v>
      </c>
      <c r="DF22" s="59">
        <f>$N$3*_xlfn.XLOOKUP(DF$1,'Input Assumptions'!$C$34:$L$34,'Input Assumptions'!$C$36:$L$36)</f>
        <v>2045.1718750000005</v>
      </c>
      <c r="DG22" s="59">
        <f>$N$3*_xlfn.XLOOKUP(DG$1,'Input Assumptions'!$C$34:$L$34,'Input Assumptions'!$C$36:$L$36)</f>
        <v>2121.8658203125005</v>
      </c>
      <c r="DH22" s="59">
        <f>$N$3*_xlfn.XLOOKUP(DH$1,'Input Assumptions'!$C$34:$L$34,'Input Assumptions'!$C$36:$L$36)</f>
        <v>2121.8658203125005</v>
      </c>
      <c r="DI22" s="59">
        <f>$N$3*_xlfn.XLOOKUP(DI$1,'Input Assumptions'!$C$34:$L$34,'Input Assumptions'!$C$36:$L$36)</f>
        <v>2121.8658203125005</v>
      </c>
      <c r="DJ22" s="59">
        <f>$N$3*_xlfn.XLOOKUP(DJ$1,'Input Assumptions'!$C$34:$L$34,'Input Assumptions'!$C$36:$L$36)</f>
        <v>2121.8658203125005</v>
      </c>
      <c r="DK22" s="59">
        <f>$N$3*_xlfn.XLOOKUP(DK$1,'Input Assumptions'!$C$34:$L$34,'Input Assumptions'!$C$36:$L$36)</f>
        <v>2121.8658203125005</v>
      </c>
      <c r="DL22" s="59">
        <f>$N$3*_xlfn.XLOOKUP(DL$1,'Input Assumptions'!$C$34:$L$34,'Input Assumptions'!$C$36:$L$36)</f>
        <v>2121.8658203125005</v>
      </c>
      <c r="DM22" s="59">
        <f>$N$3*_xlfn.XLOOKUP(DM$1,'Input Assumptions'!$C$34:$L$34,'Input Assumptions'!$C$36:$L$36)</f>
        <v>2121.8658203125005</v>
      </c>
      <c r="DN22" s="59">
        <f>$N$3*_xlfn.XLOOKUP(DN$1,'Input Assumptions'!$C$34:$L$34,'Input Assumptions'!$C$36:$L$36)</f>
        <v>2121.8658203125005</v>
      </c>
      <c r="DO22" s="59">
        <f>$N$3*_xlfn.XLOOKUP(DO$1,'Input Assumptions'!$C$34:$L$34,'Input Assumptions'!$C$36:$L$36)</f>
        <v>2121.8658203125005</v>
      </c>
      <c r="DP22" s="59">
        <f>$N$3*_xlfn.XLOOKUP(DP$1,'Input Assumptions'!$C$34:$L$34,'Input Assumptions'!$C$36:$L$36)</f>
        <v>2121.8658203125005</v>
      </c>
      <c r="DQ22" s="59">
        <f>$N$3*_xlfn.XLOOKUP(DQ$1,'Input Assumptions'!$C$34:$L$34,'Input Assumptions'!$C$36:$L$36)</f>
        <v>2121.8658203125005</v>
      </c>
      <c r="DR22" s="59">
        <f>$N$3*_xlfn.XLOOKUP(DR$1,'Input Assumptions'!$C$34:$L$34,'Input Assumptions'!$C$36:$L$36)</f>
        <v>2121.8658203125005</v>
      </c>
      <c r="DS22" s="59">
        <f>$N$3*_xlfn.XLOOKUP(DS$1,'Input Assumptions'!$C$34:$L$34,'Input Assumptions'!$C$36:$L$36)</f>
        <v>2201.4357885742193</v>
      </c>
      <c r="DT22" s="59">
        <f>$N$3*_xlfn.XLOOKUP(DT$1,'Input Assumptions'!$C$34:$L$34,'Input Assumptions'!$C$36:$L$36)</f>
        <v>2201.4357885742193</v>
      </c>
      <c r="DU22" s="59">
        <f>$N$3*_xlfn.XLOOKUP(DU$1,'Input Assumptions'!$C$34:$L$34,'Input Assumptions'!$C$36:$L$36)</f>
        <v>2201.4357885742193</v>
      </c>
      <c r="DV22" s="59">
        <f>$N$3*_xlfn.XLOOKUP(DV$1,'Input Assumptions'!$C$34:$L$34,'Input Assumptions'!$C$36:$L$36)</f>
        <v>2201.4357885742193</v>
      </c>
      <c r="DW22" s="59">
        <f>$N$3*_xlfn.XLOOKUP(DW$1,'Input Assumptions'!$C$34:$L$34,'Input Assumptions'!$C$36:$L$36)</f>
        <v>2201.4357885742193</v>
      </c>
      <c r="DX22" s="59">
        <f>$N$3*_xlfn.XLOOKUP(DX$1,'Input Assumptions'!$C$34:$L$34,'Input Assumptions'!$C$36:$L$36)</f>
        <v>2201.4357885742193</v>
      </c>
      <c r="DY22" s="59">
        <f>$N$3*_xlfn.XLOOKUP(DY$1,'Input Assumptions'!$C$34:$L$34,'Input Assumptions'!$C$36:$L$36)</f>
        <v>2201.4357885742193</v>
      </c>
      <c r="DZ22" s="59">
        <f>$N$3*_xlfn.XLOOKUP(DZ$1,'Input Assumptions'!$C$34:$L$34,'Input Assumptions'!$C$36:$L$36)</f>
        <v>2201.4357885742193</v>
      </c>
      <c r="EA22" s="59">
        <f>$N$3*_xlfn.XLOOKUP(EA$1,'Input Assumptions'!$C$34:$L$34,'Input Assumptions'!$C$36:$L$36)</f>
        <v>2201.4357885742193</v>
      </c>
      <c r="EB22" s="59">
        <f>$N$3*_xlfn.XLOOKUP(EB$1,'Input Assumptions'!$C$34:$L$34,'Input Assumptions'!$C$36:$L$36)</f>
        <v>2201.4357885742193</v>
      </c>
      <c r="EC22" s="59">
        <f>$N$3*_xlfn.XLOOKUP(EC$1,'Input Assumptions'!$C$34:$L$34,'Input Assumptions'!$C$36:$L$36)</f>
        <v>2201.4357885742193</v>
      </c>
    </row>
    <row r="23" spans="2:133" x14ac:dyDescent="0.3">
      <c r="B23" s="15">
        <v>3</v>
      </c>
      <c r="C23" s="16">
        <v>21</v>
      </c>
      <c r="D23" s="16" t="s">
        <v>10</v>
      </c>
      <c r="E23" s="16">
        <v>450</v>
      </c>
      <c r="F23" s="20">
        <f t="shared" si="108"/>
        <v>41.80640845790095</v>
      </c>
      <c r="G23" s="19" t="str">
        <f t="shared" si="109"/>
        <v>1</v>
      </c>
      <c r="H23" s="20">
        <f t="shared" si="112"/>
        <v>1</v>
      </c>
      <c r="I23" s="18">
        <f t="shared" si="110"/>
        <v>1710</v>
      </c>
      <c r="J23" s="18">
        <f t="shared" si="111"/>
        <v>1900</v>
      </c>
      <c r="K23" s="18">
        <f>(J23*'Input Assumptions'!$C$20)+I23*('Input Assumptions'!$C$21)</f>
        <v>1900</v>
      </c>
      <c r="L23" s="94"/>
      <c r="N23" s="59">
        <f t="shared" si="113"/>
        <v>1900</v>
      </c>
      <c r="O23" s="59">
        <f>$N$3*_xlfn.XLOOKUP(O$1,'Input Assumptions'!$C$34:$L$34,'Input Assumptions'!$C$36:$L$36)</f>
        <v>1900</v>
      </c>
      <c r="P23" s="59">
        <f>$N$3*_xlfn.XLOOKUP(P$1,'Input Assumptions'!$C$34:$L$34,'Input Assumptions'!$C$36:$L$36)</f>
        <v>1900</v>
      </c>
      <c r="Q23" s="59">
        <f>$N$3*_xlfn.XLOOKUP(Q$1,'Input Assumptions'!$C$34:$L$34,'Input Assumptions'!$C$36:$L$36)</f>
        <v>1900</v>
      </c>
      <c r="R23" s="59">
        <f>$N$3*_xlfn.XLOOKUP(R$1,'Input Assumptions'!$C$34:$L$34,'Input Assumptions'!$C$36:$L$36)</f>
        <v>1900</v>
      </c>
      <c r="S23" s="59">
        <f>$N$3*_xlfn.XLOOKUP(S$1,'Input Assumptions'!$C$34:$L$34,'Input Assumptions'!$C$36:$L$36)</f>
        <v>1900</v>
      </c>
      <c r="T23" s="59">
        <f>$N$3*_xlfn.XLOOKUP(T$1,'Input Assumptions'!$C$34:$L$34,'Input Assumptions'!$C$36:$L$36)</f>
        <v>1900</v>
      </c>
      <c r="U23" s="59">
        <f>$N$3*_xlfn.XLOOKUP(U$1,'Input Assumptions'!$C$34:$L$34,'Input Assumptions'!$C$36:$L$36)</f>
        <v>1900</v>
      </c>
      <c r="V23" s="59">
        <f>$N$3*_xlfn.XLOOKUP(V$1,'Input Assumptions'!$C$34:$L$34,'Input Assumptions'!$C$36:$L$36)</f>
        <v>1900</v>
      </c>
      <c r="W23" s="59">
        <f>$N$3*_xlfn.XLOOKUP(W$1,'Input Assumptions'!$C$34:$L$34,'Input Assumptions'!$C$36:$L$36)</f>
        <v>1900</v>
      </c>
      <c r="X23" s="59">
        <f>$N$3*_xlfn.XLOOKUP(X$1,'Input Assumptions'!$C$34:$L$34,'Input Assumptions'!$C$36:$L$36)</f>
        <v>1900</v>
      </c>
      <c r="Y23" s="59">
        <f>$N$3*_xlfn.XLOOKUP(Y$1,'Input Assumptions'!$C$34:$L$34,'Input Assumptions'!$C$36:$L$36)</f>
        <v>1900</v>
      </c>
      <c r="Z23" s="59">
        <f>$N$3*_xlfn.XLOOKUP(Z$1,'Input Assumptions'!$C$34:$L$34,'Input Assumptions'!$C$36:$L$36)</f>
        <v>1971.2500000000002</v>
      </c>
      <c r="AA23" s="59">
        <f>$N$3*_xlfn.XLOOKUP(AA$1,'Input Assumptions'!$C$34:$L$34,'Input Assumptions'!$C$36:$L$36)</f>
        <v>1971.2500000000002</v>
      </c>
      <c r="AB23" s="59">
        <f>$N$3*_xlfn.XLOOKUP(AB$1,'Input Assumptions'!$C$34:$L$34,'Input Assumptions'!$C$36:$L$36)</f>
        <v>1971.2500000000002</v>
      </c>
      <c r="AC23" s="59">
        <f>$N$3*_xlfn.XLOOKUP(AC$1,'Input Assumptions'!$C$34:$L$34,'Input Assumptions'!$C$36:$L$36)</f>
        <v>1971.2500000000002</v>
      </c>
      <c r="AD23" s="59">
        <f>$N$3*_xlfn.XLOOKUP(AD$1,'Input Assumptions'!$C$34:$L$34,'Input Assumptions'!$C$36:$L$36)</f>
        <v>1971.2500000000002</v>
      </c>
      <c r="AE23" s="59">
        <f>$N$3*_xlfn.XLOOKUP(AE$1,'Input Assumptions'!$C$34:$L$34,'Input Assumptions'!$C$36:$L$36)</f>
        <v>1971.2500000000002</v>
      </c>
      <c r="AF23" s="59">
        <f>$N$3*_xlfn.XLOOKUP(AF$1,'Input Assumptions'!$C$34:$L$34,'Input Assumptions'!$C$36:$L$36)</f>
        <v>1971.2500000000002</v>
      </c>
      <c r="AG23" s="59">
        <f>$N$3*_xlfn.XLOOKUP(AG$1,'Input Assumptions'!$C$34:$L$34,'Input Assumptions'!$C$36:$L$36)</f>
        <v>1971.2500000000002</v>
      </c>
      <c r="AH23" s="59">
        <f>$N$3*_xlfn.XLOOKUP(AH$1,'Input Assumptions'!$C$34:$L$34,'Input Assumptions'!$C$36:$L$36)</f>
        <v>1971.2500000000002</v>
      </c>
      <c r="AI23" s="59">
        <f>$N$3*_xlfn.XLOOKUP(AI$1,'Input Assumptions'!$C$34:$L$34,'Input Assumptions'!$C$36:$L$36)</f>
        <v>1971.2500000000002</v>
      </c>
      <c r="AJ23" s="59">
        <f>$N$3*_xlfn.XLOOKUP(AJ$1,'Input Assumptions'!$C$34:$L$34,'Input Assumptions'!$C$36:$L$36)</f>
        <v>1971.2500000000002</v>
      </c>
      <c r="AK23" s="59">
        <f>$N$3*_xlfn.XLOOKUP(AK$1,'Input Assumptions'!$C$34:$L$34,'Input Assumptions'!$C$36:$L$36)</f>
        <v>1971.2500000000002</v>
      </c>
      <c r="AL23" s="59">
        <f>$N$3*_xlfn.XLOOKUP(AL$1,'Input Assumptions'!$C$34:$L$34,'Input Assumptions'!$C$36:$L$36)</f>
        <v>2045.1718750000005</v>
      </c>
      <c r="AM23" s="59">
        <f>$N$3*_xlfn.XLOOKUP(AM$1,'Input Assumptions'!$C$34:$L$34,'Input Assumptions'!$C$36:$L$36)</f>
        <v>2045.1718750000005</v>
      </c>
      <c r="AN23" s="59">
        <f>$N$3*_xlfn.XLOOKUP(AN$1,'Input Assumptions'!$C$34:$L$34,'Input Assumptions'!$C$36:$L$36)</f>
        <v>2045.1718750000005</v>
      </c>
      <c r="AO23" s="59">
        <f>$N$3*_xlfn.XLOOKUP(AO$1,'Input Assumptions'!$C$34:$L$34,'Input Assumptions'!$C$36:$L$36)</f>
        <v>2045.1718750000005</v>
      </c>
      <c r="AP23" s="59">
        <f>$N$3*_xlfn.XLOOKUP(AP$1,'Input Assumptions'!$C$34:$L$34,'Input Assumptions'!$C$36:$L$36)</f>
        <v>2045.1718750000005</v>
      </c>
      <c r="AQ23" s="59">
        <f>$N$3*_xlfn.XLOOKUP(AQ$1,'Input Assumptions'!$C$34:$L$34,'Input Assumptions'!$C$36:$L$36)</f>
        <v>2045.1718750000005</v>
      </c>
      <c r="AR23" s="59">
        <f>$N$3*_xlfn.XLOOKUP(AR$1,'Input Assumptions'!$C$34:$L$34,'Input Assumptions'!$C$36:$L$36)</f>
        <v>2045.1718750000005</v>
      </c>
      <c r="AS23" s="59">
        <f>$N$3*_xlfn.XLOOKUP(AS$1,'Input Assumptions'!$C$34:$L$34,'Input Assumptions'!$C$36:$L$36)</f>
        <v>2045.1718750000005</v>
      </c>
      <c r="AT23" s="59">
        <f>$N$3*_xlfn.XLOOKUP(AT$1,'Input Assumptions'!$C$34:$L$34,'Input Assumptions'!$C$36:$L$36)</f>
        <v>2045.1718750000005</v>
      </c>
      <c r="AU23" s="59">
        <f>$N$3*_xlfn.XLOOKUP(AU$1,'Input Assumptions'!$C$34:$L$34,'Input Assumptions'!$C$36:$L$36)</f>
        <v>2045.1718750000005</v>
      </c>
      <c r="AV23" s="59">
        <f>$N$3*_xlfn.XLOOKUP(AV$1,'Input Assumptions'!$C$34:$L$34,'Input Assumptions'!$C$36:$L$36)</f>
        <v>2045.1718750000005</v>
      </c>
      <c r="AW23" s="59">
        <f>$N$3*_xlfn.XLOOKUP(AW$1,'Input Assumptions'!$C$34:$L$34,'Input Assumptions'!$C$36:$L$36)</f>
        <v>2045.1718750000005</v>
      </c>
      <c r="AX23" s="59">
        <f>$N$3*_xlfn.XLOOKUP(AX$1,'Input Assumptions'!$C$34:$L$34,'Input Assumptions'!$C$36:$L$36)</f>
        <v>2121.8658203125005</v>
      </c>
      <c r="AY23" s="59">
        <f>$N$3*_xlfn.XLOOKUP(AY$1,'Input Assumptions'!$C$34:$L$34,'Input Assumptions'!$C$36:$L$36)</f>
        <v>2121.8658203125005</v>
      </c>
      <c r="AZ23" s="59">
        <f>$N$3*_xlfn.XLOOKUP(AZ$1,'Input Assumptions'!$C$34:$L$34,'Input Assumptions'!$C$36:$L$36)</f>
        <v>2121.8658203125005</v>
      </c>
      <c r="BA23" s="59">
        <f>$N$3*_xlfn.XLOOKUP(BA$1,'Input Assumptions'!$C$34:$L$34,'Input Assumptions'!$C$36:$L$36)</f>
        <v>2121.8658203125005</v>
      </c>
      <c r="BB23" s="59">
        <f>$N$3*_xlfn.XLOOKUP(BB$1,'Input Assumptions'!$C$34:$L$34,'Input Assumptions'!$C$36:$L$36)</f>
        <v>2121.8658203125005</v>
      </c>
      <c r="BC23" s="59">
        <f>$N$3*_xlfn.XLOOKUP(BC$1,'Input Assumptions'!$C$34:$L$34,'Input Assumptions'!$C$36:$L$36)</f>
        <v>2121.8658203125005</v>
      </c>
      <c r="BD23" s="59">
        <f>$N$3*_xlfn.XLOOKUP(BD$1,'Input Assumptions'!$C$34:$L$34,'Input Assumptions'!$C$36:$L$36)</f>
        <v>2121.8658203125005</v>
      </c>
      <c r="BE23" s="59">
        <f>$N$3*_xlfn.XLOOKUP(BE$1,'Input Assumptions'!$C$34:$L$34,'Input Assumptions'!$C$36:$L$36)</f>
        <v>2121.8658203125005</v>
      </c>
      <c r="BF23" s="59">
        <f>$N$3*_xlfn.XLOOKUP(BF$1,'Input Assumptions'!$C$34:$L$34,'Input Assumptions'!$C$36:$L$36)</f>
        <v>2121.8658203125005</v>
      </c>
      <c r="BG23" s="59">
        <f>$N$3*_xlfn.XLOOKUP(BG$1,'Input Assumptions'!$C$34:$L$34,'Input Assumptions'!$C$36:$L$36)</f>
        <v>2121.8658203125005</v>
      </c>
      <c r="BH23" s="59">
        <f>$N$3*_xlfn.XLOOKUP(BH$1,'Input Assumptions'!$C$34:$L$34,'Input Assumptions'!$C$36:$L$36)</f>
        <v>2121.8658203125005</v>
      </c>
      <c r="BI23" s="59">
        <f>$N$3*_xlfn.XLOOKUP(BI$1,'Input Assumptions'!$C$34:$L$34,'Input Assumptions'!$C$36:$L$36)</f>
        <v>2121.8658203125005</v>
      </c>
      <c r="BJ23" s="59">
        <f>$N$3*_xlfn.XLOOKUP(BJ$1,'Input Assumptions'!$C$34:$L$34,'Input Assumptions'!$C$36:$L$36)</f>
        <v>2201.4357885742193</v>
      </c>
      <c r="BK23" s="59">
        <f>$N$3*_xlfn.XLOOKUP(BK$1,'Input Assumptions'!$C$34:$L$34,'Input Assumptions'!$C$36:$L$36)</f>
        <v>2201.4357885742193</v>
      </c>
      <c r="BL23" s="59">
        <f>$N$3*_xlfn.XLOOKUP(BL$1,'Input Assumptions'!$C$34:$L$34,'Input Assumptions'!$C$36:$L$36)</f>
        <v>2201.4357885742193</v>
      </c>
      <c r="BM23" s="59">
        <f>$N$3*_xlfn.XLOOKUP(BM$1,'Input Assumptions'!$C$34:$L$34,'Input Assumptions'!$C$36:$L$36)</f>
        <v>2201.4357885742193</v>
      </c>
      <c r="BN23" s="59">
        <f>$N$3*_xlfn.XLOOKUP(BN$1,'Input Assumptions'!$C$34:$L$34,'Input Assumptions'!$C$36:$L$36)</f>
        <v>2201.4357885742193</v>
      </c>
      <c r="BO23" s="59">
        <f>$N$3*_xlfn.XLOOKUP(BO$1,'Input Assumptions'!$C$34:$L$34,'Input Assumptions'!$C$36:$L$36)</f>
        <v>2201.4357885742193</v>
      </c>
      <c r="BP23" s="59">
        <f>$N$3*_xlfn.XLOOKUP(BP$1,'Input Assumptions'!$C$34:$L$34,'Input Assumptions'!$C$36:$L$36)</f>
        <v>2201.4357885742193</v>
      </c>
      <c r="BQ23" s="59">
        <f>$N$3*_xlfn.XLOOKUP(BQ$1,'Input Assumptions'!$C$34:$L$34,'Input Assumptions'!$C$36:$L$36)</f>
        <v>2201.4357885742193</v>
      </c>
      <c r="BR23" s="59">
        <f>$N$3*_xlfn.XLOOKUP(BR$1,'Input Assumptions'!$C$34:$L$34,'Input Assumptions'!$C$36:$L$36)</f>
        <v>2201.4357885742193</v>
      </c>
      <c r="BS23" s="59">
        <f>$N$3*_xlfn.XLOOKUP(BS$1,'Input Assumptions'!$C$34:$L$34,'Input Assumptions'!$C$36:$L$36)</f>
        <v>2201.4357885742193</v>
      </c>
      <c r="BT23" s="59">
        <f>$N$3*_xlfn.XLOOKUP(BT$1,'Input Assumptions'!$C$34:$L$34,'Input Assumptions'!$C$36:$L$36)</f>
        <v>2201.4357885742193</v>
      </c>
      <c r="BU23" s="59">
        <f>$N$3*_xlfn.XLOOKUP(BU$1,'Input Assumptions'!$C$34:$L$34,'Input Assumptions'!$C$36:$L$36)</f>
        <v>2201.4357885742193</v>
      </c>
      <c r="BV23" s="59">
        <f>$N$3*_xlfn.XLOOKUP(BV$1,'Input Assumptions'!$C$34:$L$34,'Input Assumptions'!$C$36:$L$36)</f>
        <v>2283.9896306457531</v>
      </c>
      <c r="BW23" s="59">
        <f>$N$3*_xlfn.XLOOKUP(BW$1,'Input Assumptions'!$C$34:$L$34,'Input Assumptions'!$C$36:$L$36)</f>
        <v>1900</v>
      </c>
      <c r="BX23" s="59">
        <f>$N$3*_xlfn.XLOOKUP(BX$1,'Input Assumptions'!$C$34:$L$34,'Input Assumptions'!$C$36:$L$36)</f>
        <v>1900</v>
      </c>
      <c r="BY23" s="59">
        <f>$N$3*_xlfn.XLOOKUP(BY$1,'Input Assumptions'!$C$34:$L$34,'Input Assumptions'!$C$36:$L$36)</f>
        <v>1900</v>
      </c>
      <c r="BZ23" s="59">
        <f>$N$3*_xlfn.XLOOKUP(BZ$1,'Input Assumptions'!$C$34:$L$34,'Input Assumptions'!$C$36:$L$36)</f>
        <v>1900</v>
      </c>
      <c r="CA23" s="59">
        <f>$N$3*_xlfn.XLOOKUP(CA$1,'Input Assumptions'!$C$34:$L$34,'Input Assumptions'!$C$36:$L$36)</f>
        <v>1900</v>
      </c>
      <c r="CB23" s="59">
        <f>$N$3*_xlfn.XLOOKUP(CB$1,'Input Assumptions'!$C$34:$L$34,'Input Assumptions'!$C$36:$L$36)</f>
        <v>1900</v>
      </c>
      <c r="CC23" s="59">
        <f>$N$3*_xlfn.XLOOKUP(CC$1,'Input Assumptions'!$C$34:$L$34,'Input Assumptions'!$C$36:$L$36)</f>
        <v>1900</v>
      </c>
      <c r="CD23" s="59">
        <f>$N$3*_xlfn.XLOOKUP(CD$1,'Input Assumptions'!$C$34:$L$34,'Input Assumptions'!$C$36:$L$36)</f>
        <v>1900</v>
      </c>
      <c r="CE23" s="59">
        <f>$N$3*_xlfn.XLOOKUP(CE$1,'Input Assumptions'!$C$34:$L$34,'Input Assumptions'!$C$36:$L$36)</f>
        <v>1900</v>
      </c>
      <c r="CF23" s="59">
        <f>$N$3*_xlfn.XLOOKUP(CF$1,'Input Assumptions'!$C$34:$L$34,'Input Assumptions'!$C$36:$L$36)</f>
        <v>1900</v>
      </c>
      <c r="CG23" s="59">
        <f>$N$3*_xlfn.XLOOKUP(CG$1,'Input Assumptions'!$C$34:$L$34,'Input Assumptions'!$C$36:$L$36)</f>
        <v>1900</v>
      </c>
      <c r="CH23" s="59">
        <f>$N$3*_xlfn.XLOOKUP(CH$1,'Input Assumptions'!$C$34:$L$34,'Input Assumptions'!$C$36:$L$36)</f>
        <v>1900</v>
      </c>
      <c r="CI23" s="59">
        <f>$N$3*_xlfn.XLOOKUP(CI$1,'Input Assumptions'!$C$34:$L$34,'Input Assumptions'!$C$36:$L$36)</f>
        <v>1971.2500000000002</v>
      </c>
      <c r="CJ23" s="59">
        <f>$N$3*_xlfn.XLOOKUP(CJ$1,'Input Assumptions'!$C$34:$L$34,'Input Assumptions'!$C$36:$L$36)</f>
        <v>1971.2500000000002</v>
      </c>
      <c r="CK23" s="59">
        <f>$N$3*_xlfn.XLOOKUP(CK$1,'Input Assumptions'!$C$34:$L$34,'Input Assumptions'!$C$36:$L$36)</f>
        <v>1971.2500000000002</v>
      </c>
      <c r="CL23" s="59">
        <f>$N$3*_xlfn.XLOOKUP(CL$1,'Input Assumptions'!$C$34:$L$34,'Input Assumptions'!$C$36:$L$36)</f>
        <v>1971.2500000000002</v>
      </c>
      <c r="CM23" s="59">
        <f>$N$3*_xlfn.XLOOKUP(CM$1,'Input Assumptions'!$C$34:$L$34,'Input Assumptions'!$C$36:$L$36)</f>
        <v>1971.2500000000002</v>
      </c>
      <c r="CN23" s="59">
        <f>$N$3*_xlfn.XLOOKUP(CN$1,'Input Assumptions'!$C$34:$L$34,'Input Assumptions'!$C$36:$L$36)</f>
        <v>1971.2500000000002</v>
      </c>
      <c r="CO23" s="59">
        <f>$N$3*_xlfn.XLOOKUP(CO$1,'Input Assumptions'!$C$34:$L$34,'Input Assumptions'!$C$36:$L$36)</f>
        <v>1971.2500000000002</v>
      </c>
      <c r="CP23" s="59">
        <f>$N$3*_xlfn.XLOOKUP(CP$1,'Input Assumptions'!$C$34:$L$34,'Input Assumptions'!$C$36:$L$36)</f>
        <v>1971.2500000000002</v>
      </c>
      <c r="CQ23" s="59">
        <f>$N$3*_xlfn.XLOOKUP(CQ$1,'Input Assumptions'!$C$34:$L$34,'Input Assumptions'!$C$36:$L$36)</f>
        <v>1971.2500000000002</v>
      </c>
      <c r="CR23" s="59">
        <f>$N$3*_xlfn.XLOOKUP(CR$1,'Input Assumptions'!$C$34:$L$34,'Input Assumptions'!$C$36:$L$36)</f>
        <v>1971.2500000000002</v>
      </c>
      <c r="CS23" s="59">
        <f>$N$3*_xlfn.XLOOKUP(CS$1,'Input Assumptions'!$C$34:$L$34,'Input Assumptions'!$C$36:$L$36)</f>
        <v>1971.2500000000002</v>
      </c>
      <c r="CT23" s="59">
        <f>$N$3*_xlfn.XLOOKUP(CT$1,'Input Assumptions'!$C$34:$L$34,'Input Assumptions'!$C$36:$L$36)</f>
        <v>1971.2500000000002</v>
      </c>
      <c r="CU23" s="59">
        <f>$N$3*_xlfn.XLOOKUP(CU$1,'Input Assumptions'!$C$34:$L$34,'Input Assumptions'!$C$36:$L$36)</f>
        <v>2045.1718750000005</v>
      </c>
      <c r="CV23" s="59">
        <f>$N$3*_xlfn.XLOOKUP(CV$1,'Input Assumptions'!$C$34:$L$34,'Input Assumptions'!$C$36:$L$36)</f>
        <v>2045.1718750000005</v>
      </c>
      <c r="CW23" s="59">
        <f>$N$3*_xlfn.XLOOKUP(CW$1,'Input Assumptions'!$C$34:$L$34,'Input Assumptions'!$C$36:$L$36)</f>
        <v>2045.1718750000005</v>
      </c>
      <c r="CX23" s="59">
        <f>$N$3*_xlfn.XLOOKUP(CX$1,'Input Assumptions'!$C$34:$L$34,'Input Assumptions'!$C$36:$L$36)</f>
        <v>2045.1718750000005</v>
      </c>
      <c r="CY23" s="59">
        <f>$N$3*_xlfn.XLOOKUP(CY$1,'Input Assumptions'!$C$34:$L$34,'Input Assumptions'!$C$36:$L$36)</f>
        <v>2045.1718750000005</v>
      </c>
      <c r="CZ23" s="59">
        <f>$N$3*_xlfn.XLOOKUP(CZ$1,'Input Assumptions'!$C$34:$L$34,'Input Assumptions'!$C$36:$L$36)</f>
        <v>2045.1718750000005</v>
      </c>
      <c r="DA23" s="59">
        <f>$N$3*_xlfn.XLOOKUP(DA$1,'Input Assumptions'!$C$34:$L$34,'Input Assumptions'!$C$36:$L$36)</f>
        <v>2045.1718750000005</v>
      </c>
      <c r="DB23" s="59">
        <f>$N$3*_xlfn.XLOOKUP(DB$1,'Input Assumptions'!$C$34:$L$34,'Input Assumptions'!$C$36:$L$36)</f>
        <v>2045.1718750000005</v>
      </c>
      <c r="DC23" s="59">
        <f>$N$3*_xlfn.XLOOKUP(DC$1,'Input Assumptions'!$C$34:$L$34,'Input Assumptions'!$C$36:$L$36)</f>
        <v>2045.1718750000005</v>
      </c>
      <c r="DD23" s="59">
        <f>$N$3*_xlfn.XLOOKUP(DD$1,'Input Assumptions'!$C$34:$L$34,'Input Assumptions'!$C$36:$L$36)</f>
        <v>2045.1718750000005</v>
      </c>
      <c r="DE23" s="59">
        <f>$N$3*_xlfn.XLOOKUP(DE$1,'Input Assumptions'!$C$34:$L$34,'Input Assumptions'!$C$36:$L$36)</f>
        <v>2045.1718750000005</v>
      </c>
      <c r="DF23" s="59">
        <f>$N$3*_xlfn.XLOOKUP(DF$1,'Input Assumptions'!$C$34:$L$34,'Input Assumptions'!$C$36:$L$36)</f>
        <v>2045.1718750000005</v>
      </c>
      <c r="DG23" s="59">
        <f>$N$3*_xlfn.XLOOKUP(DG$1,'Input Assumptions'!$C$34:$L$34,'Input Assumptions'!$C$36:$L$36)</f>
        <v>2121.8658203125005</v>
      </c>
      <c r="DH23" s="59">
        <f>$N$3*_xlfn.XLOOKUP(DH$1,'Input Assumptions'!$C$34:$L$34,'Input Assumptions'!$C$36:$L$36)</f>
        <v>2121.8658203125005</v>
      </c>
      <c r="DI23" s="59">
        <f>$N$3*_xlfn.XLOOKUP(DI$1,'Input Assumptions'!$C$34:$L$34,'Input Assumptions'!$C$36:$L$36)</f>
        <v>2121.8658203125005</v>
      </c>
      <c r="DJ23" s="59">
        <f>$N$3*_xlfn.XLOOKUP(DJ$1,'Input Assumptions'!$C$34:$L$34,'Input Assumptions'!$C$36:$L$36)</f>
        <v>2121.8658203125005</v>
      </c>
      <c r="DK23" s="59">
        <f>$N$3*_xlfn.XLOOKUP(DK$1,'Input Assumptions'!$C$34:$L$34,'Input Assumptions'!$C$36:$L$36)</f>
        <v>2121.8658203125005</v>
      </c>
      <c r="DL23" s="59">
        <f>$N$3*_xlfn.XLOOKUP(DL$1,'Input Assumptions'!$C$34:$L$34,'Input Assumptions'!$C$36:$L$36)</f>
        <v>2121.8658203125005</v>
      </c>
      <c r="DM23" s="59">
        <f>$N$3*_xlfn.XLOOKUP(DM$1,'Input Assumptions'!$C$34:$L$34,'Input Assumptions'!$C$36:$L$36)</f>
        <v>2121.8658203125005</v>
      </c>
      <c r="DN23" s="59">
        <f>$N$3*_xlfn.XLOOKUP(DN$1,'Input Assumptions'!$C$34:$L$34,'Input Assumptions'!$C$36:$L$36)</f>
        <v>2121.8658203125005</v>
      </c>
      <c r="DO23" s="59">
        <f>$N$3*_xlfn.XLOOKUP(DO$1,'Input Assumptions'!$C$34:$L$34,'Input Assumptions'!$C$36:$L$36)</f>
        <v>2121.8658203125005</v>
      </c>
      <c r="DP23" s="59">
        <f>$N$3*_xlfn.XLOOKUP(DP$1,'Input Assumptions'!$C$34:$L$34,'Input Assumptions'!$C$36:$L$36)</f>
        <v>2121.8658203125005</v>
      </c>
      <c r="DQ23" s="59">
        <f>$N$3*_xlfn.XLOOKUP(DQ$1,'Input Assumptions'!$C$34:$L$34,'Input Assumptions'!$C$36:$L$36)</f>
        <v>2121.8658203125005</v>
      </c>
      <c r="DR23" s="59">
        <f>$N$3*_xlfn.XLOOKUP(DR$1,'Input Assumptions'!$C$34:$L$34,'Input Assumptions'!$C$36:$L$36)</f>
        <v>2121.8658203125005</v>
      </c>
      <c r="DS23" s="59">
        <f>$N$3*_xlfn.XLOOKUP(DS$1,'Input Assumptions'!$C$34:$L$34,'Input Assumptions'!$C$36:$L$36)</f>
        <v>2201.4357885742193</v>
      </c>
      <c r="DT23" s="59">
        <f>$N$3*_xlfn.XLOOKUP(DT$1,'Input Assumptions'!$C$34:$L$34,'Input Assumptions'!$C$36:$L$36)</f>
        <v>2201.4357885742193</v>
      </c>
      <c r="DU23" s="59">
        <f>$N$3*_xlfn.XLOOKUP(DU$1,'Input Assumptions'!$C$34:$L$34,'Input Assumptions'!$C$36:$L$36)</f>
        <v>2201.4357885742193</v>
      </c>
      <c r="DV23" s="59">
        <f>$N$3*_xlfn.XLOOKUP(DV$1,'Input Assumptions'!$C$34:$L$34,'Input Assumptions'!$C$36:$L$36)</f>
        <v>2201.4357885742193</v>
      </c>
      <c r="DW23" s="59">
        <f>$N$3*_xlfn.XLOOKUP(DW$1,'Input Assumptions'!$C$34:$L$34,'Input Assumptions'!$C$36:$L$36)</f>
        <v>2201.4357885742193</v>
      </c>
      <c r="DX23" s="59">
        <f>$N$3*_xlfn.XLOOKUP(DX$1,'Input Assumptions'!$C$34:$L$34,'Input Assumptions'!$C$36:$L$36)</f>
        <v>2201.4357885742193</v>
      </c>
      <c r="DY23" s="59">
        <f>$N$3*_xlfn.XLOOKUP(DY$1,'Input Assumptions'!$C$34:$L$34,'Input Assumptions'!$C$36:$L$36)</f>
        <v>2201.4357885742193</v>
      </c>
      <c r="DZ23" s="59">
        <f>$N$3*_xlfn.XLOOKUP(DZ$1,'Input Assumptions'!$C$34:$L$34,'Input Assumptions'!$C$36:$L$36)</f>
        <v>2201.4357885742193</v>
      </c>
      <c r="EA23" s="59">
        <f>$N$3*_xlfn.XLOOKUP(EA$1,'Input Assumptions'!$C$34:$L$34,'Input Assumptions'!$C$36:$L$36)</f>
        <v>2201.4357885742193</v>
      </c>
      <c r="EB23" s="59">
        <f>$N$3*_xlfn.XLOOKUP(EB$1,'Input Assumptions'!$C$34:$L$34,'Input Assumptions'!$C$36:$L$36)</f>
        <v>2201.4357885742193</v>
      </c>
      <c r="EC23" s="59">
        <f>$N$3*_xlfn.XLOOKUP(EC$1,'Input Assumptions'!$C$34:$L$34,'Input Assumptions'!$C$36:$L$36)</f>
        <v>2201.4357885742193</v>
      </c>
    </row>
    <row r="24" spans="2:133" x14ac:dyDescent="0.3">
      <c r="B24" s="15">
        <v>3</v>
      </c>
      <c r="C24" s="16">
        <v>22</v>
      </c>
      <c r="D24" s="16" t="s">
        <v>10</v>
      </c>
      <c r="E24" s="16">
        <v>450</v>
      </c>
      <c r="F24" s="20">
        <f t="shared" si="108"/>
        <v>41.80640845790095</v>
      </c>
      <c r="G24" s="19" t="str">
        <f t="shared" si="109"/>
        <v>1</v>
      </c>
      <c r="H24" s="20">
        <f t="shared" si="112"/>
        <v>1</v>
      </c>
      <c r="I24" s="18">
        <f t="shared" si="110"/>
        <v>1710</v>
      </c>
      <c r="J24" s="18">
        <f t="shared" si="111"/>
        <v>1900</v>
      </c>
      <c r="K24" s="18">
        <f>(J24*'Input Assumptions'!$C$20)+I24*('Input Assumptions'!$C$21)</f>
        <v>1900</v>
      </c>
      <c r="L24" s="94"/>
      <c r="N24" s="59">
        <f t="shared" si="113"/>
        <v>1900</v>
      </c>
      <c r="O24" s="59">
        <f>$N$3*_xlfn.XLOOKUP(O$1,'Input Assumptions'!$C$34:$L$34,'Input Assumptions'!$C$36:$L$36)</f>
        <v>1900</v>
      </c>
      <c r="P24" s="59">
        <f>$N$3*_xlfn.XLOOKUP(P$1,'Input Assumptions'!$C$34:$L$34,'Input Assumptions'!$C$36:$L$36)</f>
        <v>1900</v>
      </c>
      <c r="Q24" s="59">
        <f>$N$3*_xlfn.XLOOKUP(Q$1,'Input Assumptions'!$C$34:$L$34,'Input Assumptions'!$C$36:$L$36)</f>
        <v>1900</v>
      </c>
      <c r="R24" s="59">
        <f>$N$3*_xlfn.XLOOKUP(R$1,'Input Assumptions'!$C$34:$L$34,'Input Assumptions'!$C$36:$L$36)</f>
        <v>1900</v>
      </c>
      <c r="S24" s="59">
        <f>$N$3*_xlfn.XLOOKUP(S$1,'Input Assumptions'!$C$34:$L$34,'Input Assumptions'!$C$36:$L$36)</f>
        <v>1900</v>
      </c>
      <c r="T24" s="59">
        <f>$N$3*_xlfn.XLOOKUP(T$1,'Input Assumptions'!$C$34:$L$34,'Input Assumptions'!$C$36:$L$36)</f>
        <v>1900</v>
      </c>
      <c r="U24" s="59">
        <f>$N$3*_xlfn.XLOOKUP(U$1,'Input Assumptions'!$C$34:$L$34,'Input Assumptions'!$C$36:$L$36)</f>
        <v>1900</v>
      </c>
      <c r="V24" s="59">
        <f>$N$3*_xlfn.XLOOKUP(V$1,'Input Assumptions'!$C$34:$L$34,'Input Assumptions'!$C$36:$L$36)</f>
        <v>1900</v>
      </c>
      <c r="W24" s="59">
        <f>$N$3*_xlfn.XLOOKUP(W$1,'Input Assumptions'!$C$34:$L$34,'Input Assumptions'!$C$36:$L$36)</f>
        <v>1900</v>
      </c>
      <c r="X24" s="59">
        <f>$N$3*_xlfn.XLOOKUP(X$1,'Input Assumptions'!$C$34:$L$34,'Input Assumptions'!$C$36:$L$36)</f>
        <v>1900</v>
      </c>
      <c r="Y24" s="59">
        <f>$N$3*_xlfn.XLOOKUP(Y$1,'Input Assumptions'!$C$34:$L$34,'Input Assumptions'!$C$36:$L$36)</f>
        <v>1900</v>
      </c>
      <c r="Z24" s="59">
        <f>$N$3*_xlfn.XLOOKUP(Z$1,'Input Assumptions'!$C$34:$L$34,'Input Assumptions'!$C$36:$L$36)</f>
        <v>1971.2500000000002</v>
      </c>
      <c r="AA24" s="59">
        <f>$N$3*_xlfn.XLOOKUP(AA$1,'Input Assumptions'!$C$34:$L$34,'Input Assumptions'!$C$36:$L$36)</f>
        <v>1971.2500000000002</v>
      </c>
      <c r="AB24" s="59">
        <f>$N$3*_xlfn.XLOOKUP(AB$1,'Input Assumptions'!$C$34:$L$34,'Input Assumptions'!$C$36:$L$36)</f>
        <v>1971.2500000000002</v>
      </c>
      <c r="AC24" s="59">
        <f>$N$3*_xlfn.XLOOKUP(AC$1,'Input Assumptions'!$C$34:$L$34,'Input Assumptions'!$C$36:$L$36)</f>
        <v>1971.2500000000002</v>
      </c>
      <c r="AD24" s="59">
        <f>$N$3*_xlfn.XLOOKUP(AD$1,'Input Assumptions'!$C$34:$L$34,'Input Assumptions'!$C$36:$L$36)</f>
        <v>1971.2500000000002</v>
      </c>
      <c r="AE24" s="59">
        <f>$N$3*_xlfn.XLOOKUP(AE$1,'Input Assumptions'!$C$34:$L$34,'Input Assumptions'!$C$36:$L$36)</f>
        <v>1971.2500000000002</v>
      </c>
      <c r="AF24" s="59">
        <f>$N$3*_xlfn.XLOOKUP(AF$1,'Input Assumptions'!$C$34:$L$34,'Input Assumptions'!$C$36:$L$36)</f>
        <v>1971.2500000000002</v>
      </c>
      <c r="AG24" s="59">
        <f>$N$3*_xlfn.XLOOKUP(AG$1,'Input Assumptions'!$C$34:$L$34,'Input Assumptions'!$C$36:$L$36)</f>
        <v>1971.2500000000002</v>
      </c>
      <c r="AH24" s="59">
        <f>$N$3*_xlfn.XLOOKUP(AH$1,'Input Assumptions'!$C$34:$L$34,'Input Assumptions'!$C$36:$L$36)</f>
        <v>1971.2500000000002</v>
      </c>
      <c r="AI24" s="59">
        <f>$N$3*_xlfn.XLOOKUP(AI$1,'Input Assumptions'!$C$34:$L$34,'Input Assumptions'!$C$36:$L$36)</f>
        <v>1971.2500000000002</v>
      </c>
      <c r="AJ24" s="59">
        <f>$N$3*_xlfn.XLOOKUP(AJ$1,'Input Assumptions'!$C$34:$L$34,'Input Assumptions'!$C$36:$L$36)</f>
        <v>1971.2500000000002</v>
      </c>
      <c r="AK24" s="59">
        <f>$N$3*_xlfn.XLOOKUP(AK$1,'Input Assumptions'!$C$34:$L$34,'Input Assumptions'!$C$36:$L$36)</f>
        <v>1971.2500000000002</v>
      </c>
      <c r="AL24" s="59">
        <f>$N$3*_xlfn.XLOOKUP(AL$1,'Input Assumptions'!$C$34:$L$34,'Input Assumptions'!$C$36:$L$36)</f>
        <v>2045.1718750000005</v>
      </c>
      <c r="AM24" s="59">
        <f>$N$3*_xlfn.XLOOKUP(AM$1,'Input Assumptions'!$C$34:$L$34,'Input Assumptions'!$C$36:$L$36)</f>
        <v>2045.1718750000005</v>
      </c>
      <c r="AN24" s="59">
        <f>$N$3*_xlfn.XLOOKUP(AN$1,'Input Assumptions'!$C$34:$L$34,'Input Assumptions'!$C$36:$L$36)</f>
        <v>2045.1718750000005</v>
      </c>
      <c r="AO24" s="59">
        <f>$N$3*_xlfn.XLOOKUP(AO$1,'Input Assumptions'!$C$34:$L$34,'Input Assumptions'!$C$36:$L$36)</f>
        <v>2045.1718750000005</v>
      </c>
      <c r="AP24" s="59">
        <f>$N$3*_xlfn.XLOOKUP(AP$1,'Input Assumptions'!$C$34:$L$34,'Input Assumptions'!$C$36:$L$36)</f>
        <v>2045.1718750000005</v>
      </c>
      <c r="AQ24" s="59">
        <f>$N$3*_xlfn.XLOOKUP(AQ$1,'Input Assumptions'!$C$34:$L$34,'Input Assumptions'!$C$36:$L$36)</f>
        <v>2045.1718750000005</v>
      </c>
      <c r="AR24" s="59">
        <f>$N$3*_xlfn.XLOOKUP(AR$1,'Input Assumptions'!$C$34:$L$34,'Input Assumptions'!$C$36:$L$36)</f>
        <v>2045.1718750000005</v>
      </c>
      <c r="AS24" s="59">
        <f>$N$3*_xlfn.XLOOKUP(AS$1,'Input Assumptions'!$C$34:$L$34,'Input Assumptions'!$C$36:$L$36)</f>
        <v>2045.1718750000005</v>
      </c>
      <c r="AT24" s="59">
        <f>$N$3*_xlfn.XLOOKUP(AT$1,'Input Assumptions'!$C$34:$L$34,'Input Assumptions'!$C$36:$L$36)</f>
        <v>2045.1718750000005</v>
      </c>
      <c r="AU24" s="59">
        <f>$N$3*_xlfn.XLOOKUP(AU$1,'Input Assumptions'!$C$34:$L$34,'Input Assumptions'!$C$36:$L$36)</f>
        <v>2045.1718750000005</v>
      </c>
      <c r="AV24" s="59">
        <f>$N$3*_xlfn.XLOOKUP(AV$1,'Input Assumptions'!$C$34:$L$34,'Input Assumptions'!$C$36:$L$36)</f>
        <v>2045.1718750000005</v>
      </c>
      <c r="AW24" s="59">
        <f>$N$3*_xlfn.XLOOKUP(AW$1,'Input Assumptions'!$C$34:$L$34,'Input Assumptions'!$C$36:$L$36)</f>
        <v>2045.1718750000005</v>
      </c>
      <c r="AX24" s="59">
        <f>$N$3*_xlfn.XLOOKUP(AX$1,'Input Assumptions'!$C$34:$L$34,'Input Assumptions'!$C$36:$L$36)</f>
        <v>2121.8658203125005</v>
      </c>
      <c r="AY24" s="59">
        <f>$N$3*_xlfn.XLOOKUP(AY$1,'Input Assumptions'!$C$34:$L$34,'Input Assumptions'!$C$36:$L$36)</f>
        <v>2121.8658203125005</v>
      </c>
      <c r="AZ24" s="59">
        <f>$N$3*_xlfn.XLOOKUP(AZ$1,'Input Assumptions'!$C$34:$L$34,'Input Assumptions'!$C$36:$L$36)</f>
        <v>2121.8658203125005</v>
      </c>
      <c r="BA24" s="59">
        <f>$N$3*_xlfn.XLOOKUP(BA$1,'Input Assumptions'!$C$34:$L$34,'Input Assumptions'!$C$36:$L$36)</f>
        <v>2121.8658203125005</v>
      </c>
      <c r="BB24" s="59">
        <f>$N$3*_xlfn.XLOOKUP(BB$1,'Input Assumptions'!$C$34:$L$34,'Input Assumptions'!$C$36:$L$36)</f>
        <v>2121.8658203125005</v>
      </c>
      <c r="BC24" s="59">
        <f>$N$3*_xlfn.XLOOKUP(BC$1,'Input Assumptions'!$C$34:$L$34,'Input Assumptions'!$C$36:$L$36)</f>
        <v>2121.8658203125005</v>
      </c>
      <c r="BD24" s="59">
        <f>$N$3*_xlfn.XLOOKUP(BD$1,'Input Assumptions'!$C$34:$L$34,'Input Assumptions'!$C$36:$L$36)</f>
        <v>2121.8658203125005</v>
      </c>
      <c r="BE24" s="59">
        <f>$N$3*_xlfn.XLOOKUP(BE$1,'Input Assumptions'!$C$34:$L$34,'Input Assumptions'!$C$36:$L$36)</f>
        <v>2121.8658203125005</v>
      </c>
      <c r="BF24" s="59">
        <f>$N$3*_xlfn.XLOOKUP(BF$1,'Input Assumptions'!$C$34:$L$34,'Input Assumptions'!$C$36:$L$36)</f>
        <v>2121.8658203125005</v>
      </c>
      <c r="BG24" s="59">
        <f>$N$3*_xlfn.XLOOKUP(BG$1,'Input Assumptions'!$C$34:$L$34,'Input Assumptions'!$C$36:$L$36)</f>
        <v>2121.8658203125005</v>
      </c>
      <c r="BH24" s="59">
        <f>$N$3*_xlfn.XLOOKUP(BH$1,'Input Assumptions'!$C$34:$L$34,'Input Assumptions'!$C$36:$L$36)</f>
        <v>2121.8658203125005</v>
      </c>
      <c r="BI24" s="59">
        <f>$N$3*_xlfn.XLOOKUP(BI$1,'Input Assumptions'!$C$34:$L$34,'Input Assumptions'!$C$36:$L$36)</f>
        <v>2121.8658203125005</v>
      </c>
      <c r="BJ24" s="59">
        <f>$N$3*_xlfn.XLOOKUP(BJ$1,'Input Assumptions'!$C$34:$L$34,'Input Assumptions'!$C$36:$L$36)</f>
        <v>2201.4357885742193</v>
      </c>
      <c r="BK24" s="59">
        <f>$N$3*_xlfn.XLOOKUP(BK$1,'Input Assumptions'!$C$34:$L$34,'Input Assumptions'!$C$36:$L$36)</f>
        <v>2201.4357885742193</v>
      </c>
      <c r="BL24" s="59">
        <f>$N$3*_xlfn.XLOOKUP(BL$1,'Input Assumptions'!$C$34:$L$34,'Input Assumptions'!$C$36:$L$36)</f>
        <v>2201.4357885742193</v>
      </c>
      <c r="BM24" s="59">
        <f>$N$3*_xlfn.XLOOKUP(BM$1,'Input Assumptions'!$C$34:$L$34,'Input Assumptions'!$C$36:$L$36)</f>
        <v>2201.4357885742193</v>
      </c>
      <c r="BN24" s="59">
        <f>$N$3*_xlfn.XLOOKUP(BN$1,'Input Assumptions'!$C$34:$L$34,'Input Assumptions'!$C$36:$L$36)</f>
        <v>2201.4357885742193</v>
      </c>
      <c r="BO24" s="59">
        <f>$N$3*_xlfn.XLOOKUP(BO$1,'Input Assumptions'!$C$34:$L$34,'Input Assumptions'!$C$36:$L$36)</f>
        <v>2201.4357885742193</v>
      </c>
      <c r="BP24" s="59">
        <f>$N$3*_xlfn.XLOOKUP(BP$1,'Input Assumptions'!$C$34:$L$34,'Input Assumptions'!$C$36:$L$36)</f>
        <v>2201.4357885742193</v>
      </c>
      <c r="BQ24" s="59">
        <f>$N$3*_xlfn.XLOOKUP(BQ$1,'Input Assumptions'!$C$34:$L$34,'Input Assumptions'!$C$36:$L$36)</f>
        <v>2201.4357885742193</v>
      </c>
      <c r="BR24" s="59">
        <f>$N$3*_xlfn.XLOOKUP(BR$1,'Input Assumptions'!$C$34:$L$34,'Input Assumptions'!$C$36:$L$36)</f>
        <v>2201.4357885742193</v>
      </c>
      <c r="BS24" s="59">
        <f>$N$3*_xlfn.XLOOKUP(BS$1,'Input Assumptions'!$C$34:$L$34,'Input Assumptions'!$C$36:$L$36)</f>
        <v>2201.4357885742193</v>
      </c>
      <c r="BT24" s="59">
        <f>$N$3*_xlfn.XLOOKUP(BT$1,'Input Assumptions'!$C$34:$L$34,'Input Assumptions'!$C$36:$L$36)</f>
        <v>2201.4357885742193</v>
      </c>
      <c r="BU24" s="59">
        <f>$N$3*_xlfn.XLOOKUP(BU$1,'Input Assumptions'!$C$34:$L$34,'Input Assumptions'!$C$36:$L$36)</f>
        <v>2201.4357885742193</v>
      </c>
      <c r="BV24" s="59">
        <f>$N$3*_xlfn.XLOOKUP(BV$1,'Input Assumptions'!$C$34:$L$34,'Input Assumptions'!$C$36:$L$36)</f>
        <v>2283.9896306457531</v>
      </c>
      <c r="BW24" s="59">
        <f>$N$3*_xlfn.XLOOKUP(BW$1,'Input Assumptions'!$C$34:$L$34,'Input Assumptions'!$C$36:$L$36)</f>
        <v>1900</v>
      </c>
      <c r="BX24" s="59">
        <f>$N$3*_xlfn.XLOOKUP(BX$1,'Input Assumptions'!$C$34:$L$34,'Input Assumptions'!$C$36:$L$36)</f>
        <v>1900</v>
      </c>
      <c r="BY24" s="59">
        <f>$N$3*_xlfn.XLOOKUP(BY$1,'Input Assumptions'!$C$34:$L$34,'Input Assumptions'!$C$36:$L$36)</f>
        <v>1900</v>
      </c>
      <c r="BZ24" s="59">
        <f>$N$3*_xlfn.XLOOKUP(BZ$1,'Input Assumptions'!$C$34:$L$34,'Input Assumptions'!$C$36:$L$36)</f>
        <v>1900</v>
      </c>
      <c r="CA24" s="59">
        <f>$N$3*_xlfn.XLOOKUP(CA$1,'Input Assumptions'!$C$34:$L$34,'Input Assumptions'!$C$36:$L$36)</f>
        <v>1900</v>
      </c>
      <c r="CB24" s="59">
        <f>$N$3*_xlfn.XLOOKUP(CB$1,'Input Assumptions'!$C$34:$L$34,'Input Assumptions'!$C$36:$L$36)</f>
        <v>1900</v>
      </c>
      <c r="CC24" s="59">
        <f>$N$3*_xlfn.XLOOKUP(CC$1,'Input Assumptions'!$C$34:$L$34,'Input Assumptions'!$C$36:$L$36)</f>
        <v>1900</v>
      </c>
      <c r="CD24" s="59">
        <f>$N$3*_xlfn.XLOOKUP(CD$1,'Input Assumptions'!$C$34:$L$34,'Input Assumptions'!$C$36:$L$36)</f>
        <v>1900</v>
      </c>
      <c r="CE24" s="59">
        <f>$N$3*_xlfn.XLOOKUP(CE$1,'Input Assumptions'!$C$34:$L$34,'Input Assumptions'!$C$36:$L$36)</f>
        <v>1900</v>
      </c>
      <c r="CF24" s="59">
        <f>$N$3*_xlfn.XLOOKUP(CF$1,'Input Assumptions'!$C$34:$L$34,'Input Assumptions'!$C$36:$L$36)</f>
        <v>1900</v>
      </c>
      <c r="CG24" s="59">
        <f>$N$3*_xlfn.XLOOKUP(CG$1,'Input Assumptions'!$C$34:$L$34,'Input Assumptions'!$C$36:$L$36)</f>
        <v>1900</v>
      </c>
      <c r="CH24" s="59">
        <f>$N$3*_xlfn.XLOOKUP(CH$1,'Input Assumptions'!$C$34:$L$34,'Input Assumptions'!$C$36:$L$36)</f>
        <v>1900</v>
      </c>
      <c r="CI24" s="59">
        <f>$N$3*_xlfn.XLOOKUP(CI$1,'Input Assumptions'!$C$34:$L$34,'Input Assumptions'!$C$36:$L$36)</f>
        <v>1971.2500000000002</v>
      </c>
      <c r="CJ24" s="59">
        <f>$N$3*_xlfn.XLOOKUP(CJ$1,'Input Assumptions'!$C$34:$L$34,'Input Assumptions'!$C$36:$L$36)</f>
        <v>1971.2500000000002</v>
      </c>
      <c r="CK24" s="59">
        <f>$N$3*_xlfn.XLOOKUP(CK$1,'Input Assumptions'!$C$34:$L$34,'Input Assumptions'!$C$36:$L$36)</f>
        <v>1971.2500000000002</v>
      </c>
      <c r="CL24" s="59">
        <f>$N$3*_xlfn.XLOOKUP(CL$1,'Input Assumptions'!$C$34:$L$34,'Input Assumptions'!$C$36:$L$36)</f>
        <v>1971.2500000000002</v>
      </c>
      <c r="CM24" s="59">
        <f>$N$3*_xlfn.XLOOKUP(CM$1,'Input Assumptions'!$C$34:$L$34,'Input Assumptions'!$C$36:$L$36)</f>
        <v>1971.2500000000002</v>
      </c>
      <c r="CN24" s="59">
        <f>$N$3*_xlfn.XLOOKUP(CN$1,'Input Assumptions'!$C$34:$L$34,'Input Assumptions'!$C$36:$L$36)</f>
        <v>1971.2500000000002</v>
      </c>
      <c r="CO24" s="59">
        <f>$N$3*_xlfn.XLOOKUP(CO$1,'Input Assumptions'!$C$34:$L$34,'Input Assumptions'!$C$36:$L$36)</f>
        <v>1971.2500000000002</v>
      </c>
      <c r="CP24" s="59">
        <f>$N$3*_xlfn.XLOOKUP(CP$1,'Input Assumptions'!$C$34:$L$34,'Input Assumptions'!$C$36:$L$36)</f>
        <v>1971.2500000000002</v>
      </c>
      <c r="CQ24" s="59">
        <f>$N$3*_xlfn.XLOOKUP(CQ$1,'Input Assumptions'!$C$34:$L$34,'Input Assumptions'!$C$36:$L$36)</f>
        <v>1971.2500000000002</v>
      </c>
      <c r="CR24" s="59">
        <f>$N$3*_xlfn.XLOOKUP(CR$1,'Input Assumptions'!$C$34:$L$34,'Input Assumptions'!$C$36:$L$36)</f>
        <v>1971.2500000000002</v>
      </c>
      <c r="CS24" s="59">
        <f>$N$3*_xlfn.XLOOKUP(CS$1,'Input Assumptions'!$C$34:$L$34,'Input Assumptions'!$C$36:$L$36)</f>
        <v>1971.2500000000002</v>
      </c>
      <c r="CT24" s="59">
        <f>$N$3*_xlfn.XLOOKUP(CT$1,'Input Assumptions'!$C$34:$L$34,'Input Assumptions'!$C$36:$L$36)</f>
        <v>1971.2500000000002</v>
      </c>
      <c r="CU24" s="59">
        <f>$N$3*_xlfn.XLOOKUP(CU$1,'Input Assumptions'!$C$34:$L$34,'Input Assumptions'!$C$36:$L$36)</f>
        <v>2045.1718750000005</v>
      </c>
      <c r="CV24" s="59">
        <f>$N$3*_xlfn.XLOOKUP(CV$1,'Input Assumptions'!$C$34:$L$34,'Input Assumptions'!$C$36:$L$36)</f>
        <v>2045.1718750000005</v>
      </c>
      <c r="CW24" s="59">
        <f>$N$3*_xlfn.XLOOKUP(CW$1,'Input Assumptions'!$C$34:$L$34,'Input Assumptions'!$C$36:$L$36)</f>
        <v>2045.1718750000005</v>
      </c>
      <c r="CX24" s="59">
        <f>$N$3*_xlfn.XLOOKUP(CX$1,'Input Assumptions'!$C$34:$L$34,'Input Assumptions'!$C$36:$L$36)</f>
        <v>2045.1718750000005</v>
      </c>
      <c r="CY24" s="59">
        <f>$N$3*_xlfn.XLOOKUP(CY$1,'Input Assumptions'!$C$34:$L$34,'Input Assumptions'!$C$36:$L$36)</f>
        <v>2045.1718750000005</v>
      </c>
      <c r="CZ24" s="59">
        <f>$N$3*_xlfn.XLOOKUP(CZ$1,'Input Assumptions'!$C$34:$L$34,'Input Assumptions'!$C$36:$L$36)</f>
        <v>2045.1718750000005</v>
      </c>
      <c r="DA24" s="59">
        <f>$N$3*_xlfn.XLOOKUP(DA$1,'Input Assumptions'!$C$34:$L$34,'Input Assumptions'!$C$36:$L$36)</f>
        <v>2045.1718750000005</v>
      </c>
      <c r="DB24" s="59">
        <f>$N$3*_xlfn.XLOOKUP(DB$1,'Input Assumptions'!$C$34:$L$34,'Input Assumptions'!$C$36:$L$36)</f>
        <v>2045.1718750000005</v>
      </c>
      <c r="DC24" s="59">
        <f>$N$3*_xlfn.XLOOKUP(DC$1,'Input Assumptions'!$C$34:$L$34,'Input Assumptions'!$C$36:$L$36)</f>
        <v>2045.1718750000005</v>
      </c>
      <c r="DD24" s="59">
        <f>$N$3*_xlfn.XLOOKUP(DD$1,'Input Assumptions'!$C$34:$L$34,'Input Assumptions'!$C$36:$L$36)</f>
        <v>2045.1718750000005</v>
      </c>
      <c r="DE24" s="59">
        <f>$N$3*_xlfn.XLOOKUP(DE$1,'Input Assumptions'!$C$34:$L$34,'Input Assumptions'!$C$36:$L$36)</f>
        <v>2045.1718750000005</v>
      </c>
      <c r="DF24" s="59">
        <f>$N$3*_xlfn.XLOOKUP(DF$1,'Input Assumptions'!$C$34:$L$34,'Input Assumptions'!$C$36:$L$36)</f>
        <v>2045.1718750000005</v>
      </c>
      <c r="DG24" s="59">
        <f>$N$3*_xlfn.XLOOKUP(DG$1,'Input Assumptions'!$C$34:$L$34,'Input Assumptions'!$C$36:$L$36)</f>
        <v>2121.8658203125005</v>
      </c>
      <c r="DH24" s="59">
        <f>$N$3*_xlfn.XLOOKUP(DH$1,'Input Assumptions'!$C$34:$L$34,'Input Assumptions'!$C$36:$L$36)</f>
        <v>2121.8658203125005</v>
      </c>
      <c r="DI24" s="59">
        <f>$N$3*_xlfn.XLOOKUP(DI$1,'Input Assumptions'!$C$34:$L$34,'Input Assumptions'!$C$36:$L$36)</f>
        <v>2121.8658203125005</v>
      </c>
      <c r="DJ24" s="59">
        <f>$N$3*_xlfn.XLOOKUP(DJ$1,'Input Assumptions'!$C$34:$L$34,'Input Assumptions'!$C$36:$L$36)</f>
        <v>2121.8658203125005</v>
      </c>
      <c r="DK24" s="59">
        <f>$N$3*_xlfn.XLOOKUP(DK$1,'Input Assumptions'!$C$34:$L$34,'Input Assumptions'!$C$36:$L$36)</f>
        <v>2121.8658203125005</v>
      </c>
      <c r="DL24" s="59">
        <f>$N$3*_xlfn.XLOOKUP(DL$1,'Input Assumptions'!$C$34:$L$34,'Input Assumptions'!$C$36:$L$36)</f>
        <v>2121.8658203125005</v>
      </c>
      <c r="DM24" s="59">
        <f>$N$3*_xlfn.XLOOKUP(DM$1,'Input Assumptions'!$C$34:$L$34,'Input Assumptions'!$C$36:$L$36)</f>
        <v>2121.8658203125005</v>
      </c>
      <c r="DN24" s="59">
        <f>$N$3*_xlfn.XLOOKUP(DN$1,'Input Assumptions'!$C$34:$L$34,'Input Assumptions'!$C$36:$L$36)</f>
        <v>2121.8658203125005</v>
      </c>
      <c r="DO24" s="59">
        <f>$N$3*_xlfn.XLOOKUP(DO$1,'Input Assumptions'!$C$34:$L$34,'Input Assumptions'!$C$36:$L$36)</f>
        <v>2121.8658203125005</v>
      </c>
      <c r="DP24" s="59">
        <f>$N$3*_xlfn.XLOOKUP(DP$1,'Input Assumptions'!$C$34:$L$34,'Input Assumptions'!$C$36:$L$36)</f>
        <v>2121.8658203125005</v>
      </c>
      <c r="DQ24" s="59">
        <f>$N$3*_xlfn.XLOOKUP(DQ$1,'Input Assumptions'!$C$34:$L$34,'Input Assumptions'!$C$36:$L$36)</f>
        <v>2121.8658203125005</v>
      </c>
      <c r="DR24" s="59">
        <f>$N$3*_xlfn.XLOOKUP(DR$1,'Input Assumptions'!$C$34:$L$34,'Input Assumptions'!$C$36:$L$36)</f>
        <v>2121.8658203125005</v>
      </c>
      <c r="DS24" s="59">
        <f>$N$3*_xlfn.XLOOKUP(DS$1,'Input Assumptions'!$C$34:$L$34,'Input Assumptions'!$C$36:$L$36)</f>
        <v>2201.4357885742193</v>
      </c>
      <c r="DT24" s="59">
        <f>$N$3*_xlfn.XLOOKUP(DT$1,'Input Assumptions'!$C$34:$L$34,'Input Assumptions'!$C$36:$L$36)</f>
        <v>2201.4357885742193</v>
      </c>
      <c r="DU24" s="59">
        <f>$N$3*_xlfn.XLOOKUP(DU$1,'Input Assumptions'!$C$34:$L$34,'Input Assumptions'!$C$36:$L$36)</f>
        <v>2201.4357885742193</v>
      </c>
      <c r="DV24" s="59">
        <f>$N$3*_xlfn.XLOOKUP(DV$1,'Input Assumptions'!$C$34:$L$34,'Input Assumptions'!$C$36:$L$36)</f>
        <v>2201.4357885742193</v>
      </c>
      <c r="DW24" s="59">
        <f>$N$3*_xlfn.XLOOKUP(DW$1,'Input Assumptions'!$C$34:$L$34,'Input Assumptions'!$C$36:$L$36)</f>
        <v>2201.4357885742193</v>
      </c>
      <c r="DX24" s="59">
        <f>$N$3*_xlfn.XLOOKUP(DX$1,'Input Assumptions'!$C$34:$L$34,'Input Assumptions'!$C$36:$L$36)</f>
        <v>2201.4357885742193</v>
      </c>
      <c r="DY24" s="59">
        <f>$N$3*_xlfn.XLOOKUP(DY$1,'Input Assumptions'!$C$34:$L$34,'Input Assumptions'!$C$36:$L$36)</f>
        <v>2201.4357885742193</v>
      </c>
      <c r="DZ24" s="59">
        <f>$N$3*_xlfn.XLOOKUP(DZ$1,'Input Assumptions'!$C$34:$L$34,'Input Assumptions'!$C$36:$L$36)</f>
        <v>2201.4357885742193</v>
      </c>
      <c r="EA24" s="59">
        <f>$N$3*_xlfn.XLOOKUP(EA$1,'Input Assumptions'!$C$34:$L$34,'Input Assumptions'!$C$36:$L$36)</f>
        <v>2201.4357885742193</v>
      </c>
      <c r="EB24" s="59">
        <f>$N$3*_xlfn.XLOOKUP(EB$1,'Input Assumptions'!$C$34:$L$34,'Input Assumptions'!$C$36:$L$36)</f>
        <v>2201.4357885742193</v>
      </c>
      <c r="EC24" s="59">
        <f>$N$3*_xlfn.XLOOKUP(EC$1,'Input Assumptions'!$C$34:$L$34,'Input Assumptions'!$C$36:$L$36)</f>
        <v>2201.4357885742193</v>
      </c>
    </row>
    <row r="25" spans="2:133" x14ac:dyDescent="0.3">
      <c r="B25" s="15">
        <v>3</v>
      </c>
      <c r="C25" s="16">
        <v>23</v>
      </c>
      <c r="D25" s="16" t="s">
        <v>10</v>
      </c>
      <c r="E25" s="16">
        <v>450</v>
      </c>
      <c r="F25" s="20">
        <f t="shared" si="108"/>
        <v>41.80640845790095</v>
      </c>
      <c r="G25" s="19" t="str">
        <f t="shared" si="109"/>
        <v>1</v>
      </c>
      <c r="H25" s="20">
        <f t="shared" si="112"/>
        <v>1</v>
      </c>
      <c r="I25" s="18">
        <f t="shared" si="110"/>
        <v>1710</v>
      </c>
      <c r="J25" s="18">
        <f t="shared" si="111"/>
        <v>1900</v>
      </c>
      <c r="K25" s="18">
        <f>(J25*'Input Assumptions'!$C$20)+I25*('Input Assumptions'!$C$21)</f>
        <v>1900</v>
      </c>
      <c r="L25" s="233"/>
      <c r="M25" s="4"/>
      <c r="N25" s="128">
        <f t="shared" si="113"/>
        <v>1900</v>
      </c>
      <c r="O25" s="128">
        <f>$N$3*_xlfn.XLOOKUP(O$1,'Input Assumptions'!$C$34:$L$34,'Input Assumptions'!$C$36:$L$36)</f>
        <v>1900</v>
      </c>
      <c r="P25" s="128">
        <f>$N$3*_xlfn.XLOOKUP(P$1,'Input Assumptions'!$C$34:$L$34,'Input Assumptions'!$C$36:$L$36)</f>
        <v>1900</v>
      </c>
      <c r="Q25" s="128">
        <f>$N$3*_xlfn.XLOOKUP(Q$1,'Input Assumptions'!$C$34:$L$34,'Input Assumptions'!$C$36:$L$36)</f>
        <v>1900</v>
      </c>
      <c r="R25" s="128">
        <f>$N$3*_xlfn.XLOOKUP(R$1,'Input Assumptions'!$C$34:$L$34,'Input Assumptions'!$C$36:$L$36)</f>
        <v>1900</v>
      </c>
      <c r="S25" s="128">
        <f>$N$3*_xlfn.XLOOKUP(S$1,'Input Assumptions'!$C$34:$L$34,'Input Assumptions'!$C$36:$L$36)</f>
        <v>1900</v>
      </c>
      <c r="T25" s="128">
        <f>$N$3*_xlfn.XLOOKUP(T$1,'Input Assumptions'!$C$34:$L$34,'Input Assumptions'!$C$36:$L$36)</f>
        <v>1900</v>
      </c>
      <c r="U25" s="128">
        <f>$N$3*_xlfn.XLOOKUP(U$1,'Input Assumptions'!$C$34:$L$34,'Input Assumptions'!$C$36:$L$36)</f>
        <v>1900</v>
      </c>
      <c r="V25" s="128">
        <f>$N$3*_xlfn.XLOOKUP(V$1,'Input Assumptions'!$C$34:$L$34,'Input Assumptions'!$C$36:$L$36)</f>
        <v>1900</v>
      </c>
      <c r="W25" s="128">
        <f>$N$3*_xlfn.XLOOKUP(W$1,'Input Assumptions'!$C$34:$L$34,'Input Assumptions'!$C$36:$L$36)</f>
        <v>1900</v>
      </c>
      <c r="X25" s="128">
        <f>$N$3*_xlfn.XLOOKUP(X$1,'Input Assumptions'!$C$34:$L$34,'Input Assumptions'!$C$36:$L$36)</f>
        <v>1900</v>
      </c>
      <c r="Y25" s="128">
        <f>$N$3*_xlfn.XLOOKUP(Y$1,'Input Assumptions'!$C$34:$L$34,'Input Assumptions'!$C$36:$L$36)</f>
        <v>1900</v>
      </c>
      <c r="Z25" s="128">
        <f>$N$3*_xlfn.XLOOKUP(Z$1,'Input Assumptions'!$C$34:$L$34,'Input Assumptions'!$C$36:$L$36)</f>
        <v>1971.2500000000002</v>
      </c>
      <c r="AA25" s="128">
        <f>$N$3*_xlfn.XLOOKUP(AA$1,'Input Assumptions'!$C$34:$L$34,'Input Assumptions'!$C$36:$L$36)</f>
        <v>1971.2500000000002</v>
      </c>
      <c r="AB25" s="128">
        <f>$N$3*_xlfn.XLOOKUP(AB$1,'Input Assumptions'!$C$34:$L$34,'Input Assumptions'!$C$36:$L$36)</f>
        <v>1971.2500000000002</v>
      </c>
      <c r="AC25" s="128">
        <f>$N$3*_xlfn.XLOOKUP(AC$1,'Input Assumptions'!$C$34:$L$34,'Input Assumptions'!$C$36:$L$36)</f>
        <v>1971.2500000000002</v>
      </c>
      <c r="AD25" s="128">
        <f>$N$3*_xlfn.XLOOKUP(AD$1,'Input Assumptions'!$C$34:$L$34,'Input Assumptions'!$C$36:$L$36)</f>
        <v>1971.2500000000002</v>
      </c>
      <c r="AE25" s="128">
        <f>$N$3*_xlfn.XLOOKUP(AE$1,'Input Assumptions'!$C$34:$L$34,'Input Assumptions'!$C$36:$L$36)</f>
        <v>1971.2500000000002</v>
      </c>
      <c r="AF25" s="128">
        <f>$N$3*_xlfn.XLOOKUP(AF$1,'Input Assumptions'!$C$34:$L$34,'Input Assumptions'!$C$36:$L$36)</f>
        <v>1971.2500000000002</v>
      </c>
      <c r="AG25" s="128">
        <f>$N$3*_xlfn.XLOOKUP(AG$1,'Input Assumptions'!$C$34:$L$34,'Input Assumptions'!$C$36:$L$36)</f>
        <v>1971.2500000000002</v>
      </c>
      <c r="AH25" s="128">
        <f>$N$3*_xlfn.XLOOKUP(AH$1,'Input Assumptions'!$C$34:$L$34,'Input Assumptions'!$C$36:$L$36)</f>
        <v>1971.2500000000002</v>
      </c>
      <c r="AI25" s="128">
        <f>$N$3*_xlfn.XLOOKUP(AI$1,'Input Assumptions'!$C$34:$L$34,'Input Assumptions'!$C$36:$L$36)</f>
        <v>1971.2500000000002</v>
      </c>
      <c r="AJ25" s="128">
        <f>$N$3*_xlfn.XLOOKUP(AJ$1,'Input Assumptions'!$C$34:$L$34,'Input Assumptions'!$C$36:$L$36)</f>
        <v>1971.2500000000002</v>
      </c>
      <c r="AK25" s="128">
        <f>$N$3*_xlfn.XLOOKUP(AK$1,'Input Assumptions'!$C$34:$L$34,'Input Assumptions'!$C$36:$L$36)</f>
        <v>1971.2500000000002</v>
      </c>
      <c r="AL25" s="128">
        <f>$N$3*_xlfn.XLOOKUP(AL$1,'Input Assumptions'!$C$34:$L$34,'Input Assumptions'!$C$36:$L$36)</f>
        <v>2045.1718750000005</v>
      </c>
      <c r="AM25" s="128">
        <f>$N$3*_xlfn.XLOOKUP(AM$1,'Input Assumptions'!$C$34:$L$34,'Input Assumptions'!$C$36:$L$36)</f>
        <v>2045.1718750000005</v>
      </c>
      <c r="AN25" s="128">
        <f>$N$3*_xlfn.XLOOKUP(AN$1,'Input Assumptions'!$C$34:$L$34,'Input Assumptions'!$C$36:$L$36)</f>
        <v>2045.1718750000005</v>
      </c>
      <c r="AO25" s="128">
        <f>$N$3*_xlfn.XLOOKUP(AO$1,'Input Assumptions'!$C$34:$L$34,'Input Assumptions'!$C$36:$L$36)</f>
        <v>2045.1718750000005</v>
      </c>
      <c r="AP25" s="128">
        <f>$N$3*_xlfn.XLOOKUP(AP$1,'Input Assumptions'!$C$34:$L$34,'Input Assumptions'!$C$36:$L$36)</f>
        <v>2045.1718750000005</v>
      </c>
      <c r="AQ25" s="128">
        <f>$N$3*_xlfn.XLOOKUP(AQ$1,'Input Assumptions'!$C$34:$L$34,'Input Assumptions'!$C$36:$L$36)</f>
        <v>2045.1718750000005</v>
      </c>
      <c r="AR25" s="128">
        <f>$N$3*_xlfn.XLOOKUP(AR$1,'Input Assumptions'!$C$34:$L$34,'Input Assumptions'!$C$36:$L$36)</f>
        <v>2045.1718750000005</v>
      </c>
      <c r="AS25" s="128">
        <f>$N$3*_xlfn.XLOOKUP(AS$1,'Input Assumptions'!$C$34:$L$34,'Input Assumptions'!$C$36:$L$36)</f>
        <v>2045.1718750000005</v>
      </c>
      <c r="AT25" s="128">
        <f>$N$3*_xlfn.XLOOKUP(AT$1,'Input Assumptions'!$C$34:$L$34,'Input Assumptions'!$C$36:$L$36)</f>
        <v>2045.1718750000005</v>
      </c>
      <c r="AU25" s="128">
        <f>$N$3*_xlfn.XLOOKUP(AU$1,'Input Assumptions'!$C$34:$L$34,'Input Assumptions'!$C$36:$L$36)</f>
        <v>2045.1718750000005</v>
      </c>
      <c r="AV25" s="128">
        <f>$N$3*_xlfn.XLOOKUP(AV$1,'Input Assumptions'!$C$34:$L$34,'Input Assumptions'!$C$36:$L$36)</f>
        <v>2045.1718750000005</v>
      </c>
      <c r="AW25" s="128">
        <f>$N$3*_xlfn.XLOOKUP(AW$1,'Input Assumptions'!$C$34:$L$34,'Input Assumptions'!$C$36:$L$36)</f>
        <v>2045.1718750000005</v>
      </c>
      <c r="AX25" s="128">
        <f>$N$3*_xlfn.XLOOKUP(AX$1,'Input Assumptions'!$C$34:$L$34,'Input Assumptions'!$C$36:$L$36)</f>
        <v>2121.8658203125005</v>
      </c>
      <c r="AY25" s="128">
        <f>$N$3*_xlfn.XLOOKUP(AY$1,'Input Assumptions'!$C$34:$L$34,'Input Assumptions'!$C$36:$L$36)</f>
        <v>2121.8658203125005</v>
      </c>
      <c r="AZ25" s="128">
        <f>$N$3*_xlfn.XLOOKUP(AZ$1,'Input Assumptions'!$C$34:$L$34,'Input Assumptions'!$C$36:$L$36)</f>
        <v>2121.8658203125005</v>
      </c>
      <c r="BA25" s="128">
        <f>$N$3*_xlfn.XLOOKUP(BA$1,'Input Assumptions'!$C$34:$L$34,'Input Assumptions'!$C$36:$L$36)</f>
        <v>2121.8658203125005</v>
      </c>
      <c r="BB25" s="128">
        <f>$N$3*_xlfn.XLOOKUP(BB$1,'Input Assumptions'!$C$34:$L$34,'Input Assumptions'!$C$36:$L$36)</f>
        <v>2121.8658203125005</v>
      </c>
      <c r="BC25" s="128">
        <f>$N$3*_xlfn.XLOOKUP(BC$1,'Input Assumptions'!$C$34:$L$34,'Input Assumptions'!$C$36:$L$36)</f>
        <v>2121.8658203125005</v>
      </c>
      <c r="BD25" s="128">
        <f>$N$3*_xlfn.XLOOKUP(BD$1,'Input Assumptions'!$C$34:$L$34,'Input Assumptions'!$C$36:$L$36)</f>
        <v>2121.8658203125005</v>
      </c>
      <c r="BE25" s="128">
        <f>$N$3*_xlfn.XLOOKUP(BE$1,'Input Assumptions'!$C$34:$L$34,'Input Assumptions'!$C$36:$L$36)</f>
        <v>2121.8658203125005</v>
      </c>
      <c r="BF25" s="128">
        <f>$N$3*_xlfn.XLOOKUP(BF$1,'Input Assumptions'!$C$34:$L$34,'Input Assumptions'!$C$36:$L$36)</f>
        <v>2121.8658203125005</v>
      </c>
      <c r="BG25" s="128">
        <f>$N$3*_xlfn.XLOOKUP(BG$1,'Input Assumptions'!$C$34:$L$34,'Input Assumptions'!$C$36:$L$36)</f>
        <v>2121.8658203125005</v>
      </c>
      <c r="BH25" s="128">
        <f>$N$3*_xlfn.XLOOKUP(BH$1,'Input Assumptions'!$C$34:$L$34,'Input Assumptions'!$C$36:$L$36)</f>
        <v>2121.8658203125005</v>
      </c>
      <c r="BI25" s="128">
        <f>$N$3*_xlfn.XLOOKUP(BI$1,'Input Assumptions'!$C$34:$L$34,'Input Assumptions'!$C$36:$L$36)</f>
        <v>2121.8658203125005</v>
      </c>
      <c r="BJ25" s="128">
        <f>$N$3*_xlfn.XLOOKUP(BJ$1,'Input Assumptions'!$C$34:$L$34,'Input Assumptions'!$C$36:$L$36)</f>
        <v>2201.4357885742193</v>
      </c>
      <c r="BK25" s="128">
        <f>$N$3*_xlfn.XLOOKUP(BK$1,'Input Assumptions'!$C$34:$L$34,'Input Assumptions'!$C$36:$L$36)</f>
        <v>2201.4357885742193</v>
      </c>
      <c r="BL25" s="128">
        <f>$N$3*_xlfn.XLOOKUP(BL$1,'Input Assumptions'!$C$34:$L$34,'Input Assumptions'!$C$36:$L$36)</f>
        <v>2201.4357885742193</v>
      </c>
      <c r="BM25" s="128">
        <f>$N$3*_xlfn.XLOOKUP(BM$1,'Input Assumptions'!$C$34:$L$34,'Input Assumptions'!$C$36:$L$36)</f>
        <v>2201.4357885742193</v>
      </c>
      <c r="BN25" s="128">
        <f>$N$3*_xlfn.XLOOKUP(BN$1,'Input Assumptions'!$C$34:$L$34,'Input Assumptions'!$C$36:$L$36)</f>
        <v>2201.4357885742193</v>
      </c>
      <c r="BO25" s="128">
        <f>$N$3*_xlfn.XLOOKUP(BO$1,'Input Assumptions'!$C$34:$L$34,'Input Assumptions'!$C$36:$L$36)</f>
        <v>2201.4357885742193</v>
      </c>
      <c r="BP25" s="128">
        <f>$N$3*_xlfn.XLOOKUP(BP$1,'Input Assumptions'!$C$34:$L$34,'Input Assumptions'!$C$36:$L$36)</f>
        <v>2201.4357885742193</v>
      </c>
      <c r="BQ25" s="128">
        <f>$N$3*_xlfn.XLOOKUP(BQ$1,'Input Assumptions'!$C$34:$L$34,'Input Assumptions'!$C$36:$L$36)</f>
        <v>2201.4357885742193</v>
      </c>
      <c r="BR25" s="128">
        <f>$N$3*_xlfn.XLOOKUP(BR$1,'Input Assumptions'!$C$34:$L$34,'Input Assumptions'!$C$36:$L$36)</f>
        <v>2201.4357885742193</v>
      </c>
      <c r="BS25" s="128">
        <f>$N$3*_xlfn.XLOOKUP(BS$1,'Input Assumptions'!$C$34:$L$34,'Input Assumptions'!$C$36:$L$36)</f>
        <v>2201.4357885742193</v>
      </c>
      <c r="BT25" s="128">
        <f>$N$3*_xlfn.XLOOKUP(BT$1,'Input Assumptions'!$C$34:$L$34,'Input Assumptions'!$C$36:$L$36)</f>
        <v>2201.4357885742193</v>
      </c>
      <c r="BU25" s="128">
        <f>$N$3*_xlfn.XLOOKUP(BU$1,'Input Assumptions'!$C$34:$L$34,'Input Assumptions'!$C$36:$L$36)</f>
        <v>2201.4357885742193</v>
      </c>
      <c r="BV25" s="128">
        <f>$N$3*_xlfn.XLOOKUP(BV$1,'Input Assumptions'!$C$34:$L$34,'Input Assumptions'!$C$36:$L$36)</f>
        <v>2283.9896306457531</v>
      </c>
      <c r="BW25" s="128">
        <f>$N$3*_xlfn.XLOOKUP(BW$1,'Input Assumptions'!$C$34:$L$34,'Input Assumptions'!$C$36:$L$36)</f>
        <v>1900</v>
      </c>
      <c r="BX25" s="128">
        <f>$N$3*_xlfn.XLOOKUP(BX$1,'Input Assumptions'!$C$34:$L$34,'Input Assumptions'!$C$36:$L$36)</f>
        <v>1900</v>
      </c>
      <c r="BY25" s="128">
        <f>$N$3*_xlfn.XLOOKUP(BY$1,'Input Assumptions'!$C$34:$L$34,'Input Assumptions'!$C$36:$L$36)</f>
        <v>1900</v>
      </c>
      <c r="BZ25" s="128">
        <f>$N$3*_xlfn.XLOOKUP(BZ$1,'Input Assumptions'!$C$34:$L$34,'Input Assumptions'!$C$36:$L$36)</f>
        <v>1900</v>
      </c>
      <c r="CA25" s="128">
        <f>$N$3*_xlfn.XLOOKUP(CA$1,'Input Assumptions'!$C$34:$L$34,'Input Assumptions'!$C$36:$L$36)</f>
        <v>1900</v>
      </c>
      <c r="CB25" s="128">
        <f>$N$3*_xlfn.XLOOKUP(CB$1,'Input Assumptions'!$C$34:$L$34,'Input Assumptions'!$C$36:$L$36)</f>
        <v>1900</v>
      </c>
      <c r="CC25" s="128">
        <f>$N$3*_xlfn.XLOOKUP(CC$1,'Input Assumptions'!$C$34:$L$34,'Input Assumptions'!$C$36:$L$36)</f>
        <v>1900</v>
      </c>
      <c r="CD25" s="128">
        <f>$N$3*_xlfn.XLOOKUP(CD$1,'Input Assumptions'!$C$34:$L$34,'Input Assumptions'!$C$36:$L$36)</f>
        <v>1900</v>
      </c>
      <c r="CE25" s="128">
        <f>$N$3*_xlfn.XLOOKUP(CE$1,'Input Assumptions'!$C$34:$L$34,'Input Assumptions'!$C$36:$L$36)</f>
        <v>1900</v>
      </c>
      <c r="CF25" s="128">
        <f>$N$3*_xlfn.XLOOKUP(CF$1,'Input Assumptions'!$C$34:$L$34,'Input Assumptions'!$C$36:$L$36)</f>
        <v>1900</v>
      </c>
      <c r="CG25" s="128">
        <f>$N$3*_xlfn.XLOOKUP(CG$1,'Input Assumptions'!$C$34:$L$34,'Input Assumptions'!$C$36:$L$36)</f>
        <v>1900</v>
      </c>
      <c r="CH25" s="128">
        <f>$N$3*_xlfn.XLOOKUP(CH$1,'Input Assumptions'!$C$34:$L$34,'Input Assumptions'!$C$36:$L$36)</f>
        <v>1900</v>
      </c>
      <c r="CI25" s="128">
        <f>$N$3*_xlfn.XLOOKUP(CI$1,'Input Assumptions'!$C$34:$L$34,'Input Assumptions'!$C$36:$L$36)</f>
        <v>1971.2500000000002</v>
      </c>
      <c r="CJ25" s="128">
        <f>$N$3*_xlfn.XLOOKUP(CJ$1,'Input Assumptions'!$C$34:$L$34,'Input Assumptions'!$C$36:$L$36)</f>
        <v>1971.2500000000002</v>
      </c>
      <c r="CK25" s="128">
        <f>$N$3*_xlfn.XLOOKUP(CK$1,'Input Assumptions'!$C$34:$L$34,'Input Assumptions'!$C$36:$L$36)</f>
        <v>1971.2500000000002</v>
      </c>
      <c r="CL25" s="128">
        <f>$N$3*_xlfn.XLOOKUP(CL$1,'Input Assumptions'!$C$34:$L$34,'Input Assumptions'!$C$36:$L$36)</f>
        <v>1971.2500000000002</v>
      </c>
      <c r="CM25" s="128">
        <f>$N$3*_xlfn.XLOOKUP(CM$1,'Input Assumptions'!$C$34:$L$34,'Input Assumptions'!$C$36:$L$36)</f>
        <v>1971.2500000000002</v>
      </c>
      <c r="CN25" s="128">
        <f>$N$3*_xlfn.XLOOKUP(CN$1,'Input Assumptions'!$C$34:$L$34,'Input Assumptions'!$C$36:$L$36)</f>
        <v>1971.2500000000002</v>
      </c>
      <c r="CO25" s="128">
        <f>$N$3*_xlfn.XLOOKUP(CO$1,'Input Assumptions'!$C$34:$L$34,'Input Assumptions'!$C$36:$L$36)</f>
        <v>1971.2500000000002</v>
      </c>
      <c r="CP25" s="128">
        <f>$N$3*_xlfn.XLOOKUP(CP$1,'Input Assumptions'!$C$34:$L$34,'Input Assumptions'!$C$36:$L$36)</f>
        <v>1971.2500000000002</v>
      </c>
      <c r="CQ25" s="128">
        <f>$N$3*_xlfn.XLOOKUP(CQ$1,'Input Assumptions'!$C$34:$L$34,'Input Assumptions'!$C$36:$L$36)</f>
        <v>1971.2500000000002</v>
      </c>
      <c r="CR25" s="128">
        <f>$N$3*_xlfn.XLOOKUP(CR$1,'Input Assumptions'!$C$34:$L$34,'Input Assumptions'!$C$36:$L$36)</f>
        <v>1971.2500000000002</v>
      </c>
      <c r="CS25" s="128">
        <f>$N$3*_xlfn.XLOOKUP(CS$1,'Input Assumptions'!$C$34:$L$34,'Input Assumptions'!$C$36:$L$36)</f>
        <v>1971.2500000000002</v>
      </c>
      <c r="CT25" s="128">
        <f>$N$3*_xlfn.XLOOKUP(CT$1,'Input Assumptions'!$C$34:$L$34,'Input Assumptions'!$C$36:$L$36)</f>
        <v>1971.2500000000002</v>
      </c>
      <c r="CU25" s="128">
        <f>$N$3*_xlfn.XLOOKUP(CU$1,'Input Assumptions'!$C$34:$L$34,'Input Assumptions'!$C$36:$L$36)</f>
        <v>2045.1718750000005</v>
      </c>
      <c r="CV25" s="128">
        <f>$N$3*_xlfn.XLOOKUP(CV$1,'Input Assumptions'!$C$34:$L$34,'Input Assumptions'!$C$36:$L$36)</f>
        <v>2045.1718750000005</v>
      </c>
      <c r="CW25" s="128">
        <f>$N$3*_xlfn.XLOOKUP(CW$1,'Input Assumptions'!$C$34:$L$34,'Input Assumptions'!$C$36:$L$36)</f>
        <v>2045.1718750000005</v>
      </c>
      <c r="CX25" s="128">
        <f>$N$3*_xlfn.XLOOKUP(CX$1,'Input Assumptions'!$C$34:$L$34,'Input Assumptions'!$C$36:$L$36)</f>
        <v>2045.1718750000005</v>
      </c>
      <c r="CY25" s="128">
        <f>$N$3*_xlfn.XLOOKUP(CY$1,'Input Assumptions'!$C$34:$L$34,'Input Assumptions'!$C$36:$L$36)</f>
        <v>2045.1718750000005</v>
      </c>
      <c r="CZ25" s="128">
        <f>$N$3*_xlfn.XLOOKUP(CZ$1,'Input Assumptions'!$C$34:$L$34,'Input Assumptions'!$C$36:$L$36)</f>
        <v>2045.1718750000005</v>
      </c>
      <c r="DA25" s="128">
        <f>$N$3*_xlfn.XLOOKUP(DA$1,'Input Assumptions'!$C$34:$L$34,'Input Assumptions'!$C$36:$L$36)</f>
        <v>2045.1718750000005</v>
      </c>
      <c r="DB25" s="128">
        <f>$N$3*_xlfn.XLOOKUP(DB$1,'Input Assumptions'!$C$34:$L$34,'Input Assumptions'!$C$36:$L$36)</f>
        <v>2045.1718750000005</v>
      </c>
      <c r="DC25" s="128">
        <f>$N$3*_xlfn.XLOOKUP(DC$1,'Input Assumptions'!$C$34:$L$34,'Input Assumptions'!$C$36:$L$36)</f>
        <v>2045.1718750000005</v>
      </c>
      <c r="DD25" s="128">
        <f>$N$3*_xlfn.XLOOKUP(DD$1,'Input Assumptions'!$C$34:$L$34,'Input Assumptions'!$C$36:$L$36)</f>
        <v>2045.1718750000005</v>
      </c>
      <c r="DE25" s="128">
        <f>$N$3*_xlfn.XLOOKUP(DE$1,'Input Assumptions'!$C$34:$L$34,'Input Assumptions'!$C$36:$L$36)</f>
        <v>2045.1718750000005</v>
      </c>
      <c r="DF25" s="128">
        <f>$N$3*_xlfn.XLOOKUP(DF$1,'Input Assumptions'!$C$34:$L$34,'Input Assumptions'!$C$36:$L$36)</f>
        <v>2045.1718750000005</v>
      </c>
      <c r="DG25" s="128">
        <f>$N$3*_xlfn.XLOOKUP(DG$1,'Input Assumptions'!$C$34:$L$34,'Input Assumptions'!$C$36:$L$36)</f>
        <v>2121.8658203125005</v>
      </c>
      <c r="DH25" s="128">
        <f>$N$3*_xlfn.XLOOKUP(DH$1,'Input Assumptions'!$C$34:$L$34,'Input Assumptions'!$C$36:$L$36)</f>
        <v>2121.8658203125005</v>
      </c>
      <c r="DI25" s="128">
        <f>$N$3*_xlfn.XLOOKUP(DI$1,'Input Assumptions'!$C$34:$L$34,'Input Assumptions'!$C$36:$L$36)</f>
        <v>2121.8658203125005</v>
      </c>
      <c r="DJ25" s="128">
        <f>$N$3*_xlfn.XLOOKUP(DJ$1,'Input Assumptions'!$C$34:$L$34,'Input Assumptions'!$C$36:$L$36)</f>
        <v>2121.8658203125005</v>
      </c>
      <c r="DK25" s="128">
        <f>$N$3*_xlfn.XLOOKUP(DK$1,'Input Assumptions'!$C$34:$L$34,'Input Assumptions'!$C$36:$L$36)</f>
        <v>2121.8658203125005</v>
      </c>
      <c r="DL25" s="128">
        <f>$N$3*_xlfn.XLOOKUP(DL$1,'Input Assumptions'!$C$34:$L$34,'Input Assumptions'!$C$36:$L$36)</f>
        <v>2121.8658203125005</v>
      </c>
      <c r="DM25" s="128">
        <f>$N$3*_xlfn.XLOOKUP(DM$1,'Input Assumptions'!$C$34:$L$34,'Input Assumptions'!$C$36:$L$36)</f>
        <v>2121.8658203125005</v>
      </c>
      <c r="DN25" s="128">
        <f>$N$3*_xlfn.XLOOKUP(DN$1,'Input Assumptions'!$C$34:$L$34,'Input Assumptions'!$C$36:$L$36)</f>
        <v>2121.8658203125005</v>
      </c>
      <c r="DO25" s="128">
        <f>$N$3*_xlfn.XLOOKUP(DO$1,'Input Assumptions'!$C$34:$L$34,'Input Assumptions'!$C$36:$L$36)</f>
        <v>2121.8658203125005</v>
      </c>
      <c r="DP25" s="128">
        <f>$N$3*_xlfn.XLOOKUP(DP$1,'Input Assumptions'!$C$34:$L$34,'Input Assumptions'!$C$36:$L$36)</f>
        <v>2121.8658203125005</v>
      </c>
      <c r="DQ25" s="128">
        <f>$N$3*_xlfn.XLOOKUP(DQ$1,'Input Assumptions'!$C$34:$L$34,'Input Assumptions'!$C$36:$L$36)</f>
        <v>2121.8658203125005</v>
      </c>
      <c r="DR25" s="128">
        <f>$N$3*_xlfn.XLOOKUP(DR$1,'Input Assumptions'!$C$34:$L$34,'Input Assumptions'!$C$36:$L$36)</f>
        <v>2121.8658203125005</v>
      </c>
      <c r="DS25" s="128">
        <f>$N$3*_xlfn.XLOOKUP(DS$1,'Input Assumptions'!$C$34:$L$34,'Input Assumptions'!$C$36:$L$36)</f>
        <v>2201.4357885742193</v>
      </c>
      <c r="DT25" s="128">
        <f>$N$3*_xlfn.XLOOKUP(DT$1,'Input Assumptions'!$C$34:$L$34,'Input Assumptions'!$C$36:$L$36)</f>
        <v>2201.4357885742193</v>
      </c>
      <c r="DU25" s="128">
        <f>$N$3*_xlfn.XLOOKUP(DU$1,'Input Assumptions'!$C$34:$L$34,'Input Assumptions'!$C$36:$L$36)</f>
        <v>2201.4357885742193</v>
      </c>
      <c r="DV25" s="128">
        <f>$N$3*_xlfn.XLOOKUP(DV$1,'Input Assumptions'!$C$34:$L$34,'Input Assumptions'!$C$36:$L$36)</f>
        <v>2201.4357885742193</v>
      </c>
      <c r="DW25" s="128">
        <f>$N$3*_xlfn.XLOOKUP(DW$1,'Input Assumptions'!$C$34:$L$34,'Input Assumptions'!$C$36:$L$36)</f>
        <v>2201.4357885742193</v>
      </c>
      <c r="DX25" s="128">
        <f>$N$3*_xlfn.XLOOKUP(DX$1,'Input Assumptions'!$C$34:$L$34,'Input Assumptions'!$C$36:$L$36)</f>
        <v>2201.4357885742193</v>
      </c>
      <c r="DY25" s="128">
        <f>$N$3*_xlfn.XLOOKUP(DY$1,'Input Assumptions'!$C$34:$L$34,'Input Assumptions'!$C$36:$L$36)</f>
        <v>2201.4357885742193</v>
      </c>
      <c r="DZ25" s="128">
        <f>$N$3*_xlfn.XLOOKUP(DZ$1,'Input Assumptions'!$C$34:$L$34,'Input Assumptions'!$C$36:$L$36)</f>
        <v>2201.4357885742193</v>
      </c>
      <c r="EA25" s="128">
        <f>$N$3*_xlfn.XLOOKUP(EA$1,'Input Assumptions'!$C$34:$L$34,'Input Assumptions'!$C$36:$L$36)</f>
        <v>2201.4357885742193</v>
      </c>
      <c r="EB25" s="128">
        <f>$N$3*_xlfn.XLOOKUP(EB$1,'Input Assumptions'!$C$34:$L$34,'Input Assumptions'!$C$36:$L$36)</f>
        <v>2201.4357885742193</v>
      </c>
      <c r="EC25" s="128">
        <f>$N$3*_xlfn.XLOOKUP(EC$1,'Input Assumptions'!$C$34:$L$34,'Input Assumptions'!$C$36:$L$36)</f>
        <v>2201.4357885742193</v>
      </c>
    </row>
    <row r="26" spans="2:133" x14ac:dyDescent="0.3">
      <c r="B26" s="15">
        <v>3</v>
      </c>
      <c r="C26" s="16">
        <v>24</v>
      </c>
      <c r="D26" s="16" t="s">
        <v>10</v>
      </c>
      <c r="E26" s="16">
        <v>450</v>
      </c>
      <c r="F26" s="20">
        <f t="shared" ref="F26:F40" si="114">E26/10.7639</f>
        <v>41.80640845790095</v>
      </c>
      <c r="G26" s="19" t="str">
        <f t="shared" ref="G26:G40" si="115">LEFT(D26,1)</f>
        <v>1</v>
      </c>
      <c r="H26" s="20">
        <f t="shared" ref="H26:H40" si="116">ROUND(G26,0)</f>
        <v>1</v>
      </c>
      <c r="I26" s="18">
        <f t="shared" ref="I26:I40" si="117">SUMIF($C$54:$C$57,D26,$E$54:$E$57)*E26</f>
        <v>1710</v>
      </c>
      <c r="J26" s="18">
        <f t="shared" ref="J26:J40" si="118">SUMIF($C$46:$C$49,D26,$E$46:$E$49)</f>
        <v>1900</v>
      </c>
      <c r="K26" s="18">
        <f>(J26*'Input Assumptions'!$C$20)+I26*('Input Assumptions'!$C$21)</f>
        <v>1900</v>
      </c>
      <c r="L26" s="94"/>
      <c r="M26" s="4"/>
      <c r="N26" s="128">
        <f t="shared" ref="N26:N40" si="119">IF($N$2=1,K26,0)</f>
        <v>1900</v>
      </c>
      <c r="O26" s="128">
        <f>$N$3*_xlfn.XLOOKUP(O$1,'Input Assumptions'!$C$34:$L$34,'Input Assumptions'!$C$36:$L$36)</f>
        <v>1900</v>
      </c>
      <c r="P26" s="128">
        <f>$N$3*_xlfn.XLOOKUP(P$1,'Input Assumptions'!$C$34:$L$34,'Input Assumptions'!$C$36:$L$36)</f>
        <v>1900</v>
      </c>
      <c r="Q26" s="128">
        <f>$N$3*_xlfn.XLOOKUP(Q$1,'Input Assumptions'!$C$34:$L$34,'Input Assumptions'!$C$36:$L$36)</f>
        <v>1900</v>
      </c>
      <c r="R26" s="128">
        <f>$N$3*_xlfn.XLOOKUP(R$1,'Input Assumptions'!$C$34:$L$34,'Input Assumptions'!$C$36:$L$36)</f>
        <v>1900</v>
      </c>
      <c r="S26" s="128">
        <f>$N$3*_xlfn.XLOOKUP(S$1,'Input Assumptions'!$C$34:$L$34,'Input Assumptions'!$C$36:$L$36)</f>
        <v>1900</v>
      </c>
      <c r="T26" s="128">
        <f>$N$3*_xlfn.XLOOKUP(T$1,'Input Assumptions'!$C$34:$L$34,'Input Assumptions'!$C$36:$L$36)</f>
        <v>1900</v>
      </c>
      <c r="U26" s="128">
        <f>$N$3*_xlfn.XLOOKUP(U$1,'Input Assumptions'!$C$34:$L$34,'Input Assumptions'!$C$36:$L$36)</f>
        <v>1900</v>
      </c>
      <c r="V26" s="128">
        <f>$N$3*_xlfn.XLOOKUP(V$1,'Input Assumptions'!$C$34:$L$34,'Input Assumptions'!$C$36:$L$36)</f>
        <v>1900</v>
      </c>
      <c r="W26" s="128">
        <f>$N$3*_xlfn.XLOOKUP(W$1,'Input Assumptions'!$C$34:$L$34,'Input Assumptions'!$C$36:$L$36)</f>
        <v>1900</v>
      </c>
      <c r="X26" s="128">
        <f>$N$3*_xlfn.XLOOKUP(X$1,'Input Assumptions'!$C$34:$L$34,'Input Assumptions'!$C$36:$L$36)</f>
        <v>1900</v>
      </c>
      <c r="Y26" s="128">
        <f>$N$3*_xlfn.XLOOKUP(Y$1,'Input Assumptions'!$C$34:$L$34,'Input Assumptions'!$C$36:$L$36)</f>
        <v>1900</v>
      </c>
      <c r="Z26" s="128">
        <f>$N$3*_xlfn.XLOOKUP(Z$1,'Input Assumptions'!$C$34:$L$34,'Input Assumptions'!$C$36:$L$36)</f>
        <v>1971.2500000000002</v>
      </c>
      <c r="AA26" s="128">
        <f>$N$3*_xlfn.XLOOKUP(AA$1,'Input Assumptions'!$C$34:$L$34,'Input Assumptions'!$C$36:$L$36)</f>
        <v>1971.2500000000002</v>
      </c>
      <c r="AB26" s="128">
        <f>$N$3*_xlfn.XLOOKUP(AB$1,'Input Assumptions'!$C$34:$L$34,'Input Assumptions'!$C$36:$L$36)</f>
        <v>1971.2500000000002</v>
      </c>
      <c r="AC26" s="128">
        <f>$N$3*_xlfn.XLOOKUP(AC$1,'Input Assumptions'!$C$34:$L$34,'Input Assumptions'!$C$36:$L$36)</f>
        <v>1971.2500000000002</v>
      </c>
      <c r="AD26" s="128">
        <f>$N$3*_xlfn.XLOOKUP(AD$1,'Input Assumptions'!$C$34:$L$34,'Input Assumptions'!$C$36:$L$36)</f>
        <v>1971.2500000000002</v>
      </c>
      <c r="AE26" s="128">
        <f>$N$3*_xlfn.XLOOKUP(AE$1,'Input Assumptions'!$C$34:$L$34,'Input Assumptions'!$C$36:$L$36)</f>
        <v>1971.2500000000002</v>
      </c>
      <c r="AF26" s="128">
        <f>$N$3*_xlfn.XLOOKUP(AF$1,'Input Assumptions'!$C$34:$L$34,'Input Assumptions'!$C$36:$L$36)</f>
        <v>1971.2500000000002</v>
      </c>
      <c r="AG26" s="128">
        <f>$N$3*_xlfn.XLOOKUP(AG$1,'Input Assumptions'!$C$34:$L$34,'Input Assumptions'!$C$36:$L$36)</f>
        <v>1971.2500000000002</v>
      </c>
      <c r="AH26" s="128">
        <f>$N$3*_xlfn.XLOOKUP(AH$1,'Input Assumptions'!$C$34:$L$34,'Input Assumptions'!$C$36:$L$36)</f>
        <v>1971.2500000000002</v>
      </c>
      <c r="AI26" s="128">
        <f>$N$3*_xlfn.XLOOKUP(AI$1,'Input Assumptions'!$C$34:$L$34,'Input Assumptions'!$C$36:$L$36)</f>
        <v>1971.2500000000002</v>
      </c>
      <c r="AJ26" s="128">
        <f>$N$3*_xlfn.XLOOKUP(AJ$1,'Input Assumptions'!$C$34:$L$34,'Input Assumptions'!$C$36:$L$36)</f>
        <v>1971.2500000000002</v>
      </c>
      <c r="AK26" s="128">
        <f>$N$3*_xlfn.XLOOKUP(AK$1,'Input Assumptions'!$C$34:$L$34,'Input Assumptions'!$C$36:$L$36)</f>
        <v>1971.2500000000002</v>
      </c>
      <c r="AL26" s="128">
        <f>$N$3*_xlfn.XLOOKUP(AL$1,'Input Assumptions'!$C$34:$L$34,'Input Assumptions'!$C$36:$L$36)</f>
        <v>2045.1718750000005</v>
      </c>
      <c r="AM26" s="128">
        <f>$N$3*_xlfn.XLOOKUP(AM$1,'Input Assumptions'!$C$34:$L$34,'Input Assumptions'!$C$36:$L$36)</f>
        <v>2045.1718750000005</v>
      </c>
      <c r="AN26" s="128">
        <f>$N$3*_xlfn.XLOOKUP(AN$1,'Input Assumptions'!$C$34:$L$34,'Input Assumptions'!$C$36:$L$36)</f>
        <v>2045.1718750000005</v>
      </c>
      <c r="AO26" s="128">
        <f>$N$3*_xlfn.XLOOKUP(AO$1,'Input Assumptions'!$C$34:$L$34,'Input Assumptions'!$C$36:$L$36)</f>
        <v>2045.1718750000005</v>
      </c>
      <c r="AP26" s="128">
        <f>$N$3*_xlfn.XLOOKUP(AP$1,'Input Assumptions'!$C$34:$L$34,'Input Assumptions'!$C$36:$L$36)</f>
        <v>2045.1718750000005</v>
      </c>
      <c r="AQ26" s="128">
        <f>$N$3*_xlfn.XLOOKUP(AQ$1,'Input Assumptions'!$C$34:$L$34,'Input Assumptions'!$C$36:$L$36)</f>
        <v>2045.1718750000005</v>
      </c>
      <c r="AR26" s="128">
        <f>$N$3*_xlfn.XLOOKUP(AR$1,'Input Assumptions'!$C$34:$L$34,'Input Assumptions'!$C$36:$L$36)</f>
        <v>2045.1718750000005</v>
      </c>
      <c r="AS26" s="128">
        <f>$N$3*_xlfn.XLOOKUP(AS$1,'Input Assumptions'!$C$34:$L$34,'Input Assumptions'!$C$36:$L$36)</f>
        <v>2045.1718750000005</v>
      </c>
      <c r="AT26" s="128">
        <f>$N$3*_xlfn.XLOOKUP(AT$1,'Input Assumptions'!$C$34:$L$34,'Input Assumptions'!$C$36:$L$36)</f>
        <v>2045.1718750000005</v>
      </c>
      <c r="AU26" s="128">
        <f>$N$3*_xlfn.XLOOKUP(AU$1,'Input Assumptions'!$C$34:$L$34,'Input Assumptions'!$C$36:$L$36)</f>
        <v>2045.1718750000005</v>
      </c>
      <c r="AV26" s="128">
        <f>$N$3*_xlfn.XLOOKUP(AV$1,'Input Assumptions'!$C$34:$L$34,'Input Assumptions'!$C$36:$L$36)</f>
        <v>2045.1718750000005</v>
      </c>
      <c r="AW26" s="128">
        <f>$N$3*_xlfn.XLOOKUP(AW$1,'Input Assumptions'!$C$34:$L$34,'Input Assumptions'!$C$36:$L$36)</f>
        <v>2045.1718750000005</v>
      </c>
      <c r="AX26" s="128">
        <f>$N$3*_xlfn.XLOOKUP(AX$1,'Input Assumptions'!$C$34:$L$34,'Input Assumptions'!$C$36:$L$36)</f>
        <v>2121.8658203125005</v>
      </c>
      <c r="AY26" s="128">
        <f>$N$3*_xlfn.XLOOKUP(AY$1,'Input Assumptions'!$C$34:$L$34,'Input Assumptions'!$C$36:$L$36)</f>
        <v>2121.8658203125005</v>
      </c>
      <c r="AZ26" s="128">
        <f>$N$3*_xlfn.XLOOKUP(AZ$1,'Input Assumptions'!$C$34:$L$34,'Input Assumptions'!$C$36:$L$36)</f>
        <v>2121.8658203125005</v>
      </c>
      <c r="BA26" s="128">
        <f>$N$3*_xlfn.XLOOKUP(BA$1,'Input Assumptions'!$C$34:$L$34,'Input Assumptions'!$C$36:$L$36)</f>
        <v>2121.8658203125005</v>
      </c>
      <c r="BB26" s="128">
        <f>$N$3*_xlfn.XLOOKUP(BB$1,'Input Assumptions'!$C$34:$L$34,'Input Assumptions'!$C$36:$L$36)</f>
        <v>2121.8658203125005</v>
      </c>
      <c r="BC26" s="128">
        <f>$N$3*_xlfn.XLOOKUP(BC$1,'Input Assumptions'!$C$34:$L$34,'Input Assumptions'!$C$36:$L$36)</f>
        <v>2121.8658203125005</v>
      </c>
      <c r="BD26" s="128">
        <f>$N$3*_xlfn.XLOOKUP(BD$1,'Input Assumptions'!$C$34:$L$34,'Input Assumptions'!$C$36:$L$36)</f>
        <v>2121.8658203125005</v>
      </c>
      <c r="BE26" s="128">
        <f>$N$3*_xlfn.XLOOKUP(BE$1,'Input Assumptions'!$C$34:$L$34,'Input Assumptions'!$C$36:$L$36)</f>
        <v>2121.8658203125005</v>
      </c>
      <c r="BF26" s="128">
        <f>$N$3*_xlfn.XLOOKUP(BF$1,'Input Assumptions'!$C$34:$L$34,'Input Assumptions'!$C$36:$L$36)</f>
        <v>2121.8658203125005</v>
      </c>
      <c r="BG26" s="128">
        <f>$N$3*_xlfn.XLOOKUP(BG$1,'Input Assumptions'!$C$34:$L$34,'Input Assumptions'!$C$36:$L$36)</f>
        <v>2121.8658203125005</v>
      </c>
      <c r="BH26" s="128">
        <f>$N$3*_xlfn.XLOOKUP(BH$1,'Input Assumptions'!$C$34:$L$34,'Input Assumptions'!$C$36:$L$36)</f>
        <v>2121.8658203125005</v>
      </c>
      <c r="BI26" s="128">
        <f>$N$3*_xlfn.XLOOKUP(BI$1,'Input Assumptions'!$C$34:$L$34,'Input Assumptions'!$C$36:$L$36)</f>
        <v>2121.8658203125005</v>
      </c>
      <c r="BJ26" s="128">
        <f>$N$3*_xlfn.XLOOKUP(BJ$1,'Input Assumptions'!$C$34:$L$34,'Input Assumptions'!$C$36:$L$36)</f>
        <v>2201.4357885742193</v>
      </c>
      <c r="BK26" s="128">
        <f>$N$3*_xlfn.XLOOKUP(BK$1,'Input Assumptions'!$C$34:$L$34,'Input Assumptions'!$C$36:$L$36)</f>
        <v>2201.4357885742193</v>
      </c>
      <c r="BL26" s="128">
        <f>$N$3*_xlfn.XLOOKUP(BL$1,'Input Assumptions'!$C$34:$L$34,'Input Assumptions'!$C$36:$L$36)</f>
        <v>2201.4357885742193</v>
      </c>
      <c r="BM26" s="128">
        <f>$N$3*_xlfn.XLOOKUP(BM$1,'Input Assumptions'!$C$34:$L$34,'Input Assumptions'!$C$36:$L$36)</f>
        <v>2201.4357885742193</v>
      </c>
      <c r="BN26" s="128">
        <f>$N$3*_xlfn.XLOOKUP(BN$1,'Input Assumptions'!$C$34:$L$34,'Input Assumptions'!$C$36:$L$36)</f>
        <v>2201.4357885742193</v>
      </c>
      <c r="BO26" s="128">
        <f>$N$3*_xlfn.XLOOKUP(BO$1,'Input Assumptions'!$C$34:$L$34,'Input Assumptions'!$C$36:$L$36)</f>
        <v>2201.4357885742193</v>
      </c>
      <c r="BP26" s="128">
        <f>$N$3*_xlfn.XLOOKUP(BP$1,'Input Assumptions'!$C$34:$L$34,'Input Assumptions'!$C$36:$L$36)</f>
        <v>2201.4357885742193</v>
      </c>
      <c r="BQ26" s="128">
        <f>$N$3*_xlfn.XLOOKUP(BQ$1,'Input Assumptions'!$C$34:$L$34,'Input Assumptions'!$C$36:$L$36)</f>
        <v>2201.4357885742193</v>
      </c>
      <c r="BR26" s="128">
        <f>$N$3*_xlfn.XLOOKUP(BR$1,'Input Assumptions'!$C$34:$L$34,'Input Assumptions'!$C$36:$L$36)</f>
        <v>2201.4357885742193</v>
      </c>
      <c r="BS26" s="128">
        <f>$N$3*_xlfn.XLOOKUP(BS$1,'Input Assumptions'!$C$34:$L$34,'Input Assumptions'!$C$36:$L$36)</f>
        <v>2201.4357885742193</v>
      </c>
      <c r="BT26" s="128">
        <f>$N$3*_xlfn.XLOOKUP(BT$1,'Input Assumptions'!$C$34:$L$34,'Input Assumptions'!$C$36:$L$36)</f>
        <v>2201.4357885742193</v>
      </c>
      <c r="BU26" s="128">
        <f>$N$3*_xlfn.XLOOKUP(BU$1,'Input Assumptions'!$C$34:$L$34,'Input Assumptions'!$C$36:$L$36)</f>
        <v>2201.4357885742193</v>
      </c>
      <c r="BV26" s="128">
        <f>$N$3*_xlfn.XLOOKUP(BV$1,'Input Assumptions'!$C$34:$L$34,'Input Assumptions'!$C$36:$L$36)</f>
        <v>2283.9896306457531</v>
      </c>
      <c r="BW26" s="128">
        <f>$N$3*_xlfn.XLOOKUP(BW$1,'Input Assumptions'!$C$34:$L$34,'Input Assumptions'!$C$36:$L$36)</f>
        <v>1900</v>
      </c>
      <c r="BX26" s="128">
        <f>$N$3*_xlfn.XLOOKUP(BX$1,'Input Assumptions'!$C$34:$L$34,'Input Assumptions'!$C$36:$L$36)</f>
        <v>1900</v>
      </c>
      <c r="BY26" s="128">
        <f>$N$3*_xlfn.XLOOKUP(BY$1,'Input Assumptions'!$C$34:$L$34,'Input Assumptions'!$C$36:$L$36)</f>
        <v>1900</v>
      </c>
      <c r="BZ26" s="128">
        <f>$N$3*_xlfn.XLOOKUP(BZ$1,'Input Assumptions'!$C$34:$L$34,'Input Assumptions'!$C$36:$L$36)</f>
        <v>1900</v>
      </c>
      <c r="CA26" s="128">
        <f>$N$3*_xlfn.XLOOKUP(CA$1,'Input Assumptions'!$C$34:$L$34,'Input Assumptions'!$C$36:$L$36)</f>
        <v>1900</v>
      </c>
      <c r="CB26" s="128">
        <f>$N$3*_xlfn.XLOOKUP(CB$1,'Input Assumptions'!$C$34:$L$34,'Input Assumptions'!$C$36:$L$36)</f>
        <v>1900</v>
      </c>
      <c r="CC26" s="128">
        <f>$N$3*_xlfn.XLOOKUP(CC$1,'Input Assumptions'!$C$34:$L$34,'Input Assumptions'!$C$36:$L$36)</f>
        <v>1900</v>
      </c>
      <c r="CD26" s="128">
        <f>$N$3*_xlfn.XLOOKUP(CD$1,'Input Assumptions'!$C$34:$L$34,'Input Assumptions'!$C$36:$L$36)</f>
        <v>1900</v>
      </c>
      <c r="CE26" s="128">
        <f>$N$3*_xlfn.XLOOKUP(CE$1,'Input Assumptions'!$C$34:$L$34,'Input Assumptions'!$C$36:$L$36)</f>
        <v>1900</v>
      </c>
      <c r="CF26" s="128">
        <f>$N$3*_xlfn.XLOOKUP(CF$1,'Input Assumptions'!$C$34:$L$34,'Input Assumptions'!$C$36:$L$36)</f>
        <v>1900</v>
      </c>
      <c r="CG26" s="128">
        <f>$N$3*_xlfn.XLOOKUP(CG$1,'Input Assumptions'!$C$34:$L$34,'Input Assumptions'!$C$36:$L$36)</f>
        <v>1900</v>
      </c>
      <c r="CH26" s="128">
        <f>$N$3*_xlfn.XLOOKUP(CH$1,'Input Assumptions'!$C$34:$L$34,'Input Assumptions'!$C$36:$L$36)</f>
        <v>1900</v>
      </c>
      <c r="CI26" s="128">
        <f>$N$3*_xlfn.XLOOKUP(CI$1,'Input Assumptions'!$C$34:$L$34,'Input Assumptions'!$C$36:$L$36)</f>
        <v>1971.2500000000002</v>
      </c>
      <c r="CJ26" s="128">
        <f>$N$3*_xlfn.XLOOKUP(CJ$1,'Input Assumptions'!$C$34:$L$34,'Input Assumptions'!$C$36:$L$36)</f>
        <v>1971.2500000000002</v>
      </c>
      <c r="CK26" s="128">
        <f>$N$3*_xlfn.XLOOKUP(CK$1,'Input Assumptions'!$C$34:$L$34,'Input Assumptions'!$C$36:$L$36)</f>
        <v>1971.2500000000002</v>
      </c>
      <c r="CL26" s="128">
        <f>$N$3*_xlfn.XLOOKUP(CL$1,'Input Assumptions'!$C$34:$L$34,'Input Assumptions'!$C$36:$L$36)</f>
        <v>1971.2500000000002</v>
      </c>
      <c r="CM26" s="128">
        <f>$N$3*_xlfn.XLOOKUP(CM$1,'Input Assumptions'!$C$34:$L$34,'Input Assumptions'!$C$36:$L$36)</f>
        <v>1971.2500000000002</v>
      </c>
      <c r="CN26" s="128">
        <f>$N$3*_xlfn.XLOOKUP(CN$1,'Input Assumptions'!$C$34:$L$34,'Input Assumptions'!$C$36:$L$36)</f>
        <v>1971.2500000000002</v>
      </c>
      <c r="CO26" s="128">
        <f>$N$3*_xlfn.XLOOKUP(CO$1,'Input Assumptions'!$C$34:$L$34,'Input Assumptions'!$C$36:$L$36)</f>
        <v>1971.2500000000002</v>
      </c>
      <c r="CP26" s="128">
        <f>$N$3*_xlfn.XLOOKUP(CP$1,'Input Assumptions'!$C$34:$L$34,'Input Assumptions'!$C$36:$L$36)</f>
        <v>1971.2500000000002</v>
      </c>
      <c r="CQ26" s="128">
        <f>$N$3*_xlfn.XLOOKUP(CQ$1,'Input Assumptions'!$C$34:$L$34,'Input Assumptions'!$C$36:$L$36)</f>
        <v>1971.2500000000002</v>
      </c>
      <c r="CR26" s="128">
        <f>$N$3*_xlfn.XLOOKUP(CR$1,'Input Assumptions'!$C$34:$L$34,'Input Assumptions'!$C$36:$L$36)</f>
        <v>1971.2500000000002</v>
      </c>
      <c r="CS26" s="128">
        <f>$N$3*_xlfn.XLOOKUP(CS$1,'Input Assumptions'!$C$34:$L$34,'Input Assumptions'!$C$36:$L$36)</f>
        <v>1971.2500000000002</v>
      </c>
      <c r="CT26" s="128">
        <f>$N$3*_xlfn.XLOOKUP(CT$1,'Input Assumptions'!$C$34:$L$34,'Input Assumptions'!$C$36:$L$36)</f>
        <v>1971.2500000000002</v>
      </c>
      <c r="CU26" s="128">
        <f>$N$3*_xlfn.XLOOKUP(CU$1,'Input Assumptions'!$C$34:$L$34,'Input Assumptions'!$C$36:$L$36)</f>
        <v>2045.1718750000005</v>
      </c>
      <c r="CV26" s="128">
        <f>$N$3*_xlfn.XLOOKUP(CV$1,'Input Assumptions'!$C$34:$L$34,'Input Assumptions'!$C$36:$L$36)</f>
        <v>2045.1718750000005</v>
      </c>
      <c r="CW26" s="128">
        <f>$N$3*_xlfn.XLOOKUP(CW$1,'Input Assumptions'!$C$34:$L$34,'Input Assumptions'!$C$36:$L$36)</f>
        <v>2045.1718750000005</v>
      </c>
      <c r="CX26" s="128">
        <f>$N$3*_xlfn.XLOOKUP(CX$1,'Input Assumptions'!$C$34:$L$34,'Input Assumptions'!$C$36:$L$36)</f>
        <v>2045.1718750000005</v>
      </c>
      <c r="CY26" s="128">
        <f>$N$3*_xlfn.XLOOKUP(CY$1,'Input Assumptions'!$C$34:$L$34,'Input Assumptions'!$C$36:$L$36)</f>
        <v>2045.1718750000005</v>
      </c>
      <c r="CZ26" s="128">
        <f>$N$3*_xlfn.XLOOKUP(CZ$1,'Input Assumptions'!$C$34:$L$34,'Input Assumptions'!$C$36:$L$36)</f>
        <v>2045.1718750000005</v>
      </c>
      <c r="DA26" s="128">
        <f>$N$3*_xlfn.XLOOKUP(DA$1,'Input Assumptions'!$C$34:$L$34,'Input Assumptions'!$C$36:$L$36)</f>
        <v>2045.1718750000005</v>
      </c>
      <c r="DB26" s="128">
        <f>$N$3*_xlfn.XLOOKUP(DB$1,'Input Assumptions'!$C$34:$L$34,'Input Assumptions'!$C$36:$L$36)</f>
        <v>2045.1718750000005</v>
      </c>
      <c r="DC26" s="128">
        <f>$N$3*_xlfn.XLOOKUP(DC$1,'Input Assumptions'!$C$34:$L$34,'Input Assumptions'!$C$36:$L$36)</f>
        <v>2045.1718750000005</v>
      </c>
      <c r="DD26" s="128">
        <f>$N$3*_xlfn.XLOOKUP(DD$1,'Input Assumptions'!$C$34:$L$34,'Input Assumptions'!$C$36:$L$36)</f>
        <v>2045.1718750000005</v>
      </c>
      <c r="DE26" s="128">
        <f>$N$3*_xlfn.XLOOKUP(DE$1,'Input Assumptions'!$C$34:$L$34,'Input Assumptions'!$C$36:$L$36)</f>
        <v>2045.1718750000005</v>
      </c>
      <c r="DF26" s="128">
        <f>$N$3*_xlfn.XLOOKUP(DF$1,'Input Assumptions'!$C$34:$L$34,'Input Assumptions'!$C$36:$L$36)</f>
        <v>2045.1718750000005</v>
      </c>
      <c r="DG26" s="128">
        <f>$N$3*_xlfn.XLOOKUP(DG$1,'Input Assumptions'!$C$34:$L$34,'Input Assumptions'!$C$36:$L$36)</f>
        <v>2121.8658203125005</v>
      </c>
      <c r="DH26" s="128">
        <f>$N$3*_xlfn.XLOOKUP(DH$1,'Input Assumptions'!$C$34:$L$34,'Input Assumptions'!$C$36:$L$36)</f>
        <v>2121.8658203125005</v>
      </c>
      <c r="DI26" s="128">
        <f>$N$3*_xlfn.XLOOKUP(DI$1,'Input Assumptions'!$C$34:$L$34,'Input Assumptions'!$C$36:$L$36)</f>
        <v>2121.8658203125005</v>
      </c>
      <c r="DJ26" s="128">
        <f>$N$3*_xlfn.XLOOKUP(DJ$1,'Input Assumptions'!$C$34:$L$34,'Input Assumptions'!$C$36:$L$36)</f>
        <v>2121.8658203125005</v>
      </c>
      <c r="DK26" s="128">
        <f>$N$3*_xlfn.XLOOKUP(DK$1,'Input Assumptions'!$C$34:$L$34,'Input Assumptions'!$C$36:$L$36)</f>
        <v>2121.8658203125005</v>
      </c>
      <c r="DL26" s="128">
        <f>$N$3*_xlfn.XLOOKUP(DL$1,'Input Assumptions'!$C$34:$L$34,'Input Assumptions'!$C$36:$L$36)</f>
        <v>2121.8658203125005</v>
      </c>
      <c r="DM26" s="128">
        <f>$N$3*_xlfn.XLOOKUP(DM$1,'Input Assumptions'!$C$34:$L$34,'Input Assumptions'!$C$36:$L$36)</f>
        <v>2121.8658203125005</v>
      </c>
      <c r="DN26" s="128">
        <f>$N$3*_xlfn.XLOOKUP(DN$1,'Input Assumptions'!$C$34:$L$34,'Input Assumptions'!$C$36:$L$36)</f>
        <v>2121.8658203125005</v>
      </c>
      <c r="DO26" s="128">
        <f>$N$3*_xlfn.XLOOKUP(DO$1,'Input Assumptions'!$C$34:$L$34,'Input Assumptions'!$C$36:$L$36)</f>
        <v>2121.8658203125005</v>
      </c>
      <c r="DP26" s="128">
        <f>$N$3*_xlfn.XLOOKUP(DP$1,'Input Assumptions'!$C$34:$L$34,'Input Assumptions'!$C$36:$L$36)</f>
        <v>2121.8658203125005</v>
      </c>
      <c r="DQ26" s="128">
        <f>$N$3*_xlfn.XLOOKUP(DQ$1,'Input Assumptions'!$C$34:$L$34,'Input Assumptions'!$C$36:$L$36)</f>
        <v>2121.8658203125005</v>
      </c>
      <c r="DR26" s="128">
        <f>$N$3*_xlfn.XLOOKUP(DR$1,'Input Assumptions'!$C$34:$L$34,'Input Assumptions'!$C$36:$L$36)</f>
        <v>2121.8658203125005</v>
      </c>
      <c r="DS26" s="128">
        <f>$N$3*_xlfn.XLOOKUP(DS$1,'Input Assumptions'!$C$34:$L$34,'Input Assumptions'!$C$36:$L$36)</f>
        <v>2201.4357885742193</v>
      </c>
      <c r="DT26" s="128">
        <f>$N$3*_xlfn.XLOOKUP(DT$1,'Input Assumptions'!$C$34:$L$34,'Input Assumptions'!$C$36:$L$36)</f>
        <v>2201.4357885742193</v>
      </c>
      <c r="DU26" s="128">
        <f>$N$3*_xlfn.XLOOKUP(DU$1,'Input Assumptions'!$C$34:$L$34,'Input Assumptions'!$C$36:$L$36)</f>
        <v>2201.4357885742193</v>
      </c>
      <c r="DV26" s="128">
        <f>$N$3*_xlfn.XLOOKUP(DV$1,'Input Assumptions'!$C$34:$L$34,'Input Assumptions'!$C$36:$L$36)</f>
        <v>2201.4357885742193</v>
      </c>
      <c r="DW26" s="128">
        <f>$N$3*_xlfn.XLOOKUP(DW$1,'Input Assumptions'!$C$34:$L$34,'Input Assumptions'!$C$36:$L$36)</f>
        <v>2201.4357885742193</v>
      </c>
      <c r="DX26" s="128">
        <f>$N$3*_xlfn.XLOOKUP(DX$1,'Input Assumptions'!$C$34:$L$34,'Input Assumptions'!$C$36:$L$36)</f>
        <v>2201.4357885742193</v>
      </c>
      <c r="DY26" s="128">
        <f>$N$3*_xlfn.XLOOKUP(DY$1,'Input Assumptions'!$C$34:$L$34,'Input Assumptions'!$C$36:$L$36)</f>
        <v>2201.4357885742193</v>
      </c>
      <c r="DZ26" s="128">
        <f>$N$3*_xlfn.XLOOKUP(DZ$1,'Input Assumptions'!$C$34:$L$34,'Input Assumptions'!$C$36:$L$36)</f>
        <v>2201.4357885742193</v>
      </c>
      <c r="EA26" s="128">
        <f>$N$3*_xlfn.XLOOKUP(EA$1,'Input Assumptions'!$C$34:$L$34,'Input Assumptions'!$C$36:$L$36)</f>
        <v>2201.4357885742193</v>
      </c>
      <c r="EB26" s="128">
        <f>$N$3*_xlfn.XLOOKUP(EB$1,'Input Assumptions'!$C$34:$L$34,'Input Assumptions'!$C$36:$L$36)</f>
        <v>2201.4357885742193</v>
      </c>
      <c r="EC26" s="128">
        <f>$N$3*_xlfn.XLOOKUP(EC$1,'Input Assumptions'!$C$34:$L$34,'Input Assumptions'!$C$36:$L$36)</f>
        <v>2201.4357885742193</v>
      </c>
    </row>
    <row r="27" spans="2:133" x14ac:dyDescent="0.3">
      <c r="B27" s="15">
        <v>3</v>
      </c>
      <c r="C27" s="16">
        <v>25</v>
      </c>
      <c r="D27" s="16" t="s">
        <v>10</v>
      </c>
      <c r="E27" s="16">
        <v>450</v>
      </c>
      <c r="F27" s="20">
        <f t="shared" si="114"/>
        <v>41.80640845790095</v>
      </c>
      <c r="G27" s="19" t="str">
        <f t="shared" si="115"/>
        <v>1</v>
      </c>
      <c r="H27" s="20">
        <f t="shared" si="116"/>
        <v>1</v>
      </c>
      <c r="I27" s="18">
        <f t="shared" si="117"/>
        <v>1710</v>
      </c>
      <c r="J27" s="18">
        <f t="shared" si="118"/>
        <v>1900</v>
      </c>
      <c r="K27" s="18">
        <f>(J27*'Input Assumptions'!$C$20)+I27*('Input Assumptions'!$C$21)</f>
        <v>1900</v>
      </c>
      <c r="L27" s="94"/>
      <c r="M27" s="4"/>
      <c r="N27" s="128">
        <f t="shared" si="119"/>
        <v>1900</v>
      </c>
      <c r="O27" s="128">
        <f>$N$3*_xlfn.XLOOKUP(O$1,'Input Assumptions'!$C$34:$L$34,'Input Assumptions'!$C$36:$L$36)</f>
        <v>1900</v>
      </c>
      <c r="P27" s="128">
        <f>$N$3*_xlfn.XLOOKUP(P$1,'Input Assumptions'!$C$34:$L$34,'Input Assumptions'!$C$36:$L$36)</f>
        <v>1900</v>
      </c>
      <c r="Q27" s="128">
        <f>$N$3*_xlfn.XLOOKUP(Q$1,'Input Assumptions'!$C$34:$L$34,'Input Assumptions'!$C$36:$L$36)</f>
        <v>1900</v>
      </c>
      <c r="R27" s="128">
        <f>$N$3*_xlfn.XLOOKUP(R$1,'Input Assumptions'!$C$34:$L$34,'Input Assumptions'!$C$36:$L$36)</f>
        <v>1900</v>
      </c>
      <c r="S27" s="128">
        <f>$N$3*_xlfn.XLOOKUP(S$1,'Input Assumptions'!$C$34:$L$34,'Input Assumptions'!$C$36:$L$36)</f>
        <v>1900</v>
      </c>
      <c r="T27" s="128">
        <f>$N$3*_xlfn.XLOOKUP(T$1,'Input Assumptions'!$C$34:$L$34,'Input Assumptions'!$C$36:$L$36)</f>
        <v>1900</v>
      </c>
      <c r="U27" s="128">
        <f>$N$3*_xlfn.XLOOKUP(U$1,'Input Assumptions'!$C$34:$L$34,'Input Assumptions'!$C$36:$L$36)</f>
        <v>1900</v>
      </c>
      <c r="V27" s="128">
        <f>$N$3*_xlfn.XLOOKUP(V$1,'Input Assumptions'!$C$34:$L$34,'Input Assumptions'!$C$36:$L$36)</f>
        <v>1900</v>
      </c>
      <c r="W27" s="128">
        <f>$N$3*_xlfn.XLOOKUP(W$1,'Input Assumptions'!$C$34:$L$34,'Input Assumptions'!$C$36:$L$36)</f>
        <v>1900</v>
      </c>
      <c r="X27" s="128">
        <f>$N$3*_xlfn.XLOOKUP(X$1,'Input Assumptions'!$C$34:$L$34,'Input Assumptions'!$C$36:$L$36)</f>
        <v>1900</v>
      </c>
      <c r="Y27" s="128">
        <f>$N$3*_xlfn.XLOOKUP(Y$1,'Input Assumptions'!$C$34:$L$34,'Input Assumptions'!$C$36:$L$36)</f>
        <v>1900</v>
      </c>
      <c r="Z27" s="128">
        <f>$N$3*_xlfn.XLOOKUP(Z$1,'Input Assumptions'!$C$34:$L$34,'Input Assumptions'!$C$36:$L$36)</f>
        <v>1971.2500000000002</v>
      </c>
      <c r="AA27" s="128">
        <f>$N$3*_xlfn.XLOOKUP(AA$1,'Input Assumptions'!$C$34:$L$34,'Input Assumptions'!$C$36:$L$36)</f>
        <v>1971.2500000000002</v>
      </c>
      <c r="AB27" s="128">
        <f>$N$3*_xlfn.XLOOKUP(AB$1,'Input Assumptions'!$C$34:$L$34,'Input Assumptions'!$C$36:$L$36)</f>
        <v>1971.2500000000002</v>
      </c>
      <c r="AC27" s="128">
        <f>$N$3*_xlfn.XLOOKUP(AC$1,'Input Assumptions'!$C$34:$L$34,'Input Assumptions'!$C$36:$L$36)</f>
        <v>1971.2500000000002</v>
      </c>
      <c r="AD27" s="128">
        <f>$N$3*_xlfn.XLOOKUP(AD$1,'Input Assumptions'!$C$34:$L$34,'Input Assumptions'!$C$36:$L$36)</f>
        <v>1971.2500000000002</v>
      </c>
      <c r="AE27" s="128">
        <f>$N$3*_xlfn.XLOOKUP(AE$1,'Input Assumptions'!$C$34:$L$34,'Input Assumptions'!$C$36:$L$36)</f>
        <v>1971.2500000000002</v>
      </c>
      <c r="AF27" s="128">
        <f>$N$3*_xlfn.XLOOKUP(AF$1,'Input Assumptions'!$C$34:$L$34,'Input Assumptions'!$C$36:$L$36)</f>
        <v>1971.2500000000002</v>
      </c>
      <c r="AG27" s="128">
        <f>$N$3*_xlfn.XLOOKUP(AG$1,'Input Assumptions'!$C$34:$L$34,'Input Assumptions'!$C$36:$L$36)</f>
        <v>1971.2500000000002</v>
      </c>
      <c r="AH27" s="128">
        <f>$N$3*_xlfn.XLOOKUP(AH$1,'Input Assumptions'!$C$34:$L$34,'Input Assumptions'!$C$36:$L$36)</f>
        <v>1971.2500000000002</v>
      </c>
      <c r="AI27" s="128">
        <f>$N$3*_xlfn.XLOOKUP(AI$1,'Input Assumptions'!$C$34:$L$34,'Input Assumptions'!$C$36:$L$36)</f>
        <v>1971.2500000000002</v>
      </c>
      <c r="AJ27" s="128">
        <f>$N$3*_xlfn.XLOOKUP(AJ$1,'Input Assumptions'!$C$34:$L$34,'Input Assumptions'!$C$36:$L$36)</f>
        <v>1971.2500000000002</v>
      </c>
      <c r="AK27" s="128">
        <f>$N$3*_xlfn.XLOOKUP(AK$1,'Input Assumptions'!$C$34:$L$34,'Input Assumptions'!$C$36:$L$36)</f>
        <v>1971.2500000000002</v>
      </c>
      <c r="AL27" s="128">
        <f>$N$3*_xlfn.XLOOKUP(AL$1,'Input Assumptions'!$C$34:$L$34,'Input Assumptions'!$C$36:$L$36)</f>
        <v>2045.1718750000005</v>
      </c>
      <c r="AM27" s="128">
        <f>$N$3*_xlfn.XLOOKUP(AM$1,'Input Assumptions'!$C$34:$L$34,'Input Assumptions'!$C$36:$L$36)</f>
        <v>2045.1718750000005</v>
      </c>
      <c r="AN27" s="128">
        <f>$N$3*_xlfn.XLOOKUP(AN$1,'Input Assumptions'!$C$34:$L$34,'Input Assumptions'!$C$36:$L$36)</f>
        <v>2045.1718750000005</v>
      </c>
      <c r="AO27" s="128">
        <f>$N$3*_xlfn.XLOOKUP(AO$1,'Input Assumptions'!$C$34:$L$34,'Input Assumptions'!$C$36:$L$36)</f>
        <v>2045.1718750000005</v>
      </c>
      <c r="AP27" s="128">
        <f>$N$3*_xlfn.XLOOKUP(AP$1,'Input Assumptions'!$C$34:$L$34,'Input Assumptions'!$C$36:$L$36)</f>
        <v>2045.1718750000005</v>
      </c>
      <c r="AQ27" s="128">
        <f>$N$3*_xlfn.XLOOKUP(AQ$1,'Input Assumptions'!$C$34:$L$34,'Input Assumptions'!$C$36:$L$36)</f>
        <v>2045.1718750000005</v>
      </c>
      <c r="AR27" s="128">
        <f>$N$3*_xlfn.XLOOKUP(AR$1,'Input Assumptions'!$C$34:$L$34,'Input Assumptions'!$C$36:$L$36)</f>
        <v>2045.1718750000005</v>
      </c>
      <c r="AS27" s="128">
        <f>$N$3*_xlfn.XLOOKUP(AS$1,'Input Assumptions'!$C$34:$L$34,'Input Assumptions'!$C$36:$L$36)</f>
        <v>2045.1718750000005</v>
      </c>
      <c r="AT27" s="128">
        <f>$N$3*_xlfn.XLOOKUP(AT$1,'Input Assumptions'!$C$34:$L$34,'Input Assumptions'!$C$36:$L$36)</f>
        <v>2045.1718750000005</v>
      </c>
      <c r="AU27" s="128">
        <f>$N$3*_xlfn.XLOOKUP(AU$1,'Input Assumptions'!$C$34:$L$34,'Input Assumptions'!$C$36:$L$36)</f>
        <v>2045.1718750000005</v>
      </c>
      <c r="AV27" s="128">
        <f>$N$3*_xlfn.XLOOKUP(AV$1,'Input Assumptions'!$C$34:$L$34,'Input Assumptions'!$C$36:$L$36)</f>
        <v>2045.1718750000005</v>
      </c>
      <c r="AW27" s="128">
        <f>$N$3*_xlfn.XLOOKUP(AW$1,'Input Assumptions'!$C$34:$L$34,'Input Assumptions'!$C$36:$L$36)</f>
        <v>2045.1718750000005</v>
      </c>
      <c r="AX27" s="128">
        <f>$N$3*_xlfn.XLOOKUP(AX$1,'Input Assumptions'!$C$34:$L$34,'Input Assumptions'!$C$36:$L$36)</f>
        <v>2121.8658203125005</v>
      </c>
      <c r="AY27" s="128">
        <f>$N$3*_xlfn.XLOOKUP(AY$1,'Input Assumptions'!$C$34:$L$34,'Input Assumptions'!$C$36:$L$36)</f>
        <v>2121.8658203125005</v>
      </c>
      <c r="AZ27" s="128">
        <f>$N$3*_xlfn.XLOOKUP(AZ$1,'Input Assumptions'!$C$34:$L$34,'Input Assumptions'!$C$36:$L$36)</f>
        <v>2121.8658203125005</v>
      </c>
      <c r="BA27" s="128">
        <f>$N$3*_xlfn.XLOOKUP(BA$1,'Input Assumptions'!$C$34:$L$34,'Input Assumptions'!$C$36:$L$36)</f>
        <v>2121.8658203125005</v>
      </c>
      <c r="BB27" s="128">
        <f>$N$3*_xlfn.XLOOKUP(BB$1,'Input Assumptions'!$C$34:$L$34,'Input Assumptions'!$C$36:$L$36)</f>
        <v>2121.8658203125005</v>
      </c>
      <c r="BC27" s="128">
        <f>$N$3*_xlfn.XLOOKUP(BC$1,'Input Assumptions'!$C$34:$L$34,'Input Assumptions'!$C$36:$L$36)</f>
        <v>2121.8658203125005</v>
      </c>
      <c r="BD27" s="128">
        <f>$N$3*_xlfn.XLOOKUP(BD$1,'Input Assumptions'!$C$34:$L$34,'Input Assumptions'!$C$36:$L$36)</f>
        <v>2121.8658203125005</v>
      </c>
      <c r="BE27" s="128">
        <f>$N$3*_xlfn.XLOOKUP(BE$1,'Input Assumptions'!$C$34:$L$34,'Input Assumptions'!$C$36:$L$36)</f>
        <v>2121.8658203125005</v>
      </c>
      <c r="BF27" s="128">
        <f>$N$3*_xlfn.XLOOKUP(BF$1,'Input Assumptions'!$C$34:$L$34,'Input Assumptions'!$C$36:$L$36)</f>
        <v>2121.8658203125005</v>
      </c>
      <c r="BG27" s="128">
        <f>$N$3*_xlfn.XLOOKUP(BG$1,'Input Assumptions'!$C$34:$L$34,'Input Assumptions'!$C$36:$L$36)</f>
        <v>2121.8658203125005</v>
      </c>
      <c r="BH27" s="128">
        <f>$N$3*_xlfn.XLOOKUP(BH$1,'Input Assumptions'!$C$34:$L$34,'Input Assumptions'!$C$36:$L$36)</f>
        <v>2121.8658203125005</v>
      </c>
      <c r="BI27" s="128">
        <f>$N$3*_xlfn.XLOOKUP(BI$1,'Input Assumptions'!$C$34:$L$34,'Input Assumptions'!$C$36:$L$36)</f>
        <v>2121.8658203125005</v>
      </c>
      <c r="BJ27" s="128">
        <f>$N$3*_xlfn.XLOOKUP(BJ$1,'Input Assumptions'!$C$34:$L$34,'Input Assumptions'!$C$36:$L$36)</f>
        <v>2201.4357885742193</v>
      </c>
      <c r="BK27" s="128">
        <f>$N$3*_xlfn.XLOOKUP(BK$1,'Input Assumptions'!$C$34:$L$34,'Input Assumptions'!$C$36:$L$36)</f>
        <v>2201.4357885742193</v>
      </c>
      <c r="BL27" s="128">
        <f>$N$3*_xlfn.XLOOKUP(BL$1,'Input Assumptions'!$C$34:$L$34,'Input Assumptions'!$C$36:$L$36)</f>
        <v>2201.4357885742193</v>
      </c>
      <c r="BM27" s="128">
        <f>$N$3*_xlfn.XLOOKUP(BM$1,'Input Assumptions'!$C$34:$L$34,'Input Assumptions'!$C$36:$L$36)</f>
        <v>2201.4357885742193</v>
      </c>
      <c r="BN27" s="128">
        <f>$N$3*_xlfn.XLOOKUP(BN$1,'Input Assumptions'!$C$34:$L$34,'Input Assumptions'!$C$36:$L$36)</f>
        <v>2201.4357885742193</v>
      </c>
      <c r="BO27" s="128">
        <f>$N$3*_xlfn.XLOOKUP(BO$1,'Input Assumptions'!$C$34:$L$34,'Input Assumptions'!$C$36:$L$36)</f>
        <v>2201.4357885742193</v>
      </c>
      <c r="BP27" s="128">
        <f>$N$3*_xlfn.XLOOKUP(BP$1,'Input Assumptions'!$C$34:$L$34,'Input Assumptions'!$C$36:$L$36)</f>
        <v>2201.4357885742193</v>
      </c>
      <c r="BQ27" s="128">
        <f>$N$3*_xlfn.XLOOKUP(BQ$1,'Input Assumptions'!$C$34:$L$34,'Input Assumptions'!$C$36:$L$36)</f>
        <v>2201.4357885742193</v>
      </c>
      <c r="BR27" s="128">
        <f>$N$3*_xlfn.XLOOKUP(BR$1,'Input Assumptions'!$C$34:$L$34,'Input Assumptions'!$C$36:$L$36)</f>
        <v>2201.4357885742193</v>
      </c>
      <c r="BS27" s="128">
        <f>$N$3*_xlfn.XLOOKUP(BS$1,'Input Assumptions'!$C$34:$L$34,'Input Assumptions'!$C$36:$L$36)</f>
        <v>2201.4357885742193</v>
      </c>
      <c r="BT27" s="128">
        <f>$N$3*_xlfn.XLOOKUP(BT$1,'Input Assumptions'!$C$34:$L$34,'Input Assumptions'!$C$36:$L$36)</f>
        <v>2201.4357885742193</v>
      </c>
      <c r="BU27" s="128">
        <f>$N$3*_xlfn.XLOOKUP(BU$1,'Input Assumptions'!$C$34:$L$34,'Input Assumptions'!$C$36:$L$36)</f>
        <v>2201.4357885742193</v>
      </c>
      <c r="BV27" s="128">
        <f>$N$3*_xlfn.XLOOKUP(BV$1,'Input Assumptions'!$C$34:$L$34,'Input Assumptions'!$C$36:$L$36)</f>
        <v>2283.9896306457531</v>
      </c>
      <c r="BW27" s="128">
        <f>$N$3*_xlfn.XLOOKUP(BW$1,'Input Assumptions'!$C$34:$L$34,'Input Assumptions'!$C$36:$L$36)</f>
        <v>1900</v>
      </c>
      <c r="BX27" s="128">
        <f>$N$3*_xlfn.XLOOKUP(BX$1,'Input Assumptions'!$C$34:$L$34,'Input Assumptions'!$C$36:$L$36)</f>
        <v>1900</v>
      </c>
      <c r="BY27" s="128">
        <f>$N$3*_xlfn.XLOOKUP(BY$1,'Input Assumptions'!$C$34:$L$34,'Input Assumptions'!$C$36:$L$36)</f>
        <v>1900</v>
      </c>
      <c r="BZ27" s="128">
        <f>$N$3*_xlfn.XLOOKUP(BZ$1,'Input Assumptions'!$C$34:$L$34,'Input Assumptions'!$C$36:$L$36)</f>
        <v>1900</v>
      </c>
      <c r="CA27" s="128">
        <f>$N$3*_xlfn.XLOOKUP(CA$1,'Input Assumptions'!$C$34:$L$34,'Input Assumptions'!$C$36:$L$36)</f>
        <v>1900</v>
      </c>
      <c r="CB27" s="128">
        <f>$N$3*_xlfn.XLOOKUP(CB$1,'Input Assumptions'!$C$34:$L$34,'Input Assumptions'!$C$36:$L$36)</f>
        <v>1900</v>
      </c>
      <c r="CC27" s="128">
        <f>$N$3*_xlfn.XLOOKUP(CC$1,'Input Assumptions'!$C$34:$L$34,'Input Assumptions'!$C$36:$L$36)</f>
        <v>1900</v>
      </c>
      <c r="CD27" s="128">
        <f>$N$3*_xlfn.XLOOKUP(CD$1,'Input Assumptions'!$C$34:$L$34,'Input Assumptions'!$C$36:$L$36)</f>
        <v>1900</v>
      </c>
      <c r="CE27" s="128">
        <f>$N$3*_xlfn.XLOOKUP(CE$1,'Input Assumptions'!$C$34:$L$34,'Input Assumptions'!$C$36:$L$36)</f>
        <v>1900</v>
      </c>
      <c r="CF27" s="128">
        <f>$N$3*_xlfn.XLOOKUP(CF$1,'Input Assumptions'!$C$34:$L$34,'Input Assumptions'!$C$36:$L$36)</f>
        <v>1900</v>
      </c>
      <c r="CG27" s="128">
        <f>$N$3*_xlfn.XLOOKUP(CG$1,'Input Assumptions'!$C$34:$L$34,'Input Assumptions'!$C$36:$L$36)</f>
        <v>1900</v>
      </c>
      <c r="CH27" s="128">
        <f>$N$3*_xlfn.XLOOKUP(CH$1,'Input Assumptions'!$C$34:$L$34,'Input Assumptions'!$C$36:$L$36)</f>
        <v>1900</v>
      </c>
      <c r="CI27" s="128">
        <f>$N$3*_xlfn.XLOOKUP(CI$1,'Input Assumptions'!$C$34:$L$34,'Input Assumptions'!$C$36:$L$36)</f>
        <v>1971.2500000000002</v>
      </c>
      <c r="CJ27" s="128">
        <f>$N$3*_xlfn.XLOOKUP(CJ$1,'Input Assumptions'!$C$34:$L$34,'Input Assumptions'!$C$36:$L$36)</f>
        <v>1971.2500000000002</v>
      </c>
      <c r="CK27" s="128">
        <f>$N$3*_xlfn.XLOOKUP(CK$1,'Input Assumptions'!$C$34:$L$34,'Input Assumptions'!$C$36:$L$36)</f>
        <v>1971.2500000000002</v>
      </c>
      <c r="CL27" s="128">
        <f>$N$3*_xlfn.XLOOKUP(CL$1,'Input Assumptions'!$C$34:$L$34,'Input Assumptions'!$C$36:$L$36)</f>
        <v>1971.2500000000002</v>
      </c>
      <c r="CM27" s="128">
        <f>$N$3*_xlfn.XLOOKUP(CM$1,'Input Assumptions'!$C$34:$L$34,'Input Assumptions'!$C$36:$L$36)</f>
        <v>1971.2500000000002</v>
      </c>
      <c r="CN27" s="128">
        <f>$N$3*_xlfn.XLOOKUP(CN$1,'Input Assumptions'!$C$34:$L$34,'Input Assumptions'!$C$36:$L$36)</f>
        <v>1971.2500000000002</v>
      </c>
      <c r="CO27" s="128">
        <f>$N$3*_xlfn.XLOOKUP(CO$1,'Input Assumptions'!$C$34:$L$34,'Input Assumptions'!$C$36:$L$36)</f>
        <v>1971.2500000000002</v>
      </c>
      <c r="CP27" s="128">
        <f>$N$3*_xlfn.XLOOKUP(CP$1,'Input Assumptions'!$C$34:$L$34,'Input Assumptions'!$C$36:$L$36)</f>
        <v>1971.2500000000002</v>
      </c>
      <c r="CQ27" s="128">
        <f>$N$3*_xlfn.XLOOKUP(CQ$1,'Input Assumptions'!$C$34:$L$34,'Input Assumptions'!$C$36:$L$36)</f>
        <v>1971.2500000000002</v>
      </c>
      <c r="CR27" s="128">
        <f>$N$3*_xlfn.XLOOKUP(CR$1,'Input Assumptions'!$C$34:$L$34,'Input Assumptions'!$C$36:$L$36)</f>
        <v>1971.2500000000002</v>
      </c>
      <c r="CS27" s="128">
        <f>$N$3*_xlfn.XLOOKUP(CS$1,'Input Assumptions'!$C$34:$L$34,'Input Assumptions'!$C$36:$L$36)</f>
        <v>1971.2500000000002</v>
      </c>
      <c r="CT27" s="128">
        <f>$N$3*_xlfn.XLOOKUP(CT$1,'Input Assumptions'!$C$34:$L$34,'Input Assumptions'!$C$36:$L$36)</f>
        <v>1971.2500000000002</v>
      </c>
      <c r="CU27" s="128">
        <f>$N$3*_xlfn.XLOOKUP(CU$1,'Input Assumptions'!$C$34:$L$34,'Input Assumptions'!$C$36:$L$36)</f>
        <v>2045.1718750000005</v>
      </c>
      <c r="CV27" s="128">
        <f>$N$3*_xlfn.XLOOKUP(CV$1,'Input Assumptions'!$C$34:$L$34,'Input Assumptions'!$C$36:$L$36)</f>
        <v>2045.1718750000005</v>
      </c>
      <c r="CW27" s="128">
        <f>$N$3*_xlfn.XLOOKUP(CW$1,'Input Assumptions'!$C$34:$L$34,'Input Assumptions'!$C$36:$L$36)</f>
        <v>2045.1718750000005</v>
      </c>
      <c r="CX27" s="128">
        <f>$N$3*_xlfn.XLOOKUP(CX$1,'Input Assumptions'!$C$34:$L$34,'Input Assumptions'!$C$36:$L$36)</f>
        <v>2045.1718750000005</v>
      </c>
      <c r="CY27" s="128">
        <f>$N$3*_xlfn.XLOOKUP(CY$1,'Input Assumptions'!$C$34:$L$34,'Input Assumptions'!$C$36:$L$36)</f>
        <v>2045.1718750000005</v>
      </c>
      <c r="CZ27" s="128">
        <f>$N$3*_xlfn.XLOOKUP(CZ$1,'Input Assumptions'!$C$34:$L$34,'Input Assumptions'!$C$36:$L$36)</f>
        <v>2045.1718750000005</v>
      </c>
      <c r="DA27" s="128">
        <f>$N$3*_xlfn.XLOOKUP(DA$1,'Input Assumptions'!$C$34:$L$34,'Input Assumptions'!$C$36:$L$36)</f>
        <v>2045.1718750000005</v>
      </c>
      <c r="DB27" s="128">
        <f>$N$3*_xlfn.XLOOKUP(DB$1,'Input Assumptions'!$C$34:$L$34,'Input Assumptions'!$C$36:$L$36)</f>
        <v>2045.1718750000005</v>
      </c>
      <c r="DC27" s="128">
        <f>$N$3*_xlfn.XLOOKUP(DC$1,'Input Assumptions'!$C$34:$L$34,'Input Assumptions'!$C$36:$L$36)</f>
        <v>2045.1718750000005</v>
      </c>
      <c r="DD27" s="128">
        <f>$N$3*_xlfn.XLOOKUP(DD$1,'Input Assumptions'!$C$34:$L$34,'Input Assumptions'!$C$36:$L$36)</f>
        <v>2045.1718750000005</v>
      </c>
      <c r="DE27" s="128">
        <f>$N$3*_xlfn.XLOOKUP(DE$1,'Input Assumptions'!$C$34:$L$34,'Input Assumptions'!$C$36:$L$36)</f>
        <v>2045.1718750000005</v>
      </c>
      <c r="DF27" s="128">
        <f>$N$3*_xlfn.XLOOKUP(DF$1,'Input Assumptions'!$C$34:$L$34,'Input Assumptions'!$C$36:$L$36)</f>
        <v>2045.1718750000005</v>
      </c>
      <c r="DG27" s="128">
        <f>$N$3*_xlfn.XLOOKUP(DG$1,'Input Assumptions'!$C$34:$L$34,'Input Assumptions'!$C$36:$L$36)</f>
        <v>2121.8658203125005</v>
      </c>
      <c r="DH27" s="128">
        <f>$N$3*_xlfn.XLOOKUP(DH$1,'Input Assumptions'!$C$34:$L$34,'Input Assumptions'!$C$36:$L$36)</f>
        <v>2121.8658203125005</v>
      </c>
      <c r="DI27" s="128">
        <f>$N$3*_xlfn.XLOOKUP(DI$1,'Input Assumptions'!$C$34:$L$34,'Input Assumptions'!$C$36:$L$36)</f>
        <v>2121.8658203125005</v>
      </c>
      <c r="DJ27" s="128">
        <f>$N$3*_xlfn.XLOOKUP(DJ$1,'Input Assumptions'!$C$34:$L$34,'Input Assumptions'!$C$36:$L$36)</f>
        <v>2121.8658203125005</v>
      </c>
      <c r="DK27" s="128">
        <f>$N$3*_xlfn.XLOOKUP(DK$1,'Input Assumptions'!$C$34:$L$34,'Input Assumptions'!$C$36:$L$36)</f>
        <v>2121.8658203125005</v>
      </c>
      <c r="DL27" s="128">
        <f>$N$3*_xlfn.XLOOKUP(DL$1,'Input Assumptions'!$C$34:$L$34,'Input Assumptions'!$C$36:$L$36)</f>
        <v>2121.8658203125005</v>
      </c>
      <c r="DM27" s="128">
        <f>$N$3*_xlfn.XLOOKUP(DM$1,'Input Assumptions'!$C$34:$L$34,'Input Assumptions'!$C$36:$L$36)</f>
        <v>2121.8658203125005</v>
      </c>
      <c r="DN27" s="128">
        <f>$N$3*_xlfn.XLOOKUP(DN$1,'Input Assumptions'!$C$34:$L$34,'Input Assumptions'!$C$36:$L$36)</f>
        <v>2121.8658203125005</v>
      </c>
      <c r="DO27" s="128">
        <f>$N$3*_xlfn.XLOOKUP(DO$1,'Input Assumptions'!$C$34:$L$34,'Input Assumptions'!$C$36:$L$36)</f>
        <v>2121.8658203125005</v>
      </c>
      <c r="DP27" s="128">
        <f>$N$3*_xlfn.XLOOKUP(DP$1,'Input Assumptions'!$C$34:$L$34,'Input Assumptions'!$C$36:$L$36)</f>
        <v>2121.8658203125005</v>
      </c>
      <c r="DQ27" s="128">
        <f>$N$3*_xlfn.XLOOKUP(DQ$1,'Input Assumptions'!$C$34:$L$34,'Input Assumptions'!$C$36:$L$36)</f>
        <v>2121.8658203125005</v>
      </c>
      <c r="DR27" s="128">
        <f>$N$3*_xlfn.XLOOKUP(DR$1,'Input Assumptions'!$C$34:$L$34,'Input Assumptions'!$C$36:$L$36)</f>
        <v>2121.8658203125005</v>
      </c>
      <c r="DS27" s="128">
        <f>$N$3*_xlfn.XLOOKUP(DS$1,'Input Assumptions'!$C$34:$L$34,'Input Assumptions'!$C$36:$L$36)</f>
        <v>2201.4357885742193</v>
      </c>
      <c r="DT27" s="128">
        <f>$N$3*_xlfn.XLOOKUP(DT$1,'Input Assumptions'!$C$34:$L$34,'Input Assumptions'!$C$36:$L$36)</f>
        <v>2201.4357885742193</v>
      </c>
      <c r="DU27" s="128">
        <f>$N$3*_xlfn.XLOOKUP(DU$1,'Input Assumptions'!$C$34:$L$34,'Input Assumptions'!$C$36:$L$36)</f>
        <v>2201.4357885742193</v>
      </c>
      <c r="DV27" s="128">
        <f>$N$3*_xlfn.XLOOKUP(DV$1,'Input Assumptions'!$C$34:$L$34,'Input Assumptions'!$C$36:$L$36)</f>
        <v>2201.4357885742193</v>
      </c>
      <c r="DW27" s="128">
        <f>$N$3*_xlfn.XLOOKUP(DW$1,'Input Assumptions'!$C$34:$L$34,'Input Assumptions'!$C$36:$L$36)</f>
        <v>2201.4357885742193</v>
      </c>
      <c r="DX27" s="128">
        <f>$N$3*_xlfn.XLOOKUP(DX$1,'Input Assumptions'!$C$34:$L$34,'Input Assumptions'!$C$36:$L$36)</f>
        <v>2201.4357885742193</v>
      </c>
      <c r="DY27" s="128">
        <f>$N$3*_xlfn.XLOOKUP(DY$1,'Input Assumptions'!$C$34:$L$34,'Input Assumptions'!$C$36:$L$36)</f>
        <v>2201.4357885742193</v>
      </c>
      <c r="DZ27" s="128">
        <f>$N$3*_xlfn.XLOOKUP(DZ$1,'Input Assumptions'!$C$34:$L$34,'Input Assumptions'!$C$36:$L$36)</f>
        <v>2201.4357885742193</v>
      </c>
      <c r="EA27" s="128">
        <f>$N$3*_xlfn.XLOOKUP(EA$1,'Input Assumptions'!$C$34:$L$34,'Input Assumptions'!$C$36:$L$36)</f>
        <v>2201.4357885742193</v>
      </c>
      <c r="EB27" s="128">
        <f>$N$3*_xlfn.XLOOKUP(EB$1,'Input Assumptions'!$C$34:$L$34,'Input Assumptions'!$C$36:$L$36)</f>
        <v>2201.4357885742193</v>
      </c>
      <c r="EC27" s="128">
        <f>$N$3*_xlfn.XLOOKUP(EC$1,'Input Assumptions'!$C$34:$L$34,'Input Assumptions'!$C$36:$L$36)</f>
        <v>2201.4357885742193</v>
      </c>
    </row>
    <row r="28" spans="2:133" x14ac:dyDescent="0.3">
      <c r="B28" s="15">
        <v>3</v>
      </c>
      <c r="C28" s="16">
        <v>26</v>
      </c>
      <c r="D28" s="16" t="s">
        <v>10</v>
      </c>
      <c r="E28" s="16">
        <v>450</v>
      </c>
      <c r="F28" s="20">
        <f t="shared" si="114"/>
        <v>41.80640845790095</v>
      </c>
      <c r="G28" s="19" t="str">
        <f t="shared" si="115"/>
        <v>1</v>
      </c>
      <c r="H28" s="20">
        <f t="shared" si="116"/>
        <v>1</v>
      </c>
      <c r="I28" s="18">
        <f t="shared" si="117"/>
        <v>1710</v>
      </c>
      <c r="J28" s="18">
        <f t="shared" si="118"/>
        <v>1900</v>
      </c>
      <c r="K28" s="18">
        <f>(J28*'Input Assumptions'!$C$20)+I28*('Input Assumptions'!$C$21)</f>
        <v>1900</v>
      </c>
      <c r="L28" s="94"/>
      <c r="M28" s="4"/>
      <c r="N28" s="128">
        <f t="shared" si="119"/>
        <v>1900</v>
      </c>
      <c r="O28" s="128">
        <f>$N$3*_xlfn.XLOOKUP(O$1,'Input Assumptions'!$C$34:$L$34,'Input Assumptions'!$C$36:$L$36)</f>
        <v>1900</v>
      </c>
      <c r="P28" s="128">
        <f>$N$3*_xlfn.XLOOKUP(P$1,'Input Assumptions'!$C$34:$L$34,'Input Assumptions'!$C$36:$L$36)</f>
        <v>1900</v>
      </c>
      <c r="Q28" s="128">
        <f>$N$3*_xlfn.XLOOKUP(Q$1,'Input Assumptions'!$C$34:$L$34,'Input Assumptions'!$C$36:$L$36)</f>
        <v>1900</v>
      </c>
      <c r="R28" s="128">
        <f>$N$3*_xlfn.XLOOKUP(R$1,'Input Assumptions'!$C$34:$L$34,'Input Assumptions'!$C$36:$L$36)</f>
        <v>1900</v>
      </c>
      <c r="S28" s="128">
        <f>$N$3*_xlfn.XLOOKUP(S$1,'Input Assumptions'!$C$34:$L$34,'Input Assumptions'!$C$36:$L$36)</f>
        <v>1900</v>
      </c>
      <c r="T28" s="128">
        <f>$N$3*_xlfn.XLOOKUP(T$1,'Input Assumptions'!$C$34:$L$34,'Input Assumptions'!$C$36:$L$36)</f>
        <v>1900</v>
      </c>
      <c r="U28" s="128">
        <f>$N$3*_xlfn.XLOOKUP(U$1,'Input Assumptions'!$C$34:$L$34,'Input Assumptions'!$C$36:$L$36)</f>
        <v>1900</v>
      </c>
      <c r="V28" s="128">
        <f>$N$3*_xlfn.XLOOKUP(V$1,'Input Assumptions'!$C$34:$L$34,'Input Assumptions'!$C$36:$L$36)</f>
        <v>1900</v>
      </c>
      <c r="W28" s="128">
        <f>$N$3*_xlfn.XLOOKUP(W$1,'Input Assumptions'!$C$34:$L$34,'Input Assumptions'!$C$36:$L$36)</f>
        <v>1900</v>
      </c>
      <c r="X28" s="128">
        <f>$N$3*_xlfn.XLOOKUP(X$1,'Input Assumptions'!$C$34:$L$34,'Input Assumptions'!$C$36:$L$36)</f>
        <v>1900</v>
      </c>
      <c r="Y28" s="128">
        <f>$N$3*_xlfn.XLOOKUP(Y$1,'Input Assumptions'!$C$34:$L$34,'Input Assumptions'!$C$36:$L$36)</f>
        <v>1900</v>
      </c>
      <c r="Z28" s="128">
        <f>$N$3*_xlfn.XLOOKUP(Z$1,'Input Assumptions'!$C$34:$L$34,'Input Assumptions'!$C$36:$L$36)</f>
        <v>1971.2500000000002</v>
      </c>
      <c r="AA28" s="128">
        <f>$N$3*_xlfn.XLOOKUP(AA$1,'Input Assumptions'!$C$34:$L$34,'Input Assumptions'!$C$36:$L$36)</f>
        <v>1971.2500000000002</v>
      </c>
      <c r="AB28" s="128">
        <f>$N$3*_xlfn.XLOOKUP(AB$1,'Input Assumptions'!$C$34:$L$34,'Input Assumptions'!$C$36:$L$36)</f>
        <v>1971.2500000000002</v>
      </c>
      <c r="AC28" s="128">
        <f>$N$3*_xlfn.XLOOKUP(AC$1,'Input Assumptions'!$C$34:$L$34,'Input Assumptions'!$C$36:$L$36)</f>
        <v>1971.2500000000002</v>
      </c>
      <c r="AD28" s="128">
        <f>$N$3*_xlfn.XLOOKUP(AD$1,'Input Assumptions'!$C$34:$L$34,'Input Assumptions'!$C$36:$L$36)</f>
        <v>1971.2500000000002</v>
      </c>
      <c r="AE28" s="128">
        <f>$N$3*_xlfn.XLOOKUP(AE$1,'Input Assumptions'!$C$34:$L$34,'Input Assumptions'!$C$36:$L$36)</f>
        <v>1971.2500000000002</v>
      </c>
      <c r="AF28" s="128">
        <f>$N$3*_xlfn.XLOOKUP(AF$1,'Input Assumptions'!$C$34:$L$34,'Input Assumptions'!$C$36:$L$36)</f>
        <v>1971.2500000000002</v>
      </c>
      <c r="AG28" s="128">
        <f>$N$3*_xlfn.XLOOKUP(AG$1,'Input Assumptions'!$C$34:$L$34,'Input Assumptions'!$C$36:$L$36)</f>
        <v>1971.2500000000002</v>
      </c>
      <c r="AH28" s="128">
        <f>$N$3*_xlfn.XLOOKUP(AH$1,'Input Assumptions'!$C$34:$L$34,'Input Assumptions'!$C$36:$L$36)</f>
        <v>1971.2500000000002</v>
      </c>
      <c r="AI28" s="128">
        <f>$N$3*_xlfn.XLOOKUP(AI$1,'Input Assumptions'!$C$34:$L$34,'Input Assumptions'!$C$36:$L$36)</f>
        <v>1971.2500000000002</v>
      </c>
      <c r="AJ28" s="128">
        <f>$N$3*_xlfn.XLOOKUP(AJ$1,'Input Assumptions'!$C$34:$L$34,'Input Assumptions'!$C$36:$L$36)</f>
        <v>1971.2500000000002</v>
      </c>
      <c r="AK28" s="128">
        <f>$N$3*_xlfn.XLOOKUP(AK$1,'Input Assumptions'!$C$34:$L$34,'Input Assumptions'!$C$36:$L$36)</f>
        <v>1971.2500000000002</v>
      </c>
      <c r="AL28" s="128">
        <f>$N$3*_xlfn.XLOOKUP(AL$1,'Input Assumptions'!$C$34:$L$34,'Input Assumptions'!$C$36:$L$36)</f>
        <v>2045.1718750000005</v>
      </c>
      <c r="AM28" s="128">
        <f>$N$3*_xlfn.XLOOKUP(AM$1,'Input Assumptions'!$C$34:$L$34,'Input Assumptions'!$C$36:$L$36)</f>
        <v>2045.1718750000005</v>
      </c>
      <c r="AN28" s="128">
        <f>$N$3*_xlfn.XLOOKUP(AN$1,'Input Assumptions'!$C$34:$L$34,'Input Assumptions'!$C$36:$L$36)</f>
        <v>2045.1718750000005</v>
      </c>
      <c r="AO28" s="128">
        <f>$N$3*_xlfn.XLOOKUP(AO$1,'Input Assumptions'!$C$34:$L$34,'Input Assumptions'!$C$36:$L$36)</f>
        <v>2045.1718750000005</v>
      </c>
      <c r="AP28" s="128">
        <f>$N$3*_xlfn.XLOOKUP(AP$1,'Input Assumptions'!$C$34:$L$34,'Input Assumptions'!$C$36:$L$36)</f>
        <v>2045.1718750000005</v>
      </c>
      <c r="AQ28" s="128">
        <f>$N$3*_xlfn.XLOOKUP(AQ$1,'Input Assumptions'!$C$34:$L$34,'Input Assumptions'!$C$36:$L$36)</f>
        <v>2045.1718750000005</v>
      </c>
      <c r="AR28" s="128">
        <f>$N$3*_xlfn.XLOOKUP(AR$1,'Input Assumptions'!$C$34:$L$34,'Input Assumptions'!$C$36:$L$36)</f>
        <v>2045.1718750000005</v>
      </c>
      <c r="AS28" s="128">
        <f>$N$3*_xlfn.XLOOKUP(AS$1,'Input Assumptions'!$C$34:$L$34,'Input Assumptions'!$C$36:$L$36)</f>
        <v>2045.1718750000005</v>
      </c>
      <c r="AT28" s="128">
        <f>$N$3*_xlfn.XLOOKUP(AT$1,'Input Assumptions'!$C$34:$L$34,'Input Assumptions'!$C$36:$L$36)</f>
        <v>2045.1718750000005</v>
      </c>
      <c r="AU28" s="128">
        <f>$N$3*_xlfn.XLOOKUP(AU$1,'Input Assumptions'!$C$34:$L$34,'Input Assumptions'!$C$36:$L$36)</f>
        <v>2045.1718750000005</v>
      </c>
      <c r="AV28" s="128">
        <f>$N$3*_xlfn.XLOOKUP(AV$1,'Input Assumptions'!$C$34:$L$34,'Input Assumptions'!$C$36:$L$36)</f>
        <v>2045.1718750000005</v>
      </c>
      <c r="AW28" s="128">
        <f>$N$3*_xlfn.XLOOKUP(AW$1,'Input Assumptions'!$C$34:$L$34,'Input Assumptions'!$C$36:$L$36)</f>
        <v>2045.1718750000005</v>
      </c>
      <c r="AX28" s="128">
        <f>$N$3*_xlfn.XLOOKUP(AX$1,'Input Assumptions'!$C$34:$L$34,'Input Assumptions'!$C$36:$L$36)</f>
        <v>2121.8658203125005</v>
      </c>
      <c r="AY28" s="128">
        <f>$N$3*_xlfn.XLOOKUP(AY$1,'Input Assumptions'!$C$34:$L$34,'Input Assumptions'!$C$36:$L$36)</f>
        <v>2121.8658203125005</v>
      </c>
      <c r="AZ28" s="128">
        <f>$N$3*_xlfn.XLOOKUP(AZ$1,'Input Assumptions'!$C$34:$L$34,'Input Assumptions'!$C$36:$L$36)</f>
        <v>2121.8658203125005</v>
      </c>
      <c r="BA28" s="128">
        <f>$N$3*_xlfn.XLOOKUP(BA$1,'Input Assumptions'!$C$34:$L$34,'Input Assumptions'!$C$36:$L$36)</f>
        <v>2121.8658203125005</v>
      </c>
      <c r="BB28" s="128">
        <f>$N$3*_xlfn.XLOOKUP(BB$1,'Input Assumptions'!$C$34:$L$34,'Input Assumptions'!$C$36:$L$36)</f>
        <v>2121.8658203125005</v>
      </c>
      <c r="BC28" s="128">
        <f>$N$3*_xlfn.XLOOKUP(BC$1,'Input Assumptions'!$C$34:$L$34,'Input Assumptions'!$C$36:$L$36)</f>
        <v>2121.8658203125005</v>
      </c>
      <c r="BD28" s="128">
        <f>$N$3*_xlfn.XLOOKUP(BD$1,'Input Assumptions'!$C$34:$L$34,'Input Assumptions'!$C$36:$L$36)</f>
        <v>2121.8658203125005</v>
      </c>
      <c r="BE28" s="128">
        <f>$N$3*_xlfn.XLOOKUP(BE$1,'Input Assumptions'!$C$34:$L$34,'Input Assumptions'!$C$36:$L$36)</f>
        <v>2121.8658203125005</v>
      </c>
      <c r="BF28" s="128">
        <f>$N$3*_xlfn.XLOOKUP(BF$1,'Input Assumptions'!$C$34:$L$34,'Input Assumptions'!$C$36:$L$36)</f>
        <v>2121.8658203125005</v>
      </c>
      <c r="BG28" s="128">
        <f>$N$3*_xlfn.XLOOKUP(BG$1,'Input Assumptions'!$C$34:$L$34,'Input Assumptions'!$C$36:$L$36)</f>
        <v>2121.8658203125005</v>
      </c>
      <c r="BH28" s="128">
        <f>$N$3*_xlfn.XLOOKUP(BH$1,'Input Assumptions'!$C$34:$L$34,'Input Assumptions'!$C$36:$L$36)</f>
        <v>2121.8658203125005</v>
      </c>
      <c r="BI28" s="128">
        <f>$N$3*_xlfn.XLOOKUP(BI$1,'Input Assumptions'!$C$34:$L$34,'Input Assumptions'!$C$36:$L$36)</f>
        <v>2121.8658203125005</v>
      </c>
      <c r="BJ28" s="128">
        <f>$N$3*_xlfn.XLOOKUP(BJ$1,'Input Assumptions'!$C$34:$L$34,'Input Assumptions'!$C$36:$L$36)</f>
        <v>2201.4357885742193</v>
      </c>
      <c r="BK28" s="128">
        <f>$N$3*_xlfn.XLOOKUP(BK$1,'Input Assumptions'!$C$34:$L$34,'Input Assumptions'!$C$36:$L$36)</f>
        <v>2201.4357885742193</v>
      </c>
      <c r="BL28" s="128">
        <f>$N$3*_xlfn.XLOOKUP(BL$1,'Input Assumptions'!$C$34:$L$34,'Input Assumptions'!$C$36:$L$36)</f>
        <v>2201.4357885742193</v>
      </c>
      <c r="BM28" s="128">
        <f>$N$3*_xlfn.XLOOKUP(BM$1,'Input Assumptions'!$C$34:$L$34,'Input Assumptions'!$C$36:$L$36)</f>
        <v>2201.4357885742193</v>
      </c>
      <c r="BN28" s="128">
        <f>$N$3*_xlfn.XLOOKUP(BN$1,'Input Assumptions'!$C$34:$L$34,'Input Assumptions'!$C$36:$L$36)</f>
        <v>2201.4357885742193</v>
      </c>
      <c r="BO28" s="128">
        <f>$N$3*_xlfn.XLOOKUP(BO$1,'Input Assumptions'!$C$34:$L$34,'Input Assumptions'!$C$36:$L$36)</f>
        <v>2201.4357885742193</v>
      </c>
      <c r="BP28" s="128">
        <f>$N$3*_xlfn.XLOOKUP(BP$1,'Input Assumptions'!$C$34:$L$34,'Input Assumptions'!$C$36:$L$36)</f>
        <v>2201.4357885742193</v>
      </c>
      <c r="BQ28" s="128">
        <f>$N$3*_xlfn.XLOOKUP(BQ$1,'Input Assumptions'!$C$34:$L$34,'Input Assumptions'!$C$36:$L$36)</f>
        <v>2201.4357885742193</v>
      </c>
      <c r="BR28" s="128">
        <f>$N$3*_xlfn.XLOOKUP(BR$1,'Input Assumptions'!$C$34:$L$34,'Input Assumptions'!$C$36:$L$36)</f>
        <v>2201.4357885742193</v>
      </c>
      <c r="BS28" s="128">
        <f>$N$3*_xlfn.XLOOKUP(BS$1,'Input Assumptions'!$C$34:$L$34,'Input Assumptions'!$C$36:$L$36)</f>
        <v>2201.4357885742193</v>
      </c>
      <c r="BT28" s="128">
        <f>$N$3*_xlfn.XLOOKUP(BT$1,'Input Assumptions'!$C$34:$L$34,'Input Assumptions'!$C$36:$L$36)</f>
        <v>2201.4357885742193</v>
      </c>
      <c r="BU28" s="128">
        <f>$N$3*_xlfn.XLOOKUP(BU$1,'Input Assumptions'!$C$34:$L$34,'Input Assumptions'!$C$36:$L$36)</f>
        <v>2201.4357885742193</v>
      </c>
      <c r="BV28" s="128">
        <f>$N$3*_xlfn.XLOOKUP(BV$1,'Input Assumptions'!$C$34:$L$34,'Input Assumptions'!$C$36:$L$36)</f>
        <v>2283.9896306457531</v>
      </c>
      <c r="BW28" s="128">
        <f>$N$3*_xlfn.XLOOKUP(BW$1,'Input Assumptions'!$C$34:$L$34,'Input Assumptions'!$C$36:$L$36)</f>
        <v>1900</v>
      </c>
      <c r="BX28" s="128">
        <f>$N$3*_xlfn.XLOOKUP(BX$1,'Input Assumptions'!$C$34:$L$34,'Input Assumptions'!$C$36:$L$36)</f>
        <v>1900</v>
      </c>
      <c r="BY28" s="128">
        <f>$N$3*_xlfn.XLOOKUP(BY$1,'Input Assumptions'!$C$34:$L$34,'Input Assumptions'!$C$36:$L$36)</f>
        <v>1900</v>
      </c>
      <c r="BZ28" s="128">
        <f>$N$3*_xlfn.XLOOKUP(BZ$1,'Input Assumptions'!$C$34:$L$34,'Input Assumptions'!$C$36:$L$36)</f>
        <v>1900</v>
      </c>
      <c r="CA28" s="128">
        <f>$N$3*_xlfn.XLOOKUP(CA$1,'Input Assumptions'!$C$34:$L$34,'Input Assumptions'!$C$36:$L$36)</f>
        <v>1900</v>
      </c>
      <c r="CB28" s="128">
        <f>$N$3*_xlfn.XLOOKUP(CB$1,'Input Assumptions'!$C$34:$L$34,'Input Assumptions'!$C$36:$L$36)</f>
        <v>1900</v>
      </c>
      <c r="CC28" s="128">
        <f>$N$3*_xlfn.XLOOKUP(CC$1,'Input Assumptions'!$C$34:$L$34,'Input Assumptions'!$C$36:$L$36)</f>
        <v>1900</v>
      </c>
      <c r="CD28" s="128">
        <f>$N$3*_xlfn.XLOOKUP(CD$1,'Input Assumptions'!$C$34:$L$34,'Input Assumptions'!$C$36:$L$36)</f>
        <v>1900</v>
      </c>
      <c r="CE28" s="128">
        <f>$N$3*_xlfn.XLOOKUP(CE$1,'Input Assumptions'!$C$34:$L$34,'Input Assumptions'!$C$36:$L$36)</f>
        <v>1900</v>
      </c>
      <c r="CF28" s="128">
        <f>$N$3*_xlfn.XLOOKUP(CF$1,'Input Assumptions'!$C$34:$L$34,'Input Assumptions'!$C$36:$L$36)</f>
        <v>1900</v>
      </c>
      <c r="CG28" s="128">
        <f>$N$3*_xlfn.XLOOKUP(CG$1,'Input Assumptions'!$C$34:$L$34,'Input Assumptions'!$C$36:$L$36)</f>
        <v>1900</v>
      </c>
      <c r="CH28" s="128">
        <f>$N$3*_xlfn.XLOOKUP(CH$1,'Input Assumptions'!$C$34:$L$34,'Input Assumptions'!$C$36:$L$36)</f>
        <v>1900</v>
      </c>
      <c r="CI28" s="128">
        <f>$N$3*_xlfn.XLOOKUP(CI$1,'Input Assumptions'!$C$34:$L$34,'Input Assumptions'!$C$36:$L$36)</f>
        <v>1971.2500000000002</v>
      </c>
      <c r="CJ28" s="128">
        <f>$N$3*_xlfn.XLOOKUP(CJ$1,'Input Assumptions'!$C$34:$L$34,'Input Assumptions'!$C$36:$L$36)</f>
        <v>1971.2500000000002</v>
      </c>
      <c r="CK28" s="128">
        <f>$N$3*_xlfn.XLOOKUP(CK$1,'Input Assumptions'!$C$34:$L$34,'Input Assumptions'!$C$36:$L$36)</f>
        <v>1971.2500000000002</v>
      </c>
      <c r="CL28" s="128">
        <f>$N$3*_xlfn.XLOOKUP(CL$1,'Input Assumptions'!$C$34:$L$34,'Input Assumptions'!$C$36:$L$36)</f>
        <v>1971.2500000000002</v>
      </c>
      <c r="CM28" s="128">
        <f>$N$3*_xlfn.XLOOKUP(CM$1,'Input Assumptions'!$C$34:$L$34,'Input Assumptions'!$C$36:$L$36)</f>
        <v>1971.2500000000002</v>
      </c>
      <c r="CN28" s="128">
        <f>$N$3*_xlfn.XLOOKUP(CN$1,'Input Assumptions'!$C$34:$L$34,'Input Assumptions'!$C$36:$L$36)</f>
        <v>1971.2500000000002</v>
      </c>
      <c r="CO28" s="128">
        <f>$N$3*_xlfn.XLOOKUP(CO$1,'Input Assumptions'!$C$34:$L$34,'Input Assumptions'!$C$36:$L$36)</f>
        <v>1971.2500000000002</v>
      </c>
      <c r="CP28" s="128">
        <f>$N$3*_xlfn.XLOOKUP(CP$1,'Input Assumptions'!$C$34:$L$34,'Input Assumptions'!$C$36:$L$36)</f>
        <v>1971.2500000000002</v>
      </c>
      <c r="CQ28" s="128">
        <f>$N$3*_xlfn.XLOOKUP(CQ$1,'Input Assumptions'!$C$34:$L$34,'Input Assumptions'!$C$36:$L$36)</f>
        <v>1971.2500000000002</v>
      </c>
      <c r="CR28" s="128">
        <f>$N$3*_xlfn.XLOOKUP(CR$1,'Input Assumptions'!$C$34:$L$34,'Input Assumptions'!$C$36:$L$36)</f>
        <v>1971.2500000000002</v>
      </c>
      <c r="CS28" s="128">
        <f>$N$3*_xlfn.XLOOKUP(CS$1,'Input Assumptions'!$C$34:$L$34,'Input Assumptions'!$C$36:$L$36)</f>
        <v>1971.2500000000002</v>
      </c>
      <c r="CT28" s="128">
        <f>$N$3*_xlfn.XLOOKUP(CT$1,'Input Assumptions'!$C$34:$L$34,'Input Assumptions'!$C$36:$L$36)</f>
        <v>1971.2500000000002</v>
      </c>
      <c r="CU28" s="128">
        <f>$N$3*_xlfn.XLOOKUP(CU$1,'Input Assumptions'!$C$34:$L$34,'Input Assumptions'!$C$36:$L$36)</f>
        <v>2045.1718750000005</v>
      </c>
      <c r="CV28" s="128">
        <f>$N$3*_xlfn.XLOOKUP(CV$1,'Input Assumptions'!$C$34:$L$34,'Input Assumptions'!$C$36:$L$36)</f>
        <v>2045.1718750000005</v>
      </c>
      <c r="CW28" s="128">
        <f>$N$3*_xlfn.XLOOKUP(CW$1,'Input Assumptions'!$C$34:$L$34,'Input Assumptions'!$C$36:$L$36)</f>
        <v>2045.1718750000005</v>
      </c>
      <c r="CX28" s="128">
        <f>$N$3*_xlfn.XLOOKUP(CX$1,'Input Assumptions'!$C$34:$L$34,'Input Assumptions'!$C$36:$L$36)</f>
        <v>2045.1718750000005</v>
      </c>
      <c r="CY28" s="128">
        <f>$N$3*_xlfn.XLOOKUP(CY$1,'Input Assumptions'!$C$34:$L$34,'Input Assumptions'!$C$36:$L$36)</f>
        <v>2045.1718750000005</v>
      </c>
      <c r="CZ28" s="128">
        <f>$N$3*_xlfn.XLOOKUP(CZ$1,'Input Assumptions'!$C$34:$L$34,'Input Assumptions'!$C$36:$L$36)</f>
        <v>2045.1718750000005</v>
      </c>
      <c r="DA28" s="128">
        <f>$N$3*_xlfn.XLOOKUP(DA$1,'Input Assumptions'!$C$34:$L$34,'Input Assumptions'!$C$36:$L$36)</f>
        <v>2045.1718750000005</v>
      </c>
      <c r="DB28" s="128">
        <f>$N$3*_xlfn.XLOOKUP(DB$1,'Input Assumptions'!$C$34:$L$34,'Input Assumptions'!$C$36:$L$36)</f>
        <v>2045.1718750000005</v>
      </c>
      <c r="DC28" s="128">
        <f>$N$3*_xlfn.XLOOKUP(DC$1,'Input Assumptions'!$C$34:$L$34,'Input Assumptions'!$C$36:$L$36)</f>
        <v>2045.1718750000005</v>
      </c>
      <c r="DD28" s="128">
        <f>$N$3*_xlfn.XLOOKUP(DD$1,'Input Assumptions'!$C$34:$L$34,'Input Assumptions'!$C$36:$L$36)</f>
        <v>2045.1718750000005</v>
      </c>
      <c r="DE28" s="128">
        <f>$N$3*_xlfn.XLOOKUP(DE$1,'Input Assumptions'!$C$34:$L$34,'Input Assumptions'!$C$36:$L$36)</f>
        <v>2045.1718750000005</v>
      </c>
      <c r="DF28" s="128">
        <f>$N$3*_xlfn.XLOOKUP(DF$1,'Input Assumptions'!$C$34:$L$34,'Input Assumptions'!$C$36:$L$36)</f>
        <v>2045.1718750000005</v>
      </c>
      <c r="DG28" s="128">
        <f>$N$3*_xlfn.XLOOKUP(DG$1,'Input Assumptions'!$C$34:$L$34,'Input Assumptions'!$C$36:$L$36)</f>
        <v>2121.8658203125005</v>
      </c>
      <c r="DH28" s="128">
        <f>$N$3*_xlfn.XLOOKUP(DH$1,'Input Assumptions'!$C$34:$L$34,'Input Assumptions'!$C$36:$L$36)</f>
        <v>2121.8658203125005</v>
      </c>
      <c r="DI28" s="128">
        <f>$N$3*_xlfn.XLOOKUP(DI$1,'Input Assumptions'!$C$34:$L$34,'Input Assumptions'!$C$36:$L$36)</f>
        <v>2121.8658203125005</v>
      </c>
      <c r="DJ28" s="128">
        <f>$N$3*_xlfn.XLOOKUP(DJ$1,'Input Assumptions'!$C$34:$L$34,'Input Assumptions'!$C$36:$L$36)</f>
        <v>2121.8658203125005</v>
      </c>
      <c r="DK28" s="128">
        <f>$N$3*_xlfn.XLOOKUP(DK$1,'Input Assumptions'!$C$34:$L$34,'Input Assumptions'!$C$36:$L$36)</f>
        <v>2121.8658203125005</v>
      </c>
      <c r="DL28" s="128">
        <f>$N$3*_xlfn.XLOOKUP(DL$1,'Input Assumptions'!$C$34:$L$34,'Input Assumptions'!$C$36:$L$36)</f>
        <v>2121.8658203125005</v>
      </c>
      <c r="DM28" s="128">
        <f>$N$3*_xlfn.XLOOKUP(DM$1,'Input Assumptions'!$C$34:$L$34,'Input Assumptions'!$C$36:$L$36)</f>
        <v>2121.8658203125005</v>
      </c>
      <c r="DN28" s="128">
        <f>$N$3*_xlfn.XLOOKUP(DN$1,'Input Assumptions'!$C$34:$L$34,'Input Assumptions'!$C$36:$L$36)</f>
        <v>2121.8658203125005</v>
      </c>
      <c r="DO28" s="128">
        <f>$N$3*_xlfn.XLOOKUP(DO$1,'Input Assumptions'!$C$34:$L$34,'Input Assumptions'!$C$36:$L$36)</f>
        <v>2121.8658203125005</v>
      </c>
      <c r="DP28" s="128">
        <f>$N$3*_xlfn.XLOOKUP(DP$1,'Input Assumptions'!$C$34:$L$34,'Input Assumptions'!$C$36:$L$36)</f>
        <v>2121.8658203125005</v>
      </c>
      <c r="DQ28" s="128">
        <f>$N$3*_xlfn.XLOOKUP(DQ$1,'Input Assumptions'!$C$34:$L$34,'Input Assumptions'!$C$36:$L$36)</f>
        <v>2121.8658203125005</v>
      </c>
      <c r="DR28" s="128">
        <f>$N$3*_xlfn.XLOOKUP(DR$1,'Input Assumptions'!$C$34:$L$34,'Input Assumptions'!$C$36:$L$36)</f>
        <v>2121.8658203125005</v>
      </c>
      <c r="DS28" s="128">
        <f>$N$3*_xlfn.XLOOKUP(DS$1,'Input Assumptions'!$C$34:$L$34,'Input Assumptions'!$C$36:$L$36)</f>
        <v>2201.4357885742193</v>
      </c>
      <c r="DT28" s="128">
        <f>$N$3*_xlfn.XLOOKUP(DT$1,'Input Assumptions'!$C$34:$L$34,'Input Assumptions'!$C$36:$L$36)</f>
        <v>2201.4357885742193</v>
      </c>
      <c r="DU28" s="128">
        <f>$N$3*_xlfn.XLOOKUP(DU$1,'Input Assumptions'!$C$34:$L$34,'Input Assumptions'!$C$36:$L$36)</f>
        <v>2201.4357885742193</v>
      </c>
      <c r="DV28" s="128">
        <f>$N$3*_xlfn.XLOOKUP(DV$1,'Input Assumptions'!$C$34:$L$34,'Input Assumptions'!$C$36:$L$36)</f>
        <v>2201.4357885742193</v>
      </c>
      <c r="DW28" s="128">
        <f>$N$3*_xlfn.XLOOKUP(DW$1,'Input Assumptions'!$C$34:$L$34,'Input Assumptions'!$C$36:$L$36)</f>
        <v>2201.4357885742193</v>
      </c>
      <c r="DX28" s="128">
        <f>$N$3*_xlfn.XLOOKUP(DX$1,'Input Assumptions'!$C$34:$L$34,'Input Assumptions'!$C$36:$L$36)</f>
        <v>2201.4357885742193</v>
      </c>
      <c r="DY28" s="128">
        <f>$N$3*_xlfn.XLOOKUP(DY$1,'Input Assumptions'!$C$34:$L$34,'Input Assumptions'!$C$36:$L$36)</f>
        <v>2201.4357885742193</v>
      </c>
      <c r="DZ28" s="128">
        <f>$N$3*_xlfn.XLOOKUP(DZ$1,'Input Assumptions'!$C$34:$L$34,'Input Assumptions'!$C$36:$L$36)</f>
        <v>2201.4357885742193</v>
      </c>
      <c r="EA28" s="128">
        <f>$N$3*_xlfn.XLOOKUP(EA$1,'Input Assumptions'!$C$34:$L$34,'Input Assumptions'!$C$36:$L$36)</f>
        <v>2201.4357885742193</v>
      </c>
      <c r="EB28" s="128">
        <f>$N$3*_xlfn.XLOOKUP(EB$1,'Input Assumptions'!$C$34:$L$34,'Input Assumptions'!$C$36:$L$36)</f>
        <v>2201.4357885742193</v>
      </c>
      <c r="EC28" s="128">
        <f>$N$3*_xlfn.XLOOKUP(EC$1,'Input Assumptions'!$C$34:$L$34,'Input Assumptions'!$C$36:$L$36)</f>
        <v>2201.4357885742193</v>
      </c>
    </row>
    <row r="29" spans="2:133" x14ac:dyDescent="0.3">
      <c r="B29" s="15">
        <v>3</v>
      </c>
      <c r="C29" s="16">
        <v>27</v>
      </c>
      <c r="D29" s="16" t="s">
        <v>10</v>
      </c>
      <c r="E29" s="16">
        <v>450</v>
      </c>
      <c r="F29" s="20">
        <f t="shared" si="114"/>
        <v>41.80640845790095</v>
      </c>
      <c r="G29" s="19" t="str">
        <f t="shared" si="115"/>
        <v>1</v>
      </c>
      <c r="H29" s="20">
        <f t="shared" si="116"/>
        <v>1</v>
      </c>
      <c r="I29" s="18">
        <f t="shared" si="117"/>
        <v>1710</v>
      </c>
      <c r="J29" s="18">
        <f t="shared" si="118"/>
        <v>1900</v>
      </c>
      <c r="K29" s="18">
        <f>(J29*'Input Assumptions'!$C$20)+I29*('Input Assumptions'!$C$21)</f>
        <v>1900</v>
      </c>
      <c r="L29" s="94"/>
      <c r="M29" s="4"/>
      <c r="N29" s="128">
        <f t="shared" si="119"/>
        <v>1900</v>
      </c>
      <c r="O29" s="128">
        <f>$N$3*_xlfn.XLOOKUP(O$1,'Input Assumptions'!$C$34:$L$34,'Input Assumptions'!$C$36:$L$36)</f>
        <v>1900</v>
      </c>
      <c r="P29" s="128">
        <f>$N$3*_xlfn.XLOOKUP(P$1,'Input Assumptions'!$C$34:$L$34,'Input Assumptions'!$C$36:$L$36)</f>
        <v>1900</v>
      </c>
      <c r="Q29" s="128">
        <f>$N$3*_xlfn.XLOOKUP(Q$1,'Input Assumptions'!$C$34:$L$34,'Input Assumptions'!$C$36:$L$36)</f>
        <v>1900</v>
      </c>
      <c r="R29" s="128">
        <f>$N$3*_xlfn.XLOOKUP(R$1,'Input Assumptions'!$C$34:$L$34,'Input Assumptions'!$C$36:$L$36)</f>
        <v>1900</v>
      </c>
      <c r="S29" s="128">
        <f>$N$3*_xlfn.XLOOKUP(S$1,'Input Assumptions'!$C$34:$L$34,'Input Assumptions'!$C$36:$L$36)</f>
        <v>1900</v>
      </c>
      <c r="T29" s="128">
        <f>$N$3*_xlfn.XLOOKUP(T$1,'Input Assumptions'!$C$34:$L$34,'Input Assumptions'!$C$36:$L$36)</f>
        <v>1900</v>
      </c>
      <c r="U29" s="128">
        <f>$N$3*_xlfn.XLOOKUP(U$1,'Input Assumptions'!$C$34:$L$34,'Input Assumptions'!$C$36:$L$36)</f>
        <v>1900</v>
      </c>
      <c r="V29" s="128">
        <f>$N$3*_xlfn.XLOOKUP(V$1,'Input Assumptions'!$C$34:$L$34,'Input Assumptions'!$C$36:$L$36)</f>
        <v>1900</v>
      </c>
      <c r="W29" s="128">
        <f>$N$3*_xlfn.XLOOKUP(W$1,'Input Assumptions'!$C$34:$L$34,'Input Assumptions'!$C$36:$L$36)</f>
        <v>1900</v>
      </c>
      <c r="X29" s="128">
        <f>$N$3*_xlfn.XLOOKUP(X$1,'Input Assumptions'!$C$34:$L$34,'Input Assumptions'!$C$36:$L$36)</f>
        <v>1900</v>
      </c>
      <c r="Y29" s="128">
        <f>$N$3*_xlfn.XLOOKUP(Y$1,'Input Assumptions'!$C$34:$L$34,'Input Assumptions'!$C$36:$L$36)</f>
        <v>1900</v>
      </c>
      <c r="Z29" s="128">
        <f>$N$3*_xlfn.XLOOKUP(Z$1,'Input Assumptions'!$C$34:$L$34,'Input Assumptions'!$C$36:$L$36)</f>
        <v>1971.2500000000002</v>
      </c>
      <c r="AA29" s="128">
        <f>$N$3*_xlfn.XLOOKUP(AA$1,'Input Assumptions'!$C$34:$L$34,'Input Assumptions'!$C$36:$L$36)</f>
        <v>1971.2500000000002</v>
      </c>
      <c r="AB29" s="128">
        <f>$N$3*_xlfn.XLOOKUP(AB$1,'Input Assumptions'!$C$34:$L$34,'Input Assumptions'!$C$36:$L$36)</f>
        <v>1971.2500000000002</v>
      </c>
      <c r="AC29" s="128">
        <f>$N$3*_xlfn.XLOOKUP(AC$1,'Input Assumptions'!$C$34:$L$34,'Input Assumptions'!$C$36:$L$36)</f>
        <v>1971.2500000000002</v>
      </c>
      <c r="AD29" s="128">
        <f>$N$3*_xlfn.XLOOKUP(AD$1,'Input Assumptions'!$C$34:$L$34,'Input Assumptions'!$C$36:$L$36)</f>
        <v>1971.2500000000002</v>
      </c>
      <c r="AE29" s="128">
        <f>$N$3*_xlfn.XLOOKUP(AE$1,'Input Assumptions'!$C$34:$L$34,'Input Assumptions'!$C$36:$L$36)</f>
        <v>1971.2500000000002</v>
      </c>
      <c r="AF29" s="128">
        <f>$N$3*_xlfn.XLOOKUP(AF$1,'Input Assumptions'!$C$34:$L$34,'Input Assumptions'!$C$36:$L$36)</f>
        <v>1971.2500000000002</v>
      </c>
      <c r="AG29" s="128">
        <f>$N$3*_xlfn.XLOOKUP(AG$1,'Input Assumptions'!$C$34:$L$34,'Input Assumptions'!$C$36:$L$36)</f>
        <v>1971.2500000000002</v>
      </c>
      <c r="AH29" s="128">
        <f>$N$3*_xlfn.XLOOKUP(AH$1,'Input Assumptions'!$C$34:$L$34,'Input Assumptions'!$C$36:$L$36)</f>
        <v>1971.2500000000002</v>
      </c>
      <c r="AI29" s="128">
        <f>$N$3*_xlfn.XLOOKUP(AI$1,'Input Assumptions'!$C$34:$L$34,'Input Assumptions'!$C$36:$L$36)</f>
        <v>1971.2500000000002</v>
      </c>
      <c r="AJ29" s="128">
        <f>$N$3*_xlfn.XLOOKUP(AJ$1,'Input Assumptions'!$C$34:$L$34,'Input Assumptions'!$C$36:$L$36)</f>
        <v>1971.2500000000002</v>
      </c>
      <c r="AK29" s="128">
        <f>$N$3*_xlfn.XLOOKUP(AK$1,'Input Assumptions'!$C$34:$L$34,'Input Assumptions'!$C$36:$L$36)</f>
        <v>1971.2500000000002</v>
      </c>
      <c r="AL29" s="128">
        <f>$N$3*_xlfn.XLOOKUP(AL$1,'Input Assumptions'!$C$34:$L$34,'Input Assumptions'!$C$36:$L$36)</f>
        <v>2045.1718750000005</v>
      </c>
      <c r="AM29" s="128">
        <f>$N$3*_xlfn.XLOOKUP(AM$1,'Input Assumptions'!$C$34:$L$34,'Input Assumptions'!$C$36:$L$36)</f>
        <v>2045.1718750000005</v>
      </c>
      <c r="AN29" s="128">
        <f>$N$3*_xlfn.XLOOKUP(AN$1,'Input Assumptions'!$C$34:$L$34,'Input Assumptions'!$C$36:$L$36)</f>
        <v>2045.1718750000005</v>
      </c>
      <c r="AO29" s="128">
        <f>$N$3*_xlfn.XLOOKUP(AO$1,'Input Assumptions'!$C$34:$L$34,'Input Assumptions'!$C$36:$L$36)</f>
        <v>2045.1718750000005</v>
      </c>
      <c r="AP29" s="128">
        <f>$N$3*_xlfn.XLOOKUP(AP$1,'Input Assumptions'!$C$34:$L$34,'Input Assumptions'!$C$36:$L$36)</f>
        <v>2045.1718750000005</v>
      </c>
      <c r="AQ29" s="128">
        <f>$N$3*_xlfn.XLOOKUP(AQ$1,'Input Assumptions'!$C$34:$L$34,'Input Assumptions'!$C$36:$L$36)</f>
        <v>2045.1718750000005</v>
      </c>
      <c r="AR29" s="128">
        <f>$N$3*_xlfn.XLOOKUP(AR$1,'Input Assumptions'!$C$34:$L$34,'Input Assumptions'!$C$36:$L$36)</f>
        <v>2045.1718750000005</v>
      </c>
      <c r="AS29" s="128">
        <f>$N$3*_xlfn.XLOOKUP(AS$1,'Input Assumptions'!$C$34:$L$34,'Input Assumptions'!$C$36:$L$36)</f>
        <v>2045.1718750000005</v>
      </c>
      <c r="AT29" s="128">
        <f>$N$3*_xlfn.XLOOKUP(AT$1,'Input Assumptions'!$C$34:$L$34,'Input Assumptions'!$C$36:$L$36)</f>
        <v>2045.1718750000005</v>
      </c>
      <c r="AU29" s="128">
        <f>$N$3*_xlfn.XLOOKUP(AU$1,'Input Assumptions'!$C$34:$L$34,'Input Assumptions'!$C$36:$L$36)</f>
        <v>2045.1718750000005</v>
      </c>
      <c r="AV29" s="128">
        <f>$N$3*_xlfn.XLOOKUP(AV$1,'Input Assumptions'!$C$34:$L$34,'Input Assumptions'!$C$36:$L$36)</f>
        <v>2045.1718750000005</v>
      </c>
      <c r="AW29" s="128">
        <f>$N$3*_xlfn.XLOOKUP(AW$1,'Input Assumptions'!$C$34:$L$34,'Input Assumptions'!$C$36:$L$36)</f>
        <v>2045.1718750000005</v>
      </c>
      <c r="AX29" s="128">
        <f>$N$3*_xlfn.XLOOKUP(AX$1,'Input Assumptions'!$C$34:$L$34,'Input Assumptions'!$C$36:$L$36)</f>
        <v>2121.8658203125005</v>
      </c>
      <c r="AY29" s="128">
        <f>$N$3*_xlfn.XLOOKUP(AY$1,'Input Assumptions'!$C$34:$L$34,'Input Assumptions'!$C$36:$L$36)</f>
        <v>2121.8658203125005</v>
      </c>
      <c r="AZ29" s="128">
        <f>$N$3*_xlfn.XLOOKUP(AZ$1,'Input Assumptions'!$C$34:$L$34,'Input Assumptions'!$C$36:$L$36)</f>
        <v>2121.8658203125005</v>
      </c>
      <c r="BA29" s="128">
        <f>$N$3*_xlfn.XLOOKUP(BA$1,'Input Assumptions'!$C$34:$L$34,'Input Assumptions'!$C$36:$L$36)</f>
        <v>2121.8658203125005</v>
      </c>
      <c r="BB29" s="128">
        <f>$N$3*_xlfn.XLOOKUP(BB$1,'Input Assumptions'!$C$34:$L$34,'Input Assumptions'!$C$36:$L$36)</f>
        <v>2121.8658203125005</v>
      </c>
      <c r="BC29" s="128">
        <f>$N$3*_xlfn.XLOOKUP(BC$1,'Input Assumptions'!$C$34:$L$34,'Input Assumptions'!$C$36:$L$36)</f>
        <v>2121.8658203125005</v>
      </c>
      <c r="BD29" s="128">
        <f>$N$3*_xlfn.XLOOKUP(BD$1,'Input Assumptions'!$C$34:$L$34,'Input Assumptions'!$C$36:$L$36)</f>
        <v>2121.8658203125005</v>
      </c>
      <c r="BE29" s="128">
        <f>$N$3*_xlfn.XLOOKUP(BE$1,'Input Assumptions'!$C$34:$L$34,'Input Assumptions'!$C$36:$L$36)</f>
        <v>2121.8658203125005</v>
      </c>
      <c r="BF29" s="128">
        <f>$N$3*_xlfn.XLOOKUP(BF$1,'Input Assumptions'!$C$34:$L$34,'Input Assumptions'!$C$36:$L$36)</f>
        <v>2121.8658203125005</v>
      </c>
      <c r="BG29" s="128">
        <f>$N$3*_xlfn.XLOOKUP(BG$1,'Input Assumptions'!$C$34:$L$34,'Input Assumptions'!$C$36:$L$36)</f>
        <v>2121.8658203125005</v>
      </c>
      <c r="BH29" s="128">
        <f>$N$3*_xlfn.XLOOKUP(BH$1,'Input Assumptions'!$C$34:$L$34,'Input Assumptions'!$C$36:$L$36)</f>
        <v>2121.8658203125005</v>
      </c>
      <c r="BI29" s="128">
        <f>$N$3*_xlfn.XLOOKUP(BI$1,'Input Assumptions'!$C$34:$L$34,'Input Assumptions'!$C$36:$L$36)</f>
        <v>2121.8658203125005</v>
      </c>
      <c r="BJ29" s="128">
        <f>$N$3*_xlfn.XLOOKUP(BJ$1,'Input Assumptions'!$C$34:$L$34,'Input Assumptions'!$C$36:$L$36)</f>
        <v>2201.4357885742193</v>
      </c>
      <c r="BK29" s="128">
        <f>$N$3*_xlfn.XLOOKUP(BK$1,'Input Assumptions'!$C$34:$L$34,'Input Assumptions'!$C$36:$L$36)</f>
        <v>2201.4357885742193</v>
      </c>
      <c r="BL29" s="128">
        <f>$N$3*_xlfn.XLOOKUP(BL$1,'Input Assumptions'!$C$34:$L$34,'Input Assumptions'!$C$36:$L$36)</f>
        <v>2201.4357885742193</v>
      </c>
      <c r="BM29" s="128">
        <f>$N$3*_xlfn.XLOOKUP(BM$1,'Input Assumptions'!$C$34:$L$34,'Input Assumptions'!$C$36:$L$36)</f>
        <v>2201.4357885742193</v>
      </c>
      <c r="BN29" s="128">
        <f>$N$3*_xlfn.XLOOKUP(BN$1,'Input Assumptions'!$C$34:$L$34,'Input Assumptions'!$C$36:$L$36)</f>
        <v>2201.4357885742193</v>
      </c>
      <c r="BO29" s="128">
        <f>$N$3*_xlfn.XLOOKUP(BO$1,'Input Assumptions'!$C$34:$L$34,'Input Assumptions'!$C$36:$L$36)</f>
        <v>2201.4357885742193</v>
      </c>
      <c r="BP29" s="128">
        <f>$N$3*_xlfn.XLOOKUP(BP$1,'Input Assumptions'!$C$34:$L$34,'Input Assumptions'!$C$36:$L$36)</f>
        <v>2201.4357885742193</v>
      </c>
      <c r="BQ29" s="128">
        <f>$N$3*_xlfn.XLOOKUP(BQ$1,'Input Assumptions'!$C$34:$L$34,'Input Assumptions'!$C$36:$L$36)</f>
        <v>2201.4357885742193</v>
      </c>
      <c r="BR29" s="128">
        <f>$N$3*_xlfn.XLOOKUP(BR$1,'Input Assumptions'!$C$34:$L$34,'Input Assumptions'!$C$36:$L$36)</f>
        <v>2201.4357885742193</v>
      </c>
      <c r="BS29" s="128">
        <f>$N$3*_xlfn.XLOOKUP(BS$1,'Input Assumptions'!$C$34:$L$34,'Input Assumptions'!$C$36:$L$36)</f>
        <v>2201.4357885742193</v>
      </c>
      <c r="BT29" s="128">
        <f>$N$3*_xlfn.XLOOKUP(BT$1,'Input Assumptions'!$C$34:$L$34,'Input Assumptions'!$C$36:$L$36)</f>
        <v>2201.4357885742193</v>
      </c>
      <c r="BU29" s="128">
        <f>$N$3*_xlfn.XLOOKUP(BU$1,'Input Assumptions'!$C$34:$L$34,'Input Assumptions'!$C$36:$L$36)</f>
        <v>2201.4357885742193</v>
      </c>
      <c r="BV29" s="128">
        <f>$N$3*_xlfn.XLOOKUP(BV$1,'Input Assumptions'!$C$34:$L$34,'Input Assumptions'!$C$36:$L$36)</f>
        <v>2283.9896306457531</v>
      </c>
      <c r="BW29" s="128">
        <f>$N$3*_xlfn.XLOOKUP(BW$1,'Input Assumptions'!$C$34:$L$34,'Input Assumptions'!$C$36:$L$36)</f>
        <v>1900</v>
      </c>
      <c r="BX29" s="128">
        <f>$N$3*_xlfn.XLOOKUP(BX$1,'Input Assumptions'!$C$34:$L$34,'Input Assumptions'!$C$36:$L$36)</f>
        <v>1900</v>
      </c>
      <c r="BY29" s="128">
        <f>$N$3*_xlfn.XLOOKUP(BY$1,'Input Assumptions'!$C$34:$L$34,'Input Assumptions'!$C$36:$L$36)</f>
        <v>1900</v>
      </c>
      <c r="BZ29" s="128">
        <f>$N$3*_xlfn.XLOOKUP(BZ$1,'Input Assumptions'!$C$34:$L$34,'Input Assumptions'!$C$36:$L$36)</f>
        <v>1900</v>
      </c>
      <c r="CA29" s="128">
        <f>$N$3*_xlfn.XLOOKUP(CA$1,'Input Assumptions'!$C$34:$L$34,'Input Assumptions'!$C$36:$L$36)</f>
        <v>1900</v>
      </c>
      <c r="CB29" s="128">
        <f>$N$3*_xlfn.XLOOKUP(CB$1,'Input Assumptions'!$C$34:$L$34,'Input Assumptions'!$C$36:$L$36)</f>
        <v>1900</v>
      </c>
      <c r="CC29" s="128">
        <f>$N$3*_xlfn.XLOOKUP(CC$1,'Input Assumptions'!$C$34:$L$34,'Input Assumptions'!$C$36:$L$36)</f>
        <v>1900</v>
      </c>
      <c r="CD29" s="128">
        <f>$N$3*_xlfn.XLOOKUP(CD$1,'Input Assumptions'!$C$34:$L$34,'Input Assumptions'!$C$36:$L$36)</f>
        <v>1900</v>
      </c>
      <c r="CE29" s="128">
        <f>$N$3*_xlfn.XLOOKUP(CE$1,'Input Assumptions'!$C$34:$L$34,'Input Assumptions'!$C$36:$L$36)</f>
        <v>1900</v>
      </c>
      <c r="CF29" s="128">
        <f>$N$3*_xlfn.XLOOKUP(CF$1,'Input Assumptions'!$C$34:$L$34,'Input Assumptions'!$C$36:$L$36)</f>
        <v>1900</v>
      </c>
      <c r="CG29" s="128">
        <f>$N$3*_xlfn.XLOOKUP(CG$1,'Input Assumptions'!$C$34:$L$34,'Input Assumptions'!$C$36:$L$36)</f>
        <v>1900</v>
      </c>
      <c r="CH29" s="128">
        <f>$N$3*_xlfn.XLOOKUP(CH$1,'Input Assumptions'!$C$34:$L$34,'Input Assumptions'!$C$36:$L$36)</f>
        <v>1900</v>
      </c>
      <c r="CI29" s="128">
        <f>$N$3*_xlfn.XLOOKUP(CI$1,'Input Assumptions'!$C$34:$L$34,'Input Assumptions'!$C$36:$L$36)</f>
        <v>1971.2500000000002</v>
      </c>
      <c r="CJ29" s="128">
        <f>$N$3*_xlfn.XLOOKUP(CJ$1,'Input Assumptions'!$C$34:$L$34,'Input Assumptions'!$C$36:$L$36)</f>
        <v>1971.2500000000002</v>
      </c>
      <c r="CK29" s="128">
        <f>$N$3*_xlfn.XLOOKUP(CK$1,'Input Assumptions'!$C$34:$L$34,'Input Assumptions'!$C$36:$L$36)</f>
        <v>1971.2500000000002</v>
      </c>
      <c r="CL29" s="128">
        <f>$N$3*_xlfn.XLOOKUP(CL$1,'Input Assumptions'!$C$34:$L$34,'Input Assumptions'!$C$36:$L$36)</f>
        <v>1971.2500000000002</v>
      </c>
      <c r="CM29" s="128">
        <f>$N$3*_xlfn.XLOOKUP(CM$1,'Input Assumptions'!$C$34:$L$34,'Input Assumptions'!$C$36:$L$36)</f>
        <v>1971.2500000000002</v>
      </c>
      <c r="CN29" s="128">
        <f>$N$3*_xlfn.XLOOKUP(CN$1,'Input Assumptions'!$C$34:$L$34,'Input Assumptions'!$C$36:$L$36)</f>
        <v>1971.2500000000002</v>
      </c>
      <c r="CO29" s="128">
        <f>$N$3*_xlfn.XLOOKUP(CO$1,'Input Assumptions'!$C$34:$L$34,'Input Assumptions'!$C$36:$L$36)</f>
        <v>1971.2500000000002</v>
      </c>
      <c r="CP29" s="128">
        <f>$N$3*_xlfn.XLOOKUP(CP$1,'Input Assumptions'!$C$34:$L$34,'Input Assumptions'!$C$36:$L$36)</f>
        <v>1971.2500000000002</v>
      </c>
      <c r="CQ29" s="128">
        <f>$N$3*_xlfn.XLOOKUP(CQ$1,'Input Assumptions'!$C$34:$L$34,'Input Assumptions'!$C$36:$L$36)</f>
        <v>1971.2500000000002</v>
      </c>
      <c r="CR29" s="128">
        <f>$N$3*_xlfn.XLOOKUP(CR$1,'Input Assumptions'!$C$34:$L$34,'Input Assumptions'!$C$36:$L$36)</f>
        <v>1971.2500000000002</v>
      </c>
      <c r="CS29" s="128">
        <f>$N$3*_xlfn.XLOOKUP(CS$1,'Input Assumptions'!$C$34:$L$34,'Input Assumptions'!$C$36:$L$36)</f>
        <v>1971.2500000000002</v>
      </c>
      <c r="CT29" s="128">
        <f>$N$3*_xlfn.XLOOKUP(CT$1,'Input Assumptions'!$C$34:$L$34,'Input Assumptions'!$C$36:$L$36)</f>
        <v>1971.2500000000002</v>
      </c>
      <c r="CU29" s="128">
        <f>$N$3*_xlfn.XLOOKUP(CU$1,'Input Assumptions'!$C$34:$L$34,'Input Assumptions'!$C$36:$L$36)</f>
        <v>2045.1718750000005</v>
      </c>
      <c r="CV29" s="128">
        <f>$N$3*_xlfn.XLOOKUP(CV$1,'Input Assumptions'!$C$34:$L$34,'Input Assumptions'!$C$36:$L$36)</f>
        <v>2045.1718750000005</v>
      </c>
      <c r="CW29" s="128">
        <f>$N$3*_xlfn.XLOOKUP(CW$1,'Input Assumptions'!$C$34:$L$34,'Input Assumptions'!$C$36:$L$36)</f>
        <v>2045.1718750000005</v>
      </c>
      <c r="CX29" s="128">
        <f>$N$3*_xlfn.XLOOKUP(CX$1,'Input Assumptions'!$C$34:$L$34,'Input Assumptions'!$C$36:$L$36)</f>
        <v>2045.1718750000005</v>
      </c>
      <c r="CY29" s="128">
        <f>$N$3*_xlfn.XLOOKUP(CY$1,'Input Assumptions'!$C$34:$L$34,'Input Assumptions'!$C$36:$L$36)</f>
        <v>2045.1718750000005</v>
      </c>
      <c r="CZ29" s="128">
        <f>$N$3*_xlfn.XLOOKUP(CZ$1,'Input Assumptions'!$C$34:$L$34,'Input Assumptions'!$C$36:$L$36)</f>
        <v>2045.1718750000005</v>
      </c>
      <c r="DA29" s="128">
        <f>$N$3*_xlfn.XLOOKUP(DA$1,'Input Assumptions'!$C$34:$L$34,'Input Assumptions'!$C$36:$L$36)</f>
        <v>2045.1718750000005</v>
      </c>
      <c r="DB29" s="128">
        <f>$N$3*_xlfn.XLOOKUP(DB$1,'Input Assumptions'!$C$34:$L$34,'Input Assumptions'!$C$36:$L$36)</f>
        <v>2045.1718750000005</v>
      </c>
      <c r="DC29" s="128">
        <f>$N$3*_xlfn.XLOOKUP(DC$1,'Input Assumptions'!$C$34:$L$34,'Input Assumptions'!$C$36:$L$36)</f>
        <v>2045.1718750000005</v>
      </c>
      <c r="DD29" s="128">
        <f>$N$3*_xlfn.XLOOKUP(DD$1,'Input Assumptions'!$C$34:$L$34,'Input Assumptions'!$C$36:$L$36)</f>
        <v>2045.1718750000005</v>
      </c>
      <c r="DE29" s="128">
        <f>$N$3*_xlfn.XLOOKUP(DE$1,'Input Assumptions'!$C$34:$L$34,'Input Assumptions'!$C$36:$L$36)</f>
        <v>2045.1718750000005</v>
      </c>
      <c r="DF29" s="128">
        <f>$N$3*_xlfn.XLOOKUP(DF$1,'Input Assumptions'!$C$34:$L$34,'Input Assumptions'!$C$36:$L$36)</f>
        <v>2045.1718750000005</v>
      </c>
      <c r="DG29" s="128">
        <f>$N$3*_xlfn.XLOOKUP(DG$1,'Input Assumptions'!$C$34:$L$34,'Input Assumptions'!$C$36:$L$36)</f>
        <v>2121.8658203125005</v>
      </c>
      <c r="DH29" s="128">
        <f>$N$3*_xlfn.XLOOKUP(DH$1,'Input Assumptions'!$C$34:$L$34,'Input Assumptions'!$C$36:$L$36)</f>
        <v>2121.8658203125005</v>
      </c>
      <c r="DI29" s="128">
        <f>$N$3*_xlfn.XLOOKUP(DI$1,'Input Assumptions'!$C$34:$L$34,'Input Assumptions'!$C$36:$L$36)</f>
        <v>2121.8658203125005</v>
      </c>
      <c r="DJ29" s="128">
        <f>$N$3*_xlfn.XLOOKUP(DJ$1,'Input Assumptions'!$C$34:$L$34,'Input Assumptions'!$C$36:$L$36)</f>
        <v>2121.8658203125005</v>
      </c>
      <c r="DK29" s="128">
        <f>$N$3*_xlfn.XLOOKUP(DK$1,'Input Assumptions'!$C$34:$L$34,'Input Assumptions'!$C$36:$L$36)</f>
        <v>2121.8658203125005</v>
      </c>
      <c r="DL29" s="128">
        <f>$N$3*_xlfn.XLOOKUP(DL$1,'Input Assumptions'!$C$34:$L$34,'Input Assumptions'!$C$36:$L$36)</f>
        <v>2121.8658203125005</v>
      </c>
      <c r="DM29" s="128">
        <f>$N$3*_xlfn.XLOOKUP(DM$1,'Input Assumptions'!$C$34:$L$34,'Input Assumptions'!$C$36:$L$36)</f>
        <v>2121.8658203125005</v>
      </c>
      <c r="DN29" s="128">
        <f>$N$3*_xlfn.XLOOKUP(DN$1,'Input Assumptions'!$C$34:$L$34,'Input Assumptions'!$C$36:$L$36)</f>
        <v>2121.8658203125005</v>
      </c>
      <c r="DO29" s="128">
        <f>$N$3*_xlfn.XLOOKUP(DO$1,'Input Assumptions'!$C$34:$L$34,'Input Assumptions'!$C$36:$L$36)</f>
        <v>2121.8658203125005</v>
      </c>
      <c r="DP29" s="128">
        <f>$N$3*_xlfn.XLOOKUP(DP$1,'Input Assumptions'!$C$34:$L$34,'Input Assumptions'!$C$36:$L$36)</f>
        <v>2121.8658203125005</v>
      </c>
      <c r="DQ29" s="128">
        <f>$N$3*_xlfn.XLOOKUP(DQ$1,'Input Assumptions'!$C$34:$L$34,'Input Assumptions'!$C$36:$L$36)</f>
        <v>2121.8658203125005</v>
      </c>
      <c r="DR29" s="128">
        <f>$N$3*_xlfn.XLOOKUP(DR$1,'Input Assumptions'!$C$34:$L$34,'Input Assumptions'!$C$36:$L$36)</f>
        <v>2121.8658203125005</v>
      </c>
      <c r="DS29" s="128">
        <f>$N$3*_xlfn.XLOOKUP(DS$1,'Input Assumptions'!$C$34:$L$34,'Input Assumptions'!$C$36:$L$36)</f>
        <v>2201.4357885742193</v>
      </c>
      <c r="DT29" s="128">
        <f>$N$3*_xlfn.XLOOKUP(DT$1,'Input Assumptions'!$C$34:$L$34,'Input Assumptions'!$C$36:$L$36)</f>
        <v>2201.4357885742193</v>
      </c>
      <c r="DU29" s="128">
        <f>$N$3*_xlfn.XLOOKUP(DU$1,'Input Assumptions'!$C$34:$L$34,'Input Assumptions'!$C$36:$L$36)</f>
        <v>2201.4357885742193</v>
      </c>
      <c r="DV29" s="128">
        <f>$N$3*_xlfn.XLOOKUP(DV$1,'Input Assumptions'!$C$34:$L$34,'Input Assumptions'!$C$36:$L$36)</f>
        <v>2201.4357885742193</v>
      </c>
      <c r="DW29" s="128">
        <f>$N$3*_xlfn.XLOOKUP(DW$1,'Input Assumptions'!$C$34:$L$34,'Input Assumptions'!$C$36:$L$36)</f>
        <v>2201.4357885742193</v>
      </c>
      <c r="DX29" s="128">
        <f>$N$3*_xlfn.XLOOKUP(DX$1,'Input Assumptions'!$C$34:$L$34,'Input Assumptions'!$C$36:$L$36)</f>
        <v>2201.4357885742193</v>
      </c>
      <c r="DY29" s="128">
        <f>$N$3*_xlfn.XLOOKUP(DY$1,'Input Assumptions'!$C$34:$L$34,'Input Assumptions'!$C$36:$L$36)</f>
        <v>2201.4357885742193</v>
      </c>
      <c r="DZ29" s="128">
        <f>$N$3*_xlfn.XLOOKUP(DZ$1,'Input Assumptions'!$C$34:$L$34,'Input Assumptions'!$C$36:$L$36)</f>
        <v>2201.4357885742193</v>
      </c>
      <c r="EA29" s="128">
        <f>$N$3*_xlfn.XLOOKUP(EA$1,'Input Assumptions'!$C$34:$L$34,'Input Assumptions'!$C$36:$L$36)</f>
        <v>2201.4357885742193</v>
      </c>
      <c r="EB29" s="128">
        <f>$N$3*_xlfn.XLOOKUP(EB$1,'Input Assumptions'!$C$34:$L$34,'Input Assumptions'!$C$36:$L$36)</f>
        <v>2201.4357885742193</v>
      </c>
      <c r="EC29" s="128">
        <f>$N$3*_xlfn.XLOOKUP(EC$1,'Input Assumptions'!$C$34:$L$34,'Input Assumptions'!$C$36:$L$36)</f>
        <v>2201.4357885742193</v>
      </c>
    </row>
    <row r="30" spans="2:133" x14ac:dyDescent="0.3">
      <c r="B30" s="15">
        <v>4</v>
      </c>
      <c r="C30" s="16">
        <v>28</v>
      </c>
      <c r="D30" s="16" t="s">
        <v>10</v>
      </c>
      <c r="E30" s="16">
        <v>450</v>
      </c>
      <c r="F30" s="20">
        <f t="shared" si="114"/>
        <v>41.80640845790095</v>
      </c>
      <c r="G30" s="19" t="str">
        <f t="shared" si="115"/>
        <v>1</v>
      </c>
      <c r="H30" s="20">
        <f t="shared" si="116"/>
        <v>1</v>
      </c>
      <c r="I30" s="18">
        <f t="shared" si="117"/>
        <v>1710</v>
      </c>
      <c r="J30" s="18">
        <f t="shared" si="118"/>
        <v>1900</v>
      </c>
      <c r="K30" s="18">
        <f>(J30*'Input Assumptions'!$C$20)+I30*('Input Assumptions'!$C$21)</f>
        <v>1900</v>
      </c>
      <c r="L30" s="94"/>
      <c r="M30" s="4"/>
      <c r="N30" s="128">
        <f t="shared" si="119"/>
        <v>1900</v>
      </c>
      <c r="O30" s="128">
        <f>$N$3*_xlfn.XLOOKUP(O$1,'Input Assumptions'!$C$34:$L$34,'Input Assumptions'!$C$36:$L$36)</f>
        <v>1900</v>
      </c>
      <c r="P30" s="128">
        <f>$N$3*_xlfn.XLOOKUP(P$1,'Input Assumptions'!$C$34:$L$34,'Input Assumptions'!$C$36:$L$36)</f>
        <v>1900</v>
      </c>
      <c r="Q30" s="128">
        <f>$N$3*_xlfn.XLOOKUP(Q$1,'Input Assumptions'!$C$34:$L$34,'Input Assumptions'!$C$36:$L$36)</f>
        <v>1900</v>
      </c>
      <c r="R30" s="128">
        <f>$N$3*_xlfn.XLOOKUP(R$1,'Input Assumptions'!$C$34:$L$34,'Input Assumptions'!$C$36:$L$36)</f>
        <v>1900</v>
      </c>
      <c r="S30" s="128">
        <f>$N$3*_xlfn.XLOOKUP(S$1,'Input Assumptions'!$C$34:$L$34,'Input Assumptions'!$C$36:$L$36)</f>
        <v>1900</v>
      </c>
      <c r="T30" s="128">
        <f>$N$3*_xlfn.XLOOKUP(T$1,'Input Assumptions'!$C$34:$L$34,'Input Assumptions'!$C$36:$L$36)</f>
        <v>1900</v>
      </c>
      <c r="U30" s="128">
        <f>$N$3*_xlfn.XLOOKUP(U$1,'Input Assumptions'!$C$34:$L$34,'Input Assumptions'!$C$36:$L$36)</f>
        <v>1900</v>
      </c>
      <c r="V30" s="128">
        <f>$N$3*_xlfn.XLOOKUP(V$1,'Input Assumptions'!$C$34:$L$34,'Input Assumptions'!$C$36:$L$36)</f>
        <v>1900</v>
      </c>
      <c r="W30" s="128">
        <f>$N$3*_xlfn.XLOOKUP(W$1,'Input Assumptions'!$C$34:$L$34,'Input Assumptions'!$C$36:$L$36)</f>
        <v>1900</v>
      </c>
      <c r="X30" s="128">
        <f>$N$3*_xlfn.XLOOKUP(X$1,'Input Assumptions'!$C$34:$L$34,'Input Assumptions'!$C$36:$L$36)</f>
        <v>1900</v>
      </c>
      <c r="Y30" s="128">
        <f>$N$3*_xlfn.XLOOKUP(Y$1,'Input Assumptions'!$C$34:$L$34,'Input Assumptions'!$C$36:$L$36)</f>
        <v>1900</v>
      </c>
      <c r="Z30" s="128">
        <f>$N$3*_xlfn.XLOOKUP(Z$1,'Input Assumptions'!$C$34:$L$34,'Input Assumptions'!$C$36:$L$36)</f>
        <v>1971.2500000000002</v>
      </c>
      <c r="AA30" s="128">
        <f>$N$3*_xlfn.XLOOKUP(AA$1,'Input Assumptions'!$C$34:$L$34,'Input Assumptions'!$C$36:$L$36)</f>
        <v>1971.2500000000002</v>
      </c>
      <c r="AB30" s="128">
        <f>$N$3*_xlfn.XLOOKUP(AB$1,'Input Assumptions'!$C$34:$L$34,'Input Assumptions'!$C$36:$L$36)</f>
        <v>1971.2500000000002</v>
      </c>
      <c r="AC30" s="128">
        <f>$N$3*_xlfn.XLOOKUP(AC$1,'Input Assumptions'!$C$34:$L$34,'Input Assumptions'!$C$36:$L$36)</f>
        <v>1971.2500000000002</v>
      </c>
      <c r="AD30" s="128">
        <f>$N$3*_xlfn.XLOOKUP(AD$1,'Input Assumptions'!$C$34:$L$34,'Input Assumptions'!$C$36:$L$36)</f>
        <v>1971.2500000000002</v>
      </c>
      <c r="AE30" s="128">
        <f>$N$3*_xlfn.XLOOKUP(AE$1,'Input Assumptions'!$C$34:$L$34,'Input Assumptions'!$C$36:$L$36)</f>
        <v>1971.2500000000002</v>
      </c>
      <c r="AF30" s="128">
        <f>$N$3*_xlfn.XLOOKUP(AF$1,'Input Assumptions'!$C$34:$L$34,'Input Assumptions'!$C$36:$L$36)</f>
        <v>1971.2500000000002</v>
      </c>
      <c r="AG30" s="128">
        <f>$N$3*_xlfn.XLOOKUP(AG$1,'Input Assumptions'!$C$34:$L$34,'Input Assumptions'!$C$36:$L$36)</f>
        <v>1971.2500000000002</v>
      </c>
      <c r="AH30" s="128">
        <f>$N$3*_xlfn.XLOOKUP(AH$1,'Input Assumptions'!$C$34:$L$34,'Input Assumptions'!$C$36:$L$36)</f>
        <v>1971.2500000000002</v>
      </c>
      <c r="AI30" s="128">
        <f>$N$3*_xlfn.XLOOKUP(AI$1,'Input Assumptions'!$C$34:$L$34,'Input Assumptions'!$C$36:$L$36)</f>
        <v>1971.2500000000002</v>
      </c>
      <c r="AJ30" s="128">
        <f>$N$3*_xlfn.XLOOKUP(AJ$1,'Input Assumptions'!$C$34:$L$34,'Input Assumptions'!$C$36:$L$36)</f>
        <v>1971.2500000000002</v>
      </c>
      <c r="AK30" s="128">
        <f>$N$3*_xlfn.XLOOKUP(AK$1,'Input Assumptions'!$C$34:$L$34,'Input Assumptions'!$C$36:$L$36)</f>
        <v>1971.2500000000002</v>
      </c>
      <c r="AL30" s="128">
        <f>$N$3*_xlfn.XLOOKUP(AL$1,'Input Assumptions'!$C$34:$L$34,'Input Assumptions'!$C$36:$L$36)</f>
        <v>2045.1718750000005</v>
      </c>
      <c r="AM30" s="128">
        <f>$N$3*_xlfn.XLOOKUP(AM$1,'Input Assumptions'!$C$34:$L$34,'Input Assumptions'!$C$36:$L$36)</f>
        <v>2045.1718750000005</v>
      </c>
      <c r="AN30" s="128">
        <f>$N$3*_xlfn.XLOOKUP(AN$1,'Input Assumptions'!$C$34:$L$34,'Input Assumptions'!$C$36:$L$36)</f>
        <v>2045.1718750000005</v>
      </c>
      <c r="AO30" s="128">
        <f>$N$3*_xlfn.XLOOKUP(AO$1,'Input Assumptions'!$C$34:$L$34,'Input Assumptions'!$C$36:$L$36)</f>
        <v>2045.1718750000005</v>
      </c>
      <c r="AP30" s="128">
        <f>$N$3*_xlfn.XLOOKUP(AP$1,'Input Assumptions'!$C$34:$L$34,'Input Assumptions'!$C$36:$L$36)</f>
        <v>2045.1718750000005</v>
      </c>
      <c r="AQ30" s="128">
        <f>$N$3*_xlfn.XLOOKUP(AQ$1,'Input Assumptions'!$C$34:$L$34,'Input Assumptions'!$C$36:$L$36)</f>
        <v>2045.1718750000005</v>
      </c>
      <c r="AR30" s="128">
        <f>$N$3*_xlfn.XLOOKUP(AR$1,'Input Assumptions'!$C$34:$L$34,'Input Assumptions'!$C$36:$L$36)</f>
        <v>2045.1718750000005</v>
      </c>
      <c r="AS30" s="128">
        <f>$N$3*_xlfn.XLOOKUP(AS$1,'Input Assumptions'!$C$34:$L$34,'Input Assumptions'!$C$36:$L$36)</f>
        <v>2045.1718750000005</v>
      </c>
      <c r="AT30" s="128">
        <f>$N$3*_xlfn.XLOOKUP(AT$1,'Input Assumptions'!$C$34:$L$34,'Input Assumptions'!$C$36:$L$36)</f>
        <v>2045.1718750000005</v>
      </c>
      <c r="AU30" s="128">
        <f>$N$3*_xlfn.XLOOKUP(AU$1,'Input Assumptions'!$C$34:$L$34,'Input Assumptions'!$C$36:$L$36)</f>
        <v>2045.1718750000005</v>
      </c>
      <c r="AV30" s="128">
        <f>$N$3*_xlfn.XLOOKUP(AV$1,'Input Assumptions'!$C$34:$L$34,'Input Assumptions'!$C$36:$L$36)</f>
        <v>2045.1718750000005</v>
      </c>
      <c r="AW30" s="128">
        <f>$N$3*_xlfn.XLOOKUP(AW$1,'Input Assumptions'!$C$34:$L$34,'Input Assumptions'!$C$36:$L$36)</f>
        <v>2045.1718750000005</v>
      </c>
      <c r="AX30" s="128">
        <f>$N$3*_xlfn.XLOOKUP(AX$1,'Input Assumptions'!$C$34:$L$34,'Input Assumptions'!$C$36:$L$36)</f>
        <v>2121.8658203125005</v>
      </c>
      <c r="AY30" s="128">
        <f>$N$3*_xlfn.XLOOKUP(AY$1,'Input Assumptions'!$C$34:$L$34,'Input Assumptions'!$C$36:$L$36)</f>
        <v>2121.8658203125005</v>
      </c>
      <c r="AZ30" s="128">
        <f>$N$3*_xlfn.XLOOKUP(AZ$1,'Input Assumptions'!$C$34:$L$34,'Input Assumptions'!$C$36:$L$36)</f>
        <v>2121.8658203125005</v>
      </c>
      <c r="BA30" s="128">
        <f>$N$3*_xlfn.XLOOKUP(BA$1,'Input Assumptions'!$C$34:$L$34,'Input Assumptions'!$C$36:$L$36)</f>
        <v>2121.8658203125005</v>
      </c>
      <c r="BB30" s="128">
        <f>$N$3*_xlfn.XLOOKUP(BB$1,'Input Assumptions'!$C$34:$L$34,'Input Assumptions'!$C$36:$L$36)</f>
        <v>2121.8658203125005</v>
      </c>
      <c r="BC30" s="128">
        <f>$N$3*_xlfn.XLOOKUP(BC$1,'Input Assumptions'!$C$34:$L$34,'Input Assumptions'!$C$36:$L$36)</f>
        <v>2121.8658203125005</v>
      </c>
      <c r="BD30" s="128">
        <f>$N$3*_xlfn.XLOOKUP(BD$1,'Input Assumptions'!$C$34:$L$34,'Input Assumptions'!$C$36:$L$36)</f>
        <v>2121.8658203125005</v>
      </c>
      <c r="BE30" s="128">
        <f>$N$3*_xlfn.XLOOKUP(BE$1,'Input Assumptions'!$C$34:$L$34,'Input Assumptions'!$C$36:$L$36)</f>
        <v>2121.8658203125005</v>
      </c>
      <c r="BF30" s="128">
        <f>$N$3*_xlfn.XLOOKUP(BF$1,'Input Assumptions'!$C$34:$L$34,'Input Assumptions'!$C$36:$L$36)</f>
        <v>2121.8658203125005</v>
      </c>
      <c r="BG30" s="128">
        <f>$N$3*_xlfn.XLOOKUP(BG$1,'Input Assumptions'!$C$34:$L$34,'Input Assumptions'!$C$36:$L$36)</f>
        <v>2121.8658203125005</v>
      </c>
      <c r="BH30" s="128">
        <f>$N$3*_xlfn.XLOOKUP(BH$1,'Input Assumptions'!$C$34:$L$34,'Input Assumptions'!$C$36:$L$36)</f>
        <v>2121.8658203125005</v>
      </c>
      <c r="BI30" s="128">
        <f>$N$3*_xlfn.XLOOKUP(BI$1,'Input Assumptions'!$C$34:$L$34,'Input Assumptions'!$C$36:$L$36)</f>
        <v>2121.8658203125005</v>
      </c>
      <c r="BJ30" s="128">
        <f>$N$3*_xlfn.XLOOKUP(BJ$1,'Input Assumptions'!$C$34:$L$34,'Input Assumptions'!$C$36:$L$36)</f>
        <v>2201.4357885742193</v>
      </c>
      <c r="BK30" s="128">
        <f>$N$3*_xlfn.XLOOKUP(BK$1,'Input Assumptions'!$C$34:$L$34,'Input Assumptions'!$C$36:$L$36)</f>
        <v>2201.4357885742193</v>
      </c>
      <c r="BL30" s="128">
        <f>$N$3*_xlfn.XLOOKUP(BL$1,'Input Assumptions'!$C$34:$L$34,'Input Assumptions'!$C$36:$L$36)</f>
        <v>2201.4357885742193</v>
      </c>
      <c r="BM30" s="128">
        <f>$N$3*_xlfn.XLOOKUP(BM$1,'Input Assumptions'!$C$34:$L$34,'Input Assumptions'!$C$36:$L$36)</f>
        <v>2201.4357885742193</v>
      </c>
      <c r="BN30" s="128">
        <f>$N$3*_xlfn.XLOOKUP(BN$1,'Input Assumptions'!$C$34:$L$34,'Input Assumptions'!$C$36:$L$36)</f>
        <v>2201.4357885742193</v>
      </c>
      <c r="BO30" s="128">
        <f>$N$3*_xlfn.XLOOKUP(BO$1,'Input Assumptions'!$C$34:$L$34,'Input Assumptions'!$C$36:$L$36)</f>
        <v>2201.4357885742193</v>
      </c>
      <c r="BP30" s="128">
        <f>$N$3*_xlfn.XLOOKUP(BP$1,'Input Assumptions'!$C$34:$L$34,'Input Assumptions'!$C$36:$L$36)</f>
        <v>2201.4357885742193</v>
      </c>
      <c r="BQ30" s="128">
        <f>$N$3*_xlfn.XLOOKUP(BQ$1,'Input Assumptions'!$C$34:$L$34,'Input Assumptions'!$C$36:$L$36)</f>
        <v>2201.4357885742193</v>
      </c>
      <c r="BR30" s="128">
        <f>$N$3*_xlfn.XLOOKUP(BR$1,'Input Assumptions'!$C$34:$L$34,'Input Assumptions'!$C$36:$L$36)</f>
        <v>2201.4357885742193</v>
      </c>
      <c r="BS30" s="128">
        <f>$N$3*_xlfn.XLOOKUP(BS$1,'Input Assumptions'!$C$34:$L$34,'Input Assumptions'!$C$36:$L$36)</f>
        <v>2201.4357885742193</v>
      </c>
      <c r="BT30" s="128">
        <f>$N$3*_xlfn.XLOOKUP(BT$1,'Input Assumptions'!$C$34:$L$34,'Input Assumptions'!$C$36:$L$36)</f>
        <v>2201.4357885742193</v>
      </c>
      <c r="BU30" s="128">
        <f>$N$3*_xlfn.XLOOKUP(BU$1,'Input Assumptions'!$C$34:$L$34,'Input Assumptions'!$C$36:$L$36)</f>
        <v>2201.4357885742193</v>
      </c>
      <c r="BV30" s="128">
        <f>$N$3*_xlfn.XLOOKUP(BV$1,'Input Assumptions'!$C$34:$L$34,'Input Assumptions'!$C$36:$L$36)</f>
        <v>2283.9896306457531</v>
      </c>
      <c r="BW30" s="128">
        <f>$N$3*_xlfn.XLOOKUP(BW$1,'Input Assumptions'!$C$34:$L$34,'Input Assumptions'!$C$36:$L$36)</f>
        <v>1900</v>
      </c>
      <c r="BX30" s="128">
        <f>$N$3*_xlfn.XLOOKUP(BX$1,'Input Assumptions'!$C$34:$L$34,'Input Assumptions'!$C$36:$L$36)</f>
        <v>1900</v>
      </c>
      <c r="BY30" s="128">
        <f>$N$3*_xlfn.XLOOKUP(BY$1,'Input Assumptions'!$C$34:$L$34,'Input Assumptions'!$C$36:$L$36)</f>
        <v>1900</v>
      </c>
      <c r="BZ30" s="128">
        <f>$N$3*_xlfn.XLOOKUP(BZ$1,'Input Assumptions'!$C$34:$L$34,'Input Assumptions'!$C$36:$L$36)</f>
        <v>1900</v>
      </c>
      <c r="CA30" s="128">
        <f>$N$3*_xlfn.XLOOKUP(CA$1,'Input Assumptions'!$C$34:$L$34,'Input Assumptions'!$C$36:$L$36)</f>
        <v>1900</v>
      </c>
      <c r="CB30" s="128">
        <f>$N$3*_xlfn.XLOOKUP(CB$1,'Input Assumptions'!$C$34:$L$34,'Input Assumptions'!$C$36:$L$36)</f>
        <v>1900</v>
      </c>
      <c r="CC30" s="128">
        <f>$N$3*_xlfn.XLOOKUP(CC$1,'Input Assumptions'!$C$34:$L$34,'Input Assumptions'!$C$36:$L$36)</f>
        <v>1900</v>
      </c>
      <c r="CD30" s="128">
        <f>$N$3*_xlfn.XLOOKUP(CD$1,'Input Assumptions'!$C$34:$L$34,'Input Assumptions'!$C$36:$L$36)</f>
        <v>1900</v>
      </c>
      <c r="CE30" s="128">
        <f>$N$3*_xlfn.XLOOKUP(CE$1,'Input Assumptions'!$C$34:$L$34,'Input Assumptions'!$C$36:$L$36)</f>
        <v>1900</v>
      </c>
      <c r="CF30" s="128">
        <f>$N$3*_xlfn.XLOOKUP(CF$1,'Input Assumptions'!$C$34:$L$34,'Input Assumptions'!$C$36:$L$36)</f>
        <v>1900</v>
      </c>
      <c r="CG30" s="128">
        <f>$N$3*_xlfn.XLOOKUP(CG$1,'Input Assumptions'!$C$34:$L$34,'Input Assumptions'!$C$36:$L$36)</f>
        <v>1900</v>
      </c>
      <c r="CH30" s="128">
        <f>$N$3*_xlfn.XLOOKUP(CH$1,'Input Assumptions'!$C$34:$L$34,'Input Assumptions'!$C$36:$L$36)</f>
        <v>1900</v>
      </c>
      <c r="CI30" s="128">
        <f>$N$3*_xlfn.XLOOKUP(CI$1,'Input Assumptions'!$C$34:$L$34,'Input Assumptions'!$C$36:$L$36)</f>
        <v>1971.2500000000002</v>
      </c>
      <c r="CJ30" s="128">
        <f>$N$3*_xlfn.XLOOKUP(CJ$1,'Input Assumptions'!$C$34:$L$34,'Input Assumptions'!$C$36:$L$36)</f>
        <v>1971.2500000000002</v>
      </c>
      <c r="CK30" s="128">
        <f>$N$3*_xlfn.XLOOKUP(CK$1,'Input Assumptions'!$C$34:$L$34,'Input Assumptions'!$C$36:$L$36)</f>
        <v>1971.2500000000002</v>
      </c>
      <c r="CL30" s="128">
        <f>$N$3*_xlfn.XLOOKUP(CL$1,'Input Assumptions'!$C$34:$L$34,'Input Assumptions'!$C$36:$L$36)</f>
        <v>1971.2500000000002</v>
      </c>
      <c r="CM30" s="128">
        <f>$N$3*_xlfn.XLOOKUP(CM$1,'Input Assumptions'!$C$34:$L$34,'Input Assumptions'!$C$36:$L$36)</f>
        <v>1971.2500000000002</v>
      </c>
      <c r="CN30" s="128">
        <f>$N$3*_xlfn.XLOOKUP(CN$1,'Input Assumptions'!$C$34:$L$34,'Input Assumptions'!$C$36:$L$36)</f>
        <v>1971.2500000000002</v>
      </c>
      <c r="CO30" s="128">
        <f>$N$3*_xlfn.XLOOKUP(CO$1,'Input Assumptions'!$C$34:$L$34,'Input Assumptions'!$C$36:$L$36)</f>
        <v>1971.2500000000002</v>
      </c>
      <c r="CP30" s="128">
        <f>$N$3*_xlfn.XLOOKUP(CP$1,'Input Assumptions'!$C$34:$L$34,'Input Assumptions'!$C$36:$L$36)</f>
        <v>1971.2500000000002</v>
      </c>
      <c r="CQ30" s="128">
        <f>$N$3*_xlfn.XLOOKUP(CQ$1,'Input Assumptions'!$C$34:$L$34,'Input Assumptions'!$C$36:$L$36)</f>
        <v>1971.2500000000002</v>
      </c>
      <c r="CR30" s="128">
        <f>$N$3*_xlfn.XLOOKUP(CR$1,'Input Assumptions'!$C$34:$L$34,'Input Assumptions'!$C$36:$L$36)</f>
        <v>1971.2500000000002</v>
      </c>
      <c r="CS30" s="128">
        <f>$N$3*_xlfn.XLOOKUP(CS$1,'Input Assumptions'!$C$34:$L$34,'Input Assumptions'!$C$36:$L$36)</f>
        <v>1971.2500000000002</v>
      </c>
      <c r="CT30" s="128">
        <f>$N$3*_xlfn.XLOOKUP(CT$1,'Input Assumptions'!$C$34:$L$34,'Input Assumptions'!$C$36:$L$36)</f>
        <v>1971.2500000000002</v>
      </c>
      <c r="CU30" s="128">
        <f>$N$3*_xlfn.XLOOKUP(CU$1,'Input Assumptions'!$C$34:$L$34,'Input Assumptions'!$C$36:$L$36)</f>
        <v>2045.1718750000005</v>
      </c>
      <c r="CV30" s="128">
        <f>$N$3*_xlfn.XLOOKUP(CV$1,'Input Assumptions'!$C$34:$L$34,'Input Assumptions'!$C$36:$L$36)</f>
        <v>2045.1718750000005</v>
      </c>
      <c r="CW30" s="128">
        <f>$N$3*_xlfn.XLOOKUP(CW$1,'Input Assumptions'!$C$34:$L$34,'Input Assumptions'!$C$36:$L$36)</f>
        <v>2045.1718750000005</v>
      </c>
      <c r="CX30" s="128">
        <f>$N$3*_xlfn.XLOOKUP(CX$1,'Input Assumptions'!$C$34:$L$34,'Input Assumptions'!$C$36:$L$36)</f>
        <v>2045.1718750000005</v>
      </c>
      <c r="CY30" s="128">
        <f>$N$3*_xlfn.XLOOKUP(CY$1,'Input Assumptions'!$C$34:$L$34,'Input Assumptions'!$C$36:$L$36)</f>
        <v>2045.1718750000005</v>
      </c>
      <c r="CZ30" s="128">
        <f>$N$3*_xlfn.XLOOKUP(CZ$1,'Input Assumptions'!$C$34:$L$34,'Input Assumptions'!$C$36:$L$36)</f>
        <v>2045.1718750000005</v>
      </c>
      <c r="DA30" s="128">
        <f>$N$3*_xlfn.XLOOKUP(DA$1,'Input Assumptions'!$C$34:$L$34,'Input Assumptions'!$C$36:$L$36)</f>
        <v>2045.1718750000005</v>
      </c>
      <c r="DB30" s="128">
        <f>$N$3*_xlfn.XLOOKUP(DB$1,'Input Assumptions'!$C$34:$L$34,'Input Assumptions'!$C$36:$L$36)</f>
        <v>2045.1718750000005</v>
      </c>
      <c r="DC30" s="128">
        <f>$N$3*_xlfn.XLOOKUP(DC$1,'Input Assumptions'!$C$34:$L$34,'Input Assumptions'!$C$36:$L$36)</f>
        <v>2045.1718750000005</v>
      </c>
      <c r="DD30" s="128">
        <f>$N$3*_xlfn.XLOOKUP(DD$1,'Input Assumptions'!$C$34:$L$34,'Input Assumptions'!$C$36:$L$36)</f>
        <v>2045.1718750000005</v>
      </c>
      <c r="DE30" s="128">
        <f>$N$3*_xlfn.XLOOKUP(DE$1,'Input Assumptions'!$C$34:$L$34,'Input Assumptions'!$C$36:$L$36)</f>
        <v>2045.1718750000005</v>
      </c>
      <c r="DF30" s="128">
        <f>$N$3*_xlfn.XLOOKUP(DF$1,'Input Assumptions'!$C$34:$L$34,'Input Assumptions'!$C$36:$L$36)</f>
        <v>2045.1718750000005</v>
      </c>
      <c r="DG30" s="128">
        <f>$N$3*_xlfn.XLOOKUP(DG$1,'Input Assumptions'!$C$34:$L$34,'Input Assumptions'!$C$36:$L$36)</f>
        <v>2121.8658203125005</v>
      </c>
      <c r="DH30" s="128">
        <f>$N$3*_xlfn.XLOOKUP(DH$1,'Input Assumptions'!$C$34:$L$34,'Input Assumptions'!$C$36:$L$36)</f>
        <v>2121.8658203125005</v>
      </c>
      <c r="DI30" s="128">
        <f>$N$3*_xlfn.XLOOKUP(DI$1,'Input Assumptions'!$C$34:$L$34,'Input Assumptions'!$C$36:$L$36)</f>
        <v>2121.8658203125005</v>
      </c>
      <c r="DJ30" s="128">
        <f>$N$3*_xlfn.XLOOKUP(DJ$1,'Input Assumptions'!$C$34:$L$34,'Input Assumptions'!$C$36:$L$36)</f>
        <v>2121.8658203125005</v>
      </c>
      <c r="DK30" s="128">
        <f>$N$3*_xlfn.XLOOKUP(DK$1,'Input Assumptions'!$C$34:$L$34,'Input Assumptions'!$C$36:$L$36)</f>
        <v>2121.8658203125005</v>
      </c>
      <c r="DL30" s="128">
        <f>$N$3*_xlfn.XLOOKUP(DL$1,'Input Assumptions'!$C$34:$L$34,'Input Assumptions'!$C$36:$L$36)</f>
        <v>2121.8658203125005</v>
      </c>
      <c r="DM30" s="128">
        <f>$N$3*_xlfn.XLOOKUP(DM$1,'Input Assumptions'!$C$34:$L$34,'Input Assumptions'!$C$36:$L$36)</f>
        <v>2121.8658203125005</v>
      </c>
      <c r="DN30" s="128">
        <f>$N$3*_xlfn.XLOOKUP(DN$1,'Input Assumptions'!$C$34:$L$34,'Input Assumptions'!$C$36:$L$36)</f>
        <v>2121.8658203125005</v>
      </c>
      <c r="DO30" s="128">
        <f>$N$3*_xlfn.XLOOKUP(DO$1,'Input Assumptions'!$C$34:$L$34,'Input Assumptions'!$C$36:$L$36)</f>
        <v>2121.8658203125005</v>
      </c>
      <c r="DP30" s="128">
        <f>$N$3*_xlfn.XLOOKUP(DP$1,'Input Assumptions'!$C$34:$L$34,'Input Assumptions'!$C$36:$L$36)</f>
        <v>2121.8658203125005</v>
      </c>
      <c r="DQ30" s="128">
        <f>$N$3*_xlfn.XLOOKUP(DQ$1,'Input Assumptions'!$C$34:$L$34,'Input Assumptions'!$C$36:$L$36)</f>
        <v>2121.8658203125005</v>
      </c>
      <c r="DR30" s="128">
        <f>$N$3*_xlfn.XLOOKUP(DR$1,'Input Assumptions'!$C$34:$L$34,'Input Assumptions'!$C$36:$L$36)</f>
        <v>2121.8658203125005</v>
      </c>
      <c r="DS30" s="128">
        <f>$N$3*_xlfn.XLOOKUP(DS$1,'Input Assumptions'!$C$34:$L$34,'Input Assumptions'!$C$36:$L$36)</f>
        <v>2201.4357885742193</v>
      </c>
      <c r="DT30" s="128">
        <f>$N$3*_xlfn.XLOOKUP(DT$1,'Input Assumptions'!$C$34:$L$34,'Input Assumptions'!$C$36:$L$36)</f>
        <v>2201.4357885742193</v>
      </c>
      <c r="DU30" s="128">
        <f>$N$3*_xlfn.XLOOKUP(DU$1,'Input Assumptions'!$C$34:$L$34,'Input Assumptions'!$C$36:$L$36)</f>
        <v>2201.4357885742193</v>
      </c>
      <c r="DV30" s="128">
        <f>$N$3*_xlfn.XLOOKUP(DV$1,'Input Assumptions'!$C$34:$L$34,'Input Assumptions'!$C$36:$L$36)</f>
        <v>2201.4357885742193</v>
      </c>
      <c r="DW30" s="128">
        <f>$N$3*_xlfn.XLOOKUP(DW$1,'Input Assumptions'!$C$34:$L$34,'Input Assumptions'!$C$36:$L$36)</f>
        <v>2201.4357885742193</v>
      </c>
      <c r="DX30" s="128">
        <f>$N$3*_xlfn.XLOOKUP(DX$1,'Input Assumptions'!$C$34:$L$34,'Input Assumptions'!$C$36:$L$36)</f>
        <v>2201.4357885742193</v>
      </c>
      <c r="DY30" s="128">
        <f>$N$3*_xlfn.XLOOKUP(DY$1,'Input Assumptions'!$C$34:$L$34,'Input Assumptions'!$C$36:$L$36)</f>
        <v>2201.4357885742193</v>
      </c>
      <c r="DZ30" s="128">
        <f>$N$3*_xlfn.XLOOKUP(DZ$1,'Input Assumptions'!$C$34:$L$34,'Input Assumptions'!$C$36:$L$36)</f>
        <v>2201.4357885742193</v>
      </c>
      <c r="EA30" s="128">
        <f>$N$3*_xlfn.XLOOKUP(EA$1,'Input Assumptions'!$C$34:$L$34,'Input Assumptions'!$C$36:$L$36)</f>
        <v>2201.4357885742193</v>
      </c>
      <c r="EB30" s="128">
        <f>$N$3*_xlfn.XLOOKUP(EB$1,'Input Assumptions'!$C$34:$L$34,'Input Assumptions'!$C$36:$L$36)</f>
        <v>2201.4357885742193</v>
      </c>
      <c r="EC30" s="128">
        <f>$N$3*_xlfn.XLOOKUP(EC$1,'Input Assumptions'!$C$34:$L$34,'Input Assumptions'!$C$36:$L$36)</f>
        <v>2201.4357885742193</v>
      </c>
    </row>
    <row r="31" spans="2:133" x14ac:dyDescent="0.3">
      <c r="B31" s="15">
        <v>4</v>
      </c>
      <c r="C31" s="16">
        <v>29</v>
      </c>
      <c r="D31" s="16" t="s">
        <v>10</v>
      </c>
      <c r="E31" s="16">
        <v>450</v>
      </c>
      <c r="F31" s="20">
        <f t="shared" si="114"/>
        <v>41.80640845790095</v>
      </c>
      <c r="G31" s="19" t="str">
        <f t="shared" si="115"/>
        <v>1</v>
      </c>
      <c r="H31" s="20">
        <f t="shared" si="116"/>
        <v>1</v>
      </c>
      <c r="I31" s="18">
        <f t="shared" si="117"/>
        <v>1710</v>
      </c>
      <c r="J31" s="18">
        <f t="shared" si="118"/>
        <v>1900</v>
      </c>
      <c r="K31" s="18">
        <f>(J31*'Input Assumptions'!$C$20)+I31*('Input Assumptions'!$C$21)</f>
        <v>1900</v>
      </c>
      <c r="L31" s="94"/>
      <c r="M31" s="4"/>
      <c r="N31" s="128">
        <f t="shared" si="119"/>
        <v>1900</v>
      </c>
      <c r="O31" s="128">
        <f>$N$3*_xlfn.XLOOKUP(O$1,'Input Assumptions'!$C$34:$L$34,'Input Assumptions'!$C$36:$L$36)</f>
        <v>1900</v>
      </c>
      <c r="P31" s="128">
        <f>$N$3*_xlfn.XLOOKUP(P$1,'Input Assumptions'!$C$34:$L$34,'Input Assumptions'!$C$36:$L$36)</f>
        <v>1900</v>
      </c>
      <c r="Q31" s="128">
        <f>$N$3*_xlfn.XLOOKUP(Q$1,'Input Assumptions'!$C$34:$L$34,'Input Assumptions'!$C$36:$L$36)</f>
        <v>1900</v>
      </c>
      <c r="R31" s="128">
        <f>$N$3*_xlfn.XLOOKUP(R$1,'Input Assumptions'!$C$34:$L$34,'Input Assumptions'!$C$36:$L$36)</f>
        <v>1900</v>
      </c>
      <c r="S31" s="128">
        <f>$N$3*_xlfn.XLOOKUP(S$1,'Input Assumptions'!$C$34:$L$34,'Input Assumptions'!$C$36:$L$36)</f>
        <v>1900</v>
      </c>
      <c r="T31" s="128">
        <f>$N$3*_xlfn.XLOOKUP(T$1,'Input Assumptions'!$C$34:$L$34,'Input Assumptions'!$C$36:$L$36)</f>
        <v>1900</v>
      </c>
      <c r="U31" s="128">
        <f>$N$3*_xlfn.XLOOKUP(U$1,'Input Assumptions'!$C$34:$L$34,'Input Assumptions'!$C$36:$L$36)</f>
        <v>1900</v>
      </c>
      <c r="V31" s="128">
        <f>$N$3*_xlfn.XLOOKUP(V$1,'Input Assumptions'!$C$34:$L$34,'Input Assumptions'!$C$36:$L$36)</f>
        <v>1900</v>
      </c>
      <c r="W31" s="128">
        <f>$N$3*_xlfn.XLOOKUP(W$1,'Input Assumptions'!$C$34:$L$34,'Input Assumptions'!$C$36:$L$36)</f>
        <v>1900</v>
      </c>
      <c r="X31" s="128">
        <f>$N$3*_xlfn.XLOOKUP(X$1,'Input Assumptions'!$C$34:$L$34,'Input Assumptions'!$C$36:$L$36)</f>
        <v>1900</v>
      </c>
      <c r="Y31" s="128">
        <f>$N$3*_xlfn.XLOOKUP(Y$1,'Input Assumptions'!$C$34:$L$34,'Input Assumptions'!$C$36:$L$36)</f>
        <v>1900</v>
      </c>
      <c r="Z31" s="128">
        <f>$N$3*_xlfn.XLOOKUP(Z$1,'Input Assumptions'!$C$34:$L$34,'Input Assumptions'!$C$36:$L$36)</f>
        <v>1971.2500000000002</v>
      </c>
      <c r="AA31" s="128">
        <f>$N$3*_xlfn.XLOOKUP(AA$1,'Input Assumptions'!$C$34:$L$34,'Input Assumptions'!$C$36:$L$36)</f>
        <v>1971.2500000000002</v>
      </c>
      <c r="AB31" s="128">
        <f>$N$3*_xlfn.XLOOKUP(AB$1,'Input Assumptions'!$C$34:$L$34,'Input Assumptions'!$C$36:$L$36)</f>
        <v>1971.2500000000002</v>
      </c>
      <c r="AC31" s="128">
        <f>$N$3*_xlfn.XLOOKUP(AC$1,'Input Assumptions'!$C$34:$L$34,'Input Assumptions'!$C$36:$L$36)</f>
        <v>1971.2500000000002</v>
      </c>
      <c r="AD31" s="128">
        <f>$N$3*_xlfn.XLOOKUP(AD$1,'Input Assumptions'!$C$34:$L$34,'Input Assumptions'!$C$36:$L$36)</f>
        <v>1971.2500000000002</v>
      </c>
      <c r="AE31" s="128">
        <f>$N$3*_xlfn.XLOOKUP(AE$1,'Input Assumptions'!$C$34:$L$34,'Input Assumptions'!$C$36:$L$36)</f>
        <v>1971.2500000000002</v>
      </c>
      <c r="AF31" s="128">
        <f>$N$3*_xlfn.XLOOKUP(AF$1,'Input Assumptions'!$C$34:$L$34,'Input Assumptions'!$C$36:$L$36)</f>
        <v>1971.2500000000002</v>
      </c>
      <c r="AG31" s="128">
        <f>$N$3*_xlfn.XLOOKUP(AG$1,'Input Assumptions'!$C$34:$L$34,'Input Assumptions'!$C$36:$L$36)</f>
        <v>1971.2500000000002</v>
      </c>
      <c r="AH31" s="128">
        <f>$N$3*_xlfn.XLOOKUP(AH$1,'Input Assumptions'!$C$34:$L$34,'Input Assumptions'!$C$36:$L$36)</f>
        <v>1971.2500000000002</v>
      </c>
      <c r="AI31" s="128">
        <f>$N$3*_xlfn.XLOOKUP(AI$1,'Input Assumptions'!$C$34:$L$34,'Input Assumptions'!$C$36:$L$36)</f>
        <v>1971.2500000000002</v>
      </c>
      <c r="AJ31" s="128">
        <f>$N$3*_xlfn.XLOOKUP(AJ$1,'Input Assumptions'!$C$34:$L$34,'Input Assumptions'!$C$36:$L$36)</f>
        <v>1971.2500000000002</v>
      </c>
      <c r="AK31" s="128">
        <f>$N$3*_xlfn.XLOOKUP(AK$1,'Input Assumptions'!$C$34:$L$34,'Input Assumptions'!$C$36:$L$36)</f>
        <v>1971.2500000000002</v>
      </c>
      <c r="AL31" s="128">
        <f>$N$3*_xlfn.XLOOKUP(AL$1,'Input Assumptions'!$C$34:$L$34,'Input Assumptions'!$C$36:$L$36)</f>
        <v>2045.1718750000005</v>
      </c>
      <c r="AM31" s="128">
        <f>$N$3*_xlfn.XLOOKUP(AM$1,'Input Assumptions'!$C$34:$L$34,'Input Assumptions'!$C$36:$L$36)</f>
        <v>2045.1718750000005</v>
      </c>
      <c r="AN31" s="128">
        <f>$N$3*_xlfn.XLOOKUP(AN$1,'Input Assumptions'!$C$34:$L$34,'Input Assumptions'!$C$36:$L$36)</f>
        <v>2045.1718750000005</v>
      </c>
      <c r="AO31" s="128">
        <f>$N$3*_xlfn.XLOOKUP(AO$1,'Input Assumptions'!$C$34:$L$34,'Input Assumptions'!$C$36:$L$36)</f>
        <v>2045.1718750000005</v>
      </c>
      <c r="AP31" s="128">
        <f>$N$3*_xlfn.XLOOKUP(AP$1,'Input Assumptions'!$C$34:$L$34,'Input Assumptions'!$C$36:$L$36)</f>
        <v>2045.1718750000005</v>
      </c>
      <c r="AQ31" s="128">
        <f>$N$3*_xlfn.XLOOKUP(AQ$1,'Input Assumptions'!$C$34:$L$34,'Input Assumptions'!$C$36:$L$36)</f>
        <v>2045.1718750000005</v>
      </c>
      <c r="AR31" s="128">
        <f>$N$3*_xlfn.XLOOKUP(AR$1,'Input Assumptions'!$C$34:$L$34,'Input Assumptions'!$C$36:$L$36)</f>
        <v>2045.1718750000005</v>
      </c>
      <c r="AS31" s="128">
        <f>$N$3*_xlfn.XLOOKUP(AS$1,'Input Assumptions'!$C$34:$L$34,'Input Assumptions'!$C$36:$L$36)</f>
        <v>2045.1718750000005</v>
      </c>
      <c r="AT31" s="128">
        <f>$N$3*_xlfn.XLOOKUP(AT$1,'Input Assumptions'!$C$34:$L$34,'Input Assumptions'!$C$36:$L$36)</f>
        <v>2045.1718750000005</v>
      </c>
      <c r="AU31" s="128">
        <f>$N$3*_xlfn.XLOOKUP(AU$1,'Input Assumptions'!$C$34:$L$34,'Input Assumptions'!$C$36:$L$36)</f>
        <v>2045.1718750000005</v>
      </c>
      <c r="AV31" s="128">
        <f>$N$3*_xlfn.XLOOKUP(AV$1,'Input Assumptions'!$C$34:$L$34,'Input Assumptions'!$C$36:$L$36)</f>
        <v>2045.1718750000005</v>
      </c>
      <c r="AW31" s="128">
        <f>$N$3*_xlfn.XLOOKUP(AW$1,'Input Assumptions'!$C$34:$L$34,'Input Assumptions'!$C$36:$L$36)</f>
        <v>2045.1718750000005</v>
      </c>
      <c r="AX31" s="128">
        <f>$N$3*_xlfn.XLOOKUP(AX$1,'Input Assumptions'!$C$34:$L$34,'Input Assumptions'!$C$36:$L$36)</f>
        <v>2121.8658203125005</v>
      </c>
      <c r="AY31" s="128">
        <f>$N$3*_xlfn.XLOOKUP(AY$1,'Input Assumptions'!$C$34:$L$34,'Input Assumptions'!$C$36:$L$36)</f>
        <v>2121.8658203125005</v>
      </c>
      <c r="AZ31" s="128">
        <f>$N$3*_xlfn.XLOOKUP(AZ$1,'Input Assumptions'!$C$34:$L$34,'Input Assumptions'!$C$36:$L$36)</f>
        <v>2121.8658203125005</v>
      </c>
      <c r="BA31" s="128">
        <f>$N$3*_xlfn.XLOOKUP(BA$1,'Input Assumptions'!$C$34:$L$34,'Input Assumptions'!$C$36:$L$36)</f>
        <v>2121.8658203125005</v>
      </c>
      <c r="BB31" s="128">
        <f>$N$3*_xlfn.XLOOKUP(BB$1,'Input Assumptions'!$C$34:$L$34,'Input Assumptions'!$C$36:$L$36)</f>
        <v>2121.8658203125005</v>
      </c>
      <c r="BC31" s="128">
        <f>$N$3*_xlfn.XLOOKUP(BC$1,'Input Assumptions'!$C$34:$L$34,'Input Assumptions'!$C$36:$L$36)</f>
        <v>2121.8658203125005</v>
      </c>
      <c r="BD31" s="128">
        <f>$N$3*_xlfn.XLOOKUP(BD$1,'Input Assumptions'!$C$34:$L$34,'Input Assumptions'!$C$36:$L$36)</f>
        <v>2121.8658203125005</v>
      </c>
      <c r="BE31" s="128">
        <f>$N$3*_xlfn.XLOOKUP(BE$1,'Input Assumptions'!$C$34:$L$34,'Input Assumptions'!$C$36:$L$36)</f>
        <v>2121.8658203125005</v>
      </c>
      <c r="BF31" s="128">
        <f>$N$3*_xlfn.XLOOKUP(BF$1,'Input Assumptions'!$C$34:$L$34,'Input Assumptions'!$C$36:$L$36)</f>
        <v>2121.8658203125005</v>
      </c>
      <c r="BG31" s="128">
        <f>$N$3*_xlfn.XLOOKUP(BG$1,'Input Assumptions'!$C$34:$L$34,'Input Assumptions'!$C$36:$L$36)</f>
        <v>2121.8658203125005</v>
      </c>
      <c r="BH31" s="128">
        <f>$N$3*_xlfn.XLOOKUP(BH$1,'Input Assumptions'!$C$34:$L$34,'Input Assumptions'!$C$36:$L$36)</f>
        <v>2121.8658203125005</v>
      </c>
      <c r="BI31" s="128">
        <f>$N$3*_xlfn.XLOOKUP(BI$1,'Input Assumptions'!$C$34:$L$34,'Input Assumptions'!$C$36:$L$36)</f>
        <v>2121.8658203125005</v>
      </c>
      <c r="BJ31" s="128">
        <f>$N$3*_xlfn.XLOOKUP(BJ$1,'Input Assumptions'!$C$34:$L$34,'Input Assumptions'!$C$36:$L$36)</f>
        <v>2201.4357885742193</v>
      </c>
      <c r="BK31" s="128">
        <f>$N$3*_xlfn.XLOOKUP(BK$1,'Input Assumptions'!$C$34:$L$34,'Input Assumptions'!$C$36:$L$36)</f>
        <v>2201.4357885742193</v>
      </c>
      <c r="BL31" s="128">
        <f>$N$3*_xlfn.XLOOKUP(BL$1,'Input Assumptions'!$C$34:$L$34,'Input Assumptions'!$C$36:$L$36)</f>
        <v>2201.4357885742193</v>
      </c>
      <c r="BM31" s="128">
        <f>$N$3*_xlfn.XLOOKUP(BM$1,'Input Assumptions'!$C$34:$L$34,'Input Assumptions'!$C$36:$L$36)</f>
        <v>2201.4357885742193</v>
      </c>
      <c r="BN31" s="128">
        <f>$N$3*_xlfn.XLOOKUP(BN$1,'Input Assumptions'!$C$34:$L$34,'Input Assumptions'!$C$36:$L$36)</f>
        <v>2201.4357885742193</v>
      </c>
      <c r="BO31" s="128">
        <f>$N$3*_xlfn.XLOOKUP(BO$1,'Input Assumptions'!$C$34:$L$34,'Input Assumptions'!$C$36:$L$36)</f>
        <v>2201.4357885742193</v>
      </c>
      <c r="BP31" s="128">
        <f>$N$3*_xlfn.XLOOKUP(BP$1,'Input Assumptions'!$C$34:$L$34,'Input Assumptions'!$C$36:$L$36)</f>
        <v>2201.4357885742193</v>
      </c>
      <c r="BQ31" s="128">
        <f>$N$3*_xlfn.XLOOKUP(BQ$1,'Input Assumptions'!$C$34:$L$34,'Input Assumptions'!$C$36:$L$36)</f>
        <v>2201.4357885742193</v>
      </c>
      <c r="BR31" s="128">
        <f>$N$3*_xlfn.XLOOKUP(BR$1,'Input Assumptions'!$C$34:$L$34,'Input Assumptions'!$C$36:$L$36)</f>
        <v>2201.4357885742193</v>
      </c>
      <c r="BS31" s="128">
        <f>$N$3*_xlfn.XLOOKUP(BS$1,'Input Assumptions'!$C$34:$L$34,'Input Assumptions'!$C$36:$L$36)</f>
        <v>2201.4357885742193</v>
      </c>
      <c r="BT31" s="128">
        <f>$N$3*_xlfn.XLOOKUP(BT$1,'Input Assumptions'!$C$34:$L$34,'Input Assumptions'!$C$36:$L$36)</f>
        <v>2201.4357885742193</v>
      </c>
      <c r="BU31" s="128">
        <f>$N$3*_xlfn.XLOOKUP(BU$1,'Input Assumptions'!$C$34:$L$34,'Input Assumptions'!$C$36:$L$36)</f>
        <v>2201.4357885742193</v>
      </c>
      <c r="BV31" s="128">
        <f>$N$3*_xlfn.XLOOKUP(BV$1,'Input Assumptions'!$C$34:$L$34,'Input Assumptions'!$C$36:$L$36)</f>
        <v>2283.9896306457531</v>
      </c>
      <c r="BW31" s="128">
        <f>$N$3*_xlfn.XLOOKUP(BW$1,'Input Assumptions'!$C$34:$L$34,'Input Assumptions'!$C$36:$L$36)</f>
        <v>1900</v>
      </c>
      <c r="BX31" s="128">
        <f>$N$3*_xlfn.XLOOKUP(BX$1,'Input Assumptions'!$C$34:$L$34,'Input Assumptions'!$C$36:$L$36)</f>
        <v>1900</v>
      </c>
      <c r="BY31" s="128">
        <f>$N$3*_xlfn.XLOOKUP(BY$1,'Input Assumptions'!$C$34:$L$34,'Input Assumptions'!$C$36:$L$36)</f>
        <v>1900</v>
      </c>
      <c r="BZ31" s="128">
        <f>$N$3*_xlfn.XLOOKUP(BZ$1,'Input Assumptions'!$C$34:$L$34,'Input Assumptions'!$C$36:$L$36)</f>
        <v>1900</v>
      </c>
      <c r="CA31" s="128">
        <f>$N$3*_xlfn.XLOOKUP(CA$1,'Input Assumptions'!$C$34:$L$34,'Input Assumptions'!$C$36:$L$36)</f>
        <v>1900</v>
      </c>
      <c r="CB31" s="128">
        <f>$N$3*_xlfn.XLOOKUP(CB$1,'Input Assumptions'!$C$34:$L$34,'Input Assumptions'!$C$36:$L$36)</f>
        <v>1900</v>
      </c>
      <c r="CC31" s="128">
        <f>$N$3*_xlfn.XLOOKUP(CC$1,'Input Assumptions'!$C$34:$L$34,'Input Assumptions'!$C$36:$L$36)</f>
        <v>1900</v>
      </c>
      <c r="CD31" s="128">
        <f>$N$3*_xlfn.XLOOKUP(CD$1,'Input Assumptions'!$C$34:$L$34,'Input Assumptions'!$C$36:$L$36)</f>
        <v>1900</v>
      </c>
      <c r="CE31" s="128">
        <f>$N$3*_xlfn.XLOOKUP(CE$1,'Input Assumptions'!$C$34:$L$34,'Input Assumptions'!$C$36:$L$36)</f>
        <v>1900</v>
      </c>
      <c r="CF31" s="128">
        <f>$N$3*_xlfn.XLOOKUP(CF$1,'Input Assumptions'!$C$34:$L$34,'Input Assumptions'!$C$36:$L$36)</f>
        <v>1900</v>
      </c>
      <c r="CG31" s="128">
        <f>$N$3*_xlfn.XLOOKUP(CG$1,'Input Assumptions'!$C$34:$L$34,'Input Assumptions'!$C$36:$L$36)</f>
        <v>1900</v>
      </c>
      <c r="CH31" s="128">
        <f>$N$3*_xlfn.XLOOKUP(CH$1,'Input Assumptions'!$C$34:$L$34,'Input Assumptions'!$C$36:$L$36)</f>
        <v>1900</v>
      </c>
      <c r="CI31" s="128">
        <f>$N$3*_xlfn.XLOOKUP(CI$1,'Input Assumptions'!$C$34:$L$34,'Input Assumptions'!$C$36:$L$36)</f>
        <v>1971.2500000000002</v>
      </c>
      <c r="CJ31" s="128">
        <f>$N$3*_xlfn.XLOOKUP(CJ$1,'Input Assumptions'!$C$34:$L$34,'Input Assumptions'!$C$36:$L$36)</f>
        <v>1971.2500000000002</v>
      </c>
      <c r="CK31" s="128">
        <f>$N$3*_xlfn.XLOOKUP(CK$1,'Input Assumptions'!$C$34:$L$34,'Input Assumptions'!$C$36:$L$36)</f>
        <v>1971.2500000000002</v>
      </c>
      <c r="CL31" s="128">
        <f>$N$3*_xlfn.XLOOKUP(CL$1,'Input Assumptions'!$C$34:$L$34,'Input Assumptions'!$C$36:$L$36)</f>
        <v>1971.2500000000002</v>
      </c>
      <c r="CM31" s="128">
        <f>$N$3*_xlfn.XLOOKUP(CM$1,'Input Assumptions'!$C$34:$L$34,'Input Assumptions'!$C$36:$L$36)</f>
        <v>1971.2500000000002</v>
      </c>
      <c r="CN31" s="128">
        <f>$N$3*_xlfn.XLOOKUP(CN$1,'Input Assumptions'!$C$34:$L$34,'Input Assumptions'!$C$36:$L$36)</f>
        <v>1971.2500000000002</v>
      </c>
      <c r="CO31" s="128">
        <f>$N$3*_xlfn.XLOOKUP(CO$1,'Input Assumptions'!$C$34:$L$34,'Input Assumptions'!$C$36:$L$36)</f>
        <v>1971.2500000000002</v>
      </c>
      <c r="CP31" s="128">
        <f>$N$3*_xlfn.XLOOKUP(CP$1,'Input Assumptions'!$C$34:$L$34,'Input Assumptions'!$C$36:$L$36)</f>
        <v>1971.2500000000002</v>
      </c>
      <c r="CQ31" s="128">
        <f>$N$3*_xlfn.XLOOKUP(CQ$1,'Input Assumptions'!$C$34:$L$34,'Input Assumptions'!$C$36:$L$36)</f>
        <v>1971.2500000000002</v>
      </c>
      <c r="CR31" s="128">
        <f>$N$3*_xlfn.XLOOKUP(CR$1,'Input Assumptions'!$C$34:$L$34,'Input Assumptions'!$C$36:$L$36)</f>
        <v>1971.2500000000002</v>
      </c>
      <c r="CS31" s="128">
        <f>$N$3*_xlfn.XLOOKUP(CS$1,'Input Assumptions'!$C$34:$L$34,'Input Assumptions'!$C$36:$L$36)</f>
        <v>1971.2500000000002</v>
      </c>
      <c r="CT31" s="128">
        <f>$N$3*_xlfn.XLOOKUP(CT$1,'Input Assumptions'!$C$34:$L$34,'Input Assumptions'!$C$36:$L$36)</f>
        <v>1971.2500000000002</v>
      </c>
      <c r="CU31" s="128">
        <f>$N$3*_xlfn.XLOOKUP(CU$1,'Input Assumptions'!$C$34:$L$34,'Input Assumptions'!$C$36:$L$36)</f>
        <v>2045.1718750000005</v>
      </c>
      <c r="CV31" s="128">
        <f>$N$3*_xlfn.XLOOKUP(CV$1,'Input Assumptions'!$C$34:$L$34,'Input Assumptions'!$C$36:$L$36)</f>
        <v>2045.1718750000005</v>
      </c>
      <c r="CW31" s="128">
        <f>$N$3*_xlfn.XLOOKUP(CW$1,'Input Assumptions'!$C$34:$L$34,'Input Assumptions'!$C$36:$L$36)</f>
        <v>2045.1718750000005</v>
      </c>
      <c r="CX31" s="128">
        <f>$N$3*_xlfn.XLOOKUP(CX$1,'Input Assumptions'!$C$34:$L$34,'Input Assumptions'!$C$36:$L$36)</f>
        <v>2045.1718750000005</v>
      </c>
      <c r="CY31" s="128">
        <f>$N$3*_xlfn.XLOOKUP(CY$1,'Input Assumptions'!$C$34:$L$34,'Input Assumptions'!$C$36:$L$36)</f>
        <v>2045.1718750000005</v>
      </c>
      <c r="CZ31" s="128">
        <f>$N$3*_xlfn.XLOOKUP(CZ$1,'Input Assumptions'!$C$34:$L$34,'Input Assumptions'!$C$36:$L$36)</f>
        <v>2045.1718750000005</v>
      </c>
      <c r="DA31" s="128">
        <f>$N$3*_xlfn.XLOOKUP(DA$1,'Input Assumptions'!$C$34:$L$34,'Input Assumptions'!$C$36:$L$36)</f>
        <v>2045.1718750000005</v>
      </c>
      <c r="DB31" s="128">
        <f>$N$3*_xlfn.XLOOKUP(DB$1,'Input Assumptions'!$C$34:$L$34,'Input Assumptions'!$C$36:$L$36)</f>
        <v>2045.1718750000005</v>
      </c>
      <c r="DC31" s="128">
        <f>$N$3*_xlfn.XLOOKUP(DC$1,'Input Assumptions'!$C$34:$L$34,'Input Assumptions'!$C$36:$L$36)</f>
        <v>2045.1718750000005</v>
      </c>
      <c r="DD31" s="128">
        <f>$N$3*_xlfn.XLOOKUP(DD$1,'Input Assumptions'!$C$34:$L$34,'Input Assumptions'!$C$36:$L$36)</f>
        <v>2045.1718750000005</v>
      </c>
      <c r="DE31" s="128">
        <f>$N$3*_xlfn.XLOOKUP(DE$1,'Input Assumptions'!$C$34:$L$34,'Input Assumptions'!$C$36:$L$36)</f>
        <v>2045.1718750000005</v>
      </c>
      <c r="DF31" s="128">
        <f>$N$3*_xlfn.XLOOKUP(DF$1,'Input Assumptions'!$C$34:$L$34,'Input Assumptions'!$C$36:$L$36)</f>
        <v>2045.1718750000005</v>
      </c>
      <c r="DG31" s="128">
        <f>$N$3*_xlfn.XLOOKUP(DG$1,'Input Assumptions'!$C$34:$L$34,'Input Assumptions'!$C$36:$L$36)</f>
        <v>2121.8658203125005</v>
      </c>
      <c r="DH31" s="128">
        <f>$N$3*_xlfn.XLOOKUP(DH$1,'Input Assumptions'!$C$34:$L$34,'Input Assumptions'!$C$36:$L$36)</f>
        <v>2121.8658203125005</v>
      </c>
      <c r="DI31" s="128">
        <f>$N$3*_xlfn.XLOOKUP(DI$1,'Input Assumptions'!$C$34:$L$34,'Input Assumptions'!$C$36:$L$36)</f>
        <v>2121.8658203125005</v>
      </c>
      <c r="DJ31" s="128">
        <f>$N$3*_xlfn.XLOOKUP(DJ$1,'Input Assumptions'!$C$34:$L$34,'Input Assumptions'!$C$36:$L$36)</f>
        <v>2121.8658203125005</v>
      </c>
      <c r="DK31" s="128">
        <f>$N$3*_xlfn.XLOOKUP(DK$1,'Input Assumptions'!$C$34:$L$34,'Input Assumptions'!$C$36:$L$36)</f>
        <v>2121.8658203125005</v>
      </c>
      <c r="DL31" s="128">
        <f>$N$3*_xlfn.XLOOKUP(DL$1,'Input Assumptions'!$C$34:$L$34,'Input Assumptions'!$C$36:$L$36)</f>
        <v>2121.8658203125005</v>
      </c>
      <c r="DM31" s="128">
        <f>$N$3*_xlfn.XLOOKUP(DM$1,'Input Assumptions'!$C$34:$L$34,'Input Assumptions'!$C$36:$L$36)</f>
        <v>2121.8658203125005</v>
      </c>
      <c r="DN31" s="128">
        <f>$N$3*_xlfn.XLOOKUP(DN$1,'Input Assumptions'!$C$34:$L$34,'Input Assumptions'!$C$36:$L$36)</f>
        <v>2121.8658203125005</v>
      </c>
      <c r="DO31" s="128">
        <f>$N$3*_xlfn.XLOOKUP(DO$1,'Input Assumptions'!$C$34:$L$34,'Input Assumptions'!$C$36:$L$36)</f>
        <v>2121.8658203125005</v>
      </c>
      <c r="DP31" s="128">
        <f>$N$3*_xlfn.XLOOKUP(DP$1,'Input Assumptions'!$C$34:$L$34,'Input Assumptions'!$C$36:$L$36)</f>
        <v>2121.8658203125005</v>
      </c>
      <c r="DQ31" s="128">
        <f>$N$3*_xlfn.XLOOKUP(DQ$1,'Input Assumptions'!$C$34:$L$34,'Input Assumptions'!$C$36:$L$36)</f>
        <v>2121.8658203125005</v>
      </c>
      <c r="DR31" s="128">
        <f>$N$3*_xlfn.XLOOKUP(DR$1,'Input Assumptions'!$C$34:$L$34,'Input Assumptions'!$C$36:$L$36)</f>
        <v>2121.8658203125005</v>
      </c>
      <c r="DS31" s="128">
        <f>$N$3*_xlfn.XLOOKUP(DS$1,'Input Assumptions'!$C$34:$L$34,'Input Assumptions'!$C$36:$L$36)</f>
        <v>2201.4357885742193</v>
      </c>
      <c r="DT31" s="128">
        <f>$N$3*_xlfn.XLOOKUP(DT$1,'Input Assumptions'!$C$34:$L$34,'Input Assumptions'!$C$36:$L$36)</f>
        <v>2201.4357885742193</v>
      </c>
      <c r="DU31" s="128">
        <f>$N$3*_xlfn.XLOOKUP(DU$1,'Input Assumptions'!$C$34:$L$34,'Input Assumptions'!$C$36:$L$36)</f>
        <v>2201.4357885742193</v>
      </c>
      <c r="DV31" s="128">
        <f>$N$3*_xlfn.XLOOKUP(DV$1,'Input Assumptions'!$C$34:$L$34,'Input Assumptions'!$C$36:$L$36)</f>
        <v>2201.4357885742193</v>
      </c>
      <c r="DW31" s="128">
        <f>$N$3*_xlfn.XLOOKUP(DW$1,'Input Assumptions'!$C$34:$L$34,'Input Assumptions'!$C$36:$L$36)</f>
        <v>2201.4357885742193</v>
      </c>
      <c r="DX31" s="128">
        <f>$N$3*_xlfn.XLOOKUP(DX$1,'Input Assumptions'!$C$34:$L$34,'Input Assumptions'!$C$36:$L$36)</f>
        <v>2201.4357885742193</v>
      </c>
      <c r="DY31" s="128">
        <f>$N$3*_xlfn.XLOOKUP(DY$1,'Input Assumptions'!$C$34:$L$34,'Input Assumptions'!$C$36:$L$36)</f>
        <v>2201.4357885742193</v>
      </c>
      <c r="DZ31" s="128">
        <f>$N$3*_xlfn.XLOOKUP(DZ$1,'Input Assumptions'!$C$34:$L$34,'Input Assumptions'!$C$36:$L$36)</f>
        <v>2201.4357885742193</v>
      </c>
      <c r="EA31" s="128">
        <f>$N$3*_xlfn.XLOOKUP(EA$1,'Input Assumptions'!$C$34:$L$34,'Input Assumptions'!$C$36:$L$36)</f>
        <v>2201.4357885742193</v>
      </c>
      <c r="EB31" s="128">
        <f>$N$3*_xlfn.XLOOKUP(EB$1,'Input Assumptions'!$C$34:$L$34,'Input Assumptions'!$C$36:$L$36)</f>
        <v>2201.4357885742193</v>
      </c>
      <c r="EC31" s="128">
        <f>$N$3*_xlfn.XLOOKUP(EC$1,'Input Assumptions'!$C$34:$L$34,'Input Assumptions'!$C$36:$L$36)</f>
        <v>2201.4357885742193</v>
      </c>
    </row>
    <row r="32" spans="2:133" x14ac:dyDescent="0.3">
      <c r="B32" s="15">
        <v>4</v>
      </c>
      <c r="C32" s="16">
        <v>30</v>
      </c>
      <c r="D32" s="16" t="s">
        <v>10</v>
      </c>
      <c r="E32" s="16">
        <v>450</v>
      </c>
      <c r="F32" s="20">
        <f t="shared" si="114"/>
        <v>41.80640845790095</v>
      </c>
      <c r="G32" s="19" t="str">
        <f t="shared" si="115"/>
        <v>1</v>
      </c>
      <c r="H32" s="20">
        <f t="shared" si="116"/>
        <v>1</v>
      </c>
      <c r="I32" s="18">
        <f t="shared" si="117"/>
        <v>1710</v>
      </c>
      <c r="J32" s="18">
        <f t="shared" si="118"/>
        <v>1900</v>
      </c>
      <c r="K32" s="18">
        <f>(J32*'Input Assumptions'!$C$20)+I32*('Input Assumptions'!$C$21)</f>
        <v>1900</v>
      </c>
      <c r="L32" s="94"/>
      <c r="M32" s="4"/>
      <c r="N32" s="128">
        <f t="shared" si="119"/>
        <v>1900</v>
      </c>
      <c r="O32" s="128">
        <f>$N$3*_xlfn.XLOOKUP(O$1,'Input Assumptions'!$C$34:$L$34,'Input Assumptions'!$C$36:$L$36)</f>
        <v>1900</v>
      </c>
      <c r="P32" s="128">
        <f>$N$3*_xlfn.XLOOKUP(P$1,'Input Assumptions'!$C$34:$L$34,'Input Assumptions'!$C$36:$L$36)</f>
        <v>1900</v>
      </c>
      <c r="Q32" s="128">
        <f>$N$3*_xlfn.XLOOKUP(Q$1,'Input Assumptions'!$C$34:$L$34,'Input Assumptions'!$C$36:$L$36)</f>
        <v>1900</v>
      </c>
      <c r="R32" s="128">
        <f>$N$3*_xlfn.XLOOKUP(R$1,'Input Assumptions'!$C$34:$L$34,'Input Assumptions'!$C$36:$L$36)</f>
        <v>1900</v>
      </c>
      <c r="S32" s="128">
        <f>$N$3*_xlfn.XLOOKUP(S$1,'Input Assumptions'!$C$34:$L$34,'Input Assumptions'!$C$36:$L$36)</f>
        <v>1900</v>
      </c>
      <c r="T32" s="128">
        <f>$N$3*_xlfn.XLOOKUP(T$1,'Input Assumptions'!$C$34:$L$34,'Input Assumptions'!$C$36:$L$36)</f>
        <v>1900</v>
      </c>
      <c r="U32" s="128">
        <f>$N$3*_xlfn.XLOOKUP(U$1,'Input Assumptions'!$C$34:$L$34,'Input Assumptions'!$C$36:$L$36)</f>
        <v>1900</v>
      </c>
      <c r="V32" s="128">
        <f>$N$3*_xlfn.XLOOKUP(V$1,'Input Assumptions'!$C$34:$L$34,'Input Assumptions'!$C$36:$L$36)</f>
        <v>1900</v>
      </c>
      <c r="W32" s="128">
        <f>$N$3*_xlfn.XLOOKUP(W$1,'Input Assumptions'!$C$34:$L$34,'Input Assumptions'!$C$36:$L$36)</f>
        <v>1900</v>
      </c>
      <c r="X32" s="128">
        <f>$N$3*_xlfn.XLOOKUP(X$1,'Input Assumptions'!$C$34:$L$34,'Input Assumptions'!$C$36:$L$36)</f>
        <v>1900</v>
      </c>
      <c r="Y32" s="128">
        <f>$N$3*_xlfn.XLOOKUP(Y$1,'Input Assumptions'!$C$34:$L$34,'Input Assumptions'!$C$36:$L$36)</f>
        <v>1900</v>
      </c>
      <c r="Z32" s="128">
        <f>$N$3*_xlfn.XLOOKUP(Z$1,'Input Assumptions'!$C$34:$L$34,'Input Assumptions'!$C$36:$L$36)</f>
        <v>1971.2500000000002</v>
      </c>
      <c r="AA32" s="128">
        <f>$N$3*_xlfn.XLOOKUP(AA$1,'Input Assumptions'!$C$34:$L$34,'Input Assumptions'!$C$36:$L$36)</f>
        <v>1971.2500000000002</v>
      </c>
      <c r="AB32" s="128">
        <f>$N$3*_xlfn.XLOOKUP(AB$1,'Input Assumptions'!$C$34:$L$34,'Input Assumptions'!$C$36:$L$36)</f>
        <v>1971.2500000000002</v>
      </c>
      <c r="AC32" s="128">
        <f>$N$3*_xlfn.XLOOKUP(AC$1,'Input Assumptions'!$C$34:$L$34,'Input Assumptions'!$C$36:$L$36)</f>
        <v>1971.2500000000002</v>
      </c>
      <c r="AD32" s="128">
        <f>$N$3*_xlfn.XLOOKUP(AD$1,'Input Assumptions'!$C$34:$L$34,'Input Assumptions'!$C$36:$L$36)</f>
        <v>1971.2500000000002</v>
      </c>
      <c r="AE32" s="128">
        <f>$N$3*_xlfn.XLOOKUP(AE$1,'Input Assumptions'!$C$34:$L$34,'Input Assumptions'!$C$36:$L$36)</f>
        <v>1971.2500000000002</v>
      </c>
      <c r="AF32" s="128">
        <f>$N$3*_xlfn.XLOOKUP(AF$1,'Input Assumptions'!$C$34:$L$34,'Input Assumptions'!$C$36:$L$36)</f>
        <v>1971.2500000000002</v>
      </c>
      <c r="AG32" s="128">
        <f>$N$3*_xlfn.XLOOKUP(AG$1,'Input Assumptions'!$C$34:$L$34,'Input Assumptions'!$C$36:$L$36)</f>
        <v>1971.2500000000002</v>
      </c>
      <c r="AH32" s="128">
        <f>$N$3*_xlfn.XLOOKUP(AH$1,'Input Assumptions'!$C$34:$L$34,'Input Assumptions'!$C$36:$L$36)</f>
        <v>1971.2500000000002</v>
      </c>
      <c r="AI32" s="128">
        <f>$N$3*_xlfn.XLOOKUP(AI$1,'Input Assumptions'!$C$34:$L$34,'Input Assumptions'!$C$36:$L$36)</f>
        <v>1971.2500000000002</v>
      </c>
      <c r="AJ32" s="128">
        <f>$N$3*_xlfn.XLOOKUP(AJ$1,'Input Assumptions'!$C$34:$L$34,'Input Assumptions'!$C$36:$L$36)</f>
        <v>1971.2500000000002</v>
      </c>
      <c r="AK32" s="128">
        <f>$N$3*_xlfn.XLOOKUP(AK$1,'Input Assumptions'!$C$34:$L$34,'Input Assumptions'!$C$36:$L$36)</f>
        <v>1971.2500000000002</v>
      </c>
      <c r="AL32" s="128">
        <f>$N$3*_xlfn.XLOOKUP(AL$1,'Input Assumptions'!$C$34:$L$34,'Input Assumptions'!$C$36:$L$36)</f>
        <v>2045.1718750000005</v>
      </c>
      <c r="AM32" s="128">
        <f>$N$3*_xlfn.XLOOKUP(AM$1,'Input Assumptions'!$C$34:$L$34,'Input Assumptions'!$C$36:$L$36)</f>
        <v>2045.1718750000005</v>
      </c>
      <c r="AN32" s="128">
        <f>$N$3*_xlfn.XLOOKUP(AN$1,'Input Assumptions'!$C$34:$L$34,'Input Assumptions'!$C$36:$L$36)</f>
        <v>2045.1718750000005</v>
      </c>
      <c r="AO32" s="128">
        <f>$N$3*_xlfn.XLOOKUP(AO$1,'Input Assumptions'!$C$34:$L$34,'Input Assumptions'!$C$36:$L$36)</f>
        <v>2045.1718750000005</v>
      </c>
      <c r="AP32" s="128">
        <f>$N$3*_xlfn.XLOOKUP(AP$1,'Input Assumptions'!$C$34:$L$34,'Input Assumptions'!$C$36:$L$36)</f>
        <v>2045.1718750000005</v>
      </c>
      <c r="AQ32" s="128">
        <f>$N$3*_xlfn.XLOOKUP(AQ$1,'Input Assumptions'!$C$34:$L$34,'Input Assumptions'!$C$36:$L$36)</f>
        <v>2045.1718750000005</v>
      </c>
      <c r="AR32" s="128">
        <f>$N$3*_xlfn.XLOOKUP(AR$1,'Input Assumptions'!$C$34:$L$34,'Input Assumptions'!$C$36:$L$36)</f>
        <v>2045.1718750000005</v>
      </c>
      <c r="AS32" s="128">
        <f>$N$3*_xlfn.XLOOKUP(AS$1,'Input Assumptions'!$C$34:$L$34,'Input Assumptions'!$C$36:$L$36)</f>
        <v>2045.1718750000005</v>
      </c>
      <c r="AT32" s="128">
        <f>$N$3*_xlfn.XLOOKUP(AT$1,'Input Assumptions'!$C$34:$L$34,'Input Assumptions'!$C$36:$L$36)</f>
        <v>2045.1718750000005</v>
      </c>
      <c r="AU32" s="128">
        <f>$N$3*_xlfn.XLOOKUP(AU$1,'Input Assumptions'!$C$34:$L$34,'Input Assumptions'!$C$36:$L$36)</f>
        <v>2045.1718750000005</v>
      </c>
      <c r="AV32" s="128">
        <f>$N$3*_xlfn.XLOOKUP(AV$1,'Input Assumptions'!$C$34:$L$34,'Input Assumptions'!$C$36:$L$36)</f>
        <v>2045.1718750000005</v>
      </c>
      <c r="AW32" s="128">
        <f>$N$3*_xlfn.XLOOKUP(AW$1,'Input Assumptions'!$C$34:$L$34,'Input Assumptions'!$C$36:$L$36)</f>
        <v>2045.1718750000005</v>
      </c>
      <c r="AX32" s="128">
        <f>$N$3*_xlfn.XLOOKUP(AX$1,'Input Assumptions'!$C$34:$L$34,'Input Assumptions'!$C$36:$L$36)</f>
        <v>2121.8658203125005</v>
      </c>
      <c r="AY32" s="128">
        <f>$N$3*_xlfn.XLOOKUP(AY$1,'Input Assumptions'!$C$34:$L$34,'Input Assumptions'!$C$36:$L$36)</f>
        <v>2121.8658203125005</v>
      </c>
      <c r="AZ32" s="128">
        <f>$N$3*_xlfn.XLOOKUP(AZ$1,'Input Assumptions'!$C$34:$L$34,'Input Assumptions'!$C$36:$L$36)</f>
        <v>2121.8658203125005</v>
      </c>
      <c r="BA32" s="128">
        <f>$N$3*_xlfn.XLOOKUP(BA$1,'Input Assumptions'!$C$34:$L$34,'Input Assumptions'!$C$36:$L$36)</f>
        <v>2121.8658203125005</v>
      </c>
      <c r="BB32" s="128">
        <f>$N$3*_xlfn.XLOOKUP(BB$1,'Input Assumptions'!$C$34:$L$34,'Input Assumptions'!$C$36:$L$36)</f>
        <v>2121.8658203125005</v>
      </c>
      <c r="BC32" s="128">
        <f>$N$3*_xlfn.XLOOKUP(BC$1,'Input Assumptions'!$C$34:$L$34,'Input Assumptions'!$C$36:$L$36)</f>
        <v>2121.8658203125005</v>
      </c>
      <c r="BD32" s="128">
        <f>$N$3*_xlfn.XLOOKUP(BD$1,'Input Assumptions'!$C$34:$L$34,'Input Assumptions'!$C$36:$L$36)</f>
        <v>2121.8658203125005</v>
      </c>
      <c r="BE32" s="128">
        <f>$N$3*_xlfn.XLOOKUP(BE$1,'Input Assumptions'!$C$34:$L$34,'Input Assumptions'!$C$36:$L$36)</f>
        <v>2121.8658203125005</v>
      </c>
      <c r="BF32" s="128">
        <f>$N$3*_xlfn.XLOOKUP(BF$1,'Input Assumptions'!$C$34:$L$34,'Input Assumptions'!$C$36:$L$36)</f>
        <v>2121.8658203125005</v>
      </c>
      <c r="BG32" s="128">
        <f>$N$3*_xlfn.XLOOKUP(BG$1,'Input Assumptions'!$C$34:$L$34,'Input Assumptions'!$C$36:$L$36)</f>
        <v>2121.8658203125005</v>
      </c>
      <c r="BH32" s="128">
        <f>$N$3*_xlfn.XLOOKUP(BH$1,'Input Assumptions'!$C$34:$L$34,'Input Assumptions'!$C$36:$L$36)</f>
        <v>2121.8658203125005</v>
      </c>
      <c r="BI32" s="128">
        <f>$N$3*_xlfn.XLOOKUP(BI$1,'Input Assumptions'!$C$34:$L$34,'Input Assumptions'!$C$36:$L$36)</f>
        <v>2121.8658203125005</v>
      </c>
      <c r="BJ32" s="128">
        <f>$N$3*_xlfn.XLOOKUP(BJ$1,'Input Assumptions'!$C$34:$L$34,'Input Assumptions'!$C$36:$L$36)</f>
        <v>2201.4357885742193</v>
      </c>
      <c r="BK32" s="128">
        <f>$N$3*_xlfn.XLOOKUP(BK$1,'Input Assumptions'!$C$34:$L$34,'Input Assumptions'!$C$36:$L$36)</f>
        <v>2201.4357885742193</v>
      </c>
      <c r="BL32" s="128">
        <f>$N$3*_xlfn.XLOOKUP(BL$1,'Input Assumptions'!$C$34:$L$34,'Input Assumptions'!$C$36:$L$36)</f>
        <v>2201.4357885742193</v>
      </c>
      <c r="BM32" s="128">
        <f>$N$3*_xlfn.XLOOKUP(BM$1,'Input Assumptions'!$C$34:$L$34,'Input Assumptions'!$C$36:$L$36)</f>
        <v>2201.4357885742193</v>
      </c>
      <c r="BN32" s="128">
        <f>$N$3*_xlfn.XLOOKUP(BN$1,'Input Assumptions'!$C$34:$L$34,'Input Assumptions'!$C$36:$L$36)</f>
        <v>2201.4357885742193</v>
      </c>
      <c r="BO32" s="128">
        <f>$N$3*_xlfn.XLOOKUP(BO$1,'Input Assumptions'!$C$34:$L$34,'Input Assumptions'!$C$36:$L$36)</f>
        <v>2201.4357885742193</v>
      </c>
      <c r="BP32" s="128">
        <f>$N$3*_xlfn.XLOOKUP(BP$1,'Input Assumptions'!$C$34:$L$34,'Input Assumptions'!$C$36:$L$36)</f>
        <v>2201.4357885742193</v>
      </c>
      <c r="BQ32" s="128">
        <f>$N$3*_xlfn.XLOOKUP(BQ$1,'Input Assumptions'!$C$34:$L$34,'Input Assumptions'!$C$36:$L$36)</f>
        <v>2201.4357885742193</v>
      </c>
      <c r="BR32" s="128">
        <f>$N$3*_xlfn.XLOOKUP(BR$1,'Input Assumptions'!$C$34:$L$34,'Input Assumptions'!$C$36:$L$36)</f>
        <v>2201.4357885742193</v>
      </c>
      <c r="BS32" s="128">
        <f>$N$3*_xlfn.XLOOKUP(BS$1,'Input Assumptions'!$C$34:$L$34,'Input Assumptions'!$C$36:$L$36)</f>
        <v>2201.4357885742193</v>
      </c>
      <c r="BT32" s="128">
        <f>$N$3*_xlfn.XLOOKUP(BT$1,'Input Assumptions'!$C$34:$L$34,'Input Assumptions'!$C$36:$L$36)</f>
        <v>2201.4357885742193</v>
      </c>
      <c r="BU32" s="128">
        <f>$N$3*_xlfn.XLOOKUP(BU$1,'Input Assumptions'!$C$34:$L$34,'Input Assumptions'!$C$36:$L$36)</f>
        <v>2201.4357885742193</v>
      </c>
      <c r="BV32" s="128">
        <f>$N$3*_xlfn.XLOOKUP(BV$1,'Input Assumptions'!$C$34:$L$34,'Input Assumptions'!$C$36:$L$36)</f>
        <v>2283.9896306457531</v>
      </c>
      <c r="BW32" s="128">
        <f>$N$3*_xlfn.XLOOKUP(BW$1,'Input Assumptions'!$C$34:$L$34,'Input Assumptions'!$C$36:$L$36)</f>
        <v>1900</v>
      </c>
      <c r="BX32" s="128">
        <f>$N$3*_xlfn.XLOOKUP(BX$1,'Input Assumptions'!$C$34:$L$34,'Input Assumptions'!$C$36:$L$36)</f>
        <v>1900</v>
      </c>
      <c r="BY32" s="128">
        <f>$N$3*_xlfn.XLOOKUP(BY$1,'Input Assumptions'!$C$34:$L$34,'Input Assumptions'!$C$36:$L$36)</f>
        <v>1900</v>
      </c>
      <c r="BZ32" s="128">
        <f>$N$3*_xlfn.XLOOKUP(BZ$1,'Input Assumptions'!$C$34:$L$34,'Input Assumptions'!$C$36:$L$36)</f>
        <v>1900</v>
      </c>
      <c r="CA32" s="128">
        <f>$N$3*_xlfn.XLOOKUP(CA$1,'Input Assumptions'!$C$34:$L$34,'Input Assumptions'!$C$36:$L$36)</f>
        <v>1900</v>
      </c>
      <c r="CB32" s="128">
        <f>$N$3*_xlfn.XLOOKUP(CB$1,'Input Assumptions'!$C$34:$L$34,'Input Assumptions'!$C$36:$L$36)</f>
        <v>1900</v>
      </c>
      <c r="CC32" s="128">
        <f>$N$3*_xlfn.XLOOKUP(CC$1,'Input Assumptions'!$C$34:$L$34,'Input Assumptions'!$C$36:$L$36)</f>
        <v>1900</v>
      </c>
      <c r="CD32" s="128">
        <f>$N$3*_xlfn.XLOOKUP(CD$1,'Input Assumptions'!$C$34:$L$34,'Input Assumptions'!$C$36:$L$36)</f>
        <v>1900</v>
      </c>
      <c r="CE32" s="128">
        <f>$N$3*_xlfn.XLOOKUP(CE$1,'Input Assumptions'!$C$34:$L$34,'Input Assumptions'!$C$36:$L$36)</f>
        <v>1900</v>
      </c>
      <c r="CF32" s="128">
        <f>$N$3*_xlfn.XLOOKUP(CF$1,'Input Assumptions'!$C$34:$L$34,'Input Assumptions'!$C$36:$L$36)</f>
        <v>1900</v>
      </c>
      <c r="CG32" s="128">
        <f>$N$3*_xlfn.XLOOKUP(CG$1,'Input Assumptions'!$C$34:$L$34,'Input Assumptions'!$C$36:$L$36)</f>
        <v>1900</v>
      </c>
      <c r="CH32" s="128">
        <f>$N$3*_xlfn.XLOOKUP(CH$1,'Input Assumptions'!$C$34:$L$34,'Input Assumptions'!$C$36:$L$36)</f>
        <v>1900</v>
      </c>
      <c r="CI32" s="128">
        <f>$N$3*_xlfn.XLOOKUP(CI$1,'Input Assumptions'!$C$34:$L$34,'Input Assumptions'!$C$36:$L$36)</f>
        <v>1971.2500000000002</v>
      </c>
      <c r="CJ32" s="128">
        <f>$N$3*_xlfn.XLOOKUP(CJ$1,'Input Assumptions'!$C$34:$L$34,'Input Assumptions'!$C$36:$L$36)</f>
        <v>1971.2500000000002</v>
      </c>
      <c r="CK32" s="128">
        <f>$N$3*_xlfn.XLOOKUP(CK$1,'Input Assumptions'!$C$34:$L$34,'Input Assumptions'!$C$36:$L$36)</f>
        <v>1971.2500000000002</v>
      </c>
      <c r="CL32" s="128">
        <f>$N$3*_xlfn.XLOOKUP(CL$1,'Input Assumptions'!$C$34:$L$34,'Input Assumptions'!$C$36:$L$36)</f>
        <v>1971.2500000000002</v>
      </c>
      <c r="CM32" s="128">
        <f>$N$3*_xlfn.XLOOKUP(CM$1,'Input Assumptions'!$C$34:$L$34,'Input Assumptions'!$C$36:$L$36)</f>
        <v>1971.2500000000002</v>
      </c>
      <c r="CN32" s="128">
        <f>$N$3*_xlfn.XLOOKUP(CN$1,'Input Assumptions'!$C$34:$L$34,'Input Assumptions'!$C$36:$L$36)</f>
        <v>1971.2500000000002</v>
      </c>
      <c r="CO32" s="128">
        <f>$N$3*_xlfn.XLOOKUP(CO$1,'Input Assumptions'!$C$34:$L$34,'Input Assumptions'!$C$36:$L$36)</f>
        <v>1971.2500000000002</v>
      </c>
      <c r="CP32" s="128">
        <f>$N$3*_xlfn.XLOOKUP(CP$1,'Input Assumptions'!$C$34:$L$34,'Input Assumptions'!$C$36:$L$36)</f>
        <v>1971.2500000000002</v>
      </c>
      <c r="CQ32" s="128">
        <f>$N$3*_xlfn.XLOOKUP(CQ$1,'Input Assumptions'!$C$34:$L$34,'Input Assumptions'!$C$36:$L$36)</f>
        <v>1971.2500000000002</v>
      </c>
      <c r="CR32" s="128">
        <f>$N$3*_xlfn.XLOOKUP(CR$1,'Input Assumptions'!$C$34:$L$34,'Input Assumptions'!$C$36:$L$36)</f>
        <v>1971.2500000000002</v>
      </c>
      <c r="CS32" s="128">
        <f>$N$3*_xlfn.XLOOKUP(CS$1,'Input Assumptions'!$C$34:$L$34,'Input Assumptions'!$C$36:$L$36)</f>
        <v>1971.2500000000002</v>
      </c>
      <c r="CT32" s="128">
        <f>$N$3*_xlfn.XLOOKUP(CT$1,'Input Assumptions'!$C$34:$L$34,'Input Assumptions'!$C$36:$L$36)</f>
        <v>1971.2500000000002</v>
      </c>
      <c r="CU32" s="128">
        <f>$N$3*_xlfn.XLOOKUP(CU$1,'Input Assumptions'!$C$34:$L$34,'Input Assumptions'!$C$36:$L$36)</f>
        <v>2045.1718750000005</v>
      </c>
      <c r="CV32" s="128">
        <f>$N$3*_xlfn.XLOOKUP(CV$1,'Input Assumptions'!$C$34:$L$34,'Input Assumptions'!$C$36:$L$36)</f>
        <v>2045.1718750000005</v>
      </c>
      <c r="CW32" s="128">
        <f>$N$3*_xlfn.XLOOKUP(CW$1,'Input Assumptions'!$C$34:$L$34,'Input Assumptions'!$C$36:$L$36)</f>
        <v>2045.1718750000005</v>
      </c>
      <c r="CX32" s="128">
        <f>$N$3*_xlfn.XLOOKUP(CX$1,'Input Assumptions'!$C$34:$L$34,'Input Assumptions'!$C$36:$L$36)</f>
        <v>2045.1718750000005</v>
      </c>
      <c r="CY32" s="128">
        <f>$N$3*_xlfn.XLOOKUP(CY$1,'Input Assumptions'!$C$34:$L$34,'Input Assumptions'!$C$36:$L$36)</f>
        <v>2045.1718750000005</v>
      </c>
      <c r="CZ32" s="128">
        <f>$N$3*_xlfn.XLOOKUP(CZ$1,'Input Assumptions'!$C$34:$L$34,'Input Assumptions'!$C$36:$L$36)</f>
        <v>2045.1718750000005</v>
      </c>
      <c r="DA32" s="128">
        <f>$N$3*_xlfn.XLOOKUP(DA$1,'Input Assumptions'!$C$34:$L$34,'Input Assumptions'!$C$36:$L$36)</f>
        <v>2045.1718750000005</v>
      </c>
      <c r="DB32" s="128">
        <f>$N$3*_xlfn.XLOOKUP(DB$1,'Input Assumptions'!$C$34:$L$34,'Input Assumptions'!$C$36:$L$36)</f>
        <v>2045.1718750000005</v>
      </c>
      <c r="DC32" s="128">
        <f>$N$3*_xlfn.XLOOKUP(DC$1,'Input Assumptions'!$C$34:$L$34,'Input Assumptions'!$C$36:$L$36)</f>
        <v>2045.1718750000005</v>
      </c>
      <c r="DD32" s="128">
        <f>$N$3*_xlfn.XLOOKUP(DD$1,'Input Assumptions'!$C$34:$L$34,'Input Assumptions'!$C$36:$L$36)</f>
        <v>2045.1718750000005</v>
      </c>
      <c r="DE32" s="128">
        <f>$N$3*_xlfn.XLOOKUP(DE$1,'Input Assumptions'!$C$34:$L$34,'Input Assumptions'!$C$36:$L$36)</f>
        <v>2045.1718750000005</v>
      </c>
      <c r="DF32" s="128">
        <f>$N$3*_xlfn.XLOOKUP(DF$1,'Input Assumptions'!$C$34:$L$34,'Input Assumptions'!$C$36:$L$36)</f>
        <v>2045.1718750000005</v>
      </c>
      <c r="DG32" s="128">
        <f>$N$3*_xlfn.XLOOKUP(DG$1,'Input Assumptions'!$C$34:$L$34,'Input Assumptions'!$C$36:$L$36)</f>
        <v>2121.8658203125005</v>
      </c>
      <c r="DH32" s="128">
        <f>$N$3*_xlfn.XLOOKUP(DH$1,'Input Assumptions'!$C$34:$L$34,'Input Assumptions'!$C$36:$L$36)</f>
        <v>2121.8658203125005</v>
      </c>
      <c r="DI32" s="128">
        <f>$N$3*_xlfn.XLOOKUP(DI$1,'Input Assumptions'!$C$34:$L$34,'Input Assumptions'!$C$36:$L$36)</f>
        <v>2121.8658203125005</v>
      </c>
      <c r="DJ32" s="128">
        <f>$N$3*_xlfn.XLOOKUP(DJ$1,'Input Assumptions'!$C$34:$L$34,'Input Assumptions'!$C$36:$L$36)</f>
        <v>2121.8658203125005</v>
      </c>
      <c r="DK32" s="128">
        <f>$N$3*_xlfn.XLOOKUP(DK$1,'Input Assumptions'!$C$34:$L$34,'Input Assumptions'!$C$36:$L$36)</f>
        <v>2121.8658203125005</v>
      </c>
      <c r="DL32" s="128">
        <f>$N$3*_xlfn.XLOOKUP(DL$1,'Input Assumptions'!$C$34:$L$34,'Input Assumptions'!$C$36:$L$36)</f>
        <v>2121.8658203125005</v>
      </c>
      <c r="DM32" s="128">
        <f>$N$3*_xlfn.XLOOKUP(DM$1,'Input Assumptions'!$C$34:$L$34,'Input Assumptions'!$C$36:$L$36)</f>
        <v>2121.8658203125005</v>
      </c>
      <c r="DN32" s="128">
        <f>$N$3*_xlfn.XLOOKUP(DN$1,'Input Assumptions'!$C$34:$L$34,'Input Assumptions'!$C$36:$L$36)</f>
        <v>2121.8658203125005</v>
      </c>
      <c r="DO32" s="128">
        <f>$N$3*_xlfn.XLOOKUP(DO$1,'Input Assumptions'!$C$34:$L$34,'Input Assumptions'!$C$36:$L$36)</f>
        <v>2121.8658203125005</v>
      </c>
      <c r="DP32" s="128">
        <f>$N$3*_xlfn.XLOOKUP(DP$1,'Input Assumptions'!$C$34:$L$34,'Input Assumptions'!$C$36:$L$36)</f>
        <v>2121.8658203125005</v>
      </c>
      <c r="DQ32" s="128">
        <f>$N$3*_xlfn.XLOOKUP(DQ$1,'Input Assumptions'!$C$34:$L$34,'Input Assumptions'!$C$36:$L$36)</f>
        <v>2121.8658203125005</v>
      </c>
      <c r="DR32" s="128">
        <f>$N$3*_xlfn.XLOOKUP(DR$1,'Input Assumptions'!$C$34:$L$34,'Input Assumptions'!$C$36:$L$36)</f>
        <v>2121.8658203125005</v>
      </c>
      <c r="DS32" s="128">
        <f>$N$3*_xlfn.XLOOKUP(DS$1,'Input Assumptions'!$C$34:$L$34,'Input Assumptions'!$C$36:$L$36)</f>
        <v>2201.4357885742193</v>
      </c>
      <c r="DT32" s="128">
        <f>$N$3*_xlfn.XLOOKUP(DT$1,'Input Assumptions'!$C$34:$L$34,'Input Assumptions'!$C$36:$L$36)</f>
        <v>2201.4357885742193</v>
      </c>
      <c r="DU32" s="128">
        <f>$N$3*_xlfn.XLOOKUP(DU$1,'Input Assumptions'!$C$34:$L$34,'Input Assumptions'!$C$36:$L$36)</f>
        <v>2201.4357885742193</v>
      </c>
      <c r="DV32" s="128">
        <f>$N$3*_xlfn.XLOOKUP(DV$1,'Input Assumptions'!$C$34:$L$34,'Input Assumptions'!$C$36:$L$36)</f>
        <v>2201.4357885742193</v>
      </c>
      <c r="DW32" s="128">
        <f>$N$3*_xlfn.XLOOKUP(DW$1,'Input Assumptions'!$C$34:$L$34,'Input Assumptions'!$C$36:$L$36)</f>
        <v>2201.4357885742193</v>
      </c>
      <c r="DX32" s="128">
        <f>$N$3*_xlfn.XLOOKUP(DX$1,'Input Assumptions'!$C$34:$L$34,'Input Assumptions'!$C$36:$L$36)</f>
        <v>2201.4357885742193</v>
      </c>
      <c r="DY32" s="128">
        <f>$N$3*_xlfn.XLOOKUP(DY$1,'Input Assumptions'!$C$34:$L$34,'Input Assumptions'!$C$36:$L$36)</f>
        <v>2201.4357885742193</v>
      </c>
      <c r="DZ32" s="128">
        <f>$N$3*_xlfn.XLOOKUP(DZ$1,'Input Assumptions'!$C$34:$L$34,'Input Assumptions'!$C$36:$L$36)</f>
        <v>2201.4357885742193</v>
      </c>
      <c r="EA32" s="128">
        <f>$N$3*_xlfn.XLOOKUP(EA$1,'Input Assumptions'!$C$34:$L$34,'Input Assumptions'!$C$36:$L$36)</f>
        <v>2201.4357885742193</v>
      </c>
      <c r="EB32" s="128">
        <f>$N$3*_xlfn.XLOOKUP(EB$1,'Input Assumptions'!$C$34:$L$34,'Input Assumptions'!$C$36:$L$36)</f>
        <v>2201.4357885742193</v>
      </c>
      <c r="EC32" s="128">
        <f>$N$3*_xlfn.XLOOKUP(EC$1,'Input Assumptions'!$C$34:$L$34,'Input Assumptions'!$C$36:$L$36)</f>
        <v>2201.4357885742193</v>
      </c>
    </row>
    <row r="33" spans="2:135" x14ac:dyDescent="0.3">
      <c r="B33" s="15">
        <v>4</v>
      </c>
      <c r="C33" s="16">
        <v>31</v>
      </c>
      <c r="D33" s="16" t="s">
        <v>10</v>
      </c>
      <c r="E33" s="16">
        <v>450</v>
      </c>
      <c r="F33" s="20">
        <f t="shared" si="114"/>
        <v>41.80640845790095</v>
      </c>
      <c r="G33" s="19" t="str">
        <f t="shared" si="115"/>
        <v>1</v>
      </c>
      <c r="H33" s="20">
        <f t="shared" si="116"/>
        <v>1</v>
      </c>
      <c r="I33" s="18">
        <f t="shared" si="117"/>
        <v>1710</v>
      </c>
      <c r="J33" s="18">
        <f t="shared" si="118"/>
        <v>1900</v>
      </c>
      <c r="K33" s="18">
        <f>(J33*'Input Assumptions'!$C$20)+I33*('Input Assumptions'!$C$21)</f>
        <v>1900</v>
      </c>
      <c r="L33" s="94"/>
      <c r="M33" s="4"/>
      <c r="N33" s="128">
        <f t="shared" si="119"/>
        <v>1900</v>
      </c>
      <c r="O33" s="128">
        <f>$N$3*_xlfn.XLOOKUP(O$1,'Input Assumptions'!$C$34:$L$34,'Input Assumptions'!$C$36:$L$36)</f>
        <v>1900</v>
      </c>
      <c r="P33" s="128">
        <f>$N$3*_xlfn.XLOOKUP(P$1,'Input Assumptions'!$C$34:$L$34,'Input Assumptions'!$C$36:$L$36)</f>
        <v>1900</v>
      </c>
      <c r="Q33" s="128">
        <f>$N$3*_xlfn.XLOOKUP(Q$1,'Input Assumptions'!$C$34:$L$34,'Input Assumptions'!$C$36:$L$36)</f>
        <v>1900</v>
      </c>
      <c r="R33" s="128">
        <f>$N$3*_xlfn.XLOOKUP(R$1,'Input Assumptions'!$C$34:$L$34,'Input Assumptions'!$C$36:$L$36)</f>
        <v>1900</v>
      </c>
      <c r="S33" s="128">
        <f>$N$3*_xlfn.XLOOKUP(S$1,'Input Assumptions'!$C$34:$L$34,'Input Assumptions'!$C$36:$L$36)</f>
        <v>1900</v>
      </c>
      <c r="T33" s="128">
        <f>$N$3*_xlfn.XLOOKUP(T$1,'Input Assumptions'!$C$34:$L$34,'Input Assumptions'!$C$36:$L$36)</f>
        <v>1900</v>
      </c>
      <c r="U33" s="128">
        <f>$N$3*_xlfn.XLOOKUP(U$1,'Input Assumptions'!$C$34:$L$34,'Input Assumptions'!$C$36:$L$36)</f>
        <v>1900</v>
      </c>
      <c r="V33" s="128">
        <f>$N$3*_xlfn.XLOOKUP(V$1,'Input Assumptions'!$C$34:$L$34,'Input Assumptions'!$C$36:$L$36)</f>
        <v>1900</v>
      </c>
      <c r="W33" s="128">
        <f>$N$3*_xlfn.XLOOKUP(W$1,'Input Assumptions'!$C$34:$L$34,'Input Assumptions'!$C$36:$L$36)</f>
        <v>1900</v>
      </c>
      <c r="X33" s="128">
        <f>$N$3*_xlfn.XLOOKUP(X$1,'Input Assumptions'!$C$34:$L$34,'Input Assumptions'!$C$36:$L$36)</f>
        <v>1900</v>
      </c>
      <c r="Y33" s="128">
        <f>$N$3*_xlfn.XLOOKUP(Y$1,'Input Assumptions'!$C$34:$L$34,'Input Assumptions'!$C$36:$L$36)</f>
        <v>1900</v>
      </c>
      <c r="Z33" s="128">
        <f>$N$3*_xlfn.XLOOKUP(Z$1,'Input Assumptions'!$C$34:$L$34,'Input Assumptions'!$C$36:$L$36)</f>
        <v>1971.2500000000002</v>
      </c>
      <c r="AA33" s="128">
        <f>$N$3*_xlfn.XLOOKUP(AA$1,'Input Assumptions'!$C$34:$L$34,'Input Assumptions'!$C$36:$L$36)</f>
        <v>1971.2500000000002</v>
      </c>
      <c r="AB33" s="128">
        <f>$N$3*_xlfn.XLOOKUP(AB$1,'Input Assumptions'!$C$34:$L$34,'Input Assumptions'!$C$36:$L$36)</f>
        <v>1971.2500000000002</v>
      </c>
      <c r="AC33" s="128">
        <f>$N$3*_xlfn.XLOOKUP(AC$1,'Input Assumptions'!$C$34:$L$34,'Input Assumptions'!$C$36:$L$36)</f>
        <v>1971.2500000000002</v>
      </c>
      <c r="AD33" s="128">
        <f>$N$3*_xlfn.XLOOKUP(AD$1,'Input Assumptions'!$C$34:$L$34,'Input Assumptions'!$C$36:$L$36)</f>
        <v>1971.2500000000002</v>
      </c>
      <c r="AE33" s="128">
        <f>$N$3*_xlfn.XLOOKUP(AE$1,'Input Assumptions'!$C$34:$L$34,'Input Assumptions'!$C$36:$L$36)</f>
        <v>1971.2500000000002</v>
      </c>
      <c r="AF33" s="128">
        <f>$N$3*_xlfn.XLOOKUP(AF$1,'Input Assumptions'!$C$34:$L$34,'Input Assumptions'!$C$36:$L$36)</f>
        <v>1971.2500000000002</v>
      </c>
      <c r="AG33" s="128">
        <f>$N$3*_xlfn.XLOOKUP(AG$1,'Input Assumptions'!$C$34:$L$34,'Input Assumptions'!$C$36:$L$36)</f>
        <v>1971.2500000000002</v>
      </c>
      <c r="AH33" s="128">
        <f>$N$3*_xlfn.XLOOKUP(AH$1,'Input Assumptions'!$C$34:$L$34,'Input Assumptions'!$C$36:$L$36)</f>
        <v>1971.2500000000002</v>
      </c>
      <c r="AI33" s="128">
        <f>$N$3*_xlfn.XLOOKUP(AI$1,'Input Assumptions'!$C$34:$L$34,'Input Assumptions'!$C$36:$L$36)</f>
        <v>1971.2500000000002</v>
      </c>
      <c r="AJ33" s="128">
        <f>$N$3*_xlfn.XLOOKUP(AJ$1,'Input Assumptions'!$C$34:$L$34,'Input Assumptions'!$C$36:$L$36)</f>
        <v>1971.2500000000002</v>
      </c>
      <c r="AK33" s="128">
        <f>$N$3*_xlfn.XLOOKUP(AK$1,'Input Assumptions'!$C$34:$L$34,'Input Assumptions'!$C$36:$L$36)</f>
        <v>1971.2500000000002</v>
      </c>
      <c r="AL33" s="128">
        <f>$N$3*_xlfn.XLOOKUP(AL$1,'Input Assumptions'!$C$34:$L$34,'Input Assumptions'!$C$36:$L$36)</f>
        <v>2045.1718750000005</v>
      </c>
      <c r="AM33" s="128">
        <f>$N$3*_xlfn.XLOOKUP(AM$1,'Input Assumptions'!$C$34:$L$34,'Input Assumptions'!$C$36:$L$36)</f>
        <v>2045.1718750000005</v>
      </c>
      <c r="AN33" s="128">
        <f>$N$3*_xlfn.XLOOKUP(AN$1,'Input Assumptions'!$C$34:$L$34,'Input Assumptions'!$C$36:$L$36)</f>
        <v>2045.1718750000005</v>
      </c>
      <c r="AO33" s="128">
        <f>$N$3*_xlfn.XLOOKUP(AO$1,'Input Assumptions'!$C$34:$L$34,'Input Assumptions'!$C$36:$L$36)</f>
        <v>2045.1718750000005</v>
      </c>
      <c r="AP33" s="128">
        <f>$N$3*_xlfn.XLOOKUP(AP$1,'Input Assumptions'!$C$34:$L$34,'Input Assumptions'!$C$36:$L$36)</f>
        <v>2045.1718750000005</v>
      </c>
      <c r="AQ33" s="128">
        <f>$N$3*_xlfn.XLOOKUP(AQ$1,'Input Assumptions'!$C$34:$L$34,'Input Assumptions'!$C$36:$L$36)</f>
        <v>2045.1718750000005</v>
      </c>
      <c r="AR33" s="128">
        <f>$N$3*_xlfn.XLOOKUP(AR$1,'Input Assumptions'!$C$34:$L$34,'Input Assumptions'!$C$36:$L$36)</f>
        <v>2045.1718750000005</v>
      </c>
      <c r="AS33" s="128">
        <f>$N$3*_xlfn.XLOOKUP(AS$1,'Input Assumptions'!$C$34:$L$34,'Input Assumptions'!$C$36:$L$36)</f>
        <v>2045.1718750000005</v>
      </c>
      <c r="AT33" s="128">
        <f>$N$3*_xlfn.XLOOKUP(AT$1,'Input Assumptions'!$C$34:$L$34,'Input Assumptions'!$C$36:$L$36)</f>
        <v>2045.1718750000005</v>
      </c>
      <c r="AU33" s="128">
        <f>$N$3*_xlfn.XLOOKUP(AU$1,'Input Assumptions'!$C$34:$L$34,'Input Assumptions'!$C$36:$L$36)</f>
        <v>2045.1718750000005</v>
      </c>
      <c r="AV33" s="128">
        <f>$N$3*_xlfn.XLOOKUP(AV$1,'Input Assumptions'!$C$34:$L$34,'Input Assumptions'!$C$36:$L$36)</f>
        <v>2045.1718750000005</v>
      </c>
      <c r="AW33" s="128">
        <f>$N$3*_xlfn.XLOOKUP(AW$1,'Input Assumptions'!$C$34:$L$34,'Input Assumptions'!$C$36:$L$36)</f>
        <v>2045.1718750000005</v>
      </c>
      <c r="AX33" s="128">
        <f>$N$3*_xlfn.XLOOKUP(AX$1,'Input Assumptions'!$C$34:$L$34,'Input Assumptions'!$C$36:$L$36)</f>
        <v>2121.8658203125005</v>
      </c>
      <c r="AY33" s="128">
        <f>$N$3*_xlfn.XLOOKUP(AY$1,'Input Assumptions'!$C$34:$L$34,'Input Assumptions'!$C$36:$L$36)</f>
        <v>2121.8658203125005</v>
      </c>
      <c r="AZ33" s="128">
        <f>$N$3*_xlfn.XLOOKUP(AZ$1,'Input Assumptions'!$C$34:$L$34,'Input Assumptions'!$C$36:$L$36)</f>
        <v>2121.8658203125005</v>
      </c>
      <c r="BA33" s="128">
        <f>$N$3*_xlfn.XLOOKUP(BA$1,'Input Assumptions'!$C$34:$L$34,'Input Assumptions'!$C$36:$L$36)</f>
        <v>2121.8658203125005</v>
      </c>
      <c r="BB33" s="128">
        <f>$N$3*_xlfn.XLOOKUP(BB$1,'Input Assumptions'!$C$34:$L$34,'Input Assumptions'!$C$36:$L$36)</f>
        <v>2121.8658203125005</v>
      </c>
      <c r="BC33" s="128">
        <f>$N$3*_xlfn.XLOOKUP(BC$1,'Input Assumptions'!$C$34:$L$34,'Input Assumptions'!$C$36:$L$36)</f>
        <v>2121.8658203125005</v>
      </c>
      <c r="BD33" s="128">
        <f>$N$3*_xlfn.XLOOKUP(BD$1,'Input Assumptions'!$C$34:$L$34,'Input Assumptions'!$C$36:$L$36)</f>
        <v>2121.8658203125005</v>
      </c>
      <c r="BE33" s="128">
        <f>$N$3*_xlfn.XLOOKUP(BE$1,'Input Assumptions'!$C$34:$L$34,'Input Assumptions'!$C$36:$L$36)</f>
        <v>2121.8658203125005</v>
      </c>
      <c r="BF33" s="128">
        <f>$N$3*_xlfn.XLOOKUP(BF$1,'Input Assumptions'!$C$34:$L$34,'Input Assumptions'!$C$36:$L$36)</f>
        <v>2121.8658203125005</v>
      </c>
      <c r="BG33" s="128">
        <f>$N$3*_xlfn.XLOOKUP(BG$1,'Input Assumptions'!$C$34:$L$34,'Input Assumptions'!$C$36:$L$36)</f>
        <v>2121.8658203125005</v>
      </c>
      <c r="BH33" s="128">
        <f>$N$3*_xlfn.XLOOKUP(BH$1,'Input Assumptions'!$C$34:$L$34,'Input Assumptions'!$C$36:$L$36)</f>
        <v>2121.8658203125005</v>
      </c>
      <c r="BI33" s="128">
        <f>$N$3*_xlfn.XLOOKUP(BI$1,'Input Assumptions'!$C$34:$L$34,'Input Assumptions'!$C$36:$L$36)</f>
        <v>2121.8658203125005</v>
      </c>
      <c r="BJ33" s="128">
        <f>$N$3*_xlfn.XLOOKUP(BJ$1,'Input Assumptions'!$C$34:$L$34,'Input Assumptions'!$C$36:$L$36)</f>
        <v>2201.4357885742193</v>
      </c>
      <c r="BK33" s="128">
        <f>$N$3*_xlfn.XLOOKUP(BK$1,'Input Assumptions'!$C$34:$L$34,'Input Assumptions'!$C$36:$L$36)</f>
        <v>2201.4357885742193</v>
      </c>
      <c r="BL33" s="128">
        <f>$N$3*_xlfn.XLOOKUP(BL$1,'Input Assumptions'!$C$34:$L$34,'Input Assumptions'!$C$36:$L$36)</f>
        <v>2201.4357885742193</v>
      </c>
      <c r="BM33" s="128">
        <f>$N$3*_xlfn.XLOOKUP(BM$1,'Input Assumptions'!$C$34:$L$34,'Input Assumptions'!$C$36:$L$36)</f>
        <v>2201.4357885742193</v>
      </c>
      <c r="BN33" s="128">
        <f>$N$3*_xlfn.XLOOKUP(BN$1,'Input Assumptions'!$C$34:$L$34,'Input Assumptions'!$C$36:$L$36)</f>
        <v>2201.4357885742193</v>
      </c>
      <c r="BO33" s="128">
        <f>$N$3*_xlfn.XLOOKUP(BO$1,'Input Assumptions'!$C$34:$L$34,'Input Assumptions'!$C$36:$L$36)</f>
        <v>2201.4357885742193</v>
      </c>
      <c r="BP33" s="128">
        <f>$N$3*_xlfn.XLOOKUP(BP$1,'Input Assumptions'!$C$34:$L$34,'Input Assumptions'!$C$36:$L$36)</f>
        <v>2201.4357885742193</v>
      </c>
      <c r="BQ33" s="128">
        <f>$N$3*_xlfn.XLOOKUP(BQ$1,'Input Assumptions'!$C$34:$L$34,'Input Assumptions'!$C$36:$L$36)</f>
        <v>2201.4357885742193</v>
      </c>
      <c r="BR33" s="128">
        <f>$N$3*_xlfn.XLOOKUP(BR$1,'Input Assumptions'!$C$34:$L$34,'Input Assumptions'!$C$36:$L$36)</f>
        <v>2201.4357885742193</v>
      </c>
      <c r="BS33" s="128">
        <f>$N$3*_xlfn.XLOOKUP(BS$1,'Input Assumptions'!$C$34:$L$34,'Input Assumptions'!$C$36:$L$36)</f>
        <v>2201.4357885742193</v>
      </c>
      <c r="BT33" s="128">
        <f>$N$3*_xlfn.XLOOKUP(BT$1,'Input Assumptions'!$C$34:$L$34,'Input Assumptions'!$C$36:$L$36)</f>
        <v>2201.4357885742193</v>
      </c>
      <c r="BU33" s="128">
        <f>$N$3*_xlfn.XLOOKUP(BU$1,'Input Assumptions'!$C$34:$L$34,'Input Assumptions'!$C$36:$L$36)</f>
        <v>2201.4357885742193</v>
      </c>
      <c r="BV33" s="128">
        <f>$N$3*_xlfn.XLOOKUP(BV$1,'Input Assumptions'!$C$34:$L$34,'Input Assumptions'!$C$36:$L$36)</f>
        <v>2283.9896306457531</v>
      </c>
      <c r="BW33" s="128">
        <f>$N$3*_xlfn.XLOOKUP(BW$1,'Input Assumptions'!$C$34:$L$34,'Input Assumptions'!$C$36:$L$36)</f>
        <v>1900</v>
      </c>
      <c r="BX33" s="128">
        <f>$N$3*_xlfn.XLOOKUP(BX$1,'Input Assumptions'!$C$34:$L$34,'Input Assumptions'!$C$36:$L$36)</f>
        <v>1900</v>
      </c>
      <c r="BY33" s="128">
        <f>$N$3*_xlfn.XLOOKUP(BY$1,'Input Assumptions'!$C$34:$L$34,'Input Assumptions'!$C$36:$L$36)</f>
        <v>1900</v>
      </c>
      <c r="BZ33" s="128">
        <f>$N$3*_xlfn.XLOOKUP(BZ$1,'Input Assumptions'!$C$34:$L$34,'Input Assumptions'!$C$36:$L$36)</f>
        <v>1900</v>
      </c>
      <c r="CA33" s="128">
        <f>$N$3*_xlfn.XLOOKUP(CA$1,'Input Assumptions'!$C$34:$L$34,'Input Assumptions'!$C$36:$L$36)</f>
        <v>1900</v>
      </c>
      <c r="CB33" s="128">
        <f>$N$3*_xlfn.XLOOKUP(CB$1,'Input Assumptions'!$C$34:$L$34,'Input Assumptions'!$C$36:$L$36)</f>
        <v>1900</v>
      </c>
      <c r="CC33" s="128">
        <f>$N$3*_xlfn.XLOOKUP(CC$1,'Input Assumptions'!$C$34:$L$34,'Input Assumptions'!$C$36:$L$36)</f>
        <v>1900</v>
      </c>
      <c r="CD33" s="128">
        <f>$N$3*_xlfn.XLOOKUP(CD$1,'Input Assumptions'!$C$34:$L$34,'Input Assumptions'!$C$36:$L$36)</f>
        <v>1900</v>
      </c>
      <c r="CE33" s="128">
        <f>$N$3*_xlfn.XLOOKUP(CE$1,'Input Assumptions'!$C$34:$L$34,'Input Assumptions'!$C$36:$L$36)</f>
        <v>1900</v>
      </c>
      <c r="CF33" s="128">
        <f>$N$3*_xlfn.XLOOKUP(CF$1,'Input Assumptions'!$C$34:$L$34,'Input Assumptions'!$C$36:$L$36)</f>
        <v>1900</v>
      </c>
      <c r="CG33" s="128">
        <f>$N$3*_xlfn.XLOOKUP(CG$1,'Input Assumptions'!$C$34:$L$34,'Input Assumptions'!$C$36:$L$36)</f>
        <v>1900</v>
      </c>
      <c r="CH33" s="128">
        <f>$N$3*_xlfn.XLOOKUP(CH$1,'Input Assumptions'!$C$34:$L$34,'Input Assumptions'!$C$36:$L$36)</f>
        <v>1900</v>
      </c>
      <c r="CI33" s="128">
        <f>$N$3*_xlfn.XLOOKUP(CI$1,'Input Assumptions'!$C$34:$L$34,'Input Assumptions'!$C$36:$L$36)</f>
        <v>1971.2500000000002</v>
      </c>
      <c r="CJ33" s="128">
        <f>$N$3*_xlfn.XLOOKUP(CJ$1,'Input Assumptions'!$C$34:$L$34,'Input Assumptions'!$C$36:$L$36)</f>
        <v>1971.2500000000002</v>
      </c>
      <c r="CK33" s="128">
        <f>$N$3*_xlfn.XLOOKUP(CK$1,'Input Assumptions'!$C$34:$L$34,'Input Assumptions'!$C$36:$L$36)</f>
        <v>1971.2500000000002</v>
      </c>
      <c r="CL33" s="128">
        <f>$N$3*_xlfn.XLOOKUP(CL$1,'Input Assumptions'!$C$34:$L$34,'Input Assumptions'!$C$36:$L$36)</f>
        <v>1971.2500000000002</v>
      </c>
      <c r="CM33" s="128">
        <f>$N$3*_xlfn.XLOOKUP(CM$1,'Input Assumptions'!$C$34:$L$34,'Input Assumptions'!$C$36:$L$36)</f>
        <v>1971.2500000000002</v>
      </c>
      <c r="CN33" s="128">
        <f>$N$3*_xlfn.XLOOKUP(CN$1,'Input Assumptions'!$C$34:$L$34,'Input Assumptions'!$C$36:$L$36)</f>
        <v>1971.2500000000002</v>
      </c>
      <c r="CO33" s="128">
        <f>$N$3*_xlfn.XLOOKUP(CO$1,'Input Assumptions'!$C$34:$L$34,'Input Assumptions'!$C$36:$L$36)</f>
        <v>1971.2500000000002</v>
      </c>
      <c r="CP33" s="128">
        <f>$N$3*_xlfn.XLOOKUP(CP$1,'Input Assumptions'!$C$34:$L$34,'Input Assumptions'!$C$36:$L$36)</f>
        <v>1971.2500000000002</v>
      </c>
      <c r="CQ33" s="128">
        <f>$N$3*_xlfn.XLOOKUP(CQ$1,'Input Assumptions'!$C$34:$L$34,'Input Assumptions'!$C$36:$L$36)</f>
        <v>1971.2500000000002</v>
      </c>
      <c r="CR33" s="128">
        <f>$N$3*_xlfn.XLOOKUP(CR$1,'Input Assumptions'!$C$34:$L$34,'Input Assumptions'!$C$36:$L$36)</f>
        <v>1971.2500000000002</v>
      </c>
      <c r="CS33" s="128">
        <f>$N$3*_xlfn.XLOOKUP(CS$1,'Input Assumptions'!$C$34:$L$34,'Input Assumptions'!$C$36:$L$36)</f>
        <v>1971.2500000000002</v>
      </c>
      <c r="CT33" s="128">
        <f>$N$3*_xlfn.XLOOKUP(CT$1,'Input Assumptions'!$C$34:$L$34,'Input Assumptions'!$C$36:$L$36)</f>
        <v>1971.2500000000002</v>
      </c>
      <c r="CU33" s="128">
        <f>$N$3*_xlfn.XLOOKUP(CU$1,'Input Assumptions'!$C$34:$L$34,'Input Assumptions'!$C$36:$L$36)</f>
        <v>2045.1718750000005</v>
      </c>
      <c r="CV33" s="128">
        <f>$N$3*_xlfn.XLOOKUP(CV$1,'Input Assumptions'!$C$34:$L$34,'Input Assumptions'!$C$36:$L$36)</f>
        <v>2045.1718750000005</v>
      </c>
      <c r="CW33" s="128">
        <f>$N$3*_xlfn.XLOOKUP(CW$1,'Input Assumptions'!$C$34:$L$34,'Input Assumptions'!$C$36:$L$36)</f>
        <v>2045.1718750000005</v>
      </c>
      <c r="CX33" s="128">
        <f>$N$3*_xlfn.XLOOKUP(CX$1,'Input Assumptions'!$C$34:$L$34,'Input Assumptions'!$C$36:$L$36)</f>
        <v>2045.1718750000005</v>
      </c>
      <c r="CY33" s="128">
        <f>$N$3*_xlfn.XLOOKUP(CY$1,'Input Assumptions'!$C$34:$L$34,'Input Assumptions'!$C$36:$L$36)</f>
        <v>2045.1718750000005</v>
      </c>
      <c r="CZ33" s="128">
        <f>$N$3*_xlfn.XLOOKUP(CZ$1,'Input Assumptions'!$C$34:$L$34,'Input Assumptions'!$C$36:$L$36)</f>
        <v>2045.1718750000005</v>
      </c>
      <c r="DA33" s="128">
        <f>$N$3*_xlfn.XLOOKUP(DA$1,'Input Assumptions'!$C$34:$L$34,'Input Assumptions'!$C$36:$L$36)</f>
        <v>2045.1718750000005</v>
      </c>
      <c r="DB33" s="128">
        <f>$N$3*_xlfn.XLOOKUP(DB$1,'Input Assumptions'!$C$34:$L$34,'Input Assumptions'!$C$36:$L$36)</f>
        <v>2045.1718750000005</v>
      </c>
      <c r="DC33" s="128">
        <f>$N$3*_xlfn.XLOOKUP(DC$1,'Input Assumptions'!$C$34:$L$34,'Input Assumptions'!$C$36:$L$36)</f>
        <v>2045.1718750000005</v>
      </c>
      <c r="DD33" s="128">
        <f>$N$3*_xlfn.XLOOKUP(DD$1,'Input Assumptions'!$C$34:$L$34,'Input Assumptions'!$C$36:$L$36)</f>
        <v>2045.1718750000005</v>
      </c>
      <c r="DE33" s="128">
        <f>$N$3*_xlfn.XLOOKUP(DE$1,'Input Assumptions'!$C$34:$L$34,'Input Assumptions'!$C$36:$L$36)</f>
        <v>2045.1718750000005</v>
      </c>
      <c r="DF33" s="128">
        <f>$N$3*_xlfn.XLOOKUP(DF$1,'Input Assumptions'!$C$34:$L$34,'Input Assumptions'!$C$36:$L$36)</f>
        <v>2045.1718750000005</v>
      </c>
      <c r="DG33" s="128">
        <f>$N$3*_xlfn.XLOOKUP(DG$1,'Input Assumptions'!$C$34:$L$34,'Input Assumptions'!$C$36:$L$36)</f>
        <v>2121.8658203125005</v>
      </c>
      <c r="DH33" s="128">
        <f>$N$3*_xlfn.XLOOKUP(DH$1,'Input Assumptions'!$C$34:$L$34,'Input Assumptions'!$C$36:$L$36)</f>
        <v>2121.8658203125005</v>
      </c>
      <c r="DI33" s="128">
        <f>$N$3*_xlfn.XLOOKUP(DI$1,'Input Assumptions'!$C$34:$L$34,'Input Assumptions'!$C$36:$L$36)</f>
        <v>2121.8658203125005</v>
      </c>
      <c r="DJ33" s="128">
        <f>$N$3*_xlfn.XLOOKUP(DJ$1,'Input Assumptions'!$C$34:$L$34,'Input Assumptions'!$C$36:$L$36)</f>
        <v>2121.8658203125005</v>
      </c>
      <c r="DK33" s="128">
        <f>$N$3*_xlfn.XLOOKUP(DK$1,'Input Assumptions'!$C$34:$L$34,'Input Assumptions'!$C$36:$L$36)</f>
        <v>2121.8658203125005</v>
      </c>
      <c r="DL33" s="128">
        <f>$N$3*_xlfn.XLOOKUP(DL$1,'Input Assumptions'!$C$34:$L$34,'Input Assumptions'!$C$36:$L$36)</f>
        <v>2121.8658203125005</v>
      </c>
      <c r="DM33" s="128">
        <f>$N$3*_xlfn.XLOOKUP(DM$1,'Input Assumptions'!$C$34:$L$34,'Input Assumptions'!$C$36:$L$36)</f>
        <v>2121.8658203125005</v>
      </c>
      <c r="DN33" s="128">
        <f>$N$3*_xlfn.XLOOKUP(DN$1,'Input Assumptions'!$C$34:$L$34,'Input Assumptions'!$C$36:$L$36)</f>
        <v>2121.8658203125005</v>
      </c>
      <c r="DO33" s="128">
        <f>$N$3*_xlfn.XLOOKUP(DO$1,'Input Assumptions'!$C$34:$L$34,'Input Assumptions'!$C$36:$L$36)</f>
        <v>2121.8658203125005</v>
      </c>
      <c r="DP33" s="128">
        <f>$N$3*_xlfn.XLOOKUP(DP$1,'Input Assumptions'!$C$34:$L$34,'Input Assumptions'!$C$36:$L$36)</f>
        <v>2121.8658203125005</v>
      </c>
      <c r="DQ33" s="128">
        <f>$N$3*_xlfn.XLOOKUP(DQ$1,'Input Assumptions'!$C$34:$L$34,'Input Assumptions'!$C$36:$L$36)</f>
        <v>2121.8658203125005</v>
      </c>
      <c r="DR33" s="128">
        <f>$N$3*_xlfn.XLOOKUP(DR$1,'Input Assumptions'!$C$34:$L$34,'Input Assumptions'!$C$36:$L$36)</f>
        <v>2121.8658203125005</v>
      </c>
      <c r="DS33" s="128">
        <f>$N$3*_xlfn.XLOOKUP(DS$1,'Input Assumptions'!$C$34:$L$34,'Input Assumptions'!$C$36:$L$36)</f>
        <v>2201.4357885742193</v>
      </c>
      <c r="DT33" s="128">
        <f>$N$3*_xlfn.XLOOKUP(DT$1,'Input Assumptions'!$C$34:$L$34,'Input Assumptions'!$C$36:$L$36)</f>
        <v>2201.4357885742193</v>
      </c>
      <c r="DU33" s="128">
        <f>$N$3*_xlfn.XLOOKUP(DU$1,'Input Assumptions'!$C$34:$L$34,'Input Assumptions'!$C$36:$L$36)</f>
        <v>2201.4357885742193</v>
      </c>
      <c r="DV33" s="128">
        <f>$N$3*_xlfn.XLOOKUP(DV$1,'Input Assumptions'!$C$34:$L$34,'Input Assumptions'!$C$36:$L$36)</f>
        <v>2201.4357885742193</v>
      </c>
      <c r="DW33" s="128">
        <f>$N$3*_xlfn.XLOOKUP(DW$1,'Input Assumptions'!$C$34:$L$34,'Input Assumptions'!$C$36:$L$36)</f>
        <v>2201.4357885742193</v>
      </c>
      <c r="DX33" s="128">
        <f>$N$3*_xlfn.XLOOKUP(DX$1,'Input Assumptions'!$C$34:$L$34,'Input Assumptions'!$C$36:$L$36)</f>
        <v>2201.4357885742193</v>
      </c>
      <c r="DY33" s="128">
        <f>$N$3*_xlfn.XLOOKUP(DY$1,'Input Assumptions'!$C$34:$L$34,'Input Assumptions'!$C$36:$L$36)</f>
        <v>2201.4357885742193</v>
      </c>
      <c r="DZ33" s="128">
        <f>$N$3*_xlfn.XLOOKUP(DZ$1,'Input Assumptions'!$C$34:$L$34,'Input Assumptions'!$C$36:$L$36)</f>
        <v>2201.4357885742193</v>
      </c>
      <c r="EA33" s="128">
        <f>$N$3*_xlfn.XLOOKUP(EA$1,'Input Assumptions'!$C$34:$L$34,'Input Assumptions'!$C$36:$L$36)</f>
        <v>2201.4357885742193</v>
      </c>
      <c r="EB33" s="128">
        <f>$N$3*_xlfn.XLOOKUP(EB$1,'Input Assumptions'!$C$34:$L$34,'Input Assumptions'!$C$36:$L$36)</f>
        <v>2201.4357885742193</v>
      </c>
      <c r="EC33" s="128">
        <f>$N$3*_xlfn.XLOOKUP(EC$1,'Input Assumptions'!$C$34:$L$34,'Input Assumptions'!$C$36:$L$36)</f>
        <v>2201.4357885742193</v>
      </c>
    </row>
    <row r="34" spans="2:135" x14ac:dyDescent="0.3">
      <c r="B34" s="15">
        <v>4</v>
      </c>
      <c r="C34" s="16">
        <v>32</v>
      </c>
      <c r="D34" s="16" t="s">
        <v>10</v>
      </c>
      <c r="E34" s="16">
        <v>450</v>
      </c>
      <c r="F34" s="20">
        <f t="shared" si="114"/>
        <v>41.80640845790095</v>
      </c>
      <c r="G34" s="19" t="str">
        <f t="shared" si="115"/>
        <v>1</v>
      </c>
      <c r="H34" s="20">
        <f t="shared" si="116"/>
        <v>1</v>
      </c>
      <c r="I34" s="18">
        <f t="shared" si="117"/>
        <v>1710</v>
      </c>
      <c r="J34" s="18">
        <f t="shared" si="118"/>
        <v>1900</v>
      </c>
      <c r="K34" s="18">
        <f>(J34*'Input Assumptions'!$C$20)+I34*('Input Assumptions'!$C$21)</f>
        <v>1900</v>
      </c>
      <c r="L34" s="94"/>
      <c r="M34" s="4"/>
      <c r="N34" s="128">
        <f t="shared" si="119"/>
        <v>1900</v>
      </c>
      <c r="O34" s="128">
        <f>$N$3*_xlfn.XLOOKUP(O$1,'Input Assumptions'!$C$34:$L$34,'Input Assumptions'!$C$36:$L$36)</f>
        <v>1900</v>
      </c>
      <c r="P34" s="128">
        <f>$N$3*_xlfn.XLOOKUP(P$1,'Input Assumptions'!$C$34:$L$34,'Input Assumptions'!$C$36:$L$36)</f>
        <v>1900</v>
      </c>
      <c r="Q34" s="128">
        <f>$N$3*_xlfn.XLOOKUP(Q$1,'Input Assumptions'!$C$34:$L$34,'Input Assumptions'!$C$36:$L$36)</f>
        <v>1900</v>
      </c>
      <c r="R34" s="128">
        <f>$N$3*_xlfn.XLOOKUP(R$1,'Input Assumptions'!$C$34:$L$34,'Input Assumptions'!$C$36:$L$36)</f>
        <v>1900</v>
      </c>
      <c r="S34" s="128">
        <f>$N$3*_xlfn.XLOOKUP(S$1,'Input Assumptions'!$C$34:$L$34,'Input Assumptions'!$C$36:$L$36)</f>
        <v>1900</v>
      </c>
      <c r="T34" s="128">
        <f>$N$3*_xlfn.XLOOKUP(T$1,'Input Assumptions'!$C$34:$L$34,'Input Assumptions'!$C$36:$L$36)</f>
        <v>1900</v>
      </c>
      <c r="U34" s="128">
        <f>$N$3*_xlfn.XLOOKUP(U$1,'Input Assumptions'!$C$34:$L$34,'Input Assumptions'!$C$36:$L$36)</f>
        <v>1900</v>
      </c>
      <c r="V34" s="128">
        <f>$N$3*_xlfn.XLOOKUP(V$1,'Input Assumptions'!$C$34:$L$34,'Input Assumptions'!$C$36:$L$36)</f>
        <v>1900</v>
      </c>
      <c r="W34" s="128">
        <f>$N$3*_xlfn.XLOOKUP(W$1,'Input Assumptions'!$C$34:$L$34,'Input Assumptions'!$C$36:$L$36)</f>
        <v>1900</v>
      </c>
      <c r="X34" s="128">
        <f>$N$3*_xlfn.XLOOKUP(X$1,'Input Assumptions'!$C$34:$L$34,'Input Assumptions'!$C$36:$L$36)</f>
        <v>1900</v>
      </c>
      <c r="Y34" s="128">
        <f>$N$3*_xlfn.XLOOKUP(Y$1,'Input Assumptions'!$C$34:$L$34,'Input Assumptions'!$C$36:$L$36)</f>
        <v>1900</v>
      </c>
      <c r="Z34" s="128">
        <f>$N$3*_xlfn.XLOOKUP(Z$1,'Input Assumptions'!$C$34:$L$34,'Input Assumptions'!$C$36:$L$36)</f>
        <v>1971.2500000000002</v>
      </c>
      <c r="AA34" s="128">
        <f>$N$3*_xlfn.XLOOKUP(AA$1,'Input Assumptions'!$C$34:$L$34,'Input Assumptions'!$C$36:$L$36)</f>
        <v>1971.2500000000002</v>
      </c>
      <c r="AB34" s="128">
        <f>$N$3*_xlfn.XLOOKUP(AB$1,'Input Assumptions'!$C$34:$L$34,'Input Assumptions'!$C$36:$L$36)</f>
        <v>1971.2500000000002</v>
      </c>
      <c r="AC34" s="128">
        <f>$N$3*_xlfn.XLOOKUP(AC$1,'Input Assumptions'!$C$34:$L$34,'Input Assumptions'!$C$36:$L$36)</f>
        <v>1971.2500000000002</v>
      </c>
      <c r="AD34" s="128">
        <f>$N$3*_xlfn.XLOOKUP(AD$1,'Input Assumptions'!$C$34:$L$34,'Input Assumptions'!$C$36:$L$36)</f>
        <v>1971.2500000000002</v>
      </c>
      <c r="AE34" s="128">
        <f>$N$3*_xlfn.XLOOKUP(AE$1,'Input Assumptions'!$C$34:$L$34,'Input Assumptions'!$C$36:$L$36)</f>
        <v>1971.2500000000002</v>
      </c>
      <c r="AF34" s="128">
        <f>$N$3*_xlfn.XLOOKUP(AF$1,'Input Assumptions'!$C$34:$L$34,'Input Assumptions'!$C$36:$L$36)</f>
        <v>1971.2500000000002</v>
      </c>
      <c r="AG34" s="128">
        <f>$N$3*_xlfn.XLOOKUP(AG$1,'Input Assumptions'!$C$34:$L$34,'Input Assumptions'!$C$36:$L$36)</f>
        <v>1971.2500000000002</v>
      </c>
      <c r="AH34" s="128">
        <f>$N$3*_xlfn.XLOOKUP(AH$1,'Input Assumptions'!$C$34:$L$34,'Input Assumptions'!$C$36:$L$36)</f>
        <v>1971.2500000000002</v>
      </c>
      <c r="AI34" s="128">
        <f>$N$3*_xlfn.XLOOKUP(AI$1,'Input Assumptions'!$C$34:$L$34,'Input Assumptions'!$C$36:$L$36)</f>
        <v>1971.2500000000002</v>
      </c>
      <c r="AJ34" s="128">
        <f>$N$3*_xlfn.XLOOKUP(AJ$1,'Input Assumptions'!$C$34:$L$34,'Input Assumptions'!$C$36:$L$36)</f>
        <v>1971.2500000000002</v>
      </c>
      <c r="AK34" s="128">
        <f>$N$3*_xlfn.XLOOKUP(AK$1,'Input Assumptions'!$C$34:$L$34,'Input Assumptions'!$C$36:$L$36)</f>
        <v>1971.2500000000002</v>
      </c>
      <c r="AL34" s="128">
        <f>$N$3*_xlfn.XLOOKUP(AL$1,'Input Assumptions'!$C$34:$L$34,'Input Assumptions'!$C$36:$L$36)</f>
        <v>2045.1718750000005</v>
      </c>
      <c r="AM34" s="128">
        <f>$N$3*_xlfn.XLOOKUP(AM$1,'Input Assumptions'!$C$34:$L$34,'Input Assumptions'!$C$36:$L$36)</f>
        <v>2045.1718750000005</v>
      </c>
      <c r="AN34" s="128">
        <f>$N$3*_xlfn.XLOOKUP(AN$1,'Input Assumptions'!$C$34:$L$34,'Input Assumptions'!$C$36:$L$36)</f>
        <v>2045.1718750000005</v>
      </c>
      <c r="AO34" s="128">
        <f>$N$3*_xlfn.XLOOKUP(AO$1,'Input Assumptions'!$C$34:$L$34,'Input Assumptions'!$C$36:$L$36)</f>
        <v>2045.1718750000005</v>
      </c>
      <c r="AP34" s="128">
        <f>$N$3*_xlfn.XLOOKUP(AP$1,'Input Assumptions'!$C$34:$L$34,'Input Assumptions'!$C$36:$L$36)</f>
        <v>2045.1718750000005</v>
      </c>
      <c r="AQ34" s="128">
        <f>$N$3*_xlfn.XLOOKUP(AQ$1,'Input Assumptions'!$C$34:$L$34,'Input Assumptions'!$C$36:$L$36)</f>
        <v>2045.1718750000005</v>
      </c>
      <c r="AR34" s="128">
        <f>$N$3*_xlfn.XLOOKUP(AR$1,'Input Assumptions'!$C$34:$L$34,'Input Assumptions'!$C$36:$L$36)</f>
        <v>2045.1718750000005</v>
      </c>
      <c r="AS34" s="128">
        <f>$N$3*_xlfn.XLOOKUP(AS$1,'Input Assumptions'!$C$34:$L$34,'Input Assumptions'!$C$36:$L$36)</f>
        <v>2045.1718750000005</v>
      </c>
      <c r="AT34" s="128">
        <f>$N$3*_xlfn.XLOOKUP(AT$1,'Input Assumptions'!$C$34:$L$34,'Input Assumptions'!$C$36:$L$36)</f>
        <v>2045.1718750000005</v>
      </c>
      <c r="AU34" s="128">
        <f>$N$3*_xlfn.XLOOKUP(AU$1,'Input Assumptions'!$C$34:$L$34,'Input Assumptions'!$C$36:$L$36)</f>
        <v>2045.1718750000005</v>
      </c>
      <c r="AV34" s="128">
        <f>$N$3*_xlfn.XLOOKUP(AV$1,'Input Assumptions'!$C$34:$L$34,'Input Assumptions'!$C$36:$L$36)</f>
        <v>2045.1718750000005</v>
      </c>
      <c r="AW34" s="128">
        <f>$N$3*_xlfn.XLOOKUP(AW$1,'Input Assumptions'!$C$34:$L$34,'Input Assumptions'!$C$36:$L$36)</f>
        <v>2045.1718750000005</v>
      </c>
      <c r="AX34" s="128">
        <f>$N$3*_xlfn.XLOOKUP(AX$1,'Input Assumptions'!$C$34:$L$34,'Input Assumptions'!$C$36:$L$36)</f>
        <v>2121.8658203125005</v>
      </c>
      <c r="AY34" s="128">
        <f>$N$3*_xlfn.XLOOKUP(AY$1,'Input Assumptions'!$C$34:$L$34,'Input Assumptions'!$C$36:$L$36)</f>
        <v>2121.8658203125005</v>
      </c>
      <c r="AZ34" s="128">
        <f>$N$3*_xlfn.XLOOKUP(AZ$1,'Input Assumptions'!$C$34:$L$34,'Input Assumptions'!$C$36:$L$36)</f>
        <v>2121.8658203125005</v>
      </c>
      <c r="BA34" s="128">
        <f>$N$3*_xlfn.XLOOKUP(BA$1,'Input Assumptions'!$C$34:$L$34,'Input Assumptions'!$C$36:$L$36)</f>
        <v>2121.8658203125005</v>
      </c>
      <c r="BB34" s="128">
        <f>$N$3*_xlfn.XLOOKUP(BB$1,'Input Assumptions'!$C$34:$L$34,'Input Assumptions'!$C$36:$L$36)</f>
        <v>2121.8658203125005</v>
      </c>
      <c r="BC34" s="128">
        <f>$N$3*_xlfn.XLOOKUP(BC$1,'Input Assumptions'!$C$34:$L$34,'Input Assumptions'!$C$36:$L$36)</f>
        <v>2121.8658203125005</v>
      </c>
      <c r="BD34" s="128">
        <f>$N$3*_xlfn.XLOOKUP(BD$1,'Input Assumptions'!$C$34:$L$34,'Input Assumptions'!$C$36:$L$36)</f>
        <v>2121.8658203125005</v>
      </c>
      <c r="BE34" s="128">
        <f>$N$3*_xlfn.XLOOKUP(BE$1,'Input Assumptions'!$C$34:$L$34,'Input Assumptions'!$C$36:$L$36)</f>
        <v>2121.8658203125005</v>
      </c>
      <c r="BF34" s="128">
        <f>$N$3*_xlfn.XLOOKUP(BF$1,'Input Assumptions'!$C$34:$L$34,'Input Assumptions'!$C$36:$L$36)</f>
        <v>2121.8658203125005</v>
      </c>
      <c r="BG34" s="128">
        <f>$N$3*_xlfn.XLOOKUP(BG$1,'Input Assumptions'!$C$34:$L$34,'Input Assumptions'!$C$36:$L$36)</f>
        <v>2121.8658203125005</v>
      </c>
      <c r="BH34" s="128">
        <f>$N$3*_xlfn.XLOOKUP(BH$1,'Input Assumptions'!$C$34:$L$34,'Input Assumptions'!$C$36:$L$36)</f>
        <v>2121.8658203125005</v>
      </c>
      <c r="BI34" s="128">
        <f>$N$3*_xlfn.XLOOKUP(BI$1,'Input Assumptions'!$C$34:$L$34,'Input Assumptions'!$C$36:$L$36)</f>
        <v>2121.8658203125005</v>
      </c>
      <c r="BJ34" s="128">
        <f>$N$3*_xlfn.XLOOKUP(BJ$1,'Input Assumptions'!$C$34:$L$34,'Input Assumptions'!$C$36:$L$36)</f>
        <v>2201.4357885742193</v>
      </c>
      <c r="BK34" s="128">
        <f>$N$3*_xlfn.XLOOKUP(BK$1,'Input Assumptions'!$C$34:$L$34,'Input Assumptions'!$C$36:$L$36)</f>
        <v>2201.4357885742193</v>
      </c>
      <c r="BL34" s="128">
        <f>$N$3*_xlfn.XLOOKUP(BL$1,'Input Assumptions'!$C$34:$L$34,'Input Assumptions'!$C$36:$L$36)</f>
        <v>2201.4357885742193</v>
      </c>
      <c r="BM34" s="128">
        <f>$N$3*_xlfn.XLOOKUP(BM$1,'Input Assumptions'!$C$34:$L$34,'Input Assumptions'!$C$36:$L$36)</f>
        <v>2201.4357885742193</v>
      </c>
      <c r="BN34" s="128">
        <f>$N$3*_xlfn.XLOOKUP(BN$1,'Input Assumptions'!$C$34:$L$34,'Input Assumptions'!$C$36:$L$36)</f>
        <v>2201.4357885742193</v>
      </c>
      <c r="BO34" s="128">
        <f>$N$3*_xlfn.XLOOKUP(BO$1,'Input Assumptions'!$C$34:$L$34,'Input Assumptions'!$C$36:$L$36)</f>
        <v>2201.4357885742193</v>
      </c>
      <c r="BP34" s="128">
        <f>$N$3*_xlfn.XLOOKUP(BP$1,'Input Assumptions'!$C$34:$L$34,'Input Assumptions'!$C$36:$L$36)</f>
        <v>2201.4357885742193</v>
      </c>
      <c r="BQ34" s="128">
        <f>$N$3*_xlfn.XLOOKUP(BQ$1,'Input Assumptions'!$C$34:$L$34,'Input Assumptions'!$C$36:$L$36)</f>
        <v>2201.4357885742193</v>
      </c>
      <c r="BR34" s="128">
        <f>$N$3*_xlfn.XLOOKUP(BR$1,'Input Assumptions'!$C$34:$L$34,'Input Assumptions'!$C$36:$L$36)</f>
        <v>2201.4357885742193</v>
      </c>
      <c r="BS34" s="128">
        <f>$N$3*_xlfn.XLOOKUP(BS$1,'Input Assumptions'!$C$34:$L$34,'Input Assumptions'!$C$36:$L$36)</f>
        <v>2201.4357885742193</v>
      </c>
      <c r="BT34" s="128">
        <f>$N$3*_xlfn.XLOOKUP(BT$1,'Input Assumptions'!$C$34:$L$34,'Input Assumptions'!$C$36:$L$36)</f>
        <v>2201.4357885742193</v>
      </c>
      <c r="BU34" s="128">
        <f>$N$3*_xlfn.XLOOKUP(BU$1,'Input Assumptions'!$C$34:$L$34,'Input Assumptions'!$C$36:$L$36)</f>
        <v>2201.4357885742193</v>
      </c>
      <c r="BV34" s="128">
        <f>$N$3*_xlfn.XLOOKUP(BV$1,'Input Assumptions'!$C$34:$L$34,'Input Assumptions'!$C$36:$L$36)</f>
        <v>2283.9896306457531</v>
      </c>
      <c r="BW34" s="128">
        <f>$N$3*_xlfn.XLOOKUP(BW$1,'Input Assumptions'!$C$34:$L$34,'Input Assumptions'!$C$36:$L$36)</f>
        <v>1900</v>
      </c>
      <c r="BX34" s="128">
        <f>$N$3*_xlfn.XLOOKUP(BX$1,'Input Assumptions'!$C$34:$L$34,'Input Assumptions'!$C$36:$L$36)</f>
        <v>1900</v>
      </c>
      <c r="BY34" s="128">
        <f>$N$3*_xlfn.XLOOKUP(BY$1,'Input Assumptions'!$C$34:$L$34,'Input Assumptions'!$C$36:$L$36)</f>
        <v>1900</v>
      </c>
      <c r="BZ34" s="128">
        <f>$N$3*_xlfn.XLOOKUP(BZ$1,'Input Assumptions'!$C$34:$L$34,'Input Assumptions'!$C$36:$L$36)</f>
        <v>1900</v>
      </c>
      <c r="CA34" s="128">
        <f>$N$3*_xlfn.XLOOKUP(CA$1,'Input Assumptions'!$C$34:$L$34,'Input Assumptions'!$C$36:$L$36)</f>
        <v>1900</v>
      </c>
      <c r="CB34" s="128">
        <f>$N$3*_xlfn.XLOOKUP(CB$1,'Input Assumptions'!$C$34:$L$34,'Input Assumptions'!$C$36:$L$36)</f>
        <v>1900</v>
      </c>
      <c r="CC34" s="128">
        <f>$N$3*_xlfn.XLOOKUP(CC$1,'Input Assumptions'!$C$34:$L$34,'Input Assumptions'!$C$36:$L$36)</f>
        <v>1900</v>
      </c>
      <c r="CD34" s="128">
        <f>$N$3*_xlfn.XLOOKUP(CD$1,'Input Assumptions'!$C$34:$L$34,'Input Assumptions'!$C$36:$L$36)</f>
        <v>1900</v>
      </c>
      <c r="CE34" s="128">
        <f>$N$3*_xlfn.XLOOKUP(CE$1,'Input Assumptions'!$C$34:$L$34,'Input Assumptions'!$C$36:$L$36)</f>
        <v>1900</v>
      </c>
      <c r="CF34" s="128">
        <f>$N$3*_xlfn.XLOOKUP(CF$1,'Input Assumptions'!$C$34:$L$34,'Input Assumptions'!$C$36:$L$36)</f>
        <v>1900</v>
      </c>
      <c r="CG34" s="128">
        <f>$N$3*_xlfn.XLOOKUP(CG$1,'Input Assumptions'!$C$34:$L$34,'Input Assumptions'!$C$36:$L$36)</f>
        <v>1900</v>
      </c>
      <c r="CH34" s="128">
        <f>$N$3*_xlfn.XLOOKUP(CH$1,'Input Assumptions'!$C$34:$L$34,'Input Assumptions'!$C$36:$L$36)</f>
        <v>1900</v>
      </c>
      <c r="CI34" s="128">
        <f>$N$3*_xlfn.XLOOKUP(CI$1,'Input Assumptions'!$C$34:$L$34,'Input Assumptions'!$C$36:$L$36)</f>
        <v>1971.2500000000002</v>
      </c>
      <c r="CJ34" s="128">
        <f>$N$3*_xlfn.XLOOKUP(CJ$1,'Input Assumptions'!$C$34:$L$34,'Input Assumptions'!$C$36:$L$36)</f>
        <v>1971.2500000000002</v>
      </c>
      <c r="CK34" s="128">
        <f>$N$3*_xlfn.XLOOKUP(CK$1,'Input Assumptions'!$C$34:$L$34,'Input Assumptions'!$C$36:$L$36)</f>
        <v>1971.2500000000002</v>
      </c>
      <c r="CL34" s="128">
        <f>$N$3*_xlfn.XLOOKUP(CL$1,'Input Assumptions'!$C$34:$L$34,'Input Assumptions'!$C$36:$L$36)</f>
        <v>1971.2500000000002</v>
      </c>
      <c r="CM34" s="128">
        <f>$N$3*_xlfn.XLOOKUP(CM$1,'Input Assumptions'!$C$34:$L$34,'Input Assumptions'!$C$36:$L$36)</f>
        <v>1971.2500000000002</v>
      </c>
      <c r="CN34" s="128">
        <f>$N$3*_xlfn.XLOOKUP(CN$1,'Input Assumptions'!$C$34:$L$34,'Input Assumptions'!$C$36:$L$36)</f>
        <v>1971.2500000000002</v>
      </c>
      <c r="CO34" s="128">
        <f>$N$3*_xlfn.XLOOKUP(CO$1,'Input Assumptions'!$C$34:$L$34,'Input Assumptions'!$C$36:$L$36)</f>
        <v>1971.2500000000002</v>
      </c>
      <c r="CP34" s="128">
        <f>$N$3*_xlfn.XLOOKUP(CP$1,'Input Assumptions'!$C$34:$L$34,'Input Assumptions'!$C$36:$L$36)</f>
        <v>1971.2500000000002</v>
      </c>
      <c r="CQ34" s="128">
        <f>$N$3*_xlfn.XLOOKUP(CQ$1,'Input Assumptions'!$C$34:$L$34,'Input Assumptions'!$C$36:$L$36)</f>
        <v>1971.2500000000002</v>
      </c>
      <c r="CR34" s="128">
        <f>$N$3*_xlfn.XLOOKUP(CR$1,'Input Assumptions'!$C$34:$L$34,'Input Assumptions'!$C$36:$L$36)</f>
        <v>1971.2500000000002</v>
      </c>
      <c r="CS34" s="128">
        <f>$N$3*_xlfn.XLOOKUP(CS$1,'Input Assumptions'!$C$34:$L$34,'Input Assumptions'!$C$36:$L$36)</f>
        <v>1971.2500000000002</v>
      </c>
      <c r="CT34" s="128">
        <f>$N$3*_xlfn.XLOOKUP(CT$1,'Input Assumptions'!$C$34:$L$34,'Input Assumptions'!$C$36:$L$36)</f>
        <v>1971.2500000000002</v>
      </c>
      <c r="CU34" s="128">
        <f>$N$3*_xlfn.XLOOKUP(CU$1,'Input Assumptions'!$C$34:$L$34,'Input Assumptions'!$C$36:$L$36)</f>
        <v>2045.1718750000005</v>
      </c>
      <c r="CV34" s="128">
        <f>$N$3*_xlfn.XLOOKUP(CV$1,'Input Assumptions'!$C$34:$L$34,'Input Assumptions'!$C$36:$L$36)</f>
        <v>2045.1718750000005</v>
      </c>
      <c r="CW34" s="128">
        <f>$N$3*_xlfn.XLOOKUP(CW$1,'Input Assumptions'!$C$34:$L$34,'Input Assumptions'!$C$36:$L$36)</f>
        <v>2045.1718750000005</v>
      </c>
      <c r="CX34" s="128">
        <f>$N$3*_xlfn.XLOOKUP(CX$1,'Input Assumptions'!$C$34:$L$34,'Input Assumptions'!$C$36:$L$36)</f>
        <v>2045.1718750000005</v>
      </c>
      <c r="CY34" s="128">
        <f>$N$3*_xlfn.XLOOKUP(CY$1,'Input Assumptions'!$C$34:$L$34,'Input Assumptions'!$C$36:$L$36)</f>
        <v>2045.1718750000005</v>
      </c>
      <c r="CZ34" s="128">
        <f>$N$3*_xlfn.XLOOKUP(CZ$1,'Input Assumptions'!$C$34:$L$34,'Input Assumptions'!$C$36:$L$36)</f>
        <v>2045.1718750000005</v>
      </c>
      <c r="DA34" s="128">
        <f>$N$3*_xlfn.XLOOKUP(DA$1,'Input Assumptions'!$C$34:$L$34,'Input Assumptions'!$C$36:$L$36)</f>
        <v>2045.1718750000005</v>
      </c>
      <c r="DB34" s="128">
        <f>$N$3*_xlfn.XLOOKUP(DB$1,'Input Assumptions'!$C$34:$L$34,'Input Assumptions'!$C$36:$L$36)</f>
        <v>2045.1718750000005</v>
      </c>
      <c r="DC34" s="128">
        <f>$N$3*_xlfn.XLOOKUP(DC$1,'Input Assumptions'!$C$34:$L$34,'Input Assumptions'!$C$36:$L$36)</f>
        <v>2045.1718750000005</v>
      </c>
      <c r="DD34" s="128">
        <f>$N$3*_xlfn.XLOOKUP(DD$1,'Input Assumptions'!$C$34:$L$34,'Input Assumptions'!$C$36:$L$36)</f>
        <v>2045.1718750000005</v>
      </c>
      <c r="DE34" s="128">
        <f>$N$3*_xlfn.XLOOKUP(DE$1,'Input Assumptions'!$C$34:$L$34,'Input Assumptions'!$C$36:$L$36)</f>
        <v>2045.1718750000005</v>
      </c>
      <c r="DF34" s="128">
        <f>$N$3*_xlfn.XLOOKUP(DF$1,'Input Assumptions'!$C$34:$L$34,'Input Assumptions'!$C$36:$L$36)</f>
        <v>2045.1718750000005</v>
      </c>
      <c r="DG34" s="128">
        <f>$N$3*_xlfn.XLOOKUP(DG$1,'Input Assumptions'!$C$34:$L$34,'Input Assumptions'!$C$36:$L$36)</f>
        <v>2121.8658203125005</v>
      </c>
      <c r="DH34" s="128">
        <f>$N$3*_xlfn.XLOOKUP(DH$1,'Input Assumptions'!$C$34:$L$34,'Input Assumptions'!$C$36:$L$36)</f>
        <v>2121.8658203125005</v>
      </c>
      <c r="DI34" s="128">
        <f>$N$3*_xlfn.XLOOKUP(DI$1,'Input Assumptions'!$C$34:$L$34,'Input Assumptions'!$C$36:$L$36)</f>
        <v>2121.8658203125005</v>
      </c>
      <c r="DJ34" s="128">
        <f>$N$3*_xlfn.XLOOKUP(DJ$1,'Input Assumptions'!$C$34:$L$34,'Input Assumptions'!$C$36:$L$36)</f>
        <v>2121.8658203125005</v>
      </c>
      <c r="DK34" s="128">
        <f>$N$3*_xlfn.XLOOKUP(DK$1,'Input Assumptions'!$C$34:$L$34,'Input Assumptions'!$C$36:$L$36)</f>
        <v>2121.8658203125005</v>
      </c>
      <c r="DL34" s="128">
        <f>$N$3*_xlfn.XLOOKUP(DL$1,'Input Assumptions'!$C$34:$L$34,'Input Assumptions'!$C$36:$L$36)</f>
        <v>2121.8658203125005</v>
      </c>
      <c r="DM34" s="128">
        <f>$N$3*_xlfn.XLOOKUP(DM$1,'Input Assumptions'!$C$34:$L$34,'Input Assumptions'!$C$36:$L$36)</f>
        <v>2121.8658203125005</v>
      </c>
      <c r="DN34" s="128">
        <f>$N$3*_xlfn.XLOOKUP(DN$1,'Input Assumptions'!$C$34:$L$34,'Input Assumptions'!$C$36:$L$36)</f>
        <v>2121.8658203125005</v>
      </c>
      <c r="DO34" s="128">
        <f>$N$3*_xlfn.XLOOKUP(DO$1,'Input Assumptions'!$C$34:$L$34,'Input Assumptions'!$C$36:$L$36)</f>
        <v>2121.8658203125005</v>
      </c>
      <c r="DP34" s="128">
        <f>$N$3*_xlfn.XLOOKUP(DP$1,'Input Assumptions'!$C$34:$L$34,'Input Assumptions'!$C$36:$L$36)</f>
        <v>2121.8658203125005</v>
      </c>
      <c r="DQ34" s="128">
        <f>$N$3*_xlfn.XLOOKUP(DQ$1,'Input Assumptions'!$C$34:$L$34,'Input Assumptions'!$C$36:$L$36)</f>
        <v>2121.8658203125005</v>
      </c>
      <c r="DR34" s="128">
        <f>$N$3*_xlfn.XLOOKUP(DR$1,'Input Assumptions'!$C$34:$L$34,'Input Assumptions'!$C$36:$L$36)</f>
        <v>2121.8658203125005</v>
      </c>
      <c r="DS34" s="128">
        <f>$N$3*_xlfn.XLOOKUP(DS$1,'Input Assumptions'!$C$34:$L$34,'Input Assumptions'!$C$36:$L$36)</f>
        <v>2201.4357885742193</v>
      </c>
      <c r="DT34" s="128">
        <f>$N$3*_xlfn.XLOOKUP(DT$1,'Input Assumptions'!$C$34:$L$34,'Input Assumptions'!$C$36:$L$36)</f>
        <v>2201.4357885742193</v>
      </c>
      <c r="DU34" s="128">
        <f>$N$3*_xlfn.XLOOKUP(DU$1,'Input Assumptions'!$C$34:$L$34,'Input Assumptions'!$C$36:$L$36)</f>
        <v>2201.4357885742193</v>
      </c>
      <c r="DV34" s="128">
        <f>$N$3*_xlfn.XLOOKUP(DV$1,'Input Assumptions'!$C$34:$L$34,'Input Assumptions'!$C$36:$L$36)</f>
        <v>2201.4357885742193</v>
      </c>
      <c r="DW34" s="128">
        <f>$N$3*_xlfn.XLOOKUP(DW$1,'Input Assumptions'!$C$34:$L$34,'Input Assumptions'!$C$36:$L$36)</f>
        <v>2201.4357885742193</v>
      </c>
      <c r="DX34" s="128">
        <f>$N$3*_xlfn.XLOOKUP(DX$1,'Input Assumptions'!$C$34:$L$34,'Input Assumptions'!$C$36:$L$36)</f>
        <v>2201.4357885742193</v>
      </c>
      <c r="DY34" s="128">
        <f>$N$3*_xlfn.XLOOKUP(DY$1,'Input Assumptions'!$C$34:$L$34,'Input Assumptions'!$C$36:$L$36)</f>
        <v>2201.4357885742193</v>
      </c>
      <c r="DZ34" s="128">
        <f>$N$3*_xlfn.XLOOKUP(DZ$1,'Input Assumptions'!$C$34:$L$34,'Input Assumptions'!$C$36:$L$36)</f>
        <v>2201.4357885742193</v>
      </c>
      <c r="EA34" s="128">
        <f>$N$3*_xlfn.XLOOKUP(EA$1,'Input Assumptions'!$C$34:$L$34,'Input Assumptions'!$C$36:$L$36)</f>
        <v>2201.4357885742193</v>
      </c>
      <c r="EB34" s="128">
        <f>$N$3*_xlfn.XLOOKUP(EB$1,'Input Assumptions'!$C$34:$L$34,'Input Assumptions'!$C$36:$L$36)</f>
        <v>2201.4357885742193</v>
      </c>
      <c r="EC34" s="128">
        <f>$N$3*_xlfn.XLOOKUP(EC$1,'Input Assumptions'!$C$34:$L$34,'Input Assumptions'!$C$36:$L$36)</f>
        <v>2201.4357885742193</v>
      </c>
    </row>
    <row r="35" spans="2:135" x14ac:dyDescent="0.3">
      <c r="B35" s="15">
        <v>4</v>
      </c>
      <c r="C35" s="16">
        <v>33</v>
      </c>
      <c r="D35" s="16" t="s">
        <v>10</v>
      </c>
      <c r="E35" s="16">
        <v>450</v>
      </c>
      <c r="F35" s="20">
        <f t="shared" si="114"/>
        <v>41.80640845790095</v>
      </c>
      <c r="G35" s="19" t="str">
        <f t="shared" si="115"/>
        <v>1</v>
      </c>
      <c r="H35" s="20">
        <f t="shared" si="116"/>
        <v>1</v>
      </c>
      <c r="I35" s="18">
        <f t="shared" si="117"/>
        <v>1710</v>
      </c>
      <c r="J35" s="18">
        <f t="shared" si="118"/>
        <v>1900</v>
      </c>
      <c r="K35" s="18">
        <f>(J35*'Input Assumptions'!$C$20)+I35*('Input Assumptions'!$C$21)</f>
        <v>1900</v>
      </c>
      <c r="L35" s="94"/>
      <c r="M35" s="4"/>
      <c r="N35" s="128">
        <f t="shared" si="119"/>
        <v>1900</v>
      </c>
      <c r="O35" s="128">
        <f>$N$3*_xlfn.XLOOKUP(O$1,'Input Assumptions'!$C$34:$L$34,'Input Assumptions'!$C$36:$L$36)</f>
        <v>1900</v>
      </c>
      <c r="P35" s="128">
        <f>$N$3*_xlfn.XLOOKUP(P$1,'Input Assumptions'!$C$34:$L$34,'Input Assumptions'!$C$36:$L$36)</f>
        <v>1900</v>
      </c>
      <c r="Q35" s="128">
        <f>$N$3*_xlfn.XLOOKUP(Q$1,'Input Assumptions'!$C$34:$L$34,'Input Assumptions'!$C$36:$L$36)</f>
        <v>1900</v>
      </c>
      <c r="R35" s="128">
        <f>$N$3*_xlfn.XLOOKUP(R$1,'Input Assumptions'!$C$34:$L$34,'Input Assumptions'!$C$36:$L$36)</f>
        <v>1900</v>
      </c>
      <c r="S35" s="128">
        <f>$N$3*_xlfn.XLOOKUP(S$1,'Input Assumptions'!$C$34:$L$34,'Input Assumptions'!$C$36:$L$36)</f>
        <v>1900</v>
      </c>
      <c r="T35" s="128">
        <f>$N$3*_xlfn.XLOOKUP(T$1,'Input Assumptions'!$C$34:$L$34,'Input Assumptions'!$C$36:$L$36)</f>
        <v>1900</v>
      </c>
      <c r="U35" s="128">
        <f>$N$3*_xlfn.XLOOKUP(U$1,'Input Assumptions'!$C$34:$L$34,'Input Assumptions'!$C$36:$L$36)</f>
        <v>1900</v>
      </c>
      <c r="V35" s="128">
        <f>$N$3*_xlfn.XLOOKUP(V$1,'Input Assumptions'!$C$34:$L$34,'Input Assumptions'!$C$36:$L$36)</f>
        <v>1900</v>
      </c>
      <c r="W35" s="128">
        <f>$N$3*_xlfn.XLOOKUP(W$1,'Input Assumptions'!$C$34:$L$34,'Input Assumptions'!$C$36:$L$36)</f>
        <v>1900</v>
      </c>
      <c r="X35" s="128">
        <f>$N$3*_xlfn.XLOOKUP(X$1,'Input Assumptions'!$C$34:$L$34,'Input Assumptions'!$C$36:$L$36)</f>
        <v>1900</v>
      </c>
      <c r="Y35" s="128">
        <f>$N$3*_xlfn.XLOOKUP(Y$1,'Input Assumptions'!$C$34:$L$34,'Input Assumptions'!$C$36:$L$36)</f>
        <v>1900</v>
      </c>
      <c r="Z35" s="128">
        <f>$N$3*_xlfn.XLOOKUP(Z$1,'Input Assumptions'!$C$34:$L$34,'Input Assumptions'!$C$36:$L$36)</f>
        <v>1971.2500000000002</v>
      </c>
      <c r="AA35" s="128">
        <f>$N$3*_xlfn.XLOOKUP(AA$1,'Input Assumptions'!$C$34:$L$34,'Input Assumptions'!$C$36:$L$36)</f>
        <v>1971.2500000000002</v>
      </c>
      <c r="AB35" s="128">
        <f>$N$3*_xlfn.XLOOKUP(AB$1,'Input Assumptions'!$C$34:$L$34,'Input Assumptions'!$C$36:$L$36)</f>
        <v>1971.2500000000002</v>
      </c>
      <c r="AC35" s="128">
        <f>$N$3*_xlfn.XLOOKUP(AC$1,'Input Assumptions'!$C$34:$L$34,'Input Assumptions'!$C$36:$L$36)</f>
        <v>1971.2500000000002</v>
      </c>
      <c r="AD35" s="128">
        <f>$N$3*_xlfn.XLOOKUP(AD$1,'Input Assumptions'!$C$34:$L$34,'Input Assumptions'!$C$36:$L$36)</f>
        <v>1971.2500000000002</v>
      </c>
      <c r="AE35" s="128">
        <f>$N$3*_xlfn.XLOOKUP(AE$1,'Input Assumptions'!$C$34:$L$34,'Input Assumptions'!$C$36:$L$36)</f>
        <v>1971.2500000000002</v>
      </c>
      <c r="AF35" s="128">
        <f>$N$3*_xlfn.XLOOKUP(AF$1,'Input Assumptions'!$C$34:$L$34,'Input Assumptions'!$C$36:$L$36)</f>
        <v>1971.2500000000002</v>
      </c>
      <c r="AG35" s="128">
        <f>$N$3*_xlfn.XLOOKUP(AG$1,'Input Assumptions'!$C$34:$L$34,'Input Assumptions'!$C$36:$L$36)</f>
        <v>1971.2500000000002</v>
      </c>
      <c r="AH35" s="128">
        <f>$N$3*_xlfn.XLOOKUP(AH$1,'Input Assumptions'!$C$34:$L$34,'Input Assumptions'!$C$36:$L$36)</f>
        <v>1971.2500000000002</v>
      </c>
      <c r="AI35" s="128">
        <f>$N$3*_xlfn.XLOOKUP(AI$1,'Input Assumptions'!$C$34:$L$34,'Input Assumptions'!$C$36:$L$36)</f>
        <v>1971.2500000000002</v>
      </c>
      <c r="AJ35" s="128">
        <f>$N$3*_xlfn.XLOOKUP(AJ$1,'Input Assumptions'!$C$34:$L$34,'Input Assumptions'!$C$36:$L$36)</f>
        <v>1971.2500000000002</v>
      </c>
      <c r="AK35" s="128">
        <f>$N$3*_xlfn.XLOOKUP(AK$1,'Input Assumptions'!$C$34:$L$34,'Input Assumptions'!$C$36:$L$36)</f>
        <v>1971.2500000000002</v>
      </c>
      <c r="AL35" s="128">
        <f>$N$3*_xlfn.XLOOKUP(AL$1,'Input Assumptions'!$C$34:$L$34,'Input Assumptions'!$C$36:$L$36)</f>
        <v>2045.1718750000005</v>
      </c>
      <c r="AM35" s="128">
        <f>$N$3*_xlfn.XLOOKUP(AM$1,'Input Assumptions'!$C$34:$L$34,'Input Assumptions'!$C$36:$L$36)</f>
        <v>2045.1718750000005</v>
      </c>
      <c r="AN35" s="128">
        <f>$N$3*_xlfn.XLOOKUP(AN$1,'Input Assumptions'!$C$34:$L$34,'Input Assumptions'!$C$36:$L$36)</f>
        <v>2045.1718750000005</v>
      </c>
      <c r="AO35" s="128">
        <f>$N$3*_xlfn.XLOOKUP(AO$1,'Input Assumptions'!$C$34:$L$34,'Input Assumptions'!$C$36:$L$36)</f>
        <v>2045.1718750000005</v>
      </c>
      <c r="AP35" s="128">
        <f>$N$3*_xlfn.XLOOKUP(AP$1,'Input Assumptions'!$C$34:$L$34,'Input Assumptions'!$C$36:$L$36)</f>
        <v>2045.1718750000005</v>
      </c>
      <c r="AQ35" s="128">
        <f>$N$3*_xlfn.XLOOKUP(AQ$1,'Input Assumptions'!$C$34:$L$34,'Input Assumptions'!$C$36:$L$36)</f>
        <v>2045.1718750000005</v>
      </c>
      <c r="AR35" s="128">
        <f>$N$3*_xlfn.XLOOKUP(AR$1,'Input Assumptions'!$C$34:$L$34,'Input Assumptions'!$C$36:$L$36)</f>
        <v>2045.1718750000005</v>
      </c>
      <c r="AS35" s="128">
        <f>$N$3*_xlfn.XLOOKUP(AS$1,'Input Assumptions'!$C$34:$L$34,'Input Assumptions'!$C$36:$L$36)</f>
        <v>2045.1718750000005</v>
      </c>
      <c r="AT35" s="128">
        <f>$N$3*_xlfn.XLOOKUP(AT$1,'Input Assumptions'!$C$34:$L$34,'Input Assumptions'!$C$36:$L$36)</f>
        <v>2045.1718750000005</v>
      </c>
      <c r="AU35" s="128">
        <f>$N$3*_xlfn.XLOOKUP(AU$1,'Input Assumptions'!$C$34:$L$34,'Input Assumptions'!$C$36:$L$36)</f>
        <v>2045.1718750000005</v>
      </c>
      <c r="AV35" s="128">
        <f>$N$3*_xlfn.XLOOKUP(AV$1,'Input Assumptions'!$C$34:$L$34,'Input Assumptions'!$C$36:$L$36)</f>
        <v>2045.1718750000005</v>
      </c>
      <c r="AW35" s="128">
        <f>$N$3*_xlfn.XLOOKUP(AW$1,'Input Assumptions'!$C$34:$L$34,'Input Assumptions'!$C$36:$L$36)</f>
        <v>2045.1718750000005</v>
      </c>
      <c r="AX35" s="128">
        <f>$N$3*_xlfn.XLOOKUP(AX$1,'Input Assumptions'!$C$34:$L$34,'Input Assumptions'!$C$36:$L$36)</f>
        <v>2121.8658203125005</v>
      </c>
      <c r="AY35" s="128">
        <f>$N$3*_xlfn.XLOOKUP(AY$1,'Input Assumptions'!$C$34:$L$34,'Input Assumptions'!$C$36:$L$36)</f>
        <v>2121.8658203125005</v>
      </c>
      <c r="AZ35" s="128">
        <f>$N$3*_xlfn.XLOOKUP(AZ$1,'Input Assumptions'!$C$34:$L$34,'Input Assumptions'!$C$36:$L$36)</f>
        <v>2121.8658203125005</v>
      </c>
      <c r="BA35" s="128">
        <f>$N$3*_xlfn.XLOOKUP(BA$1,'Input Assumptions'!$C$34:$L$34,'Input Assumptions'!$C$36:$L$36)</f>
        <v>2121.8658203125005</v>
      </c>
      <c r="BB35" s="128">
        <f>$N$3*_xlfn.XLOOKUP(BB$1,'Input Assumptions'!$C$34:$L$34,'Input Assumptions'!$C$36:$L$36)</f>
        <v>2121.8658203125005</v>
      </c>
      <c r="BC35" s="128">
        <f>$N$3*_xlfn.XLOOKUP(BC$1,'Input Assumptions'!$C$34:$L$34,'Input Assumptions'!$C$36:$L$36)</f>
        <v>2121.8658203125005</v>
      </c>
      <c r="BD35" s="128">
        <f>$N$3*_xlfn.XLOOKUP(BD$1,'Input Assumptions'!$C$34:$L$34,'Input Assumptions'!$C$36:$L$36)</f>
        <v>2121.8658203125005</v>
      </c>
      <c r="BE35" s="128">
        <f>$N$3*_xlfn.XLOOKUP(BE$1,'Input Assumptions'!$C$34:$L$34,'Input Assumptions'!$C$36:$L$36)</f>
        <v>2121.8658203125005</v>
      </c>
      <c r="BF35" s="128">
        <f>$N$3*_xlfn.XLOOKUP(BF$1,'Input Assumptions'!$C$34:$L$34,'Input Assumptions'!$C$36:$L$36)</f>
        <v>2121.8658203125005</v>
      </c>
      <c r="BG35" s="128">
        <f>$N$3*_xlfn.XLOOKUP(BG$1,'Input Assumptions'!$C$34:$L$34,'Input Assumptions'!$C$36:$L$36)</f>
        <v>2121.8658203125005</v>
      </c>
      <c r="BH35" s="128">
        <f>$N$3*_xlfn.XLOOKUP(BH$1,'Input Assumptions'!$C$34:$L$34,'Input Assumptions'!$C$36:$L$36)</f>
        <v>2121.8658203125005</v>
      </c>
      <c r="BI35" s="128">
        <f>$N$3*_xlfn.XLOOKUP(BI$1,'Input Assumptions'!$C$34:$L$34,'Input Assumptions'!$C$36:$L$36)</f>
        <v>2121.8658203125005</v>
      </c>
      <c r="BJ35" s="128">
        <f>$N$3*_xlfn.XLOOKUP(BJ$1,'Input Assumptions'!$C$34:$L$34,'Input Assumptions'!$C$36:$L$36)</f>
        <v>2201.4357885742193</v>
      </c>
      <c r="BK35" s="128">
        <f>$N$3*_xlfn.XLOOKUP(BK$1,'Input Assumptions'!$C$34:$L$34,'Input Assumptions'!$C$36:$L$36)</f>
        <v>2201.4357885742193</v>
      </c>
      <c r="BL35" s="128">
        <f>$N$3*_xlfn.XLOOKUP(BL$1,'Input Assumptions'!$C$34:$L$34,'Input Assumptions'!$C$36:$L$36)</f>
        <v>2201.4357885742193</v>
      </c>
      <c r="BM35" s="128">
        <f>$N$3*_xlfn.XLOOKUP(BM$1,'Input Assumptions'!$C$34:$L$34,'Input Assumptions'!$C$36:$L$36)</f>
        <v>2201.4357885742193</v>
      </c>
      <c r="BN35" s="128">
        <f>$N$3*_xlfn.XLOOKUP(BN$1,'Input Assumptions'!$C$34:$L$34,'Input Assumptions'!$C$36:$L$36)</f>
        <v>2201.4357885742193</v>
      </c>
      <c r="BO35" s="128">
        <f>$N$3*_xlfn.XLOOKUP(BO$1,'Input Assumptions'!$C$34:$L$34,'Input Assumptions'!$C$36:$L$36)</f>
        <v>2201.4357885742193</v>
      </c>
      <c r="BP35" s="128">
        <f>$N$3*_xlfn.XLOOKUP(BP$1,'Input Assumptions'!$C$34:$L$34,'Input Assumptions'!$C$36:$L$36)</f>
        <v>2201.4357885742193</v>
      </c>
      <c r="BQ35" s="128">
        <f>$N$3*_xlfn.XLOOKUP(BQ$1,'Input Assumptions'!$C$34:$L$34,'Input Assumptions'!$C$36:$L$36)</f>
        <v>2201.4357885742193</v>
      </c>
      <c r="BR35" s="128">
        <f>$N$3*_xlfn.XLOOKUP(BR$1,'Input Assumptions'!$C$34:$L$34,'Input Assumptions'!$C$36:$L$36)</f>
        <v>2201.4357885742193</v>
      </c>
      <c r="BS35" s="128">
        <f>$N$3*_xlfn.XLOOKUP(BS$1,'Input Assumptions'!$C$34:$L$34,'Input Assumptions'!$C$36:$L$36)</f>
        <v>2201.4357885742193</v>
      </c>
      <c r="BT35" s="128">
        <f>$N$3*_xlfn.XLOOKUP(BT$1,'Input Assumptions'!$C$34:$L$34,'Input Assumptions'!$C$36:$L$36)</f>
        <v>2201.4357885742193</v>
      </c>
      <c r="BU35" s="128">
        <f>$N$3*_xlfn.XLOOKUP(BU$1,'Input Assumptions'!$C$34:$L$34,'Input Assumptions'!$C$36:$L$36)</f>
        <v>2201.4357885742193</v>
      </c>
      <c r="BV35" s="128">
        <f>$N$3*_xlfn.XLOOKUP(BV$1,'Input Assumptions'!$C$34:$L$34,'Input Assumptions'!$C$36:$L$36)</f>
        <v>2283.9896306457531</v>
      </c>
      <c r="BW35" s="128">
        <f>$N$3*_xlfn.XLOOKUP(BW$1,'Input Assumptions'!$C$34:$L$34,'Input Assumptions'!$C$36:$L$36)</f>
        <v>1900</v>
      </c>
      <c r="BX35" s="128">
        <f>$N$3*_xlfn.XLOOKUP(BX$1,'Input Assumptions'!$C$34:$L$34,'Input Assumptions'!$C$36:$L$36)</f>
        <v>1900</v>
      </c>
      <c r="BY35" s="128">
        <f>$N$3*_xlfn.XLOOKUP(BY$1,'Input Assumptions'!$C$34:$L$34,'Input Assumptions'!$C$36:$L$36)</f>
        <v>1900</v>
      </c>
      <c r="BZ35" s="128">
        <f>$N$3*_xlfn.XLOOKUP(BZ$1,'Input Assumptions'!$C$34:$L$34,'Input Assumptions'!$C$36:$L$36)</f>
        <v>1900</v>
      </c>
      <c r="CA35" s="128">
        <f>$N$3*_xlfn.XLOOKUP(CA$1,'Input Assumptions'!$C$34:$L$34,'Input Assumptions'!$C$36:$L$36)</f>
        <v>1900</v>
      </c>
      <c r="CB35" s="128">
        <f>$N$3*_xlfn.XLOOKUP(CB$1,'Input Assumptions'!$C$34:$L$34,'Input Assumptions'!$C$36:$L$36)</f>
        <v>1900</v>
      </c>
      <c r="CC35" s="128">
        <f>$N$3*_xlfn.XLOOKUP(CC$1,'Input Assumptions'!$C$34:$L$34,'Input Assumptions'!$C$36:$L$36)</f>
        <v>1900</v>
      </c>
      <c r="CD35" s="128">
        <f>$N$3*_xlfn.XLOOKUP(CD$1,'Input Assumptions'!$C$34:$L$34,'Input Assumptions'!$C$36:$L$36)</f>
        <v>1900</v>
      </c>
      <c r="CE35" s="128">
        <f>$N$3*_xlfn.XLOOKUP(CE$1,'Input Assumptions'!$C$34:$L$34,'Input Assumptions'!$C$36:$L$36)</f>
        <v>1900</v>
      </c>
      <c r="CF35" s="128">
        <f>$N$3*_xlfn.XLOOKUP(CF$1,'Input Assumptions'!$C$34:$L$34,'Input Assumptions'!$C$36:$L$36)</f>
        <v>1900</v>
      </c>
      <c r="CG35" s="128">
        <f>$N$3*_xlfn.XLOOKUP(CG$1,'Input Assumptions'!$C$34:$L$34,'Input Assumptions'!$C$36:$L$36)</f>
        <v>1900</v>
      </c>
      <c r="CH35" s="128">
        <f>$N$3*_xlfn.XLOOKUP(CH$1,'Input Assumptions'!$C$34:$L$34,'Input Assumptions'!$C$36:$L$36)</f>
        <v>1900</v>
      </c>
      <c r="CI35" s="128">
        <f>$N$3*_xlfn.XLOOKUP(CI$1,'Input Assumptions'!$C$34:$L$34,'Input Assumptions'!$C$36:$L$36)</f>
        <v>1971.2500000000002</v>
      </c>
      <c r="CJ35" s="128">
        <f>$N$3*_xlfn.XLOOKUP(CJ$1,'Input Assumptions'!$C$34:$L$34,'Input Assumptions'!$C$36:$L$36)</f>
        <v>1971.2500000000002</v>
      </c>
      <c r="CK35" s="128">
        <f>$N$3*_xlfn.XLOOKUP(CK$1,'Input Assumptions'!$C$34:$L$34,'Input Assumptions'!$C$36:$L$36)</f>
        <v>1971.2500000000002</v>
      </c>
      <c r="CL35" s="128">
        <f>$N$3*_xlfn.XLOOKUP(CL$1,'Input Assumptions'!$C$34:$L$34,'Input Assumptions'!$C$36:$L$36)</f>
        <v>1971.2500000000002</v>
      </c>
      <c r="CM35" s="128">
        <f>$N$3*_xlfn.XLOOKUP(CM$1,'Input Assumptions'!$C$34:$L$34,'Input Assumptions'!$C$36:$L$36)</f>
        <v>1971.2500000000002</v>
      </c>
      <c r="CN35" s="128">
        <f>$N$3*_xlfn.XLOOKUP(CN$1,'Input Assumptions'!$C$34:$L$34,'Input Assumptions'!$C$36:$L$36)</f>
        <v>1971.2500000000002</v>
      </c>
      <c r="CO35" s="128">
        <f>$N$3*_xlfn.XLOOKUP(CO$1,'Input Assumptions'!$C$34:$L$34,'Input Assumptions'!$C$36:$L$36)</f>
        <v>1971.2500000000002</v>
      </c>
      <c r="CP35" s="128">
        <f>$N$3*_xlfn.XLOOKUP(CP$1,'Input Assumptions'!$C$34:$L$34,'Input Assumptions'!$C$36:$L$36)</f>
        <v>1971.2500000000002</v>
      </c>
      <c r="CQ35" s="128">
        <f>$N$3*_xlfn.XLOOKUP(CQ$1,'Input Assumptions'!$C$34:$L$34,'Input Assumptions'!$C$36:$L$36)</f>
        <v>1971.2500000000002</v>
      </c>
      <c r="CR35" s="128">
        <f>$N$3*_xlfn.XLOOKUP(CR$1,'Input Assumptions'!$C$34:$L$34,'Input Assumptions'!$C$36:$L$36)</f>
        <v>1971.2500000000002</v>
      </c>
      <c r="CS35" s="128">
        <f>$N$3*_xlfn.XLOOKUP(CS$1,'Input Assumptions'!$C$34:$L$34,'Input Assumptions'!$C$36:$L$36)</f>
        <v>1971.2500000000002</v>
      </c>
      <c r="CT35" s="128">
        <f>$N$3*_xlfn.XLOOKUP(CT$1,'Input Assumptions'!$C$34:$L$34,'Input Assumptions'!$C$36:$L$36)</f>
        <v>1971.2500000000002</v>
      </c>
      <c r="CU35" s="128">
        <f>$N$3*_xlfn.XLOOKUP(CU$1,'Input Assumptions'!$C$34:$L$34,'Input Assumptions'!$C$36:$L$36)</f>
        <v>2045.1718750000005</v>
      </c>
      <c r="CV35" s="128">
        <f>$N$3*_xlfn.XLOOKUP(CV$1,'Input Assumptions'!$C$34:$L$34,'Input Assumptions'!$C$36:$L$36)</f>
        <v>2045.1718750000005</v>
      </c>
      <c r="CW35" s="128">
        <f>$N$3*_xlfn.XLOOKUP(CW$1,'Input Assumptions'!$C$34:$L$34,'Input Assumptions'!$C$36:$L$36)</f>
        <v>2045.1718750000005</v>
      </c>
      <c r="CX35" s="128">
        <f>$N$3*_xlfn.XLOOKUP(CX$1,'Input Assumptions'!$C$34:$L$34,'Input Assumptions'!$C$36:$L$36)</f>
        <v>2045.1718750000005</v>
      </c>
      <c r="CY35" s="128">
        <f>$N$3*_xlfn.XLOOKUP(CY$1,'Input Assumptions'!$C$34:$L$34,'Input Assumptions'!$C$36:$L$36)</f>
        <v>2045.1718750000005</v>
      </c>
      <c r="CZ35" s="128">
        <f>$N$3*_xlfn.XLOOKUP(CZ$1,'Input Assumptions'!$C$34:$L$34,'Input Assumptions'!$C$36:$L$36)</f>
        <v>2045.1718750000005</v>
      </c>
      <c r="DA35" s="128">
        <f>$N$3*_xlfn.XLOOKUP(DA$1,'Input Assumptions'!$C$34:$L$34,'Input Assumptions'!$C$36:$L$36)</f>
        <v>2045.1718750000005</v>
      </c>
      <c r="DB35" s="128">
        <f>$N$3*_xlfn.XLOOKUP(DB$1,'Input Assumptions'!$C$34:$L$34,'Input Assumptions'!$C$36:$L$36)</f>
        <v>2045.1718750000005</v>
      </c>
      <c r="DC35" s="128">
        <f>$N$3*_xlfn.XLOOKUP(DC$1,'Input Assumptions'!$C$34:$L$34,'Input Assumptions'!$C$36:$L$36)</f>
        <v>2045.1718750000005</v>
      </c>
      <c r="DD35" s="128">
        <f>$N$3*_xlfn.XLOOKUP(DD$1,'Input Assumptions'!$C$34:$L$34,'Input Assumptions'!$C$36:$L$36)</f>
        <v>2045.1718750000005</v>
      </c>
      <c r="DE35" s="128">
        <f>$N$3*_xlfn.XLOOKUP(DE$1,'Input Assumptions'!$C$34:$L$34,'Input Assumptions'!$C$36:$L$36)</f>
        <v>2045.1718750000005</v>
      </c>
      <c r="DF35" s="128">
        <f>$N$3*_xlfn.XLOOKUP(DF$1,'Input Assumptions'!$C$34:$L$34,'Input Assumptions'!$C$36:$L$36)</f>
        <v>2045.1718750000005</v>
      </c>
      <c r="DG35" s="128">
        <f>$N$3*_xlfn.XLOOKUP(DG$1,'Input Assumptions'!$C$34:$L$34,'Input Assumptions'!$C$36:$L$36)</f>
        <v>2121.8658203125005</v>
      </c>
      <c r="DH35" s="128">
        <f>$N$3*_xlfn.XLOOKUP(DH$1,'Input Assumptions'!$C$34:$L$34,'Input Assumptions'!$C$36:$L$36)</f>
        <v>2121.8658203125005</v>
      </c>
      <c r="DI35" s="128">
        <f>$N$3*_xlfn.XLOOKUP(DI$1,'Input Assumptions'!$C$34:$L$34,'Input Assumptions'!$C$36:$L$36)</f>
        <v>2121.8658203125005</v>
      </c>
      <c r="DJ35" s="128">
        <f>$N$3*_xlfn.XLOOKUP(DJ$1,'Input Assumptions'!$C$34:$L$34,'Input Assumptions'!$C$36:$L$36)</f>
        <v>2121.8658203125005</v>
      </c>
      <c r="DK35" s="128">
        <f>$N$3*_xlfn.XLOOKUP(DK$1,'Input Assumptions'!$C$34:$L$34,'Input Assumptions'!$C$36:$L$36)</f>
        <v>2121.8658203125005</v>
      </c>
      <c r="DL35" s="128">
        <f>$N$3*_xlfn.XLOOKUP(DL$1,'Input Assumptions'!$C$34:$L$34,'Input Assumptions'!$C$36:$L$36)</f>
        <v>2121.8658203125005</v>
      </c>
      <c r="DM35" s="128">
        <f>$N$3*_xlfn.XLOOKUP(DM$1,'Input Assumptions'!$C$34:$L$34,'Input Assumptions'!$C$36:$L$36)</f>
        <v>2121.8658203125005</v>
      </c>
      <c r="DN35" s="128">
        <f>$N$3*_xlfn.XLOOKUP(DN$1,'Input Assumptions'!$C$34:$L$34,'Input Assumptions'!$C$36:$L$36)</f>
        <v>2121.8658203125005</v>
      </c>
      <c r="DO35" s="128">
        <f>$N$3*_xlfn.XLOOKUP(DO$1,'Input Assumptions'!$C$34:$L$34,'Input Assumptions'!$C$36:$L$36)</f>
        <v>2121.8658203125005</v>
      </c>
      <c r="DP35" s="128">
        <f>$N$3*_xlfn.XLOOKUP(DP$1,'Input Assumptions'!$C$34:$L$34,'Input Assumptions'!$C$36:$L$36)</f>
        <v>2121.8658203125005</v>
      </c>
      <c r="DQ35" s="128">
        <f>$N$3*_xlfn.XLOOKUP(DQ$1,'Input Assumptions'!$C$34:$L$34,'Input Assumptions'!$C$36:$L$36)</f>
        <v>2121.8658203125005</v>
      </c>
      <c r="DR35" s="128">
        <f>$N$3*_xlfn.XLOOKUP(DR$1,'Input Assumptions'!$C$34:$L$34,'Input Assumptions'!$C$36:$L$36)</f>
        <v>2121.8658203125005</v>
      </c>
      <c r="DS35" s="128">
        <f>$N$3*_xlfn.XLOOKUP(DS$1,'Input Assumptions'!$C$34:$L$34,'Input Assumptions'!$C$36:$L$36)</f>
        <v>2201.4357885742193</v>
      </c>
      <c r="DT35" s="128">
        <f>$N$3*_xlfn.XLOOKUP(DT$1,'Input Assumptions'!$C$34:$L$34,'Input Assumptions'!$C$36:$L$36)</f>
        <v>2201.4357885742193</v>
      </c>
      <c r="DU35" s="128">
        <f>$N$3*_xlfn.XLOOKUP(DU$1,'Input Assumptions'!$C$34:$L$34,'Input Assumptions'!$C$36:$L$36)</f>
        <v>2201.4357885742193</v>
      </c>
      <c r="DV35" s="128">
        <f>$N$3*_xlfn.XLOOKUP(DV$1,'Input Assumptions'!$C$34:$L$34,'Input Assumptions'!$C$36:$L$36)</f>
        <v>2201.4357885742193</v>
      </c>
      <c r="DW35" s="128">
        <f>$N$3*_xlfn.XLOOKUP(DW$1,'Input Assumptions'!$C$34:$L$34,'Input Assumptions'!$C$36:$L$36)</f>
        <v>2201.4357885742193</v>
      </c>
      <c r="DX35" s="128">
        <f>$N$3*_xlfn.XLOOKUP(DX$1,'Input Assumptions'!$C$34:$L$34,'Input Assumptions'!$C$36:$L$36)</f>
        <v>2201.4357885742193</v>
      </c>
      <c r="DY35" s="128">
        <f>$N$3*_xlfn.XLOOKUP(DY$1,'Input Assumptions'!$C$34:$L$34,'Input Assumptions'!$C$36:$L$36)</f>
        <v>2201.4357885742193</v>
      </c>
      <c r="DZ35" s="128">
        <f>$N$3*_xlfn.XLOOKUP(DZ$1,'Input Assumptions'!$C$34:$L$34,'Input Assumptions'!$C$36:$L$36)</f>
        <v>2201.4357885742193</v>
      </c>
      <c r="EA35" s="128">
        <f>$N$3*_xlfn.XLOOKUP(EA$1,'Input Assumptions'!$C$34:$L$34,'Input Assumptions'!$C$36:$L$36)</f>
        <v>2201.4357885742193</v>
      </c>
      <c r="EB35" s="128">
        <f>$N$3*_xlfn.XLOOKUP(EB$1,'Input Assumptions'!$C$34:$L$34,'Input Assumptions'!$C$36:$L$36)</f>
        <v>2201.4357885742193</v>
      </c>
      <c r="EC35" s="128">
        <f>$N$3*_xlfn.XLOOKUP(EC$1,'Input Assumptions'!$C$34:$L$34,'Input Assumptions'!$C$36:$L$36)</f>
        <v>2201.4357885742193</v>
      </c>
    </row>
    <row r="36" spans="2:135" x14ac:dyDescent="0.3">
      <c r="B36" s="15">
        <v>4</v>
      </c>
      <c r="C36" s="16">
        <v>34</v>
      </c>
      <c r="D36" s="16" t="s">
        <v>10</v>
      </c>
      <c r="E36" s="16">
        <v>450</v>
      </c>
      <c r="F36" s="20">
        <f t="shared" si="114"/>
        <v>41.80640845790095</v>
      </c>
      <c r="G36" s="19" t="str">
        <f t="shared" si="115"/>
        <v>1</v>
      </c>
      <c r="H36" s="20">
        <f t="shared" si="116"/>
        <v>1</v>
      </c>
      <c r="I36" s="18">
        <f t="shared" si="117"/>
        <v>1710</v>
      </c>
      <c r="J36" s="18">
        <f t="shared" si="118"/>
        <v>1900</v>
      </c>
      <c r="K36" s="18">
        <f>(J36*'Input Assumptions'!$C$20)+I36*('Input Assumptions'!$C$21)</f>
        <v>1900</v>
      </c>
      <c r="L36" s="94"/>
      <c r="M36" s="4"/>
      <c r="N36" s="128">
        <f t="shared" si="119"/>
        <v>1900</v>
      </c>
      <c r="O36" s="128">
        <f>$N$3*_xlfn.XLOOKUP(O$1,'Input Assumptions'!$C$34:$L$34,'Input Assumptions'!$C$36:$L$36)</f>
        <v>1900</v>
      </c>
      <c r="P36" s="128">
        <f>$N$3*_xlfn.XLOOKUP(P$1,'Input Assumptions'!$C$34:$L$34,'Input Assumptions'!$C$36:$L$36)</f>
        <v>1900</v>
      </c>
      <c r="Q36" s="128">
        <f>$N$3*_xlfn.XLOOKUP(Q$1,'Input Assumptions'!$C$34:$L$34,'Input Assumptions'!$C$36:$L$36)</f>
        <v>1900</v>
      </c>
      <c r="R36" s="128">
        <f>$N$3*_xlfn.XLOOKUP(R$1,'Input Assumptions'!$C$34:$L$34,'Input Assumptions'!$C$36:$L$36)</f>
        <v>1900</v>
      </c>
      <c r="S36" s="128">
        <f>$N$3*_xlfn.XLOOKUP(S$1,'Input Assumptions'!$C$34:$L$34,'Input Assumptions'!$C$36:$L$36)</f>
        <v>1900</v>
      </c>
      <c r="T36" s="128">
        <f>$N$3*_xlfn.XLOOKUP(T$1,'Input Assumptions'!$C$34:$L$34,'Input Assumptions'!$C$36:$L$36)</f>
        <v>1900</v>
      </c>
      <c r="U36" s="128">
        <f>$N$3*_xlfn.XLOOKUP(U$1,'Input Assumptions'!$C$34:$L$34,'Input Assumptions'!$C$36:$L$36)</f>
        <v>1900</v>
      </c>
      <c r="V36" s="128">
        <f>$N$3*_xlfn.XLOOKUP(V$1,'Input Assumptions'!$C$34:$L$34,'Input Assumptions'!$C$36:$L$36)</f>
        <v>1900</v>
      </c>
      <c r="W36" s="128">
        <f>$N$3*_xlfn.XLOOKUP(W$1,'Input Assumptions'!$C$34:$L$34,'Input Assumptions'!$C$36:$L$36)</f>
        <v>1900</v>
      </c>
      <c r="X36" s="128">
        <f>$N$3*_xlfn.XLOOKUP(X$1,'Input Assumptions'!$C$34:$L$34,'Input Assumptions'!$C$36:$L$36)</f>
        <v>1900</v>
      </c>
      <c r="Y36" s="128">
        <f>$N$3*_xlfn.XLOOKUP(Y$1,'Input Assumptions'!$C$34:$L$34,'Input Assumptions'!$C$36:$L$36)</f>
        <v>1900</v>
      </c>
      <c r="Z36" s="128">
        <f>$N$3*_xlfn.XLOOKUP(Z$1,'Input Assumptions'!$C$34:$L$34,'Input Assumptions'!$C$36:$L$36)</f>
        <v>1971.2500000000002</v>
      </c>
      <c r="AA36" s="128">
        <f>$N$3*_xlfn.XLOOKUP(AA$1,'Input Assumptions'!$C$34:$L$34,'Input Assumptions'!$C$36:$L$36)</f>
        <v>1971.2500000000002</v>
      </c>
      <c r="AB36" s="128">
        <f>$N$3*_xlfn.XLOOKUP(AB$1,'Input Assumptions'!$C$34:$L$34,'Input Assumptions'!$C$36:$L$36)</f>
        <v>1971.2500000000002</v>
      </c>
      <c r="AC36" s="128">
        <f>$N$3*_xlfn.XLOOKUP(AC$1,'Input Assumptions'!$C$34:$L$34,'Input Assumptions'!$C$36:$L$36)</f>
        <v>1971.2500000000002</v>
      </c>
      <c r="AD36" s="128">
        <f>$N$3*_xlfn.XLOOKUP(AD$1,'Input Assumptions'!$C$34:$L$34,'Input Assumptions'!$C$36:$L$36)</f>
        <v>1971.2500000000002</v>
      </c>
      <c r="AE36" s="128">
        <f>$N$3*_xlfn.XLOOKUP(AE$1,'Input Assumptions'!$C$34:$L$34,'Input Assumptions'!$C$36:$L$36)</f>
        <v>1971.2500000000002</v>
      </c>
      <c r="AF36" s="128">
        <f>$N$3*_xlfn.XLOOKUP(AF$1,'Input Assumptions'!$C$34:$L$34,'Input Assumptions'!$C$36:$L$36)</f>
        <v>1971.2500000000002</v>
      </c>
      <c r="AG36" s="128">
        <f>$N$3*_xlfn.XLOOKUP(AG$1,'Input Assumptions'!$C$34:$L$34,'Input Assumptions'!$C$36:$L$36)</f>
        <v>1971.2500000000002</v>
      </c>
      <c r="AH36" s="128">
        <f>$N$3*_xlfn.XLOOKUP(AH$1,'Input Assumptions'!$C$34:$L$34,'Input Assumptions'!$C$36:$L$36)</f>
        <v>1971.2500000000002</v>
      </c>
      <c r="AI36" s="128">
        <f>$N$3*_xlfn.XLOOKUP(AI$1,'Input Assumptions'!$C$34:$L$34,'Input Assumptions'!$C$36:$L$36)</f>
        <v>1971.2500000000002</v>
      </c>
      <c r="AJ36" s="128">
        <f>$N$3*_xlfn.XLOOKUP(AJ$1,'Input Assumptions'!$C$34:$L$34,'Input Assumptions'!$C$36:$L$36)</f>
        <v>1971.2500000000002</v>
      </c>
      <c r="AK36" s="128">
        <f>$N$3*_xlfn.XLOOKUP(AK$1,'Input Assumptions'!$C$34:$L$34,'Input Assumptions'!$C$36:$L$36)</f>
        <v>1971.2500000000002</v>
      </c>
      <c r="AL36" s="128">
        <f>$N$3*_xlfn.XLOOKUP(AL$1,'Input Assumptions'!$C$34:$L$34,'Input Assumptions'!$C$36:$L$36)</f>
        <v>2045.1718750000005</v>
      </c>
      <c r="AM36" s="128">
        <f>$N$3*_xlfn.XLOOKUP(AM$1,'Input Assumptions'!$C$34:$L$34,'Input Assumptions'!$C$36:$L$36)</f>
        <v>2045.1718750000005</v>
      </c>
      <c r="AN36" s="128">
        <f>$N$3*_xlfn.XLOOKUP(AN$1,'Input Assumptions'!$C$34:$L$34,'Input Assumptions'!$C$36:$L$36)</f>
        <v>2045.1718750000005</v>
      </c>
      <c r="AO36" s="128">
        <f>$N$3*_xlfn.XLOOKUP(AO$1,'Input Assumptions'!$C$34:$L$34,'Input Assumptions'!$C$36:$L$36)</f>
        <v>2045.1718750000005</v>
      </c>
      <c r="AP36" s="128">
        <f>$N$3*_xlfn.XLOOKUP(AP$1,'Input Assumptions'!$C$34:$L$34,'Input Assumptions'!$C$36:$L$36)</f>
        <v>2045.1718750000005</v>
      </c>
      <c r="AQ36" s="128">
        <f>$N$3*_xlfn.XLOOKUP(AQ$1,'Input Assumptions'!$C$34:$L$34,'Input Assumptions'!$C$36:$L$36)</f>
        <v>2045.1718750000005</v>
      </c>
      <c r="AR36" s="128">
        <f>$N$3*_xlfn.XLOOKUP(AR$1,'Input Assumptions'!$C$34:$L$34,'Input Assumptions'!$C$36:$L$36)</f>
        <v>2045.1718750000005</v>
      </c>
      <c r="AS36" s="128">
        <f>$N$3*_xlfn.XLOOKUP(AS$1,'Input Assumptions'!$C$34:$L$34,'Input Assumptions'!$C$36:$L$36)</f>
        <v>2045.1718750000005</v>
      </c>
      <c r="AT36" s="128">
        <f>$N$3*_xlfn.XLOOKUP(AT$1,'Input Assumptions'!$C$34:$L$34,'Input Assumptions'!$C$36:$L$36)</f>
        <v>2045.1718750000005</v>
      </c>
      <c r="AU36" s="128">
        <f>$N$3*_xlfn.XLOOKUP(AU$1,'Input Assumptions'!$C$34:$L$34,'Input Assumptions'!$C$36:$L$36)</f>
        <v>2045.1718750000005</v>
      </c>
      <c r="AV36" s="128">
        <f>$N$3*_xlfn.XLOOKUP(AV$1,'Input Assumptions'!$C$34:$L$34,'Input Assumptions'!$C$36:$L$36)</f>
        <v>2045.1718750000005</v>
      </c>
      <c r="AW36" s="128">
        <f>$N$3*_xlfn.XLOOKUP(AW$1,'Input Assumptions'!$C$34:$L$34,'Input Assumptions'!$C$36:$L$36)</f>
        <v>2045.1718750000005</v>
      </c>
      <c r="AX36" s="128">
        <f>$N$3*_xlfn.XLOOKUP(AX$1,'Input Assumptions'!$C$34:$L$34,'Input Assumptions'!$C$36:$L$36)</f>
        <v>2121.8658203125005</v>
      </c>
      <c r="AY36" s="128">
        <f>$N$3*_xlfn.XLOOKUP(AY$1,'Input Assumptions'!$C$34:$L$34,'Input Assumptions'!$C$36:$L$36)</f>
        <v>2121.8658203125005</v>
      </c>
      <c r="AZ36" s="128">
        <f>$N$3*_xlfn.XLOOKUP(AZ$1,'Input Assumptions'!$C$34:$L$34,'Input Assumptions'!$C$36:$L$36)</f>
        <v>2121.8658203125005</v>
      </c>
      <c r="BA36" s="128">
        <f>$N$3*_xlfn.XLOOKUP(BA$1,'Input Assumptions'!$C$34:$L$34,'Input Assumptions'!$C$36:$L$36)</f>
        <v>2121.8658203125005</v>
      </c>
      <c r="BB36" s="128">
        <f>$N$3*_xlfn.XLOOKUP(BB$1,'Input Assumptions'!$C$34:$L$34,'Input Assumptions'!$C$36:$L$36)</f>
        <v>2121.8658203125005</v>
      </c>
      <c r="BC36" s="128">
        <f>$N$3*_xlfn.XLOOKUP(BC$1,'Input Assumptions'!$C$34:$L$34,'Input Assumptions'!$C$36:$L$36)</f>
        <v>2121.8658203125005</v>
      </c>
      <c r="BD36" s="128">
        <f>$N$3*_xlfn.XLOOKUP(BD$1,'Input Assumptions'!$C$34:$L$34,'Input Assumptions'!$C$36:$L$36)</f>
        <v>2121.8658203125005</v>
      </c>
      <c r="BE36" s="128">
        <f>$N$3*_xlfn.XLOOKUP(BE$1,'Input Assumptions'!$C$34:$L$34,'Input Assumptions'!$C$36:$L$36)</f>
        <v>2121.8658203125005</v>
      </c>
      <c r="BF36" s="128">
        <f>$N$3*_xlfn.XLOOKUP(BF$1,'Input Assumptions'!$C$34:$L$34,'Input Assumptions'!$C$36:$L$36)</f>
        <v>2121.8658203125005</v>
      </c>
      <c r="BG36" s="128">
        <f>$N$3*_xlfn.XLOOKUP(BG$1,'Input Assumptions'!$C$34:$L$34,'Input Assumptions'!$C$36:$L$36)</f>
        <v>2121.8658203125005</v>
      </c>
      <c r="BH36" s="128">
        <f>$N$3*_xlfn.XLOOKUP(BH$1,'Input Assumptions'!$C$34:$L$34,'Input Assumptions'!$C$36:$L$36)</f>
        <v>2121.8658203125005</v>
      </c>
      <c r="BI36" s="128">
        <f>$N$3*_xlfn.XLOOKUP(BI$1,'Input Assumptions'!$C$34:$L$34,'Input Assumptions'!$C$36:$L$36)</f>
        <v>2121.8658203125005</v>
      </c>
      <c r="BJ36" s="128">
        <f>$N$3*_xlfn.XLOOKUP(BJ$1,'Input Assumptions'!$C$34:$L$34,'Input Assumptions'!$C$36:$L$36)</f>
        <v>2201.4357885742193</v>
      </c>
      <c r="BK36" s="128">
        <f>$N$3*_xlfn.XLOOKUP(BK$1,'Input Assumptions'!$C$34:$L$34,'Input Assumptions'!$C$36:$L$36)</f>
        <v>2201.4357885742193</v>
      </c>
      <c r="BL36" s="128">
        <f>$N$3*_xlfn.XLOOKUP(BL$1,'Input Assumptions'!$C$34:$L$34,'Input Assumptions'!$C$36:$L$36)</f>
        <v>2201.4357885742193</v>
      </c>
      <c r="BM36" s="128">
        <f>$N$3*_xlfn.XLOOKUP(BM$1,'Input Assumptions'!$C$34:$L$34,'Input Assumptions'!$C$36:$L$36)</f>
        <v>2201.4357885742193</v>
      </c>
      <c r="BN36" s="128">
        <f>$N$3*_xlfn.XLOOKUP(BN$1,'Input Assumptions'!$C$34:$L$34,'Input Assumptions'!$C$36:$L$36)</f>
        <v>2201.4357885742193</v>
      </c>
      <c r="BO36" s="128">
        <f>$N$3*_xlfn.XLOOKUP(BO$1,'Input Assumptions'!$C$34:$L$34,'Input Assumptions'!$C$36:$L$36)</f>
        <v>2201.4357885742193</v>
      </c>
      <c r="BP36" s="128">
        <f>$N$3*_xlfn.XLOOKUP(BP$1,'Input Assumptions'!$C$34:$L$34,'Input Assumptions'!$C$36:$L$36)</f>
        <v>2201.4357885742193</v>
      </c>
      <c r="BQ36" s="128">
        <f>$N$3*_xlfn.XLOOKUP(BQ$1,'Input Assumptions'!$C$34:$L$34,'Input Assumptions'!$C$36:$L$36)</f>
        <v>2201.4357885742193</v>
      </c>
      <c r="BR36" s="128">
        <f>$N$3*_xlfn.XLOOKUP(BR$1,'Input Assumptions'!$C$34:$L$34,'Input Assumptions'!$C$36:$L$36)</f>
        <v>2201.4357885742193</v>
      </c>
      <c r="BS36" s="128">
        <f>$N$3*_xlfn.XLOOKUP(BS$1,'Input Assumptions'!$C$34:$L$34,'Input Assumptions'!$C$36:$L$36)</f>
        <v>2201.4357885742193</v>
      </c>
      <c r="BT36" s="128">
        <f>$N$3*_xlfn.XLOOKUP(BT$1,'Input Assumptions'!$C$34:$L$34,'Input Assumptions'!$C$36:$L$36)</f>
        <v>2201.4357885742193</v>
      </c>
      <c r="BU36" s="128">
        <f>$N$3*_xlfn.XLOOKUP(BU$1,'Input Assumptions'!$C$34:$L$34,'Input Assumptions'!$C$36:$L$36)</f>
        <v>2201.4357885742193</v>
      </c>
      <c r="BV36" s="128">
        <f>$N$3*_xlfn.XLOOKUP(BV$1,'Input Assumptions'!$C$34:$L$34,'Input Assumptions'!$C$36:$L$36)</f>
        <v>2283.9896306457531</v>
      </c>
      <c r="BW36" s="128">
        <f>$N$3*_xlfn.XLOOKUP(BW$1,'Input Assumptions'!$C$34:$L$34,'Input Assumptions'!$C$36:$L$36)</f>
        <v>1900</v>
      </c>
      <c r="BX36" s="128">
        <f>$N$3*_xlfn.XLOOKUP(BX$1,'Input Assumptions'!$C$34:$L$34,'Input Assumptions'!$C$36:$L$36)</f>
        <v>1900</v>
      </c>
      <c r="BY36" s="128">
        <f>$N$3*_xlfn.XLOOKUP(BY$1,'Input Assumptions'!$C$34:$L$34,'Input Assumptions'!$C$36:$L$36)</f>
        <v>1900</v>
      </c>
      <c r="BZ36" s="128">
        <f>$N$3*_xlfn.XLOOKUP(BZ$1,'Input Assumptions'!$C$34:$L$34,'Input Assumptions'!$C$36:$L$36)</f>
        <v>1900</v>
      </c>
      <c r="CA36" s="128">
        <f>$N$3*_xlfn.XLOOKUP(CA$1,'Input Assumptions'!$C$34:$L$34,'Input Assumptions'!$C$36:$L$36)</f>
        <v>1900</v>
      </c>
      <c r="CB36" s="128">
        <f>$N$3*_xlfn.XLOOKUP(CB$1,'Input Assumptions'!$C$34:$L$34,'Input Assumptions'!$C$36:$L$36)</f>
        <v>1900</v>
      </c>
      <c r="CC36" s="128">
        <f>$N$3*_xlfn.XLOOKUP(CC$1,'Input Assumptions'!$C$34:$L$34,'Input Assumptions'!$C$36:$L$36)</f>
        <v>1900</v>
      </c>
      <c r="CD36" s="128">
        <f>$N$3*_xlfn.XLOOKUP(CD$1,'Input Assumptions'!$C$34:$L$34,'Input Assumptions'!$C$36:$L$36)</f>
        <v>1900</v>
      </c>
      <c r="CE36" s="128">
        <f>$N$3*_xlfn.XLOOKUP(CE$1,'Input Assumptions'!$C$34:$L$34,'Input Assumptions'!$C$36:$L$36)</f>
        <v>1900</v>
      </c>
      <c r="CF36" s="128">
        <f>$N$3*_xlfn.XLOOKUP(CF$1,'Input Assumptions'!$C$34:$L$34,'Input Assumptions'!$C$36:$L$36)</f>
        <v>1900</v>
      </c>
      <c r="CG36" s="128">
        <f>$N$3*_xlfn.XLOOKUP(CG$1,'Input Assumptions'!$C$34:$L$34,'Input Assumptions'!$C$36:$L$36)</f>
        <v>1900</v>
      </c>
      <c r="CH36" s="128">
        <f>$N$3*_xlfn.XLOOKUP(CH$1,'Input Assumptions'!$C$34:$L$34,'Input Assumptions'!$C$36:$L$36)</f>
        <v>1900</v>
      </c>
      <c r="CI36" s="128">
        <f>$N$3*_xlfn.XLOOKUP(CI$1,'Input Assumptions'!$C$34:$L$34,'Input Assumptions'!$C$36:$L$36)</f>
        <v>1971.2500000000002</v>
      </c>
      <c r="CJ36" s="128">
        <f>$N$3*_xlfn.XLOOKUP(CJ$1,'Input Assumptions'!$C$34:$L$34,'Input Assumptions'!$C$36:$L$36)</f>
        <v>1971.2500000000002</v>
      </c>
      <c r="CK36" s="128">
        <f>$N$3*_xlfn.XLOOKUP(CK$1,'Input Assumptions'!$C$34:$L$34,'Input Assumptions'!$C$36:$L$36)</f>
        <v>1971.2500000000002</v>
      </c>
      <c r="CL36" s="128">
        <f>$N$3*_xlfn.XLOOKUP(CL$1,'Input Assumptions'!$C$34:$L$34,'Input Assumptions'!$C$36:$L$36)</f>
        <v>1971.2500000000002</v>
      </c>
      <c r="CM36" s="128">
        <f>$N$3*_xlfn.XLOOKUP(CM$1,'Input Assumptions'!$C$34:$L$34,'Input Assumptions'!$C$36:$L$36)</f>
        <v>1971.2500000000002</v>
      </c>
      <c r="CN36" s="128">
        <f>$N$3*_xlfn.XLOOKUP(CN$1,'Input Assumptions'!$C$34:$L$34,'Input Assumptions'!$C$36:$L$36)</f>
        <v>1971.2500000000002</v>
      </c>
      <c r="CO36" s="128">
        <f>$N$3*_xlfn.XLOOKUP(CO$1,'Input Assumptions'!$C$34:$L$34,'Input Assumptions'!$C$36:$L$36)</f>
        <v>1971.2500000000002</v>
      </c>
      <c r="CP36" s="128">
        <f>$N$3*_xlfn.XLOOKUP(CP$1,'Input Assumptions'!$C$34:$L$34,'Input Assumptions'!$C$36:$L$36)</f>
        <v>1971.2500000000002</v>
      </c>
      <c r="CQ36" s="128">
        <f>$N$3*_xlfn.XLOOKUP(CQ$1,'Input Assumptions'!$C$34:$L$34,'Input Assumptions'!$C$36:$L$36)</f>
        <v>1971.2500000000002</v>
      </c>
      <c r="CR36" s="128">
        <f>$N$3*_xlfn.XLOOKUP(CR$1,'Input Assumptions'!$C$34:$L$34,'Input Assumptions'!$C$36:$L$36)</f>
        <v>1971.2500000000002</v>
      </c>
      <c r="CS36" s="128">
        <f>$N$3*_xlfn.XLOOKUP(CS$1,'Input Assumptions'!$C$34:$L$34,'Input Assumptions'!$C$36:$L$36)</f>
        <v>1971.2500000000002</v>
      </c>
      <c r="CT36" s="128">
        <f>$N$3*_xlfn.XLOOKUP(CT$1,'Input Assumptions'!$C$34:$L$34,'Input Assumptions'!$C$36:$L$36)</f>
        <v>1971.2500000000002</v>
      </c>
      <c r="CU36" s="128">
        <f>$N$3*_xlfn.XLOOKUP(CU$1,'Input Assumptions'!$C$34:$L$34,'Input Assumptions'!$C$36:$L$36)</f>
        <v>2045.1718750000005</v>
      </c>
      <c r="CV36" s="128">
        <f>$N$3*_xlfn.XLOOKUP(CV$1,'Input Assumptions'!$C$34:$L$34,'Input Assumptions'!$C$36:$L$36)</f>
        <v>2045.1718750000005</v>
      </c>
      <c r="CW36" s="128">
        <f>$N$3*_xlfn.XLOOKUP(CW$1,'Input Assumptions'!$C$34:$L$34,'Input Assumptions'!$C$36:$L$36)</f>
        <v>2045.1718750000005</v>
      </c>
      <c r="CX36" s="128">
        <f>$N$3*_xlfn.XLOOKUP(CX$1,'Input Assumptions'!$C$34:$L$34,'Input Assumptions'!$C$36:$L$36)</f>
        <v>2045.1718750000005</v>
      </c>
      <c r="CY36" s="128">
        <f>$N$3*_xlfn.XLOOKUP(CY$1,'Input Assumptions'!$C$34:$L$34,'Input Assumptions'!$C$36:$L$36)</f>
        <v>2045.1718750000005</v>
      </c>
      <c r="CZ36" s="128">
        <f>$N$3*_xlfn.XLOOKUP(CZ$1,'Input Assumptions'!$C$34:$L$34,'Input Assumptions'!$C$36:$L$36)</f>
        <v>2045.1718750000005</v>
      </c>
      <c r="DA36" s="128">
        <f>$N$3*_xlfn.XLOOKUP(DA$1,'Input Assumptions'!$C$34:$L$34,'Input Assumptions'!$C$36:$L$36)</f>
        <v>2045.1718750000005</v>
      </c>
      <c r="DB36" s="128">
        <f>$N$3*_xlfn.XLOOKUP(DB$1,'Input Assumptions'!$C$34:$L$34,'Input Assumptions'!$C$36:$L$36)</f>
        <v>2045.1718750000005</v>
      </c>
      <c r="DC36" s="128">
        <f>$N$3*_xlfn.XLOOKUP(DC$1,'Input Assumptions'!$C$34:$L$34,'Input Assumptions'!$C$36:$L$36)</f>
        <v>2045.1718750000005</v>
      </c>
      <c r="DD36" s="128">
        <f>$N$3*_xlfn.XLOOKUP(DD$1,'Input Assumptions'!$C$34:$L$34,'Input Assumptions'!$C$36:$L$36)</f>
        <v>2045.1718750000005</v>
      </c>
      <c r="DE36" s="128">
        <f>$N$3*_xlfn.XLOOKUP(DE$1,'Input Assumptions'!$C$34:$L$34,'Input Assumptions'!$C$36:$L$36)</f>
        <v>2045.1718750000005</v>
      </c>
      <c r="DF36" s="128">
        <f>$N$3*_xlfn.XLOOKUP(DF$1,'Input Assumptions'!$C$34:$L$34,'Input Assumptions'!$C$36:$L$36)</f>
        <v>2045.1718750000005</v>
      </c>
      <c r="DG36" s="128">
        <f>$N$3*_xlfn.XLOOKUP(DG$1,'Input Assumptions'!$C$34:$L$34,'Input Assumptions'!$C$36:$L$36)</f>
        <v>2121.8658203125005</v>
      </c>
      <c r="DH36" s="128">
        <f>$N$3*_xlfn.XLOOKUP(DH$1,'Input Assumptions'!$C$34:$L$34,'Input Assumptions'!$C$36:$L$36)</f>
        <v>2121.8658203125005</v>
      </c>
      <c r="DI36" s="128">
        <f>$N$3*_xlfn.XLOOKUP(DI$1,'Input Assumptions'!$C$34:$L$34,'Input Assumptions'!$C$36:$L$36)</f>
        <v>2121.8658203125005</v>
      </c>
      <c r="DJ36" s="128">
        <f>$N$3*_xlfn.XLOOKUP(DJ$1,'Input Assumptions'!$C$34:$L$34,'Input Assumptions'!$C$36:$L$36)</f>
        <v>2121.8658203125005</v>
      </c>
      <c r="DK36" s="128">
        <f>$N$3*_xlfn.XLOOKUP(DK$1,'Input Assumptions'!$C$34:$L$34,'Input Assumptions'!$C$36:$L$36)</f>
        <v>2121.8658203125005</v>
      </c>
      <c r="DL36" s="128">
        <f>$N$3*_xlfn.XLOOKUP(DL$1,'Input Assumptions'!$C$34:$L$34,'Input Assumptions'!$C$36:$L$36)</f>
        <v>2121.8658203125005</v>
      </c>
      <c r="DM36" s="128">
        <f>$N$3*_xlfn.XLOOKUP(DM$1,'Input Assumptions'!$C$34:$L$34,'Input Assumptions'!$C$36:$L$36)</f>
        <v>2121.8658203125005</v>
      </c>
      <c r="DN36" s="128">
        <f>$N$3*_xlfn.XLOOKUP(DN$1,'Input Assumptions'!$C$34:$L$34,'Input Assumptions'!$C$36:$L$36)</f>
        <v>2121.8658203125005</v>
      </c>
      <c r="DO36" s="128">
        <f>$N$3*_xlfn.XLOOKUP(DO$1,'Input Assumptions'!$C$34:$L$34,'Input Assumptions'!$C$36:$L$36)</f>
        <v>2121.8658203125005</v>
      </c>
      <c r="DP36" s="128">
        <f>$N$3*_xlfn.XLOOKUP(DP$1,'Input Assumptions'!$C$34:$L$34,'Input Assumptions'!$C$36:$L$36)</f>
        <v>2121.8658203125005</v>
      </c>
      <c r="DQ36" s="128">
        <f>$N$3*_xlfn.XLOOKUP(DQ$1,'Input Assumptions'!$C$34:$L$34,'Input Assumptions'!$C$36:$L$36)</f>
        <v>2121.8658203125005</v>
      </c>
      <c r="DR36" s="128">
        <f>$N$3*_xlfn.XLOOKUP(DR$1,'Input Assumptions'!$C$34:$L$34,'Input Assumptions'!$C$36:$L$36)</f>
        <v>2121.8658203125005</v>
      </c>
      <c r="DS36" s="128">
        <f>$N$3*_xlfn.XLOOKUP(DS$1,'Input Assumptions'!$C$34:$L$34,'Input Assumptions'!$C$36:$L$36)</f>
        <v>2201.4357885742193</v>
      </c>
      <c r="DT36" s="128">
        <f>$N$3*_xlfn.XLOOKUP(DT$1,'Input Assumptions'!$C$34:$L$34,'Input Assumptions'!$C$36:$L$36)</f>
        <v>2201.4357885742193</v>
      </c>
      <c r="DU36" s="128">
        <f>$N$3*_xlfn.XLOOKUP(DU$1,'Input Assumptions'!$C$34:$L$34,'Input Assumptions'!$C$36:$L$36)</f>
        <v>2201.4357885742193</v>
      </c>
      <c r="DV36" s="128">
        <f>$N$3*_xlfn.XLOOKUP(DV$1,'Input Assumptions'!$C$34:$L$34,'Input Assumptions'!$C$36:$L$36)</f>
        <v>2201.4357885742193</v>
      </c>
      <c r="DW36" s="128">
        <f>$N$3*_xlfn.XLOOKUP(DW$1,'Input Assumptions'!$C$34:$L$34,'Input Assumptions'!$C$36:$L$36)</f>
        <v>2201.4357885742193</v>
      </c>
      <c r="DX36" s="128">
        <f>$N$3*_xlfn.XLOOKUP(DX$1,'Input Assumptions'!$C$34:$L$34,'Input Assumptions'!$C$36:$L$36)</f>
        <v>2201.4357885742193</v>
      </c>
      <c r="DY36" s="128">
        <f>$N$3*_xlfn.XLOOKUP(DY$1,'Input Assumptions'!$C$34:$L$34,'Input Assumptions'!$C$36:$L$36)</f>
        <v>2201.4357885742193</v>
      </c>
      <c r="DZ36" s="128">
        <f>$N$3*_xlfn.XLOOKUP(DZ$1,'Input Assumptions'!$C$34:$L$34,'Input Assumptions'!$C$36:$L$36)</f>
        <v>2201.4357885742193</v>
      </c>
      <c r="EA36" s="128">
        <f>$N$3*_xlfn.XLOOKUP(EA$1,'Input Assumptions'!$C$34:$L$34,'Input Assumptions'!$C$36:$L$36)</f>
        <v>2201.4357885742193</v>
      </c>
      <c r="EB36" s="128">
        <f>$N$3*_xlfn.XLOOKUP(EB$1,'Input Assumptions'!$C$34:$L$34,'Input Assumptions'!$C$36:$L$36)</f>
        <v>2201.4357885742193</v>
      </c>
      <c r="EC36" s="128">
        <f>$N$3*_xlfn.XLOOKUP(EC$1,'Input Assumptions'!$C$34:$L$34,'Input Assumptions'!$C$36:$L$36)</f>
        <v>2201.4357885742193</v>
      </c>
    </row>
    <row r="37" spans="2:135" x14ac:dyDescent="0.3">
      <c r="B37" s="15">
        <v>5</v>
      </c>
      <c r="C37" s="16">
        <v>35</v>
      </c>
      <c r="D37" s="16" t="s">
        <v>10</v>
      </c>
      <c r="E37" s="16">
        <v>450</v>
      </c>
      <c r="F37" s="20">
        <f t="shared" si="114"/>
        <v>41.80640845790095</v>
      </c>
      <c r="G37" s="19" t="str">
        <f t="shared" si="115"/>
        <v>1</v>
      </c>
      <c r="H37" s="20">
        <f t="shared" si="116"/>
        <v>1</v>
      </c>
      <c r="I37" s="18">
        <f t="shared" si="117"/>
        <v>1710</v>
      </c>
      <c r="J37" s="18">
        <f t="shared" si="118"/>
        <v>1900</v>
      </c>
      <c r="K37" s="18">
        <f>(J37*'Input Assumptions'!$C$20)+I37*('Input Assumptions'!$C$21)</f>
        <v>1900</v>
      </c>
      <c r="L37" s="94"/>
      <c r="M37" s="4"/>
      <c r="N37" s="128">
        <f t="shared" si="119"/>
        <v>1900</v>
      </c>
      <c r="O37" s="128">
        <f>$N$3*_xlfn.XLOOKUP(O$1,'Input Assumptions'!$C$34:$L$34,'Input Assumptions'!$C$36:$L$36)</f>
        <v>1900</v>
      </c>
      <c r="P37" s="128">
        <f>$N$3*_xlfn.XLOOKUP(P$1,'Input Assumptions'!$C$34:$L$34,'Input Assumptions'!$C$36:$L$36)</f>
        <v>1900</v>
      </c>
      <c r="Q37" s="128">
        <f>$N$3*_xlfn.XLOOKUP(Q$1,'Input Assumptions'!$C$34:$L$34,'Input Assumptions'!$C$36:$L$36)</f>
        <v>1900</v>
      </c>
      <c r="R37" s="128">
        <f>$N$3*_xlfn.XLOOKUP(R$1,'Input Assumptions'!$C$34:$L$34,'Input Assumptions'!$C$36:$L$36)</f>
        <v>1900</v>
      </c>
      <c r="S37" s="128">
        <f>$N$3*_xlfn.XLOOKUP(S$1,'Input Assumptions'!$C$34:$L$34,'Input Assumptions'!$C$36:$L$36)</f>
        <v>1900</v>
      </c>
      <c r="T37" s="128">
        <f>$N$3*_xlfn.XLOOKUP(T$1,'Input Assumptions'!$C$34:$L$34,'Input Assumptions'!$C$36:$L$36)</f>
        <v>1900</v>
      </c>
      <c r="U37" s="128">
        <f>$N$3*_xlfn.XLOOKUP(U$1,'Input Assumptions'!$C$34:$L$34,'Input Assumptions'!$C$36:$L$36)</f>
        <v>1900</v>
      </c>
      <c r="V37" s="128">
        <f>$N$3*_xlfn.XLOOKUP(V$1,'Input Assumptions'!$C$34:$L$34,'Input Assumptions'!$C$36:$L$36)</f>
        <v>1900</v>
      </c>
      <c r="W37" s="128">
        <f>$N$3*_xlfn.XLOOKUP(W$1,'Input Assumptions'!$C$34:$L$34,'Input Assumptions'!$C$36:$L$36)</f>
        <v>1900</v>
      </c>
      <c r="X37" s="128">
        <f>$N$3*_xlfn.XLOOKUP(X$1,'Input Assumptions'!$C$34:$L$34,'Input Assumptions'!$C$36:$L$36)</f>
        <v>1900</v>
      </c>
      <c r="Y37" s="128">
        <f>$N$3*_xlfn.XLOOKUP(Y$1,'Input Assumptions'!$C$34:$L$34,'Input Assumptions'!$C$36:$L$36)</f>
        <v>1900</v>
      </c>
      <c r="Z37" s="128">
        <f>$N$3*_xlfn.XLOOKUP(Z$1,'Input Assumptions'!$C$34:$L$34,'Input Assumptions'!$C$36:$L$36)</f>
        <v>1971.2500000000002</v>
      </c>
      <c r="AA37" s="128">
        <f>$N$3*_xlfn.XLOOKUP(AA$1,'Input Assumptions'!$C$34:$L$34,'Input Assumptions'!$C$36:$L$36)</f>
        <v>1971.2500000000002</v>
      </c>
      <c r="AB37" s="128">
        <f>$N$3*_xlfn.XLOOKUP(AB$1,'Input Assumptions'!$C$34:$L$34,'Input Assumptions'!$C$36:$L$36)</f>
        <v>1971.2500000000002</v>
      </c>
      <c r="AC37" s="128">
        <f>$N$3*_xlfn.XLOOKUP(AC$1,'Input Assumptions'!$C$34:$L$34,'Input Assumptions'!$C$36:$L$36)</f>
        <v>1971.2500000000002</v>
      </c>
      <c r="AD37" s="128">
        <f>$N$3*_xlfn.XLOOKUP(AD$1,'Input Assumptions'!$C$34:$L$34,'Input Assumptions'!$C$36:$L$36)</f>
        <v>1971.2500000000002</v>
      </c>
      <c r="AE37" s="128">
        <f>$N$3*_xlfn.XLOOKUP(AE$1,'Input Assumptions'!$C$34:$L$34,'Input Assumptions'!$C$36:$L$36)</f>
        <v>1971.2500000000002</v>
      </c>
      <c r="AF37" s="128">
        <f>$N$3*_xlfn.XLOOKUP(AF$1,'Input Assumptions'!$C$34:$L$34,'Input Assumptions'!$C$36:$L$36)</f>
        <v>1971.2500000000002</v>
      </c>
      <c r="AG37" s="128">
        <f>$N$3*_xlfn.XLOOKUP(AG$1,'Input Assumptions'!$C$34:$L$34,'Input Assumptions'!$C$36:$L$36)</f>
        <v>1971.2500000000002</v>
      </c>
      <c r="AH37" s="128">
        <f>$N$3*_xlfn.XLOOKUP(AH$1,'Input Assumptions'!$C$34:$L$34,'Input Assumptions'!$C$36:$L$36)</f>
        <v>1971.2500000000002</v>
      </c>
      <c r="AI37" s="128">
        <f>$N$3*_xlfn.XLOOKUP(AI$1,'Input Assumptions'!$C$34:$L$34,'Input Assumptions'!$C$36:$L$36)</f>
        <v>1971.2500000000002</v>
      </c>
      <c r="AJ37" s="128">
        <f>$N$3*_xlfn.XLOOKUP(AJ$1,'Input Assumptions'!$C$34:$L$34,'Input Assumptions'!$C$36:$L$36)</f>
        <v>1971.2500000000002</v>
      </c>
      <c r="AK37" s="128">
        <f>$N$3*_xlfn.XLOOKUP(AK$1,'Input Assumptions'!$C$34:$L$34,'Input Assumptions'!$C$36:$L$36)</f>
        <v>1971.2500000000002</v>
      </c>
      <c r="AL37" s="128">
        <f>$N$3*_xlfn.XLOOKUP(AL$1,'Input Assumptions'!$C$34:$L$34,'Input Assumptions'!$C$36:$L$36)</f>
        <v>2045.1718750000005</v>
      </c>
      <c r="AM37" s="128">
        <f>$N$3*_xlfn.XLOOKUP(AM$1,'Input Assumptions'!$C$34:$L$34,'Input Assumptions'!$C$36:$L$36)</f>
        <v>2045.1718750000005</v>
      </c>
      <c r="AN37" s="128">
        <f>$N$3*_xlfn.XLOOKUP(AN$1,'Input Assumptions'!$C$34:$L$34,'Input Assumptions'!$C$36:$L$36)</f>
        <v>2045.1718750000005</v>
      </c>
      <c r="AO37" s="128">
        <f>$N$3*_xlfn.XLOOKUP(AO$1,'Input Assumptions'!$C$34:$L$34,'Input Assumptions'!$C$36:$L$36)</f>
        <v>2045.1718750000005</v>
      </c>
      <c r="AP37" s="128">
        <f>$N$3*_xlfn.XLOOKUP(AP$1,'Input Assumptions'!$C$34:$L$34,'Input Assumptions'!$C$36:$L$36)</f>
        <v>2045.1718750000005</v>
      </c>
      <c r="AQ37" s="128">
        <f>$N$3*_xlfn.XLOOKUP(AQ$1,'Input Assumptions'!$C$34:$L$34,'Input Assumptions'!$C$36:$L$36)</f>
        <v>2045.1718750000005</v>
      </c>
      <c r="AR37" s="128">
        <f>$N$3*_xlfn.XLOOKUP(AR$1,'Input Assumptions'!$C$34:$L$34,'Input Assumptions'!$C$36:$L$36)</f>
        <v>2045.1718750000005</v>
      </c>
      <c r="AS37" s="128">
        <f>$N$3*_xlfn.XLOOKUP(AS$1,'Input Assumptions'!$C$34:$L$34,'Input Assumptions'!$C$36:$L$36)</f>
        <v>2045.1718750000005</v>
      </c>
      <c r="AT37" s="128">
        <f>$N$3*_xlfn.XLOOKUP(AT$1,'Input Assumptions'!$C$34:$L$34,'Input Assumptions'!$C$36:$L$36)</f>
        <v>2045.1718750000005</v>
      </c>
      <c r="AU37" s="128">
        <f>$N$3*_xlfn.XLOOKUP(AU$1,'Input Assumptions'!$C$34:$L$34,'Input Assumptions'!$C$36:$L$36)</f>
        <v>2045.1718750000005</v>
      </c>
      <c r="AV37" s="128">
        <f>$N$3*_xlfn.XLOOKUP(AV$1,'Input Assumptions'!$C$34:$L$34,'Input Assumptions'!$C$36:$L$36)</f>
        <v>2045.1718750000005</v>
      </c>
      <c r="AW37" s="128">
        <f>$N$3*_xlfn.XLOOKUP(AW$1,'Input Assumptions'!$C$34:$L$34,'Input Assumptions'!$C$36:$L$36)</f>
        <v>2045.1718750000005</v>
      </c>
      <c r="AX37" s="128">
        <f>$N$3*_xlfn.XLOOKUP(AX$1,'Input Assumptions'!$C$34:$L$34,'Input Assumptions'!$C$36:$L$36)</f>
        <v>2121.8658203125005</v>
      </c>
      <c r="AY37" s="128">
        <f>$N$3*_xlfn.XLOOKUP(AY$1,'Input Assumptions'!$C$34:$L$34,'Input Assumptions'!$C$36:$L$36)</f>
        <v>2121.8658203125005</v>
      </c>
      <c r="AZ37" s="128">
        <f>$N$3*_xlfn.XLOOKUP(AZ$1,'Input Assumptions'!$C$34:$L$34,'Input Assumptions'!$C$36:$L$36)</f>
        <v>2121.8658203125005</v>
      </c>
      <c r="BA37" s="128">
        <f>$N$3*_xlfn.XLOOKUP(BA$1,'Input Assumptions'!$C$34:$L$34,'Input Assumptions'!$C$36:$L$36)</f>
        <v>2121.8658203125005</v>
      </c>
      <c r="BB37" s="128">
        <f>$N$3*_xlfn.XLOOKUP(BB$1,'Input Assumptions'!$C$34:$L$34,'Input Assumptions'!$C$36:$L$36)</f>
        <v>2121.8658203125005</v>
      </c>
      <c r="BC37" s="128">
        <f>$N$3*_xlfn.XLOOKUP(BC$1,'Input Assumptions'!$C$34:$L$34,'Input Assumptions'!$C$36:$L$36)</f>
        <v>2121.8658203125005</v>
      </c>
      <c r="BD37" s="128">
        <f>$N$3*_xlfn.XLOOKUP(BD$1,'Input Assumptions'!$C$34:$L$34,'Input Assumptions'!$C$36:$L$36)</f>
        <v>2121.8658203125005</v>
      </c>
      <c r="BE37" s="128">
        <f>$N$3*_xlfn.XLOOKUP(BE$1,'Input Assumptions'!$C$34:$L$34,'Input Assumptions'!$C$36:$L$36)</f>
        <v>2121.8658203125005</v>
      </c>
      <c r="BF37" s="128">
        <f>$N$3*_xlfn.XLOOKUP(BF$1,'Input Assumptions'!$C$34:$L$34,'Input Assumptions'!$C$36:$L$36)</f>
        <v>2121.8658203125005</v>
      </c>
      <c r="BG37" s="128">
        <f>$N$3*_xlfn.XLOOKUP(BG$1,'Input Assumptions'!$C$34:$L$34,'Input Assumptions'!$C$36:$L$36)</f>
        <v>2121.8658203125005</v>
      </c>
      <c r="BH37" s="128">
        <f>$N$3*_xlfn.XLOOKUP(BH$1,'Input Assumptions'!$C$34:$L$34,'Input Assumptions'!$C$36:$L$36)</f>
        <v>2121.8658203125005</v>
      </c>
      <c r="BI37" s="128">
        <f>$N$3*_xlfn.XLOOKUP(BI$1,'Input Assumptions'!$C$34:$L$34,'Input Assumptions'!$C$36:$L$36)</f>
        <v>2121.8658203125005</v>
      </c>
      <c r="BJ37" s="128">
        <f>$N$3*_xlfn.XLOOKUP(BJ$1,'Input Assumptions'!$C$34:$L$34,'Input Assumptions'!$C$36:$L$36)</f>
        <v>2201.4357885742193</v>
      </c>
      <c r="BK37" s="128">
        <f>$N$3*_xlfn.XLOOKUP(BK$1,'Input Assumptions'!$C$34:$L$34,'Input Assumptions'!$C$36:$L$36)</f>
        <v>2201.4357885742193</v>
      </c>
      <c r="BL37" s="128">
        <f>$N$3*_xlfn.XLOOKUP(BL$1,'Input Assumptions'!$C$34:$L$34,'Input Assumptions'!$C$36:$L$36)</f>
        <v>2201.4357885742193</v>
      </c>
      <c r="BM37" s="128">
        <f>$N$3*_xlfn.XLOOKUP(BM$1,'Input Assumptions'!$C$34:$L$34,'Input Assumptions'!$C$36:$L$36)</f>
        <v>2201.4357885742193</v>
      </c>
      <c r="BN37" s="128">
        <f>$N$3*_xlfn.XLOOKUP(BN$1,'Input Assumptions'!$C$34:$L$34,'Input Assumptions'!$C$36:$L$36)</f>
        <v>2201.4357885742193</v>
      </c>
      <c r="BO37" s="128">
        <f>$N$3*_xlfn.XLOOKUP(BO$1,'Input Assumptions'!$C$34:$L$34,'Input Assumptions'!$C$36:$L$36)</f>
        <v>2201.4357885742193</v>
      </c>
      <c r="BP37" s="128">
        <f>$N$3*_xlfn.XLOOKUP(BP$1,'Input Assumptions'!$C$34:$L$34,'Input Assumptions'!$C$36:$L$36)</f>
        <v>2201.4357885742193</v>
      </c>
      <c r="BQ37" s="128">
        <f>$N$3*_xlfn.XLOOKUP(BQ$1,'Input Assumptions'!$C$34:$L$34,'Input Assumptions'!$C$36:$L$36)</f>
        <v>2201.4357885742193</v>
      </c>
      <c r="BR37" s="128">
        <f>$N$3*_xlfn.XLOOKUP(BR$1,'Input Assumptions'!$C$34:$L$34,'Input Assumptions'!$C$36:$L$36)</f>
        <v>2201.4357885742193</v>
      </c>
      <c r="BS37" s="128">
        <f>$N$3*_xlfn.XLOOKUP(BS$1,'Input Assumptions'!$C$34:$L$34,'Input Assumptions'!$C$36:$L$36)</f>
        <v>2201.4357885742193</v>
      </c>
      <c r="BT37" s="128">
        <f>$N$3*_xlfn.XLOOKUP(BT$1,'Input Assumptions'!$C$34:$L$34,'Input Assumptions'!$C$36:$L$36)</f>
        <v>2201.4357885742193</v>
      </c>
      <c r="BU37" s="128">
        <f>$N$3*_xlfn.XLOOKUP(BU$1,'Input Assumptions'!$C$34:$L$34,'Input Assumptions'!$C$36:$L$36)</f>
        <v>2201.4357885742193</v>
      </c>
      <c r="BV37" s="128">
        <f>$N$3*_xlfn.XLOOKUP(BV$1,'Input Assumptions'!$C$34:$L$34,'Input Assumptions'!$C$36:$L$36)</f>
        <v>2283.9896306457531</v>
      </c>
      <c r="BW37" s="128">
        <f>$N$3*_xlfn.XLOOKUP(BW$1,'Input Assumptions'!$C$34:$L$34,'Input Assumptions'!$C$36:$L$36)</f>
        <v>1900</v>
      </c>
      <c r="BX37" s="128">
        <f>$N$3*_xlfn.XLOOKUP(BX$1,'Input Assumptions'!$C$34:$L$34,'Input Assumptions'!$C$36:$L$36)</f>
        <v>1900</v>
      </c>
      <c r="BY37" s="128">
        <f>$N$3*_xlfn.XLOOKUP(BY$1,'Input Assumptions'!$C$34:$L$34,'Input Assumptions'!$C$36:$L$36)</f>
        <v>1900</v>
      </c>
      <c r="BZ37" s="128">
        <f>$N$3*_xlfn.XLOOKUP(BZ$1,'Input Assumptions'!$C$34:$L$34,'Input Assumptions'!$C$36:$L$36)</f>
        <v>1900</v>
      </c>
      <c r="CA37" s="128">
        <f>$N$3*_xlfn.XLOOKUP(CA$1,'Input Assumptions'!$C$34:$L$34,'Input Assumptions'!$C$36:$L$36)</f>
        <v>1900</v>
      </c>
      <c r="CB37" s="128">
        <f>$N$3*_xlfn.XLOOKUP(CB$1,'Input Assumptions'!$C$34:$L$34,'Input Assumptions'!$C$36:$L$36)</f>
        <v>1900</v>
      </c>
      <c r="CC37" s="128">
        <f>$N$3*_xlfn.XLOOKUP(CC$1,'Input Assumptions'!$C$34:$L$34,'Input Assumptions'!$C$36:$L$36)</f>
        <v>1900</v>
      </c>
      <c r="CD37" s="128">
        <f>$N$3*_xlfn.XLOOKUP(CD$1,'Input Assumptions'!$C$34:$L$34,'Input Assumptions'!$C$36:$L$36)</f>
        <v>1900</v>
      </c>
      <c r="CE37" s="128">
        <f>$N$3*_xlfn.XLOOKUP(CE$1,'Input Assumptions'!$C$34:$L$34,'Input Assumptions'!$C$36:$L$36)</f>
        <v>1900</v>
      </c>
      <c r="CF37" s="128">
        <f>$N$3*_xlfn.XLOOKUP(CF$1,'Input Assumptions'!$C$34:$L$34,'Input Assumptions'!$C$36:$L$36)</f>
        <v>1900</v>
      </c>
      <c r="CG37" s="128">
        <f>$N$3*_xlfn.XLOOKUP(CG$1,'Input Assumptions'!$C$34:$L$34,'Input Assumptions'!$C$36:$L$36)</f>
        <v>1900</v>
      </c>
      <c r="CH37" s="128">
        <f>$N$3*_xlfn.XLOOKUP(CH$1,'Input Assumptions'!$C$34:$L$34,'Input Assumptions'!$C$36:$L$36)</f>
        <v>1900</v>
      </c>
      <c r="CI37" s="128">
        <f>$N$3*_xlfn.XLOOKUP(CI$1,'Input Assumptions'!$C$34:$L$34,'Input Assumptions'!$C$36:$L$36)</f>
        <v>1971.2500000000002</v>
      </c>
      <c r="CJ37" s="128">
        <f>$N$3*_xlfn.XLOOKUP(CJ$1,'Input Assumptions'!$C$34:$L$34,'Input Assumptions'!$C$36:$L$36)</f>
        <v>1971.2500000000002</v>
      </c>
      <c r="CK37" s="128">
        <f>$N$3*_xlfn.XLOOKUP(CK$1,'Input Assumptions'!$C$34:$L$34,'Input Assumptions'!$C$36:$L$36)</f>
        <v>1971.2500000000002</v>
      </c>
      <c r="CL37" s="128">
        <f>$N$3*_xlfn.XLOOKUP(CL$1,'Input Assumptions'!$C$34:$L$34,'Input Assumptions'!$C$36:$L$36)</f>
        <v>1971.2500000000002</v>
      </c>
      <c r="CM37" s="128">
        <f>$N$3*_xlfn.XLOOKUP(CM$1,'Input Assumptions'!$C$34:$L$34,'Input Assumptions'!$C$36:$L$36)</f>
        <v>1971.2500000000002</v>
      </c>
      <c r="CN37" s="128">
        <f>$N$3*_xlfn.XLOOKUP(CN$1,'Input Assumptions'!$C$34:$L$34,'Input Assumptions'!$C$36:$L$36)</f>
        <v>1971.2500000000002</v>
      </c>
      <c r="CO37" s="128">
        <f>$N$3*_xlfn.XLOOKUP(CO$1,'Input Assumptions'!$C$34:$L$34,'Input Assumptions'!$C$36:$L$36)</f>
        <v>1971.2500000000002</v>
      </c>
      <c r="CP37" s="128">
        <f>$N$3*_xlfn.XLOOKUP(CP$1,'Input Assumptions'!$C$34:$L$34,'Input Assumptions'!$C$36:$L$36)</f>
        <v>1971.2500000000002</v>
      </c>
      <c r="CQ37" s="128">
        <f>$N$3*_xlfn.XLOOKUP(CQ$1,'Input Assumptions'!$C$34:$L$34,'Input Assumptions'!$C$36:$L$36)</f>
        <v>1971.2500000000002</v>
      </c>
      <c r="CR37" s="128">
        <f>$N$3*_xlfn.XLOOKUP(CR$1,'Input Assumptions'!$C$34:$L$34,'Input Assumptions'!$C$36:$L$36)</f>
        <v>1971.2500000000002</v>
      </c>
      <c r="CS37" s="128">
        <f>$N$3*_xlfn.XLOOKUP(CS$1,'Input Assumptions'!$C$34:$L$34,'Input Assumptions'!$C$36:$L$36)</f>
        <v>1971.2500000000002</v>
      </c>
      <c r="CT37" s="128">
        <f>$N$3*_xlfn.XLOOKUP(CT$1,'Input Assumptions'!$C$34:$L$34,'Input Assumptions'!$C$36:$L$36)</f>
        <v>1971.2500000000002</v>
      </c>
      <c r="CU37" s="128">
        <f>$N$3*_xlfn.XLOOKUP(CU$1,'Input Assumptions'!$C$34:$L$34,'Input Assumptions'!$C$36:$L$36)</f>
        <v>2045.1718750000005</v>
      </c>
      <c r="CV37" s="128">
        <f>$N$3*_xlfn.XLOOKUP(CV$1,'Input Assumptions'!$C$34:$L$34,'Input Assumptions'!$C$36:$L$36)</f>
        <v>2045.1718750000005</v>
      </c>
      <c r="CW37" s="128">
        <f>$N$3*_xlfn.XLOOKUP(CW$1,'Input Assumptions'!$C$34:$L$34,'Input Assumptions'!$C$36:$L$36)</f>
        <v>2045.1718750000005</v>
      </c>
      <c r="CX37" s="128">
        <f>$N$3*_xlfn.XLOOKUP(CX$1,'Input Assumptions'!$C$34:$L$34,'Input Assumptions'!$C$36:$L$36)</f>
        <v>2045.1718750000005</v>
      </c>
      <c r="CY37" s="128">
        <f>$N$3*_xlfn.XLOOKUP(CY$1,'Input Assumptions'!$C$34:$L$34,'Input Assumptions'!$C$36:$L$36)</f>
        <v>2045.1718750000005</v>
      </c>
      <c r="CZ37" s="128">
        <f>$N$3*_xlfn.XLOOKUP(CZ$1,'Input Assumptions'!$C$34:$L$34,'Input Assumptions'!$C$36:$L$36)</f>
        <v>2045.1718750000005</v>
      </c>
      <c r="DA37" s="128">
        <f>$N$3*_xlfn.XLOOKUP(DA$1,'Input Assumptions'!$C$34:$L$34,'Input Assumptions'!$C$36:$L$36)</f>
        <v>2045.1718750000005</v>
      </c>
      <c r="DB37" s="128">
        <f>$N$3*_xlfn.XLOOKUP(DB$1,'Input Assumptions'!$C$34:$L$34,'Input Assumptions'!$C$36:$L$36)</f>
        <v>2045.1718750000005</v>
      </c>
      <c r="DC37" s="128">
        <f>$N$3*_xlfn.XLOOKUP(DC$1,'Input Assumptions'!$C$34:$L$34,'Input Assumptions'!$C$36:$L$36)</f>
        <v>2045.1718750000005</v>
      </c>
      <c r="DD37" s="128">
        <f>$N$3*_xlfn.XLOOKUP(DD$1,'Input Assumptions'!$C$34:$L$34,'Input Assumptions'!$C$36:$L$36)</f>
        <v>2045.1718750000005</v>
      </c>
      <c r="DE37" s="128">
        <f>$N$3*_xlfn.XLOOKUP(DE$1,'Input Assumptions'!$C$34:$L$34,'Input Assumptions'!$C$36:$L$36)</f>
        <v>2045.1718750000005</v>
      </c>
      <c r="DF37" s="128">
        <f>$N$3*_xlfn.XLOOKUP(DF$1,'Input Assumptions'!$C$34:$L$34,'Input Assumptions'!$C$36:$L$36)</f>
        <v>2045.1718750000005</v>
      </c>
      <c r="DG37" s="128">
        <f>$N$3*_xlfn.XLOOKUP(DG$1,'Input Assumptions'!$C$34:$L$34,'Input Assumptions'!$C$36:$L$36)</f>
        <v>2121.8658203125005</v>
      </c>
      <c r="DH37" s="128">
        <f>$N$3*_xlfn.XLOOKUP(DH$1,'Input Assumptions'!$C$34:$L$34,'Input Assumptions'!$C$36:$L$36)</f>
        <v>2121.8658203125005</v>
      </c>
      <c r="DI37" s="128">
        <f>$N$3*_xlfn.XLOOKUP(DI$1,'Input Assumptions'!$C$34:$L$34,'Input Assumptions'!$C$36:$L$36)</f>
        <v>2121.8658203125005</v>
      </c>
      <c r="DJ37" s="128">
        <f>$N$3*_xlfn.XLOOKUP(DJ$1,'Input Assumptions'!$C$34:$L$34,'Input Assumptions'!$C$36:$L$36)</f>
        <v>2121.8658203125005</v>
      </c>
      <c r="DK37" s="128">
        <f>$N$3*_xlfn.XLOOKUP(DK$1,'Input Assumptions'!$C$34:$L$34,'Input Assumptions'!$C$36:$L$36)</f>
        <v>2121.8658203125005</v>
      </c>
      <c r="DL37" s="128">
        <f>$N$3*_xlfn.XLOOKUP(DL$1,'Input Assumptions'!$C$34:$L$34,'Input Assumptions'!$C$36:$L$36)</f>
        <v>2121.8658203125005</v>
      </c>
      <c r="DM37" s="128">
        <f>$N$3*_xlfn.XLOOKUP(DM$1,'Input Assumptions'!$C$34:$L$34,'Input Assumptions'!$C$36:$L$36)</f>
        <v>2121.8658203125005</v>
      </c>
      <c r="DN37" s="128">
        <f>$N$3*_xlfn.XLOOKUP(DN$1,'Input Assumptions'!$C$34:$L$34,'Input Assumptions'!$C$36:$L$36)</f>
        <v>2121.8658203125005</v>
      </c>
      <c r="DO37" s="128">
        <f>$N$3*_xlfn.XLOOKUP(DO$1,'Input Assumptions'!$C$34:$L$34,'Input Assumptions'!$C$36:$L$36)</f>
        <v>2121.8658203125005</v>
      </c>
      <c r="DP37" s="128">
        <f>$N$3*_xlfn.XLOOKUP(DP$1,'Input Assumptions'!$C$34:$L$34,'Input Assumptions'!$C$36:$L$36)</f>
        <v>2121.8658203125005</v>
      </c>
      <c r="DQ37" s="128">
        <f>$N$3*_xlfn.XLOOKUP(DQ$1,'Input Assumptions'!$C$34:$L$34,'Input Assumptions'!$C$36:$L$36)</f>
        <v>2121.8658203125005</v>
      </c>
      <c r="DR37" s="128">
        <f>$N$3*_xlfn.XLOOKUP(DR$1,'Input Assumptions'!$C$34:$L$34,'Input Assumptions'!$C$36:$L$36)</f>
        <v>2121.8658203125005</v>
      </c>
      <c r="DS37" s="128">
        <f>$N$3*_xlfn.XLOOKUP(DS$1,'Input Assumptions'!$C$34:$L$34,'Input Assumptions'!$C$36:$L$36)</f>
        <v>2201.4357885742193</v>
      </c>
      <c r="DT37" s="128">
        <f>$N$3*_xlfn.XLOOKUP(DT$1,'Input Assumptions'!$C$34:$L$34,'Input Assumptions'!$C$36:$L$36)</f>
        <v>2201.4357885742193</v>
      </c>
      <c r="DU37" s="128">
        <f>$N$3*_xlfn.XLOOKUP(DU$1,'Input Assumptions'!$C$34:$L$34,'Input Assumptions'!$C$36:$L$36)</f>
        <v>2201.4357885742193</v>
      </c>
      <c r="DV37" s="128">
        <f>$N$3*_xlfn.XLOOKUP(DV$1,'Input Assumptions'!$C$34:$L$34,'Input Assumptions'!$C$36:$L$36)</f>
        <v>2201.4357885742193</v>
      </c>
      <c r="DW37" s="128">
        <f>$N$3*_xlfn.XLOOKUP(DW$1,'Input Assumptions'!$C$34:$L$34,'Input Assumptions'!$C$36:$L$36)</f>
        <v>2201.4357885742193</v>
      </c>
      <c r="DX37" s="128">
        <f>$N$3*_xlfn.XLOOKUP(DX$1,'Input Assumptions'!$C$34:$L$34,'Input Assumptions'!$C$36:$L$36)</f>
        <v>2201.4357885742193</v>
      </c>
      <c r="DY37" s="128">
        <f>$N$3*_xlfn.XLOOKUP(DY$1,'Input Assumptions'!$C$34:$L$34,'Input Assumptions'!$C$36:$L$36)</f>
        <v>2201.4357885742193</v>
      </c>
      <c r="DZ37" s="128">
        <f>$N$3*_xlfn.XLOOKUP(DZ$1,'Input Assumptions'!$C$34:$L$34,'Input Assumptions'!$C$36:$L$36)</f>
        <v>2201.4357885742193</v>
      </c>
      <c r="EA37" s="128">
        <f>$N$3*_xlfn.XLOOKUP(EA$1,'Input Assumptions'!$C$34:$L$34,'Input Assumptions'!$C$36:$L$36)</f>
        <v>2201.4357885742193</v>
      </c>
      <c r="EB37" s="128">
        <f>$N$3*_xlfn.XLOOKUP(EB$1,'Input Assumptions'!$C$34:$L$34,'Input Assumptions'!$C$36:$L$36)</f>
        <v>2201.4357885742193</v>
      </c>
      <c r="EC37" s="128">
        <f>$N$3*_xlfn.XLOOKUP(EC$1,'Input Assumptions'!$C$34:$L$34,'Input Assumptions'!$C$36:$L$36)</f>
        <v>2201.4357885742193</v>
      </c>
    </row>
    <row r="38" spans="2:135" x14ac:dyDescent="0.3">
      <c r="B38" s="15">
        <v>5</v>
      </c>
      <c r="C38" s="16">
        <v>36</v>
      </c>
      <c r="D38" s="16" t="s">
        <v>10</v>
      </c>
      <c r="E38" s="16">
        <v>450</v>
      </c>
      <c r="F38" s="20">
        <f t="shared" si="114"/>
        <v>41.80640845790095</v>
      </c>
      <c r="G38" s="19" t="str">
        <f t="shared" si="115"/>
        <v>1</v>
      </c>
      <c r="H38" s="20">
        <f t="shared" si="116"/>
        <v>1</v>
      </c>
      <c r="I38" s="18">
        <f t="shared" si="117"/>
        <v>1710</v>
      </c>
      <c r="J38" s="18">
        <f t="shared" si="118"/>
        <v>1900</v>
      </c>
      <c r="K38" s="18">
        <f>(J38*'Input Assumptions'!$C$20)+I38*('Input Assumptions'!$C$21)</f>
        <v>1900</v>
      </c>
      <c r="L38" s="94"/>
      <c r="M38" s="4"/>
      <c r="N38" s="128">
        <f t="shared" si="119"/>
        <v>1900</v>
      </c>
      <c r="O38" s="128">
        <f>$N$3*_xlfn.XLOOKUP(O$1,'Input Assumptions'!$C$34:$L$34,'Input Assumptions'!$C$36:$L$36)</f>
        <v>1900</v>
      </c>
      <c r="P38" s="128">
        <f>$N$3*_xlfn.XLOOKUP(P$1,'Input Assumptions'!$C$34:$L$34,'Input Assumptions'!$C$36:$L$36)</f>
        <v>1900</v>
      </c>
      <c r="Q38" s="128">
        <f>$N$3*_xlfn.XLOOKUP(Q$1,'Input Assumptions'!$C$34:$L$34,'Input Assumptions'!$C$36:$L$36)</f>
        <v>1900</v>
      </c>
      <c r="R38" s="128">
        <f>$N$3*_xlfn.XLOOKUP(R$1,'Input Assumptions'!$C$34:$L$34,'Input Assumptions'!$C$36:$L$36)</f>
        <v>1900</v>
      </c>
      <c r="S38" s="128">
        <f>$N$3*_xlfn.XLOOKUP(S$1,'Input Assumptions'!$C$34:$L$34,'Input Assumptions'!$C$36:$L$36)</f>
        <v>1900</v>
      </c>
      <c r="T38" s="128">
        <f>$N$3*_xlfn.XLOOKUP(T$1,'Input Assumptions'!$C$34:$L$34,'Input Assumptions'!$C$36:$L$36)</f>
        <v>1900</v>
      </c>
      <c r="U38" s="128">
        <f>$N$3*_xlfn.XLOOKUP(U$1,'Input Assumptions'!$C$34:$L$34,'Input Assumptions'!$C$36:$L$36)</f>
        <v>1900</v>
      </c>
      <c r="V38" s="128">
        <f>$N$3*_xlfn.XLOOKUP(V$1,'Input Assumptions'!$C$34:$L$34,'Input Assumptions'!$C$36:$L$36)</f>
        <v>1900</v>
      </c>
      <c r="W38" s="128">
        <f>$N$3*_xlfn.XLOOKUP(W$1,'Input Assumptions'!$C$34:$L$34,'Input Assumptions'!$C$36:$L$36)</f>
        <v>1900</v>
      </c>
      <c r="X38" s="128">
        <f>$N$3*_xlfn.XLOOKUP(X$1,'Input Assumptions'!$C$34:$L$34,'Input Assumptions'!$C$36:$L$36)</f>
        <v>1900</v>
      </c>
      <c r="Y38" s="128">
        <f>$N$3*_xlfn.XLOOKUP(Y$1,'Input Assumptions'!$C$34:$L$34,'Input Assumptions'!$C$36:$L$36)</f>
        <v>1900</v>
      </c>
      <c r="Z38" s="128">
        <f>$N$3*_xlfn.XLOOKUP(Z$1,'Input Assumptions'!$C$34:$L$34,'Input Assumptions'!$C$36:$L$36)</f>
        <v>1971.2500000000002</v>
      </c>
      <c r="AA38" s="128">
        <f>$N$3*_xlfn.XLOOKUP(AA$1,'Input Assumptions'!$C$34:$L$34,'Input Assumptions'!$C$36:$L$36)</f>
        <v>1971.2500000000002</v>
      </c>
      <c r="AB38" s="128">
        <f>$N$3*_xlfn.XLOOKUP(AB$1,'Input Assumptions'!$C$34:$L$34,'Input Assumptions'!$C$36:$L$36)</f>
        <v>1971.2500000000002</v>
      </c>
      <c r="AC38" s="128">
        <f>$N$3*_xlfn.XLOOKUP(AC$1,'Input Assumptions'!$C$34:$L$34,'Input Assumptions'!$C$36:$L$36)</f>
        <v>1971.2500000000002</v>
      </c>
      <c r="AD38" s="128">
        <f>$N$3*_xlfn.XLOOKUP(AD$1,'Input Assumptions'!$C$34:$L$34,'Input Assumptions'!$C$36:$L$36)</f>
        <v>1971.2500000000002</v>
      </c>
      <c r="AE38" s="128">
        <f>$N$3*_xlfn.XLOOKUP(AE$1,'Input Assumptions'!$C$34:$L$34,'Input Assumptions'!$C$36:$L$36)</f>
        <v>1971.2500000000002</v>
      </c>
      <c r="AF38" s="128">
        <f>$N$3*_xlfn.XLOOKUP(AF$1,'Input Assumptions'!$C$34:$L$34,'Input Assumptions'!$C$36:$L$36)</f>
        <v>1971.2500000000002</v>
      </c>
      <c r="AG38" s="128">
        <f>$N$3*_xlfn.XLOOKUP(AG$1,'Input Assumptions'!$C$34:$L$34,'Input Assumptions'!$C$36:$L$36)</f>
        <v>1971.2500000000002</v>
      </c>
      <c r="AH38" s="128">
        <f>$N$3*_xlfn.XLOOKUP(AH$1,'Input Assumptions'!$C$34:$L$34,'Input Assumptions'!$C$36:$L$36)</f>
        <v>1971.2500000000002</v>
      </c>
      <c r="AI38" s="128">
        <f>$N$3*_xlfn.XLOOKUP(AI$1,'Input Assumptions'!$C$34:$L$34,'Input Assumptions'!$C$36:$L$36)</f>
        <v>1971.2500000000002</v>
      </c>
      <c r="AJ38" s="128">
        <f>$N$3*_xlfn.XLOOKUP(AJ$1,'Input Assumptions'!$C$34:$L$34,'Input Assumptions'!$C$36:$L$36)</f>
        <v>1971.2500000000002</v>
      </c>
      <c r="AK38" s="128">
        <f>$N$3*_xlfn.XLOOKUP(AK$1,'Input Assumptions'!$C$34:$L$34,'Input Assumptions'!$C$36:$L$36)</f>
        <v>1971.2500000000002</v>
      </c>
      <c r="AL38" s="128">
        <f>$N$3*_xlfn.XLOOKUP(AL$1,'Input Assumptions'!$C$34:$L$34,'Input Assumptions'!$C$36:$L$36)</f>
        <v>2045.1718750000005</v>
      </c>
      <c r="AM38" s="128">
        <f>$N$3*_xlfn.XLOOKUP(AM$1,'Input Assumptions'!$C$34:$L$34,'Input Assumptions'!$C$36:$L$36)</f>
        <v>2045.1718750000005</v>
      </c>
      <c r="AN38" s="128">
        <f>$N$3*_xlfn.XLOOKUP(AN$1,'Input Assumptions'!$C$34:$L$34,'Input Assumptions'!$C$36:$L$36)</f>
        <v>2045.1718750000005</v>
      </c>
      <c r="AO38" s="128">
        <f>$N$3*_xlfn.XLOOKUP(AO$1,'Input Assumptions'!$C$34:$L$34,'Input Assumptions'!$C$36:$L$36)</f>
        <v>2045.1718750000005</v>
      </c>
      <c r="AP38" s="128">
        <f>$N$3*_xlfn.XLOOKUP(AP$1,'Input Assumptions'!$C$34:$L$34,'Input Assumptions'!$C$36:$L$36)</f>
        <v>2045.1718750000005</v>
      </c>
      <c r="AQ38" s="128">
        <f>$N$3*_xlfn.XLOOKUP(AQ$1,'Input Assumptions'!$C$34:$L$34,'Input Assumptions'!$C$36:$L$36)</f>
        <v>2045.1718750000005</v>
      </c>
      <c r="AR38" s="128">
        <f>$N$3*_xlfn.XLOOKUP(AR$1,'Input Assumptions'!$C$34:$L$34,'Input Assumptions'!$C$36:$L$36)</f>
        <v>2045.1718750000005</v>
      </c>
      <c r="AS38" s="128">
        <f>$N$3*_xlfn.XLOOKUP(AS$1,'Input Assumptions'!$C$34:$L$34,'Input Assumptions'!$C$36:$L$36)</f>
        <v>2045.1718750000005</v>
      </c>
      <c r="AT38" s="128">
        <f>$N$3*_xlfn.XLOOKUP(AT$1,'Input Assumptions'!$C$34:$L$34,'Input Assumptions'!$C$36:$L$36)</f>
        <v>2045.1718750000005</v>
      </c>
      <c r="AU38" s="128">
        <f>$N$3*_xlfn.XLOOKUP(AU$1,'Input Assumptions'!$C$34:$L$34,'Input Assumptions'!$C$36:$L$36)</f>
        <v>2045.1718750000005</v>
      </c>
      <c r="AV38" s="128">
        <f>$N$3*_xlfn.XLOOKUP(AV$1,'Input Assumptions'!$C$34:$L$34,'Input Assumptions'!$C$36:$L$36)</f>
        <v>2045.1718750000005</v>
      </c>
      <c r="AW38" s="128">
        <f>$N$3*_xlfn.XLOOKUP(AW$1,'Input Assumptions'!$C$34:$L$34,'Input Assumptions'!$C$36:$L$36)</f>
        <v>2045.1718750000005</v>
      </c>
      <c r="AX38" s="128">
        <f>$N$3*_xlfn.XLOOKUP(AX$1,'Input Assumptions'!$C$34:$L$34,'Input Assumptions'!$C$36:$L$36)</f>
        <v>2121.8658203125005</v>
      </c>
      <c r="AY38" s="128">
        <f>$N$3*_xlfn.XLOOKUP(AY$1,'Input Assumptions'!$C$34:$L$34,'Input Assumptions'!$C$36:$L$36)</f>
        <v>2121.8658203125005</v>
      </c>
      <c r="AZ38" s="128">
        <f>$N$3*_xlfn.XLOOKUP(AZ$1,'Input Assumptions'!$C$34:$L$34,'Input Assumptions'!$C$36:$L$36)</f>
        <v>2121.8658203125005</v>
      </c>
      <c r="BA38" s="128">
        <f>$N$3*_xlfn.XLOOKUP(BA$1,'Input Assumptions'!$C$34:$L$34,'Input Assumptions'!$C$36:$L$36)</f>
        <v>2121.8658203125005</v>
      </c>
      <c r="BB38" s="128">
        <f>$N$3*_xlfn.XLOOKUP(BB$1,'Input Assumptions'!$C$34:$L$34,'Input Assumptions'!$C$36:$L$36)</f>
        <v>2121.8658203125005</v>
      </c>
      <c r="BC38" s="128">
        <f>$N$3*_xlfn.XLOOKUP(BC$1,'Input Assumptions'!$C$34:$L$34,'Input Assumptions'!$C$36:$L$36)</f>
        <v>2121.8658203125005</v>
      </c>
      <c r="BD38" s="128">
        <f>$N$3*_xlfn.XLOOKUP(BD$1,'Input Assumptions'!$C$34:$L$34,'Input Assumptions'!$C$36:$L$36)</f>
        <v>2121.8658203125005</v>
      </c>
      <c r="BE38" s="128">
        <f>$N$3*_xlfn.XLOOKUP(BE$1,'Input Assumptions'!$C$34:$L$34,'Input Assumptions'!$C$36:$L$36)</f>
        <v>2121.8658203125005</v>
      </c>
      <c r="BF38" s="128">
        <f>$N$3*_xlfn.XLOOKUP(BF$1,'Input Assumptions'!$C$34:$L$34,'Input Assumptions'!$C$36:$L$36)</f>
        <v>2121.8658203125005</v>
      </c>
      <c r="BG38" s="128">
        <f>$N$3*_xlfn.XLOOKUP(BG$1,'Input Assumptions'!$C$34:$L$34,'Input Assumptions'!$C$36:$L$36)</f>
        <v>2121.8658203125005</v>
      </c>
      <c r="BH38" s="128">
        <f>$N$3*_xlfn.XLOOKUP(BH$1,'Input Assumptions'!$C$34:$L$34,'Input Assumptions'!$C$36:$L$36)</f>
        <v>2121.8658203125005</v>
      </c>
      <c r="BI38" s="128">
        <f>$N$3*_xlfn.XLOOKUP(BI$1,'Input Assumptions'!$C$34:$L$34,'Input Assumptions'!$C$36:$L$36)</f>
        <v>2121.8658203125005</v>
      </c>
      <c r="BJ38" s="128">
        <f>$N$3*_xlfn.XLOOKUP(BJ$1,'Input Assumptions'!$C$34:$L$34,'Input Assumptions'!$C$36:$L$36)</f>
        <v>2201.4357885742193</v>
      </c>
      <c r="BK38" s="128">
        <f>$N$3*_xlfn.XLOOKUP(BK$1,'Input Assumptions'!$C$34:$L$34,'Input Assumptions'!$C$36:$L$36)</f>
        <v>2201.4357885742193</v>
      </c>
      <c r="BL38" s="128">
        <f>$N$3*_xlfn.XLOOKUP(BL$1,'Input Assumptions'!$C$34:$L$34,'Input Assumptions'!$C$36:$L$36)</f>
        <v>2201.4357885742193</v>
      </c>
      <c r="BM38" s="128">
        <f>$N$3*_xlfn.XLOOKUP(BM$1,'Input Assumptions'!$C$34:$L$34,'Input Assumptions'!$C$36:$L$36)</f>
        <v>2201.4357885742193</v>
      </c>
      <c r="BN38" s="128">
        <f>$N$3*_xlfn.XLOOKUP(BN$1,'Input Assumptions'!$C$34:$L$34,'Input Assumptions'!$C$36:$L$36)</f>
        <v>2201.4357885742193</v>
      </c>
      <c r="BO38" s="128">
        <f>$N$3*_xlfn.XLOOKUP(BO$1,'Input Assumptions'!$C$34:$L$34,'Input Assumptions'!$C$36:$L$36)</f>
        <v>2201.4357885742193</v>
      </c>
      <c r="BP38" s="128">
        <f>$N$3*_xlfn.XLOOKUP(BP$1,'Input Assumptions'!$C$34:$L$34,'Input Assumptions'!$C$36:$L$36)</f>
        <v>2201.4357885742193</v>
      </c>
      <c r="BQ38" s="128">
        <f>$N$3*_xlfn.XLOOKUP(BQ$1,'Input Assumptions'!$C$34:$L$34,'Input Assumptions'!$C$36:$L$36)</f>
        <v>2201.4357885742193</v>
      </c>
      <c r="BR38" s="128">
        <f>$N$3*_xlfn.XLOOKUP(BR$1,'Input Assumptions'!$C$34:$L$34,'Input Assumptions'!$C$36:$L$36)</f>
        <v>2201.4357885742193</v>
      </c>
      <c r="BS38" s="128">
        <f>$N$3*_xlfn.XLOOKUP(BS$1,'Input Assumptions'!$C$34:$L$34,'Input Assumptions'!$C$36:$L$36)</f>
        <v>2201.4357885742193</v>
      </c>
      <c r="BT38" s="128">
        <f>$N$3*_xlfn.XLOOKUP(BT$1,'Input Assumptions'!$C$34:$L$34,'Input Assumptions'!$C$36:$L$36)</f>
        <v>2201.4357885742193</v>
      </c>
      <c r="BU38" s="128">
        <f>$N$3*_xlfn.XLOOKUP(BU$1,'Input Assumptions'!$C$34:$L$34,'Input Assumptions'!$C$36:$L$36)</f>
        <v>2201.4357885742193</v>
      </c>
      <c r="BV38" s="128">
        <f>$N$3*_xlfn.XLOOKUP(BV$1,'Input Assumptions'!$C$34:$L$34,'Input Assumptions'!$C$36:$L$36)</f>
        <v>2283.9896306457531</v>
      </c>
      <c r="BW38" s="128">
        <f>$N$3*_xlfn.XLOOKUP(BW$1,'Input Assumptions'!$C$34:$L$34,'Input Assumptions'!$C$36:$L$36)</f>
        <v>1900</v>
      </c>
      <c r="BX38" s="128">
        <f>$N$3*_xlfn.XLOOKUP(BX$1,'Input Assumptions'!$C$34:$L$34,'Input Assumptions'!$C$36:$L$36)</f>
        <v>1900</v>
      </c>
      <c r="BY38" s="128">
        <f>$N$3*_xlfn.XLOOKUP(BY$1,'Input Assumptions'!$C$34:$L$34,'Input Assumptions'!$C$36:$L$36)</f>
        <v>1900</v>
      </c>
      <c r="BZ38" s="128">
        <f>$N$3*_xlfn.XLOOKUP(BZ$1,'Input Assumptions'!$C$34:$L$34,'Input Assumptions'!$C$36:$L$36)</f>
        <v>1900</v>
      </c>
      <c r="CA38" s="128">
        <f>$N$3*_xlfn.XLOOKUP(CA$1,'Input Assumptions'!$C$34:$L$34,'Input Assumptions'!$C$36:$L$36)</f>
        <v>1900</v>
      </c>
      <c r="CB38" s="128">
        <f>$N$3*_xlfn.XLOOKUP(CB$1,'Input Assumptions'!$C$34:$L$34,'Input Assumptions'!$C$36:$L$36)</f>
        <v>1900</v>
      </c>
      <c r="CC38" s="128">
        <f>$N$3*_xlfn.XLOOKUP(CC$1,'Input Assumptions'!$C$34:$L$34,'Input Assumptions'!$C$36:$L$36)</f>
        <v>1900</v>
      </c>
      <c r="CD38" s="128">
        <f>$N$3*_xlfn.XLOOKUP(CD$1,'Input Assumptions'!$C$34:$L$34,'Input Assumptions'!$C$36:$L$36)</f>
        <v>1900</v>
      </c>
      <c r="CE38" s="128">
        <f>$N$3*_xlfn.XLOOKUP(CE$1,'Input Assumptions'!$C$34:$L$34,'Input Assumptions'!$C$36:$L$36)</f>
        <v>1900</v>
      </c>
      <c r="CF38" s="128">
        <f>$N$3*_xlfn.XLOOKUP(CF$1,'Input Assumptions'!$C$34:$L$34,'Input Assumptions'!$C$36:$L$36)</f>
        <v>1900</v>
      </c>
      <c r="CG38" s="128">
        <f>$N$3*_xlfn.XLOOKUP(CG$1,'Input Assumptions'!$C$34:$L$34,'Input Assumptions'!$C$36:$L$36)</f>
        <v>1900</v>
      </c>
      <c r="CH38" s="128">
        <f>$N$3*_xlfn.XLOOKUP(CH$1,'Input Assumptions'!$C$34:$L$34,'Input Assumptions'!$C$36:$L$36)</f>
        <v>1900</v>
      </c>
      <c r="CI38" s="128">
        <f>$N$3*_xlfn.XLOOKUP(CI$1,'Input Assumptions'!$C$34:$L$34,'Input Assumptions'!$C$36:$L$36)</f>
        <v>1971.2500000000002</v>
      </c>
      <c r="CJ38" s="128">
        <f>$N$3*_xlfn.XLOOKUP(CJ$1,'Input Assumptions'!$C$34:$L$34,'Input Assumptions'!$C$36:$L$36)</f>
        <v>1971.2500000000002</v>
      </c>
      <c r="CK38" s="128">
        <f>$N$3*_xlfn.XLOOKUP(CK$1,'Input Assumptions'!$C$34:$L$34,'Input Assumptions'!$C$36:$L$36)</f>
        <v>1971.2500000000002</v>
      </c>
      <c r="CL38" s="128">
        <f>$N$3*_xlfn.XLOOKUP(CL$1,'Input Assumptions'!$C$34:$L$34,'Input Assumptions'!$C$36:$L$36)</f>
        <v>1971.2500000000002</v>
      </c>
      <c r="CM38" s="128">
        <f>$N$3*_xlfn.XLOOKUP(CM$1,'Input Assumptions'!$C$34:$L$34,'Input Assumptions'!$C$36:$L$36)</f>
        <v>1971.2500000000002</v>
      </c>
      <c r="CN38" s="128">
        <f>$N$3*_xlfn.XLOOKUP(CN$1,'Input Assumptions'!$C$34:$L$34,'Input Assumptions'!$C$36:$L$36)</f>
        <v>1971.2500000000002</v>
      </c>
      <c r="CO38" s="128">
        <f>$N$3*_xlfn.XLOOKUP(CO$1,'Input Assumptions'!$C$34:$L$34,'Input Assumptions'!$C$36:$L$36)</f>
        <v>1971.2500000000002</v>
      </c>
      <c r="CP38" s="128">
        <f>$N$3*_xlfn.XLOOKUP(CP$1,'Input Assumptions'!$C$34:$L$34,'Input Assumptions'!$C$36:$L$36)</f>
        <v>1971.2500000000002</v>
      </c>
      <c r="CQ38" s="128">
        <f>$N$3*_xlfn.XLOOKUP(CQ$1,'Input Assumptions'!$C$34:$L$34,'Input Assumptions'!$C$36:$L$36)</f>
        <v>1971.2500000000002</v>
      </c>
      <c r="CR38" s="128">
        <f>$N$3*_xlfn.XLOOKUP(CR$1,'Input Assumptions'!$C$34:$L$34,'Input Assumptions'!$C$36:$L$36)</f>
        <v>1971.2500000000002</v>
      </c>
      <c r="CS38" s="128">
        <f>$N$3*_xlfn.XLOOKUP(CS$1,'Input Assumptions'!$C$34:$L$34,'Input Assumptions'!$C$36:$L$36)</f>
        <v>1971.2500000000002</v>
      </c>
      <c r="CT38" s="128">
        <f>$N$3*_xlfn.XLOOKUP(CT$1,'Input Assumptions'!$C$34:$L$34,'Input Assumptions'!$C$36:$L$36)</f>
        <v>1971.2500000000002</v>
      </c>
      <c r="CU38" s="128">
        <f>$N$3*_xlfn.XLOOKUP(CU$1,'Input Assumptions'!$C$34:$L$34,'Input Assumptions'!$C$36:$L$36)</f>
        <v>2045.1718750000005</v>
      </c>
      <c r="CV38" s="128">
        <f>$N$3*_xlfn.XLOOKUP(CV$1,'Input Assumptions'!$C$34:$L$34,'Input Assumptions'!$C$36:$L$36)</f>
        <v>2045.1718750000005</v>
      </c>
      <c r="CW38" s="128">
        <f>$N$3*_xlfn.XLOOKUP(CW$1,'Input Assumptions'!$C$34:$L$34,'Input Assumptions'!$C$36:$L$36)</f>
        <v>2045.1718750000005</v>
      </c>
      <c r="CX38" s="128">
        <f>$N$3*_xlfn.XLOOKUP(CX$1,'Input Assumptions'!$C$34:$L$34,'Input Assumptions'!$C$36:$L$36)</f>
        <v>2045.1718750000005</v>
      </c>
      <c r="CY38" s="128">
        <f>$N$3*_xlfn.XLOOKUP(CY$1,'Input Assumptions'!$C$34:$L$34,'Input Assumptions'!$C$36:$L$36)</f>
        <v>2045.1718750000005</v>
      </c>
      <c r="CZ38" s="128">
        <f>$N$3*_xlfn.XLOOKUP(CZ$1,'Input Assumptions'!$C$34:$L$34,'Input Assumptions'!$C$36:$L$36)</f>
        <v>2045.1718750000005</v>
      </c>
      <c r="DA38" s="128">
        <f>$N$3*_xlfn.XLOOKUP(DA$1,'Input Assumptions'!$C$34:$L$34,'Input Assumptions'!$C$36:$L$36)</f>
        <v>2045.1718750000005</v>
      </c>
      <c r="DB38" s="128">
        <f>$N$3*_xlfn.XLOOKUP(DB$1,'Input Assumptions'!$C$34:$L$34,'Input Assumptions'!$C$36:$L$36)</f>
        <v>2045.1718750000005</v>
      </c>
      <c r="DC38" s="128">
        <f>$N$3*_xlfn.XLOOKUP(DC$1,'Input Assumptions'!$C$34:$L$34,'Input Assumptions'!$C$36:$L$36)</f>
        <v>2045.1718750000005</v>
      </c>
      <c r="DD38" s="128">
        <f>$N$3*_xlfn.XLOOKUP(DD$1,'Input Assumptions'!$C$34:$L$34,'Input Assumptions'!$C$36:$L$36)</f>
        <v>2045.1718750000005</v>
      </c>
      <c r="DE38" s="128">
        <f>$N$3*_xlfn.XLOOKUP(DE$1,'Input Assumptions'!$C$34:$L$34,'Input Assumptions'!$C$36:$L$36)</f>
        <v>2045.1718750000005</v>
      </c>
      <c r="DF38" s="128">
        <f>$N$3*_xlfn.XLOOKUP(DF$1,'Input Assumptions'!$C$34:$L$34,'Input Assumptions'!$C$36:$L$36)</f>
        <v>2045.1718750000005</v>
      </c>
      <c r="DG38" s="128">
        <f>$N$3*_xlfn.XLOOKUP(DG$1,'Input Assumptions'!$C$34:$L$34,'Input Assumptions'!$C$36:$L$36)</f>
        <v>2121.8658203125005</v>
      </c>
      <c r="DH38" s="128">
        <f>$N$3*_xlfn.XLOOKUP(DH$1,'Input Assumptions'!$C$34:$L$34,'Input Assumptions'!$C$36:$L$36)</f>
        <v>2121.8658203125005</v>
      </c>
      <c r="DI38" s="128">
        <f>$N$3*_xlfn.XLOOKUP(DI$1,'Input Assumptions'!$C$34:$L$34,'Input Assumptions'!$C$36:$L$36)</f>
        <v>2121.8658203125005</v>
      </c>
      <c r="DJ38" s="128">
        <f>$N$3*_xlfn.XLOOKUP(DJ$1,'Input Assumptions'!$C$34:$L$34,'Input Assumptions'!$C$36:$L$36)</f>
        <v>2121.8658203125005</v>
      </c>
      <c r="DK38" s="128">
        <f>$N$3*_xlfn.XLOOKUP(DK$1,'Input Assumptions'!$C$34:$L$34,'Input Assumptions'!$C$36:$L$36)</f>
        <v>2121.8658203125005</v>
      </c>
      <c r="DL38" s="128">
        <f>$N$3*_xlfn.XLOOKUP(DL$1,'Input Assumptions'!$C$34:$L$34,'Input Assumptions'!$C$36:$L$36)</f>
        <v>2121.8658203125005</v>
      </c>
      <c r="DM38" s="128">
        <f>$N$3*_xlfn.XLOOKUP(DM$1,'Input Assumptions'!$C$34:$L$34,'Input Assumptions'!$C$36:$L$36)</f>
        <v>2121.8658203125005</v>
      </c>
      <c r="DN38" s="128">
        <f>$N$3*_xlfn.XLOOKUP(DN$1,'Input Assumptions'!$C$34:$L$34,'Input Assumptions'!$C$36:$L$36)</f>
        <v>2121.8658203125005</v>
      </c>
      <c r="DO38" s="128">
        <f>$N$3*_xlfn.XLOOKUP(DO$1,'Input Assumptions'!$C$34:$L$34,'Input Assumptions'!$C$36:$L$36)</f>
        <v>2121.8658203125005</v>
      </c>
      <c r="DP38" s="128">
        <f>$N$3*_xlfn.XLOOKUP(DP$1,'Input Assumptions'!$C$34:$L$34,'Input Assumptions'!$C$36:$L$36)</f>
        <v>2121.8658203125005</v>
      </c>
      <c r="DQ38" s="128">
        <f>$N$3*_xlfn.XLOOKUP(DQ$1,'Input Assumptions'!$C$34:$L$34,'Input Assumptions'!$C$36:$L$36)</f>
        <v>2121.8658203125005</v>
      </c>
      <c r="DR38" s="128">
        <f>$N$3*_xlfn.XLOOKUP(DR$1,'Input Assumptions'!$C$34:$L$34,'Input Assumptions'!$C$36:$L$36)</f>
        <v>2121.8658203125005</v>
      </c>
      <c r="DS38" s="128">
        <f>$N$3*_xlfn.XLOOKUP(DS$1,'Input Assumptions'!$C$34:$L$34,'Input Assumptions'!$C$36:$L$36)</f>
        <v>2201.4357885742193</v>
      </c>
      <c r="DT38" s="128">
        <f>$N$3*_xlfn.XLOOKUP(DT$1,'Input Assumptions'!$C$34:$L$34,'Input Assumptions'!$C$36:$L$36)</f>
        <v>2201.4357885742193</v>
      </c>
      <c r="DU38" s="128">
        <f>$N$3*_xlfn.XLOOKUP(DU$1,'Input Assumptions'!$C$34:$L$34,'Input Assumptions'!$C$36:$L$36)</f>
        <v>2201.4357885742193</v>
      </c>
      <c r="DV38" s="128">
        <f>$N$3*_xlfn.XLOOKUP(DV$1,'Input Assumptions'!$C$34:$L$34,'Input Assumptions'!$C$36:$L$36)</f>
        <v>2201.4357885742193</v>
      </c>
      <c r="DW38" s="128">
        <f>$N$3*_xlfn.XLOOKUP(DW$1,'Input Assumptions'!$C$34:$L$34,'Input Assumptions'!$C$36:$L$36)</f>
        <v>2201.4357885742193</v>
      </c>
      <c r="DX38" s="128">
        <f>$N$3*_xlfn.XLOOKUP(DX$1,'Input Assumptions'!$C$34:$L$34,'Input Assumptions'!$C$36:$L$36)</f>
        <v>2201.4357885742193</v>
      </c>
      <c r="DY38" s="128">
        <f>$N$3*_xlfn.XLOOKUP(DY$1,'Input Assumptions'!$C$34:$L$34,'Input Assumptions'!$C$36:$L$36)</f>
        <v>2201.4357885742193</v>
      </c>
      <c r="DZ38" s="128">
        <f>$N$3*_xlfn.XLOOKUP(DZ$1,'Input Assumptions'!$C$34:$L$34,'Input Assumptions'!$C$36:$L$36)</f>
        <v>2201.4357885742193</v>
      </c>
      <c r="EA38" s="128">
        <f>$N$3*_xlfn.XLOOKUP(EA$1,'Input Assumptions'!$C$34:$L$34,'Input Assumptions'!$C$36:$L$36)</f>
        <v>2201.4357885742193</v>
      </c>
      <c r="EB38" s="128">
        <f>$N$3*_xlfn.XLOOKUP(EB$1,'Input Assumptions'!$C$34:$L$34,'Input Assumptions'!$C$36:$L$36)</f>
        <v>2201.4357885742193</v>
      </c>
      <c r="EC38" s="128">
        <f>$N$3*_xlfn.XLOOKUP(EC$1,'Input Assumptions'!$C$34:$L$34,'Input Assumptions'!$C$36:$L$36)</f>
        <v>2201.4357885742193</v>
      </c>
    </row>
    <row r="39" spans="2:135" x14ac:dyDescent="0.3">
      <c r="B39" s="15">
        <v>5</v>
      </c>
      <c r="C39" s="16">
        <v>37</v>
      </c>
      <c r="D39" s="16" t="s">
        <v>10</v>
      </c>
      <c r="E39" s="16">
        <v>450</v>
      </c>
      <c r="F39" s="20">
        <f t="shared" si="114"/>
        <v>41.80640845790095</v>
      </c>
      <c r="G39" s="19" t="str">
        <f t="shared" si="115"/>
        <v>1</v>
      </c>
      <c r="H39" s="20">
        <f t="shared" si="116"/>
        <v>1</v>
      </c>
      <c r="I39" s="18">
        <f t="shared" si="117"/>
        <v>1710</v>
      </c>
      <c r="J39" s="18">
        <f t="shared" si="118"/>
        <v>1900</v>
      </c>
      <c r="K39" s="18">
        <f>(J39*'Input Assumptions'!$C$20)+I39*('Input Assumptions'!$C$21)</f>
        <v>1900</v>
      </c>
      <c r="L39" s="94"/>
      <c r="M39" s="4"/>
      <c r="N39" s="128">
        <f t="shared" si="119"/>
        <v>1900</v>
      </c>
      <c r="O39" s="128">
        <f>$N$3*_xlfn.XLOOKUP(O$1,'Input Assumptions'!$C$34:$L$34,'Input Assumptions'!$C$36:$L$36)</f>
        <v>1900</v>
      </c>
      <c r="P39" s="128">
        <f>$N$3*_xlfn.XLOOKUP(P$1,'Input Assumptions'!$C$34:$L$34,'Input Assumptions'!$C$36:$L$36)</f>
        <v>1900</v>
      </c>
      <c r="Q39" s="128">
        <f>$N$3*_xlfn.XLOOKUP(Q$1,'Input Assumptions'!$C$34:$L$34,'Input Assumptions'!$C$36:$L$36)</f>
        <v>1900</v>
      </c>
      <c r="R39" s="128">
        <f>$N$3*_xlfn.XLOOKUP(R$1,'Input Assumptions'!$C$34:$L$34,'Input Assumptions'!$C$36:$L$36)</f>
        <v>1900</v>
      </c>
      <c r="S39" s="128">
        <f>$N$3*_xlfn.XLOOKUP(S$1,'Input Assumptions'!$C$34:$L$34,'Input Assumptions'!$C$36:$L$36)</f>
        <v>1900</v>
      </c>
      <c r="T39" s="128">
        <f>$N$3*_xlfn.XLOOKUP(T$1,'Input Assumptions'!$C$34:$L$34,'Input Assumptions'!$C$36:$L$36)</f>
        <v>1900</v>
      </c>
      <c r="U39" s="128">
        <f>$N$3*_xlfn.XLOOKUP(U$1,'Input Assumptions'!$C$34:$L$34,'Input Assumptions'!$C$36:$L$36)</f>
        <v>1900</v>
      </c>
      <c r="V39" s="128">
        <f>$N$3*_xlfn.XLOOKUP(V$1,'Input Assumptions'!$C$34:$L$34,'Input Assumptions'!$C$36:$L$36)</f>
        <v>1900</v>
      </c>
      <c r="W39" s="128">
        <f>$N$3*_xlfn.XLOOKUP(W$1,'Input Assumptions'!$C$34:$L$34,'Input Assumptions'!$C$36:$L$36)</f>
        <v>1900</v>
      </c>
      <c r="X39" s="128">
        <f>$N$3*_xlfn.XLOOKUP(X$1,'Input Assumptions'!$C$34:$L$34,'Input Assumptions'!$C$36:$L$36)</f>
        <v>1900</v>
      </c>
      <c r="Y39" s="128">
        <f>$N$3*_xlfn.XLOOKUP(Y$1,'Input Assumptions'!$C$34:$L$34,'Input Assumptions'!$C$36:$L$36)</f>
        <v>1900</v>
      </c>
      <c r="Z39" s="128">
        <f>$N$3*_xlfn.XLOOKUP(Z$1,'Input Assumptions'!$C$34:$L$34,'Input Assumptions'!$C$36:$L$36)</f>
        <v>1971.2500000000002</v>
      </c>
      <c r="AA39" s="128">
        <f>$N$3*_xlfn.XLOOKUP(AA$1,'Input Assumptions'!$C$34:$L$34,'Input Assumptions'!$C$36:$L$36)</f>
        <v>1971.2500000000002</v>
      </c>
      <c r="AB39" s="128">
        <f>$N$3*_xlfn.XLOOKUP(AB$1,'Input Assumptions'!$C$34:$L$34,'Input Assumptions'!$C$36:$L$36)</f>
        <v>1971.2500000000002</v>
      </c>
      <c r="AC39" s="128">
        <f>$N$3*_xlfn.XLOOKUP(AC$1,'Input Assumptions'!$C$34:$L$34,'Input Assumptions'!$C$36:$L$36)</f>
        <v>1971.2500000000002</v>
      </c>
      <c r="AD39" s="128">
        <f>$N$3*_xlfn.XLOOKUP(AD$1,'Input Assumptions'!$C$34:$L$34,'Input Assumptions'!$C$36:$L$36)</f>
        <v>1971.2500000000002</v>
      </c>
      <c r="AE39" s="128">
        <f>$N$3*_xlfn.XLOOKUP(AE$1,'Input Assumptions'!$C$34:$L$34,'Input Assumptions'!$C$36:$L$36)</f>
        <v>1971.2500000000002</v>
      </c>
      <c r="AF39" s="128">
        <f>$N$3*_xlfn.XLOOKUP(AF$1,'Input Assumptions'!$C$34:$L$34,'Input Assumptions'!$C$36:$L$36)</f>
        <v>1971.2500000000002</v>
      </c>
      <c r="AG39" s="128">
        <f>$N$3*_xlfn.XLOOKUP(AG$1,'Input Assumptions'!$C$34:$L$34,'Input Assumptions'!$C$36:$L$36)</f>
        <v>1971.2500000000002</v>
      </c>
      <c r="AH39" s="128">
        <f>$N$3*_xlfn.XLOOKUP(AH$1,'Input Assumptions'!$C$34:$L$34,'Input Assumptions'!$C$36:$L$36)</f>
        <v>1971.2500000000002</v>
      </c>
      <c r="AI39" s="128">
        <f>$N$3*_xlfn.XLOOKUP(AI$1,'Input Assumptions'!$C$34:$L$34,'Input Assumptions'!$C$36:$L$36)</f>
        <v>1971.2500000000002</v>
      </c>
      <c r="AJ39" s="128">
        <f>$N$3*_xlfn.XLOOKUP(AJ$1,'Input Assumptions'!$C$34:$L$34,'Input Assumptions'!$C$36:$L$36)</f>
        <v>1971.2500000000002</v>
      </c>
      <c r="AK39" s="128">
        <f>$N$3*_xlfn.XLOOKUP(AK$1,'Input Assumptions'!$C$34:$L$34,'Input Assumptions'!$C$36:$L$36)</f>
        <v>1971.2500000000002</v>
      </c>
      <c r="AL39" s="128">
        <f>$N$3*_xlfn.XLOOKUP(AL$1,'Input Assumptions'!$C$34:$L$34,'Input Assumptions'!$C$36:$L$36)</f>
        <v>2045.1718750000005</v>
      </c>
      <c r="AM39" s="128">
        <f>$N$3*_xlfn.XLOOKUP(AM$1,'Input Assumptions'!$C$34:$L$34,'Input Assumptions'!$C$36:$L$36)</f>
        <v>2045.1718750000005</v>
      </c>
      <c r="AN39" s="128">
        <f>$N$3*_xlfn.XLOOKUP(AN$1,'Input Assumptions'!$C$34:$L$34,'Input Assumptions'!$C$36:$L$36)</f>
        <v>2045.1718750000005</v>
      </c>
      <c r="AO39" s="128">
        <f>$N$3*_xlfn.XLOOKUP(AO$1,'Input Assumptions'!$C$34:$L$34,'Input Assumptions'!$C$36:$L$36)</f>
        <v>2045.1718750000005</v>
      </c>
      <c r="AP39" s="128">
        <f>$N$3*_xlfn.XLOOKUP(AP$1,'Input Assumptions'!$C$34:$L$34,'Input Assumptions'!$C$36:$L$36)</f>
        <v>2045.1718750000005</v>
      </c>
      <c r="AQ39" s="128">
        <f>$N$3*_xlfn.XLOOKUP(AQ$1,'Input Assumptions'!$C$34:$L$34,'Input Assumptions'!$C$36:$L$36)</f>
        <v>2045.1718750000005</v>
      </c>
      <c r="AR39" s="128">
        <f>$N$3*_xlfn.XLOOKUP(AR$1,'Input Assumptions'!$C$34:$L$34,'Input Assumptions'!$C$36:$L$36)</f>
        <v>2045.1718750000005</v>
      </c>
      <c r="AS39" s="128">
        <f>$N$3*_xlfn.XLOOKUP(AS$1,'Input Assumptions'!$C$34:$L$34,'Input Assumptions'!$C$36:$L$36)</f>
        <v>2045.1718750000005</v>
      </c>
      <c r="AT39" s="128">
        <f>$N$3*_xlfn.XLOOKUP(AT$1,'Input Assumptions'!$C$34:$L$34,'Input Assumptions'!$C$36:$L$36)</f>
        <v>2045.1718750000005</v>
      </c>
      <c r="AU39" s="128">
        <f>$N$3*_xlfn.XLOOKUP(AU$1,'Input Assumptions'!$C$34:$L$34,'Input Assumptions'!$C$36:$L$36)</f>
        <v>2045.1718750000005</v>
      </c>
      <c r="AV39" s="128">
        <f>$N$3*_xlfn.XLOOKUP(AV$1,'Input Assumptions'!$C$34:$L$34,'Input Assumptions'!$C$36:$L$36)</f>
        <v>2045.1718750000005</v>
      </c>
      <c r="AW39" s="128">
        <f>$N$3*_xlfn.XLOOKUP(AW$1,'Input Assumptions'!$C$34:$L$34,'Input Assumptions'!$C$36:$L$36)</f>
        <v>2045.1718750000005</v>
      </c>
      <c r="AX39" s="128">
        <f>$N$3*_xlfn.XLOOKUP(AX$1,'Input Assumptions'!$C$34:$L$34,'Input Assumptions'!$C$36:$L$36)</f>
        <v>2121.8658203125005</v>
      </c>
      <c r="AY39" s="128">
        <f>$N$3*_xlfn.XLOOKUP(AY$1,'Input Assumptions'!$C$34:$L$34,'Input Assumptions'!$C$36:$L$36)</f>
        <v>2121.8658203125005</v>
      </c>
      <c r="AZ39" s="128">
        <f>$N$3*_xlfn.XLOOKUP(AZ$1,'Input Assumptions'!$C$34:$L$34,'Input Assumptions'!$C$36:$L$36)</f>
        <v>2121.8658203125005</v>
      </c>
      <c r="BA39" s="128">
        <f>$N$3*_xlfn.XLOOKUP(BA$1,'Input Assumptions'!$C$34:$L$34,'Input Assumptions'!$C$36:$L$36)</f>
        <v>2121.8658203125005</v>
      </c>
      <c r="BB39" s="128">
        <f>$N$3*_xlfn.XLOOKUP(BB$1,'Input Assumptions'!$C$34:$L$34,'Input Assumptions'!$C$36:$L$36)</f>
        <v>2121.8658203125005</v>
      </c>
      <c r="BC39" s="128">
        <f>$N$3*_xlfn.XLOOKUP(BC$1,'Input Assumptions'!$C$34:$L$34,'Input Assumptions'!$C$36:$L$36)</f>
        <v>2121.8658203125005</v>
      </c>
      <c r="BD39" s="128">
        <f>$N$3*_xlfn.XLOOKUP(BD$1,'Input Assumptions'!$C$34:$L$34,'Input Assumptions'!$C$36:$L$36)</f>
        <v>2121.8658203125005</v>
      </c>
      <c r="BE39" s="128">
        <f>$N$3*_xlfn.XLOOKUP(BE$1,'Input Assumptions'!$C$34:$L$34,'Input Assumptions'!$C$36:$L$36)</f>
        <v>2121.8658203125005</v>
      </c>
      <c r="BF39" s="128">
        <f>$N$3*_xlfn.XLOOKUP(BF$1,'Input Assumptions'!$C$34:$L$34,'Input Assumptions'!$C$36:$L$36)</f>
        <v>2121.8658203125005</v>
      </c>
      <c r="BG39" s="128">
        <f>$N$3*_xlfn.XLOOKUP(BG$1,'Input Assumptions'!$C$34:$L$34,'Input Assumptions'!$C$36:$L$36)</f>
        <v>2121.8658203125005</v>
      </c>
      <c r="BH39" s="128">
        <f>$N$3*_xlfn.XLOOKUP(BH$1,'Input Assumptions'!$C$34:$L$34,'Input Assumptions'!$C$36:$L$36)</f>
        <v>2121.8658203125005</v>
      </c>
      <c r="BI39" s="128">
        <f>$N$3*_xlfn.XLOOKUP(BI$1,'Input Assumptions'!$C$34:$L$34,'Input Assumptions'!$C$36:$L$36)</f>
        <v>2121.8658203125005</v>
      </c>
      <c r="BJ39" s="128">
        <f>$N$3*_xlfn.XLOOKUP(BJ$1,'Input Assumptions'!$C$34:$L$34,'Input Assumptions'!$C$36:$L$36)</f>
        <v>2201.4357885742193</v>
      </c>
      <c r="BK39" s="128">
        <f>$N$3*_xlfn.XLOOKUP(BK$1,'Input Assumptions'!$C$34:$L$34,'Input Assumptions'!$C$36:$L$36)</f>
        <v>2201.4357885742193</v>
      </c>
      <c r="BL39" s="128">
        <f>$N$3*_xlfn.XLOOKUP(BL$1,'Input Assumptions'!$C$34:$L$34,'Input Assumptions'!$C$36:$L$36)</f>
        <v>2201.4357885742193</v>
      </c>
      <c r="BM39" s="128">
        <f>$N$3*_xlfn.XLOOKUP(BM$1,'Input Assumptions'!$C$34:$L$34,'Input Assumptions'!$C$36:$L$36)</f>
        <v>2201.4357885742193</v>
      </c>
      <c r="BN39" s="128">
        <f>$N$3*_xlfn.XLOOKUP(BN$1,'Input Assumptions'!$C$34:$L$34,'Input Assumptions'!$C$36:$L$36)</f>
        <v>2201.4357885742193</v>
      </c>
      <c r="BO39" s="128">
        <f>$N$3*_xlfn.XLOOKUP(BO$1,'Input Assumptions'!$C$34:$L$34,'Input Assumptions'!$C$36:$L$36)</f>
        <v>2201.4357885742193</v>
      </c>
      <c r="BP39" s="128">
        <f>$N$3*_xlfn.XLOOKUP(BP$1,'Input Assumptions'!$C$34:$L$34,'Input Assumptions'!$C$36:$L$36)</f>
        <v>2201.4357885742193</v>
      </c>
      <c r="BQ39" s="128">
        <f>$N$3*_xlfn.XLOOKUP(BQ$1,'Input Assumptions'!$C$34:$L$34,'Input Assumptions'!$C$36:$L$36)</f>
        <v>2201.4357885742193</v>
      </c>
      <c r="BR39" s="128">
        <f>$N$3*_xlfn.XLOOKUP(BR$1,'Input Assumptions'!$C$34:$L$34,'Input Assumptions'!$C$36:$L$36)</f>
        <v>2201.4357885742193</v>
      </c>
      <c r="BS39" s="128">
        <f>$N$3*_xlfn.XLOOKUP(BS$1,'Input Assumptions'!$C$34:$L$34,'Input Assumptions'!$C$36:$L$36)</f>
        <v>2201.4357885742193</v>
      </c>
      <c r="BT39" s="128">
        <f>$N$3*_xlfn.XLOOKUP(BT$1,'Input Assumptions'!$C$34:$L$34,'Input Assumptions'!$C$36:$L$36)</f>
        <v>2201.4357885742193</v>
      </c>
      <c r="BU39" s="128">
        <f>$N$3*_xlfn.XLOOKUP(BU$1,'Input Assumptions'!$C$34:$L$34,'Input Assumptions'!$C$36:$L$36)</f>
        <v>2201.4357885742193</v>
      </c>
      <c r="BV39" s="128">
        <f>$N$3*_xlfn.XLOOKUP(BV$1,'Input Assumptions'!$C$34:$L$34,'Input Assumptions'!$C$36:$L$36)</f>
        <v>2283.9896306457531</v>
      </c>
      <c r="BW39" s="128">
        <f>$N$3*_xlfn.XLOOKUP(BW$1,'Input Assumptions'!$C$34:$L$34,'Input Assumptions'!$C$36:$L$36)</f>
        <v>1900</v>
      </c>
      <c r="BX39" s="128">
        <f>$N$3*_xlfn.XLOOKUP(BX$1,'Input Assumptions'!$C$34:$L$34,'Input Assumptions'!$C$36:$L$36)</f>
        <v>1900</v>
      </c>
      <c r="BY39" s="128">
        <f>$N$3*_xlfn.XLOOKUP(BY$1,'Input Assumptions'!$C$34:$L$34,'Input Assumptions'!$C$36:$L$36)</f>
        <v>1900</v>
      </c>
      <c r="BZ39" s="128">
        <f>$N$3*_xlfn.XLOOKUP(BZ$1,'Input Assumptions'!$C$34:$L$34,'Input Assumptions'!$C$36:$L$36)</f>
        <v>1900</v>
      </c>
      <c r="CA39" s="128">
        <f>$N$3*_xlfn.XLOOKUP(CA$1,'Input Assumptions'!$C$34:$L$34,'Input Assumptions'!$C$36:$L$36)</f>
        <v>1900</v>
      </c>
      <c r="CB39" s="128">
        <f>$N$3*_xlfn.XLOOKUP(CB$1,'Input Assumptions'!$C$34:$L$34,'Input Assumptions'!$C$36:$L$36)</f>
        <v>1900</v>
      </c>
      <c r="CC39" s="128">
        <f>$N$3*_xlfn.XLOOKUP(CC$1,'Input Assumptions'!$C$34:$L$34,'Input Assumptions'!$C$36:$L$36)</f>
        <v>1900</v>
      </c>
      <c r="CD39" s="128">
        <f>$N$3*_xlfn.XLOOKUP(CD$1,'Input Assumptions'!$C$34:$L$34,'Input Assumptions'!$C$36:$L$36)</f>
        <v>1900</v>
      </c>
      <c r="CE39" s="128">
        <f>$N$3*_xlfn.XLOOKUP(CE$1,'Input Assumptions'!$C$34:$L$34,'Input Assumptions'!$C$36:$L$36)</f>
        <v>1900</v>
      </c>
      <c r="CF39" s="128">
        <f>$N$3*_xlfn.XLOOKUP(CF$1,'Input Assumptions'!$C$34:$L$34,'Input Assumptions'!$C$36:$L$36)</f>
        <v>1900</v>
      </c>
      <c r="CG39" s="128">
        <f>$N$3*_xlfn.XLOOKUP(CG$1,'Input Assumptions'!$C$34:$L$34,'Input Assumptions'!$C$36:$L$36)</f>
        <v>1900</v>
      </c>
      <c r="CH39" s="128">
        <f>$N$3*_xlfn.XLOOKUP(CH$1,'Input Assumptions'!$C$34:$L$34,'Input Assumptions'!$C$36:$L$36)</f>
        <v>1900</v>
      </c>
      <c r="CI39" s="128">
        <f>$N$3*_xlfn.XLOOKUP(CI$1,'Input Assumptions'!$C$34:$L$34,'Input Assumptions'!$C$36:$L$36)</f>
        <v>1971.2500000000002</v>
      </c>
      <c r="CJ39" s="128">
        <f>$N$3*_xlfn.XLOOKUP(CJ$1,'Input Assumptions'!$C$34:$L$34,'Input Assumptions'!$C$36:$L$36)</f>
        <v>1971.2500000000002</v>
      </c>
      <c r="CK39" s="128">
        <f>$N$3*_xlfn.XLOOKUP(CK$1,'Input Assumptions'!$C$34:$L$34,'Input Assumptions'!$C$36:$L$36)</f>
        <v>1971.2500000000002</v>
      </c>
      <c r="CL39" s="128">
        <f>$N$3*_xlfn.XLOOKUP(CL$1,'Input Assumptions'!$C$34:$L$34,'Input Assumptions'!$C$36:$L$36)</f>
        <v>1971.2500000000002</v>
      </c>
      <c r="CM39" s="128">
        <f>$N$3*_xlfn.XLOOKUP(CM$1,'Input Assumptions'!$C$34:$L$34,'Input Assumptions'!$C$36:$L$36)</f>
        <v>1971.2500000000002</v>
      </c>
      <c r="CN39" s="128">
        <f>$N$3*_xlfn.XLOOKUP(CN$1,'Input Assumptions'!$C$34:$L$34,'Input Assumptions'!$C$36:$L$36)</f>
        <v>1971.2500000000002</v>
      </c>
      <c r="CO39" s="128">
        <f>$N$3*_xlfn.XLOOKUP(CO$1,'Input Assumptions'!$C$34:$L$34,'Input Assumptions'!$C$36:$L$36)</f>
        <v>1971.2500000000002</v>
      </c>
      <c r="CP39" s="128">
        <f>$N$3*_xlfn.XLOOKUP(CP$1,'Input Assumptions'!$C$34:$L$34,'Input Assumptions'!$C$36:$L$36)</f>
        <v>1971.2500000000002</v>
      </c>
      <c r="CQ39" s="128">
        <f>$N$3*_xlfn.XLOOKUP(CQ$1,'Input Assumptions'!$C$34:$L$34,'Input Assumptions'!$C$36:$L$36)</f>
        <v>1971.2500000000002</v>
      </c>
      <c r="CR39" s="128">
        <f>$N$3*_xlfn.XLOOKUP(CR$1,'Input Assumptions'!$C$34:$L$34,'Input Assumptions'!$C$36:$L$36)</f>
        <v>1971.2500000000002</v>
      </c>
      <c r="CS39" s="128">
        <f>$N$3*_xlfn.XLOOKUP(CS$1,'Input Assumptions'!$C$34:$L$34,'Input Assumptions'!$C$36:$L$36)</f>
        <v>1971.2500000000002</v>
      </c>
      <c r="CT39" s="128">
        <f>$N$3*_xlfn.XLOOKUP(CT$1,'Input Assumptions'!$C$34:$L$34,'Input Assumptions'!$C$36:$L$36)</f>
        <v>1971.2500000000002</v>
      </c>
      <c r="CU39" s="128">
        <f>$N$3*_xlfn.XLOOKUP(CU$1,'Input Assumptions'!$C$34:$L$34,'Input Assumptions'!$C$36:$L$36)</f>
        <v>2045.1718750000005</v>
      </c>
      <c r="CV39" s="128">
        <f>$N$3*_xlfn.XLOOKUP(CV$1,'Input Assumptions'!$C$34:$L$34,'Input Assumptions'!$C$36:$L$36)</f>
        <v>2045.1718750000005</v>
      </c>
      <c r="CW39" s="128">
        <f>$N$3*_xlfn.XLOOKUP(CW$1,'Input Assumptions'!$C$34:$L$34,'Input Assumptions'!$C$36:$L$36)</f>
        <v>2045.1718750000005</v>
      </c>
      <c r="CX39" s="128">
        <f>$N$3*_xlfn.XLOOKUP(CX$1,'Input Assumptions'!$C$34:$L$34,'Input Assumptions'!$C$36:$L$36)</f>
        <v>2045.1718750000005</v>
      </c>
      <c r="CY39" s="128">
        <f>$N$3*_xlfn.XLOOKUP(CY$1,'Input Assumptions'!$C$34:$L$34,'Input Assumptions'!$C$36:$L$36)</f>
        <v>2045.1718750000005</v>
      </c>
      <c r="CZ39" s="128">
        <f>$N$3*_xlfn.XLOOKUP(CZ$1,'Input Assumptions'!$C$34:$L$34,'Input Assumptions'!$C$36:$L$36)</f>
        <v>2045.1718750000005</v>
      </c>
      <c r="DA39" s="128">
        <f>$N$3*_xlfn.XLOOKUP(DA$1,'Input Assumptions'!$C$34:$L$34,'Input Assumptions'!$C$36:$L$36)</f>
        <v>2045.1718750000005</v>
      </c>
      <c r="DB39" s="128">
        <f>$N$3*_xlfn.XLOOKUP(DB$1,'Input Assumptions'!$C$34:$L$34,'Input Assumptions'!$C$36:$L$36)</f>
        <v>2045.1718750000005</v>
      </c>
      <c r="DC39" s="128">
        <f>$N$3*_xlfn.XLOOKUP(DC$1,'Input Assumptions'!$C$34:$L$34,'Input Assumptions'!$C$36:$L$36)</f>
        <v>2045.1718750000005</v>
      </c>
      <c r="DD39" s="128">
        <f>$N$3*_xlfn.XLOOKUP(DD$1,'Input Assumptions'!$C$34:$L$34,'Input Assumptions'!$C$36:$L$36)</f>
        <v>2045.1718750000005</v>
      </c>
      <c r="DE39" s="128">
        <f>$N$3*_xlfn.XLOOKUP(DE$1,'Input Assumptions'!$C$34:$L$34,'Input Assumptions'!$C$36:$L$36)</f>
        <v>2045.1718750000005</v>
      </c>
      <c r="DF39" s="128">
        <f>$N$3*_xlfn.XLOOKUP(DF$1,'Input Assumptions'!$C$34:$L$34,'Input Assumptions'!$C$36:$L$36)</f>
        <v>2045.1718750000005</v>
      </c>
      <c r="DG39" s="128">
        <f>$N$3*_xlfn.XLOOKUP(DG$1,'Input Assumptions'!$C$34:$L$34,'Input Assumptions'!$C$36:$L$36)</f>
        <v>2121.8658203125005</v>
      </c>
      <c r="DH39" s="128">
        <f>$N$3*_xlfn.XLOOKUP(DH$1,'Input Assumptions'!$C$34:$L$34,'Input Assumptions'!$C$36:$L$36)</f>
        <v>2121.8658203125005</v>
      </c>
      <c r="DI39" s="128">
        <f>$N$3*_xlfn.XLOOKUP(DI$1,'Input Assumptions'!$C$34:$L$34,'Input Assumptions'!$C$36:$L$36)</f>
        <v>2121.8658203125005</v>
      </c>
      <c r="DJ39" s="128">
        <f>$N$3*_xlfn.XLOOKUP(DJ$1,'Input Assumptions'!$C$34:$L$34,'Input Assumptions'!$C$36:$L$36)</f>
        <v>2121.8658203125005</v>
      </c>
      <c r="DK39" s="128">
        <f>$N$3*_xlfn.XLOOKUP(DK$1,'Input Assumptions'!$C$34:$L$34,'Input Assumptions'!$C$36:$L$36)</f>
        <v>2121.8658203125005</v>
      </c>
      <c r="DL39" s="128">
        <f>$N$3*_xlfn.XLOOKUP(DL$1,'Input Assumptions'!$C$34:$L$34,'Input Assumptions'!$C$36:$L$36)</f>
        <v>2121.8658203125005</v>
      </c>
      <c r="DM39" s="128">
        <f>$N$3*_xlfn.XLOOKUP(DM$1,'Input Assumptions'!$C$34:$L$34,'Input Assumptions'!$C$36:$L$36)</f>
        <v>2121.8658203125005</v>
      </c>
      <c r="DN39" s="128">
        <f>$N$3*_xlfn.XLOOKUP(DN$1,'Input Assumptions'!$C$34:$L$34,'Input Assumptions'!$C$36:$L$36)</f>
        <v>2121.8658203125005</v>
      </c>
      <c r="DO39" s="128">
        <f>$N$3*_xlfn.XLOOKUP(DO$1,'Input Assumptions'!$C$34:$L$34,'Input Assumptions'!$C$36:$L$36)</f>
        <v>2121.8658203125005</v>
      </c>
      <c r="DP39" s="128">
        <f>$N$3*_xlfn.XLOOKUP(DP$1,'Input Assumptions'!$C$34:$L$34,'Input Assumptions'!$C$36:$L$36)</f>
        <v>2121.8658203125005</v>
      </c>
      <c r="DQ39" s="128">
        <f>$N$3*_xlfn.XLOOKUP(DQ$1,'Input Assumptions'!$C$34:$L$34,'Input Assumptions'!$C$36:$L$36)</f>
        <v>2121.8658203125005</v>
      </c>
      <c r="DR39" s="128">
        <f>$N$3*_xlfn.XLOOKUP(DR$1,'Input Assumptions'!$C$34:$L$34,'Input Assumptions'!$C$36:$L$36)</f>
        <v>2121.8658203125005</v>
      </c>
      <c r="DS39" s="128">
        <f>$N$3*_xlfn.XLOOKUP(DS$1,'Input Assumptions'!$C$34:$L$34,'Input Assumptions'!$C$36:$L$36)</f>
        <v>2201.4357885742193</v>
      </c>
      <c r="DT39" s="128">
        <f>$N$3*_xlfn.XLOOKUP(DT$1,'Input Assumptions'!$C$34:$L$34,'Input Assumptions'!$C$36:$L$36)</f>
        <v>2201.4357885742193</v>
      </c>
      <c r="DU39" s="128">
        <f>$N$3*_xlfn.XLOOKUP(DU$1,'Input Assumptions'!$C$34:$L$34,'Input Assumptions'!$C$36:$L$36)</f>
        <v>2201.4357885742193</v>
      </c>
      <c r="DV39" s="128">
        <f>$N$3*_xlfn.XLOOKUP(DV$1,'Input Assumptions'!$C$34:$L$34,'Input Assumptions'!$C$36:$L$36)</f>
        <v>2201.4357885742193</v>
      </c>
      <c r="DW39" s="128">
        <f>$N$3*_xlfn.XLOOKUP(DW$1,'Input Assumptions'!$C$34:$L$34,'Input Assumptions'!$C$36:$L$36)</f>
        <v>2201.4357885742193</v>
      </c>
      <c r="DX39" s="128">
        <f>$N$3*_xlfn.XLOOKUP(DX$1,'Input Assumptions'!$C$34:$L$34,'Input Assumptions'!$C$36:$L$36)</f>
        <v>2201.4357885742193</v>
      </c>
      <c r="DY39" s="128">
        <f>$N$3*_xlfn.XLOOKUP(DY$1,'Input Assumptions'!$C$34:$L$34,'Input Assumptions'!$C$36:$L$36)</f>
        <v>2201.4357885742193</v>
      </c>
      <c r="DZ39" s="128">
        <f>$N$3*_xlfn.XLOOKUP(DZ$1,'Input Assumptions'!$C$34:$L$34,'Input Assumptions'!$C$36:$L$36)</f>
        <v>2201.4357885742193</v>
      </c>
      <c r="EA39" s="128">
        <f>$N$3*_xlfn.XLOOKUP(EA$1,'Input Assumptions'!$C$34:$L$34,'Input Assumptions'!$C$36:$L$36)</f>
        <v>2201.4357885742193</v>
      </c>
      <c r="EB39" s="128">
        <f>$N$3*_xlfn.XLOOKUP(EB$1,'Input Assumptions'!$C$34:$L$34,'Input Assumptions'!$C$36:$L$36)</f>
        <v>2201.4357885742193</v>
      </c>
      <c r="EC39" s="128">
        <f>$N$3*_xlfn.XLOOKUP(EC$1,'Input Assumptions'!$C$34:$L$34,'Input Assumptions'!$C$36:$L$36)</f>
        <v>2201.4357885742193</v>
      </c>
    </row>
    <row r="40" spans="2:135" x14ac:dyDescent="0.3">
      <c r="B40" s="15">
        <v>5</v>
      </c>
      <c r="C40" s="16">
        <v>38</v>
      </c>
      <c r="D40" s="16" t="s">
        <v>10</v>
      </c>
      <c r="E40" s="16">
        <v>450</v>
      </c>
      <c r="F40" s="20">
        <f t="shared" si="114"/>
        <v>41.80640845790095</v>
      </c>
      <c r="G40" s="19" t="str">
        <f t="shared" si="115"/>
        <v>1</v>
      </c>
      <c r="H40" s="20">
        <f t="shared" si="116"/>
        <v>1</v>
      </c>
      <c r="I40" s="18">
        <f t="shared" si="117"/>
        <v>1710</v>
      </c>
      <c r="J40" s="18">
        <f t="shared" si="118"/>
        <v>1900</v>
      </c>
      <c r="K40" s="18">
        <f>(J40*'Input Assumptions'!$C$20)+I40*('Input Assumptions'!$C$21)</f>
        <v>1900</v>
      </c>
      <c r="L40" s="94"/>
      <c r="M40" s="4"/>
      <c r="N40" s="128">
        <f t="shared" si="119"/>
        <v>1900</v>
      </c>
      <c r="O40" s="128">
        <f>$N$3*_xlfn.XLOOKUP(O$1,'Input Assumptions'!$C$34:$L$34,'Input Assumptions'!$C$36:$L$36)</f>
        <v>1900</v>
      </c>
      <c r="P40" s="128">
        <f>$N$3*_xlfn.XLOOKUP(P$1,'Input Assumptions'!$C$34:$L$34,'Input Assumptions'!$C$36:$L$36)</f>
        <v>1900</v>
      </c>
      <c r="Q40" s="128">
        <f>$N$3*_xlfn.XLOOKUP(Q$1,'Input Assumptions'!$C$34:$L$34,'Input Assumptions'!$C$36:$L$36)</f>
        <v>1900</v>
      </c>
      <c r="R40" s="128">
        <f>$N$3*_xlfn.XLOOKUP(R$1,'Input Assumptions'!$C$34:$L$34,'Input Assumptions'!$C$36:$L$36)</f>
        <v>1900</v>
      </c>
      <c r="S40" s="128">
        <f>$N$3*_xlfn.XLOOKUP(S$1,'Input Assumptions'!$C$34:$L$34,'Input Assumptions'!$C$36:$L$36)</f>
        <v>1900</v>
      </c>
      <c r="T40" s="128">
        <f>$N$3*_xlfn.XLOOKUP(T$1,'Input Assumptions'!$C$34:$L$34,'Input Assumptions'!$C$36:$L$36)</f>
        <v>1900</v>
      </c>
      <c r="U40" s="128">
        <f>$N$3*_xlfn.XLOOKUP(U$1,'Input Assumptions'!$C$34:$L$34,'Input Assumptions'!$C$36:$L$36)</f>
        <v>1900</v>
      </c>
      <c r="V40" s="128">
        <f>$N$3*_xlfn.XLOOKUP(V$1,'Input Assumptions'!$C$34:$L$34,'Input Assumptions'!$C$36:$L$36)</f>
        <v>1900</v>
      </c>
      <c r="W40" s="128">
        <f>$N$3*_xlfn.XLOOKUP(W$1,'Input Assumptions'!$C$34:$L$34,'Input Assumptions'!$C$36:$L$36)</f>
        <v>1900</v>
      </c>
      <c r="X40" s="128">
        <f>$N$3*_xlfn.XLOOKUP(X$1,'Input Assumptions'!$C$34:$L$34,'Input Assumptions'!$C$36:$L$36)</f>
        <v>1900</v>
      </c>
      <c r="Y40" s="128">
        <f>$N$3*_xlfn.XLOOKUP(Y$1,'Input Assumptions'!$C$34:$L$34,'Input Assumptions'!$C$36:$L$36)</f>
        <v>1900</v>
      </c>
      <c r="Z40" s="128">
        <f>$N$3*_xlfn.XLOOKUP(Z$1,'Input Assumptions'!$C$34:$L$34,'Input Assumptions'!$C$36:$L$36)</f>
        <v>1971.2500000000002</v>
      </c>
      <c r="AA40" s="128">
        <f>$N$3*_xlfn.XLOOKUP(AA$1,'Input Assumptions'!$C$34:$L$34,'Input Assumptions'!$C$36:$L$36)</f>
        <v>1971.2500000000002</v>
      </c>
      <c r="AB40" s="128">
        <f>$N$3*_xlfn.XLOOKUP(AB$1,'Input Assumptions'!$C$34:$L$34,'Input Assumptions'!$C$36:$L$36)</f>
        <v>1971.2500000000002</v>
      </c>
      <c r="AC40" s="128">
        <f>$N$3*_xlfn.XLOOKUP(AC$1,'Input Assumptions'!$C$34:$L$34,'Input Assumptions'!$C$36:$L$36)</f>
        <v>1971.2500000000002</v>
      </c>
      <c r="AD40" s="128">
        <f>$N$3*_xlfn.XLOOKUP(AD$1,'Input Assumptions'!$C$34:$L$34,'Input Assumptions'!$C$36:$L$36)</f>
        <v>1971.2500000000002</v>
      </c>
      <c r="AE40" s="128">
        <f>$N$3*_xlfn.XLOOKUP(AE$1,'Input Assumptions'!$C$34:$L$34,'Input Assumptions'!$C$36:$L$36)</f>
        <v>1971.2500000000002</v>
      </c>
      <c r="AF40" s="128">
        <f>$N$3*_xlfn.XLOOKUP(AF$1,'Input Assumptions'!$C$34:$L$34,'Input Assumptions'!$C$36:$L$36)</f>
        <v>1971.2500000000002</v>
      </c>
      <c r="AG40" s="128">
        <f>$N$3*_xlfn.XLOOKUP(AG$1,'Input Assumptions'!$C$34:$L$34,'Input Assumptions'!$C$36:$L$36)</f>
        <v>1971.2500000000002</v>
      </c>
      <c r="AH40" s="128">
        <f>$N$3*_xlfn.XLOOKUP(AH$1,'Input Assumptions'!$C$34:$L$34,'Input Assumptions'!$C$36:$L$36)</f>
        <v>1971.2500000000002</v>
      </c>
      <c r="AI40" s="128">
        <f>$N$3*_xlfn.XLOOKUP(AI$1,'Input Assumptions'!$C$34:$L$34,'Input Assumptions'!$C$36:$L$36)</f>
        <v>1971.2500000000002</v>
      </c>
      <c r="AJ40" s="128">
        <f>$N$3*_xlfn.XLOOKUP(AJ$1,'Input Assumptions'!$C$34:$L$34,'Input Assumptions'!$C$36:$L$36)</f>
        <v>1971.2500000000002</v>
      </c>
      <c r="AK40" s="128">
        <f>$N$3*_xlfn.XLOOKUP(AK$1,'Input Assumptions'!$C$34:$L$34,'Input Assumptions'!$C$36:$L$36)</f>
        <v>1971.2500000000002</v>
      </c>
      <c r="AL40" s="128">
        <f>$N$3*_xlfn.XLOOKUP(AL$1,'Input Assumptions'!$C$34:$L$34,'Input Assumptions'!$C$36:$L$36)</f>
        <v>2045.1718750000005</v>
      </c>
      <c r="AM40" s="128">
        <f>$N$3*_xlfn.XLOOKUP(AM$1,'Input Assumptions'!$C$34:$L$34,'Input Assumptions'!$C$36:$L$36)</f>
        <v>2045.1718750000005</v>
      </c>
      <c r="AN40" s="128">
        <f>$N$3*_xlfn.XLOOKUP(AN$1,'Input Assumptions'!$C$34:$L$34,'Input Assumptions'!$C$36:$L$36)</f>
        <v>2045.1718750000005</v>
      </c>
      <c r="AO40" s="128">
        <f>$N$3*_xlfn.XLOOKUP(AO$1,'Input Assumptions'!$C$34:$L$34,'Input Assumptions'!$C$36:$L$36)</f>
        <v>2045.1718750000005</v>
      </c>
      <c r="AP40" s="128">
        <f>$N$3*_xlfn.XLOOKUP(AP$1,'Input Assumptions'!$C$34:$L$34,'Input Assumptions'!$C$36:$L$36)</f>
        <v>2045.1718750000005</v>
      </c>
      <c r="AQ40" s="128">
        <f>$N$3*_xlfn.XLOOKUP(AQ$1,'Input Assumptions'!$C$34:$L$34,'Input Assumptions'!$C$36:$L$36)</f>
        <v>2045.1718750000005</v>
      </c>
      <c r="AR40" s="128">
        <f>$N$3*_xlfn.XLOOKUP(AR$1,'Input Assumptions'!$C$34:$L$34,'Input Assumptions'!$C$36:$L$36)</f>
        <v>2045.1718750000005</v>
      </c>
      <c r="AS40" s="128">
        <f>$N$3*_xlfn.XLOOKUP(AS$1,'Input Assumptions'!$C$34:$L$34,'Input Assumptions'!$C$36:$L$36)</f>
        <v>2045.1718750000005</v>
      </c>
      <c r="AT40" s="128">
        <f>$N$3*_xlfn.XLOOKUP(AT$1,'Input Assumptions'!$C$34:$L$34,'Input Assumptions'!$C$36:$L$36)</f>
        <v>2045.1718750000005</v>
      </c>
      <c r="AU40" s="128">
        <f>$N$3*_xlfn.XLOOKUP(AU$1,'Input Assumptions'!$C$34:$L$34,'Input Assumptions'!$C$36:$L$36)</f>
        <v>2045.1718750000005</v>
      </c>
      <c r="AV40" s="128">
        <f>$N$3*_xlfn.XLOOKUP(AV$1,'Input Assumptions'!$C$34:$L$34,'Input Assumptions'!$C$36:$L$36)</f>
        <v>2045.1718750000005</v>
      </c>
      <c r="AW40" s="128">
        <f>$N$3*_xlfn.XLOOKUP(AW$1,'Input Assumptions'!$C$34:$L$34,'Input Assumptions'!$C$36:$L$36)</f>
        <v>2045.1718750000005</v>
      </c>
      <c r="AX40" s="128">
        <f>$N$3*_xlfn.XLOOKUP(AX$1,'Input Assumptions'!$C$34:$L$34,'Input Assumptions'!$C$36:$L$36)</f>
        <v>2121.8658203125005</v>
      </c>
      <c r="AY40" s="128">
        <f>$N$3*_xlfn.XLOOKUP(AY$1,'Input Assumptions'!$C$34:$L$34,'Input Assumptions'!$C$36:$L$36)</f>
        <v>2121.8658203125005</v>
      </c>
      <c r="AZ40" s="128">
        <f>$N$3*_xlfn.XLOOKUP(AZ$1,'Input Assumptions'!$C$34:$L$34,'Input Assumptions'!$C$36:$L$36)</f>
        <v>2121.8658203125005</v>
      </c>
      <c r="BA40" s="128">
        <f>$N$3*_xlfn.XLOOKUP(BA$1,'Input Assumptions'!$C$34:$L$34,'Input Assumptions'!$C$36:$L$36)</f>
        <v>2121.8658203125005</v>
      </c>
      <c r="BB40" s="128">
        <f>$N$3*_xlfn.XLOOKUP(BB$1,'Input Assumptions'!$C$34:$L$34,'Input Assumptions'!$C$36:$L$36)</f>
        <v>2121.8658203125005</v>
      </c>
      <c r="BC40" s="128">
        <f>$N$3*_xlfn.XLOOKUP(BC$1,'Input Assumptions'!$C$34:$L$34,'Input Assumptions'!$C$36:$L$36)</f>
        <v>2121.8658203125005</v>
      </c>
      <c r="BD40" s="128">
        <f>$N$3*_xlfn.XLOOKUP(BD$1,'Input Assumptions'!$C$34:$L$34,'Input Assumptions'!$C$36:$L$36)</f>
        <v>2121.8658203125005</v>
      </c>
      <c r="BE40" s="128">
        <f>$N$3*_xlfn.XLOOKUP(BE$1,'Input Assumptions'!$C$34:$L$34,'Input Assumptions'!$C$36:$L$36)</f>
        <v>2121.8658203125005</v>
      </c>
      <c r="BF40" s="128">
        <f>$N$3*_xlfn.XLOOKUP(BF$1,'Input Assumptions'!$C$34:$L$34,'Input Assumptions'!$C$36:$L$36)</f>
        <v>2121.8658203125005</v>
      </c>
      <c r="BG40" s="128">
        <f>$N$3*_xlfn.XLOOKUP(BG$1,'Input Assumptions'!$C$34:$L$34,'Input Assumptions'!$C$36:$L$36)</f>
        <v>2121.8658203125005</v>
      </c>
      <c r="BH40" s="128">
        <f>$N$3*_xlfn.XLOOKUP(BH$1,'Input Assumptions'!$C$34:$L$34,'Input Assumptions'!$C$36:$L$36)</f>
        <v>2121.8658203125005</v>
      </c>
      <c r="BI40" s="128">
        <f>$N$3*_xlfn.XLOOKUP(BI$1,'Input Assumptions'!$C$34:$L$34,'Input Assumptions'!$C$36:$L$36)</f>
        <v>2121.8658203125005</v>
      </c>
      <c r="BJ40" s="128">
        <f>$N$3*_xlfn.XLOOKUP(BJ$1,'Input Assumptions'!$C$34:$L$34,'Input Assumptions'!$C$36:$L$36)</f>
        <v>2201.4357885742193</v>
      </c>
      <c r="BK40" s="128">
        <f>$N$3*_xlfn.XLOOKUP(BK$1,'Input Assumptions'!$C$34:$L$34,'Input Assumptions'!$C$36:$L$36)</f>
        <v>2201.4357885742193</v>
      </c>
      <c r="BL40" s="128">
        <f>$N$3*_xlfn.XLOOKUP(BL$1,'Input Assumptions'!$C$34:$L$34,'Input Assumptions'!$C$36:$L$36)</f>
        <v>2201.4357885742193</v>
      </c>
      <c r="BM40" s="128">
        <f>$N$3*_xlfn.XLOOKUP(BM$1,'Input Assumptions'!$C$34:$L$34,'Input Assumptions'!$C$36:$L$36)</f>
        <v>2201.4357885742193</v>
      </c>
      <c r="BN40" s="128">
        <f>$N$3*_xlfn.XLOOKUP(BN$1,'Input Assumptions'!$C$34:$L$34,'Input Assumptions'!$C$36:$L$36)</f>
        <v>2201.4357885742193</v>
      </c>
      <c r="BO40" s="128">
        <f>$N$3*_xlfn.XLOOKUP(BO$1,'Input Assumptions'!$C$34:$L$34,'Input Assumptions'!$C$36:$L$36)</f>
        <v>2201.4357885742193</v>
      </c>
      <c r="BP40" s="128">
        <f>$N$3*_xlfn.XLOOKUP(BP$1,'Input Assumptions'!$C$34:$L$34,'Input Assumptions'!$C$36:$L$36)</f>
        <v>2201.4357885742193</v>
      </c>
      <c r="BQ40" s="128">
        <f>$N$3*_xlfn.XLOOKUP(BQ$1,'Input Assumptions'!$C$34:$L$34,'Input Assumptions'!$C$36:$L$36)</f>
        <v>2201.4357885742193</v>
      </c>
      <c r="BR40" s="128">
        <f>$N$3*_xlfn.XLOOKUP(BR$1,'Input Assumptions'!$C$34:$L$34,'Input Assumptions'!$C$36:$L$36)</f>
        <v>2201.4357885742193</v>
      </c>
      <c r="BS40" s="128">
        <f>$N$3*_xlfn.XLOOKUP(BS$1,'Input Assumptions'!$C$34:$L$34,'Input Assumptions'!$C$36:$L$36)</f>
        <v>2201.4357885742193</v>
      </c>
      <c r="BT40" s="128">
        <f>$N$3*_xlfn.XLOOKUP(BT$1,'Input Assumptions'!$C$34:$L$34,'Input Assumptions'!$C$36:$L$36)</f>
        <v>2201.4357885742193</v>
      </c>
      <c r="BU40" s="128">
        <f>$N$3*_xlfn.XLOOKUP(BU$1,'Input Assumptions'!$C$34:$L$34,'Input Assumptions'!$C$36:$L$36)</f>
        <v>2201.4357885742193</v>
      </c>
      <c r="BV40" s="128">
        <f>$N$3*_xlfn.XLOOKUP(BV$1,'Input Assumptions'!$C$34:$L$34,'Input Assumptions'!$C$36:$L$36)</f>
        <v>2283.9896306457531</v>
      </c>
      <c r="BW40" s="128">
        <f>$N$3*_xlfn.XLOOKUP(BW$1,'Input Assumptions'!$C$34:$L$34,'Input Assumptions'!$C$36:$L$36)</f>
        <v>1900</v>
      </c>
      <c r="BX40" s="128">
        <f>$N$3*_xlfn.XLOOKUP(BX$1,'Input Assumptions'!$C$34:$L$34,'Input Assumptions'!$C$36:$L$36)</f>
        <v>1900</v>
      </c>
      <c r="BY40" s="128">
        <f>$N$3*_xlfn.XLOOKUP(BY$1,'Input Assumptions'!$C$34:$L$34,'Input Assumptions'!$C$36:$L$36)</f>
        <v>1900</v>
      </c>
      <c r="BZ40" s="128">
        <f>$N$3*_xlfn.XLOOKUP(BZ$1,'Input Assumptions'!$C$34:$L$34,'Input Assumptions'!$C$36:$L$36)</f>
        <v>1900</v>
      </c>
      <c r="CA40" s="128">
        <f>$N$3*_xlfn.XLOOKUP(CA$1,'Input Assumptions'!$C$34:$L$34,'Input Assumptions'!$C$36:$L$36)</f>
        <v>1900</v>
      </c>
      <c r="CB40" s="128">
        <f>$N$3*_xlfn.XLOOKUP(CB$1,'Input Assumptions'!$C$34:$L$34,'Input Assumptions'!$C$36:$L$36)</f>
        <v>1900</v>
      </c>
      <c r="CC40" s="128">
        <f>$N$3*_xlfn.XLOOKUP(CC$1,'Input Assumptions'!$C$34:$L$34,'Input Assumptions'!$C$36:$L$36)</f>
        <v>1900</v>
      </c>
      <c r="CD40" s="128">
        <f>$N$3*_xlfn.XLOOKUP(CD$1,'Input Assumptions'!$C$34:$L$34,'Input Assumptions'!$C$36:$L$36)</f>
        <v>1900</v>
      </c>
      <c r="CE40" s="128">
        <f>$N$3*_xlfn.XLOOKUP(CE$1,'Input Assumptions'!$C$34:$L$34,'Input Assumptions'!$C$36:$L$36)</f>
        <v>1900</v>
      </c>
      <c r="CF40" s="128">
        <f>$N$3*_xlfn.XLOOKUP(CF$1,'Input Assumptions'!$C$34:$L$34,'Input Assumptions'!$C$36:$L$36)</f>
        <v>1900</v>
      </c>
      <c r="CG40" s="128">
        <f>$N$3*_xlfn.XLOOKUP(CG$1,'Input Assumptions'!$C$34:$L$34,'Input Assumptions'!$C$36:$L$36)</f>
        <v>1900</v>
      </c>
      <c r="CH40" s="128">
        <f>$N$3*_xlfn.XLOOKUP(CH$1,'Input Assumptions'!$C$34:$L$34,'Input Assumptions'!$C$36:$L$36)</f>
        <v>1900</v>
      </c>
      <c r="CI40" s="128">
        <f>$N$3*_xlfn.XLOOKUP(CI$1,'Input Assumptions'!$C$34:$L$34,'Input Assumptions'!$C$36:$L$36)</f>
        <v>1971.2500000000002</v>
      </c>
      <c r="CJ40" s="128">
        <f>$N$3*_xlfn.XLOOKUP(CJ$1,'Input Assumptions'!$C$34:$L$34,'Input Assumptions'!$C$36:$L$36)</f>
        <v>1971.2500000000002</v>
      </c>
      <c r="CK40" s="128">
        <f>$N$3*_xlfn.XLOOKUP(CK$1,'Input Assumptions'!$C$34:$L$34,'Input Assumptions'!$C$36:$L$36)</f>
        <v>1971.2500000000002</v>
      </c>
      <c r="CL40" s="128">
        <f>$N$3*_xlfn.XLOOKUP(CL$1,'Input Assumptions'!$C$34:$L$34,'Input Assumptions'!$C$36:$L$36)</f>
        <v>1971.2500000000002</v>
      </c>
      <c r="CM40" s="128">
        <f>$N$3*_xlfn.XLOOKUP(CM$1,'Input Assumptions'!$C$34:$L$34,'Input Assumptions'!$C$36:$L$36)</f>
        <v>1971.2500000000002</v>
      </c>
      <c r="CN40" s="128">
        <f>$N$3*_xlfn.XLOOKUP(CN$1,'Input Assumptions'!$C$34:$L$34,'Input Assumptions'!$C$36:$L$36)</f>
        <v>1971.2500000000002</v>
      </c>
      <c r="CO40" s="128">
        <f>$N$3*_xlfn.XLOOKUP(CO$1,'Input Assumptions'!$C$34:$L$34,'Input Assumptions'!$C$36:$L$36)</f>
        <v>1971.2500000000002</v>
      </c>
      <c r="CP40" s="128">
        <f>$N$3*_xlfn.XLOOKUP(CP$1,'Input Assumptions'!$C$34:$L$34,'Input Assumptions'!$C$36:$L$36)</f>
        <v>1971.2500000000002</v>
      </c>
      <c r="CQ40" s="128">
        <f>$N$3*_xlfn.XLOOKUP(CQ$1,'Input Assumptions'!$C$34:$L$34,'Input Assumptions'!$C$36:$L$36)</f>
        <v>1971.2500000000002</v>
      </c>
      <c r="CR40" s="128">
        <f>$N$3*_xlfn.XLOOKUP(CR$1,'Input Assumptions'!$C$34:$L$34,'Input Assumptions'!$C$36:$L$36)</f>
        <v>1971.2500000000002</v>
      </c>
      <c r="CS40" s="128">
        <f>$N$3*_xlfn.XLOOKUP(CS$1,'Input Assumptions'!$C$34:$L$34,'Input Assumptions'!$C$36:$L$36)</f>
        <v>1971.2500000000002</v>
      </c>
      <c r="CT40" s="128">
        <f>$N$3*_xlfn.XLOOKUP(CT$1,'Input Assumptions'!$C$34:$L$34,'Input Assumptions'!$C$36:$L$36)</f>
        <v>1971.2500000000002</v>
      </c>
      <c r="CU40" s="128">
        <f>$N$3*_xlfn.XLOOKUP(CU$1,'Input Assumptions'!$C$34:$L$34,'Input Assumptions'!$C$36:$L$36)</f>
        <v>2045.1718750000005</v>
      </c>
      <c r="CV40" s="128">
        <f>$N$3*_xlfn.XLOOKUP(CV$1,'Input Assumptions'!$C$34:$L$34,'Input Assumptions'!$C$36:$L$36)</f>
        <v>2045.1718750000005</v>
      </c>
      <c r="CW40" s="128">
        <f>$N$3*_xlfn.XLOOKUP(CW$1,'Input Assumptions'!$C$34:$L$34,'Input Assumptions'!$C$36:$L$36)</f>
        <v>2045.1718750000005</v>
      </c>
      <c r="CX40" s="128">
        <f>$N$3*_xlfn.XLOOKUP(CX$1,'Input Assumptions'!$C$34:$L$34,'Input Assumptions'!$C$36:$L$36)</f>
        <v>2045.1718750000005</v>
      </c>
      <c r="CY40" s="128">
        <f>$N$3*_xlfn.XLOOKUP(CY$1,'Input Assumptions'!$C$34:$L$34,'Input Assumptions'!$C$36:$L$36)</f>
        <v>2045.1718750000005</v>
      </c>
      <c r="CZ40" s="128">
        <f>$N$3*_xlfn.XLOOKUP(CZ$1,'Input Assumptions'!$C$34:$L$34,'Input Assumptions'!$C$36:$L$36)</f>
        <v>2045.1718750000005</v>
      </c>
      <c r="DA40" s="128">
        <f>$N$3*_xlfn.XLOOKUP(DA$1,'Input Assumptions'!$C$34:$L$34,'Input Assumptions'!$C$36:$L$36)</f>
        <v>2045.1718750000005</v>
      </c>
      <c r="DB40" s="128">
        <f>$N$3*_xlfn.XLOOKUP(DB$1,'Input Assumptions'!$C$34:$L$34,'Input Assumptions'!$C$36:$L$36)</f>
        <v>2045.1718750000005</v>
      </c>
      <c r="DC40" s="128">
        <f>$N$3*_xlfn.XLOOKUP(DC$1,'Input Assumptions'!$C$34:$L$34,'Input Assumptions'!$C$36:$L$36)</f>
        <v>2045.1718750000005</v>
      </c>
      <c r="DD40" s="128">
        <f>$N$3*_xlfn.XLOOKUP(DD$1,'Input Assumptions'!$C$34:$L$34,'Input Assumptions'!$C$36:$L$36)</f>
        <v>2045.1718750000005</v>
      </c>
      <c r="DE40" s="128">
        <f>$N$3*_xlfn.XLOOKUP(DE$1,'Input Assumptions'!$C$34:$L$34,'Input Assumptions'!$C$36:$L$36)</f>
        <v>2045.1718750000005</v>
      </c>
      <c r="DF40" s="128">
        <f>$N$3*_xlfn.XLOOKUP(DF$1,'Input Assumptions'!$C$34:$L$34,'Input Assumptions'!$C$36:$L$36)</f>
        <v>2045.1718750000005</v>
      </c>
      <c r="DG40" s="128">
        <f>$N$3*_xlfn.XLOOKUP(DG$1,'Input Assumptions'!$C$34:$L$34,'Input Assumptions'!$C$36:$L$36)</f>
        <v>2121.8658203125005</v>
      </c>
      <c r="DH40" s="128">
        <f>$N$3*_xlfn.XLOOKUP(DH$1,'Input Assumptions'!$C$34:$L$34,'Input Assumptions'!$C$36:$L$36)</f>
        <v>2121.8658203125005</v>
      </c>
      <c r="DI40" s="128">
        <f>$N$3*_xlfn.XLOOKUP(DI$1,'Input Assumptions'!$C$34:$L$34,'Input Assumptions'!$C$36:$L$36)</f>
        <v>2121.8658203125005</v>
      </c>
      <c r="DJ40" s="128">
        <f>$N$3*_xlfn.XLOOKUP(DJ$1,'Input Assumptions'!$C$34:$L$34,'Input Assumptions'!$C$36:$L$36)</f>
        <v>2121.8658203125005</v>
      </c>
      <c r="DK40" s="128">
        <f>$N$3*_xlfn.XLOOKUP(DK$1,'Input Assumptions'!$C$34:$L$34,'Input Assumptions'!$C$36:$L$36)</f>
        <v>2121.8658203125005</v>
      </c>
      <c r="DL40" s="128">
        <f>$N$3*_xlfn.XLOOKUP(DL$1,'Input Assumptions'!$C$34:$L$34,'Input Assumptions'!$C$36:$L$36)</f>
        <v>2121.8658203125005</v>
      </c>
      <c r="DM40" s="128">
        <f>$N$3*_xlfn.XLOOKUP(DM$1,'Input Assumptions'!$C$34:$L$34,'Input Assumptions'!$C$36:$L$36)</f>
        <v>2121.8658203125005</v>
      </c>
      <c r="DN40" s="128">
        <f>$N$3*_xlfn.XLOOKUP(DN$1,'Input Assumptions'!$C$34:$L$34,'Input Assumptions'!$C$36:$L$36)</f>
        <v>2121.8658203125005</v>
      </c>
      <c r="DO40" s="128">
        <f>$N$3*_xlfn.XLOOKUP(DO$1,'Input Assumptions'!$C$34:$L$34,'Input Assumptions'!$C$36:$L$36)</f>
        <v>2121.8658203125005</v>
      </c>
      <c r="DP40" s="128">
        <f>$N$3*_xlfn.XLOOKUP(DP$1,'Input Assumptions'!$C$34:$L$34,'Input Assumptions'!$C$36:$L$36)</f>
        <v>2121.8658203125005</v>
      </c>
      <c r="DQ40" s="128">
        <f>$N$3*_xlfn.XLOOKUP(DQ$1,'Input Assumptions'!$C$34:$L$34,'Input Assumptions'!$C$36:$L$36)</f>
        <v>2121.8658203125005</v>
      </c>
      <c r="DR40" s="128">
        <f>$N$3*_xlfn.XLOOKUP(DR$1,'Input Assumptions'!$C$34:$L$34,'Input Assumptions'!$C$36:$L$36)</f>
        <v>2121.8658203125005</v>
      </c>
      <c r="DS40" s="128">
        <f>$N$3*_xlfn.XLOOKUP(DS$1,'Input Assumptions'!$C$34:$L$34,'Input Assumptions'!$C$36:$L$36)</f>
        <v>2201.4357885742193</v>
      </c>
      <c r="DT40" s="128">
        <f>$N$3*_xlfn.XLOOKUP(DT$1,'Input Assumptions'!$C$34:$L$34,'Input Assumptions'!$C$36:$L$36)</f>
        <v>2201.4357885742193</v>
      </c>
      <c r="DU40" s="128">
        <f>$N$3*_xlfn.XLOOKUP(DU$1,'Input Assumptions'!$C$34:$L$34,'Input Assumptions'!$C$36:$L$36)</f>
        <v>2201.4357885742193</v>
      </c>
      <c r="DV40" s="128">
        <f>$N$3*_xlfn.XLOOKUP(DV$1,'Input Assumptions'!$C$34:$L$34,'Input Assumptions'!$C$36:$L$36)</f>
        <v>2201.4357885742193</v>
      </c>
      <c r="DW40" s="128">
        <f>$N$3*_xlfn.XLOOKUP(DW$1,'Input Assumptions'!$C$34:$L$34,'Input Assumptions'!$C$36:$L$36)</f>
        <v>2201.4357885742193</v>
      </c>
      <c r="DX40" s="128">
        <f>$N$3*_xlfn.XLOOKUP(DX$1,'Input Assumptions'!$C$34:$L$34,'Input Assumptions'!$C$36:$L$36)</f>
        <v>2201.4357885742193</v>
      </c>
      <c r="DY40" s="128">
        <f>$N$3*_xlfn.XLOOKUP(DY$1,'Input Assumptions'!$C$34:$L$34,'Input Assumptions'!$C$36:$L$36)</f>
        <v>2201.4357885742193</v>
      </c>
      <c r="DZ40" s="128">
        <f>$N$3*_xlfn.XLOOKUP(DZ$1,'Input Assumptions'!$C$34:$L$34,'Input Assumptions'!$C$36:$L$36)</f>
        <v>2201.4357885742193</v>
      </c>
      <c r="EA40" s="128">
        <f>$N$3*_xlfn.XLOOKUP(EA$1,'Input Assumptions'!$C$34:$L$34,'Input Assumptions'!$C$36:$L$36)</f>
        <v>2201.4357885742193</v>
      </c>
      <c r="EB40" s="128">
        <f>$N$3*_xlfn.XLOOKUP(EB$1,'Input Assumptions'!$C$34:$L$34,'Input Assumptions'!$C$36:$L$36)</f>
        <v>2201.4357885742193</v>
      </c>
      <c r="EC40" s="128">
        <f>$N$3*_xlfn.XLOOKUP(EC$1,'Input Assumptions'!$C$34:$L$34,'Input Assumptions'!$C$36:$L$36)</f>
        <v>2201.4357885742193</v>
      </c>
    </row>
    <row r="41" spans="2:135" x14ac:dyDescent="0.3">
      <c r="B41" s="177"/>
      <c r="C41" s="178">
        <f>COUNT(C3:C40)</f>
        <v>38</v>
      </c>
      <c r="D41" s="178"/>
      <c r="E41" s="178">
        <f>SUM(E3:E40)</f>
        <v>17100</v>
      </c>
      <c r="F41" s="178">
        <f t="shared" ref="F41:K41" si="120">SUM(F3:F40)</f>
        <v>1588.6435214002361</v>
      </c>
      <c r="G41" s="178">
        <f t="shared" si="120"/>
        <v>0</v>
      </c>
      <c r="H41" s="178">
        <f t="shared" si="120"/>
        <v>38</v>
      </c>
      <c r="I41" s="178">
        <f t="shared" si="120"/>
        <v>64980</v>
      </c>
      <c r="J41" s="178">
        <f t="shared" si="120"/>
        <v>72200</v>
      </c>
      <c r="K41" s="178">
        <f t="shared" si="120"/>
        <v>72200</v>
      </c>
      <c r="L41" s="94"/>
      <c r="N41" s="79">
        <f>SUM(N3:N40)</f>
        <v>72200</v>
      </c>
      <c r="O41" s="79">
        <f t="shared" ref="O41:BZ41" si="121">SUM(O3:O40)</f>
        <v>72200</v>
      </c>
      <c r="P41" s="79">
        <f t="shared" si="121"/>
        <v>72200</v>
      </c>
      <c r="Q41" s="79">
        <f t="shared" si="121"/>
        <v>72200</v>
      </c>
      <c r="R41" s="79">
        <f t="shared" si="121"/>
        <v>72200</v>
      </c>
      <c r="S41" s="79">
        <f t="shared" si="121"/>
        <v>72200</v>
      </c>
      <c r="T41" s="79">
        <f t="shared" si="121"/>
        <v>72200</v>
      </c>
      <c r="U41" s="79">
        <f t="shared" si="121"/>
        <v>72200</v>
      </c>
      <c r="V41" s="79">
        <f t="shared" si="121"/>
        <v>72200</v>
      </c>
      <c r="W41" s="79">
        <f t="shared" si="121"/>
        <v>72200</v>
      </c>
      <c r="X41" s="79">
        <f t="shared" si="121"/>
        <v>72200</v>
      </c>
      <c r="Y41" s="79">
        <f t="shared" si="121"/>
        <v>72200</v>
      </c>
      <c r="Z41" s="79">
        <f t="shared" si="121"/>
        <v>74907.500000000015</v>
      </c>
      <c r="AA41" s="79">
        <f t="shared" si="121"/>
        <v>74907.500000000015</v>
      </c>
      <c r="AB41" s="79">
        <f t="shared" si="121"/>
        <v>74907.500000000015</v>
      </c>
      <c r="AC41" s="79">
        <f t="shared" si="121"/>
        <v>74907.500000000015</v>
      </c>
      <c r="AD41" s="79">
        <f t="shared" si="121"/>
        <v>74907.500000000015</v>
      </c>
      <c r="AE41" s="79">
        <f t="shared" si="121"/>
        <v>74907.500000000015</v>
      </c>
      <c r="AF41" s="79">
        <f t="shared" si="121"/>
        <v>74907.500000000015</v>
      </c>
      <c r="AG41" s="79">
        <f t="shared" si="121"/>
        <v>74907.500000000015</v>
      </c>
      <c r="AH41" s="79">
        <f t="shared" si="121"/>
        <v>74907.500000000015</v>
      </c>
      <c r="AI41" s="79">
        <f t="shared" si="121"/>
        <v>74907.500000000015</v>
      </c>
      <c r="AJ41" s="79">
        <f t="shared" si="121"/>
        <v>74907.500000000015</v>
      </c>
      <c r="AK41" s="79">
        <f t="shared" si="121"/>
        <v>74907.500000000015</v>
      </c>
      <c r="AL41" s="79">
        <f t="shared" si="121"/>
        <v>77716.531250000015</v>
      </c>
      <c r="AM41" s="79">
        <f t="shared" si="121"/>
        <v>77716.531250000015</v>
      </c>
      <c r="AN41" s="79">
        <f t="shared" si="121"/>
        <v>77716.531250000015</v>
      </c>
      <c r="AO41" s="79">
        <f t="shared" si="121"/>
        <v>77716.531250000015</v>
      </c>
      <c r="AP41" s="79">
        <f t="shared" si="121"/>
        <v>77716.531250000015</v>
      </c>
      <c r="AQ41" s="79">
        <f t="shared" si="121"/>
        <v>77716.531250000015</v>
      </c>
      <c r="AR41" s="79">
        <f t="shared" si="121"/>
        <v>77716.531250000015</v>
      </c>
      <c r="AS41" s="79">
        <f t="shared" si="121"/>
        <v>77716.531250000015</v>
      </c>
      <c r="AT41" s="79">
        <f t="shared" si="121"/>
        <v>77716.531250000015</v>
      </c>
      <c r="AU41" s="79">
        <f t="shared" si="121"/>
        <v>77716.531250000015</v>
      </c>
      <c r="AV41" s="79">
        <f t="shared" si="121"/>
        <v>77716.531250000015</v>
      </c>
      <c r="AW41" s="79">
        <f t="shared" si="121"/>
        <v>77716.531250000015</v>
      </c>
      <c r="AX41" s="79">
        <f t="shared" si="121"/>
        <v>80630.901171874997</v>
      </c>
      <c r="AY41" s="79">
        <f t="shared" si="121"/>
        <v>80630.901171874997</v>
      </c>
      <c r="AZ41" s="79">
        <f t="shared" si="121"/>
        <v>80630.901171874997</v>
      </c>
      <c r="BA41" s="79">
        <f t="shared" si="121"/>
        <v>80630.901171874997</v>
      </c>
      <c r="BB41" s="79">
        <f t="shared" si="121"/>
        <v>80630.901171874997</v>
      </c>
      <c r="BC41" s="79">
        <f t="shared" si="121"/>
        <v>80630.901171874997</v>
      </c>
      <c r="BD41" s="79">
        <f t="shared" si="121"/>
        <v>80630.901171874997</v>
      </c>
      <c r="BE41" s="79">
        <f t="shared" si="121"/>
        <v>80630.901171874997</v>
      </c>
      <c r="BF41" s="79">
        <f t="shared" si="121"/>
        <v>80630.901171874997</v>
      </c>
      <c r="BG41" s="79">
        <f t="shared" si="121"/>
        <v>80630.901171874997</v>
      </c>
      <c r="BH41" s="79">
        <f t="shared" si="121"/>
        <v>80630.901171874997</v>
      </c>
      <c r="BI41" s="79">
        <f t="shared" si="121"/>
        <v>80630.901171874997</v>
      </c>
      <c r="BJ41" s="79">
        <f t="shared" si="121"/>
        <v>83654.559965820386</v>
      </c>
      <c r="BK41" s="79">
        <f t="shared" si="121"/>
        <v>83654.559965820386</v>
      </c>
      <c r="BL41" s="79">
        <f t="shared" si="121"/>
        <v>83654.559965820386</v>
      </c>
      <c r="BM41" s="79">
        <f t="shared" si="121"/>
        <v>83654.559965820386</v>
      </c>
      <c r="BN41" s="79">
        <f t="shared" si="121"/>
        <v>83654.559965820386</v>
      </c>
      <c r="BO41" s="79">
        <f t="shared" si="121"/>
        <v>83654.559965820386</v>
      </c>
      <c r="BP41" s="79">
        <f t="shared" si="121"/>
        <v>83654.559965820386</v>
      </c>
      <c r="BQ41" s="79">
        <f t="shared" si="121"/>
        <v>83654.559965820386</v>
      </c>
      <c r="BR41" s="79">
        <f t="shared" si="121"/>
        <v>83654.559965820386</v>
      </c>
      <c r="BS41" s="79">
        <f t="shared" si="121"/>
        <v>83654.559965820386</v>
      </c>
      <c r="BT41" s="79">
        <f t="shared" si="121"/>
        <v>83654.559965820386</v>
      </c>
      <c r="BU41" s="79">
        <f t="shared" si="121"/>
        <v>83654.559965820386</v>
      </c>
      <c r="BV41" s="79">
        <f t="shared" si="121"/>
        <v>86791.605964538598</v>
      </c>
      <c r="BW41" s="79">
        <f t="shared" si="121"/>
        <v>72200</v>
      </c>
      <c r="BX41" s="79">
        <f t="shared" si="121"/>
        <v>72200</v>
      </c>
      <c r="BY41" s="79">
        <f t="shared" si="121"/>
        <v>72200</v>
      </c>
      <c r="BZ41" s="79">
        <f t="shared" si="121"/>
        <v>72200</v>
      </c>
      <c r="CA41" s="79">
        <f t="shared" ref="CA41:EC41" si="122">SUM(CA3:CA40)</f>
        <v>72200</v>
      </c>
      <c r="CB41" s="79">
        <f t="shared" si="122"/>
        <v>72200</v>
      </c>
      <c r="CC41" s="79">
        <f t="shared" si="122"/>
        <v>72200</v>
      </c>
      <c r="CD41" s="79">
        <f t="shared" si="122"/>
        <v>72200</v>
      </c>
      <c r="CE41" s="79">
        <f t="shared" si="122"/>
        <v>72200</v>
      </c>
      <c r="CF41" s="79">
        <f t="shared" si="122"/>
        <v>72200</v>
      </c>
      <c r="CG41" s="79">
        <f t="shared" si="122"/>
        <v>72200</v>
      </c>
      <c r="CH41" s="79">
        <f t="shared" si="122"/>
        <v>72200</v>
      </c>
      <c r="CI41" s="79">
        <f t="shared" si="122"/>
        <v>74907.500000000015</v>
      </c>
      <c r="CJ41" s="79">
        <f t="shared" si="122"/>
        <v>74907.500000000015</v>
      </c>
      <c r="CK41" s="79">
        <f t="shared" si="122"/>
        <v>74907.500000000015</v>
      </c>
      <c r="CL41" s="79">
        <f t="shared" si="122"/>
        <v>74907.500000000015</v>
      </c>
      <c r="CM41" s="79">
        <f t="shared" si="122"/>
        <v>74907.500000000015</v>
      </c>
      <c r="CN41" s="79">
        <f t="shared" si="122"/>
        <v>74907.500000000015</v>
      </c>
      <c r="CO41" s="79">
        <f t="shared" si="122"/>
        <v>74907.500000000015</v>
      </c>
      <c r="CP41" s="79">
        <f t="shared" si="122"/>
        <v>74907.500000000015</v>
      </c>
      <c r="CQ41" s="79">
        <f t="shared" si="122"/>
        <v>74907.500000000015</v>
      </c>
      <c r="CR41" s="79">
        <f t="shared" si="122"/>
        <v>74907.500000000015</v>
      </c>
      <c r="CS41" s="79">
        <f t="shared" si="122"/>
        <v>74907.500000000015</v>
      </c>
      <c r="CT41" s="79">
        <f t="shared" si="122"/>
        <v>74907.500000000015</v>
      </c>
      <c r="CU41" s="79">
        <f t="shared" si="122"/>
        <v>77716.531250000015</v>
      </c>
      <c r="CV41" s="79">
        <f t="shared" si="122"/>
        <v>77716.531250000015</v>
      </c>
      <c r="CW41" s="79">
        <f t="shared" si="122"/>
        <v>77716.531250000015</v>
      </c>
      <c r="CX41" s="79">
        <f t="shared" si="122"/>
        <v>77716.531250000015</v>
      </c>
      <c r="CY41" s="79">
        <f t="shared" si="122"/>
        <v>77716.531250000015</v>
      </c>
      <c r="CZ41" s="79">
        <f t="shared" si="122"/>
        <v>77716.531250000015</v>
      </c>
      <c r="DA41" s="79">
        <f t="shared" si="122"/>
        <v>77716.531250000015</v>
      </c>
      <c r="DB41" s="79">
        <f t="shared" si="122"/>
        <v>77716.531250000015</v>
      </c>
      <c r="DC41" s="79">
        <f t="shared" si="122"/>
        <v>77716.531250000015</v>
      </c>
      <c r="DD41" s="79">
        <f t="shared" si="122"/>
        <v>77716.531250000015</v>
      </c>
      <c r="DE41" s="79">
        <f t="shared" si="122"/>
        <v>77716.531250000015</v>
      </c>
      <c r="DF41" s="79">
        <f t="shared" si="122"/>
        <v>77716.531250000015</v>
      </c>
      <c r="DG41" s="79">
        <f t="shared" si="122"/>
        <v>80630.901171874997</v>
      </c>
      <c r="DH41" s="79">
        <f t="shared" si="122"/>
        <v>80630.901171874997</v>
      </c>
      <c r="DI41" s="79">
        <f t="shared" si="122"/>
        <v>80630.901171874997</v>
      </c>
      <c r="DJ41" s="79">
        <f t="shared" si="122"/>
        <v>80630.901171874997</v>
      </c>
      <c r="DK41" s="79">
        <f t="shared" si="122"/>
        <v>80630.901171874997</v>
      </c>
      <c r="DL41" s="79">
        <f t="shared" si="122"/>
        <v>80630.901171874997</v>
      </c>
      <c r="DM41" s="79">
        <f t="shared" si="122"/>
        <v>80630.901171874997</v>
      </c>
      <c r="DN41" s="79">
        <f t="shared" si="122"/>
        <v>80630.901171874997</v>
      </c>
      <c r="DO41" s="79">
        <f t="shared" si="122"/>
        <v>80630.901171874997</v>
      </c>
      <c r="DP41" s="79">
        <f t="shared" si="122"/>
        <v>80630.901171874997</v>
      </c>
      <c r="DQ41" s="79">
        <f t="shared" si="122"/>
        <v>80630.901171874997</v>
      </c>
      <c r="DR41" s="79">
        <f t="shared" si="122"/>
        <v>80630.901171874997</v>
      </c>
      <c r="DS41" s="79">
        <f t="shared" si="122"/>
        <v>83654.559965820386</v>
      </c>
      <c r="DT41" s="79">
        <f t="shared" si="122"/>
        <v>83654.559965820386</v>
      </c>
      <c r="DU41" s="79">
        <f t="shared" si="122"/>
        <v>83654.559965820386</v>
      </c>
      <c r="DV41" s="79">
        <f t="shared" si="122"/>
        <v>83654.559965820386</v>
      </c>
      <c r="DW41" s="79">
        <f t="shared" si="122"/>
        <v>83654.559965820386</v>
      </c>
      <c r="DX41" s="79">
        <f t="shared" si="122"/>
        <v>83654.559965820386</v>
      </c>
      <c r="DY41" s="79">
        <f t="shared" si="122"/>
        <v>83654.559965820386</v>
      </c>
      <c r="DZ41" s="79">
        <f t="shared" si="122"/>
        <v>83654.559965820386</v>
      </c>
      <c r="EA41" s="79">
        <f t="shared" si="122"/>
        <v>83654.559965820386</v>
      </c>
      <c r="EB41" s="79">
        <f t="shared" si="122"/>
        <v>83654.559965820386</v>
      </c>
      <c r="EC41" s="79">
        <f t="shared" si="122"/>
        <v>83654.559965820386</v>
      </c>
      <c r="EE41" s="79"/>
    </row>
    <row r="42" spans="2:135" x14ac:dyDescent="0.3"/>
    <row r="43" spans="2:135" ht="15" thickBot="1" x14ac:dyDescent="0.35"/>
    <row r="44" spans="2:135" x14ac:dyDescent="0.3">
      <c r="C44" s="247" t="s">
        <v>12</v>
      </c>
      <c r="D44" s="248"/>
      <c r="E44" s="248"/>
      <c r="F44" s="248"/>
      <c r="G44" s="249"/>
    </row>
    <row r="45" spans="2:135" ht="15" thickBot="1" x14ac:dyDescent="0.35">
      <c r="C45" s="179" t="s">
        <v>2</v>
      </c>
      <c r="D45" s="180" t="s">
        <v>8</v>
      </c>
      <c r="E45" s="180" t="s">
        <v>99</v>
      </c>
      <c r="F45" s="180" t="s">
        <v>101</v>
      </c>
      <c r="G45" s="181" t="s">
        <v>100</v>
      </c>
      <c r="I45" s="59"/>
    </row>
    <row r="46" spans="2:135" ht="15" thickBot="1" x14ac:dyDescent="0.35">
      <c r="C46" s="143" t="str">
        <f>Comps!B8</f>
        <v>1 Bed Studio</v>
      </c>
      <c r="D46" s="65">
        <f>COUNTIF($D$3:$D$40,C46)</f>
        <v>38</v>
      </c>
      <c r="E46" s="75">
        <f>IFERROR(SUMIF($C$46:$C$49,C46,Comps!$D$3:$D$6),0)</f>
        <v>1900</v>
      </c>
      <c r="F46" s="75">
        <f>E46*D46</f>
        <v>72200</v>
      </c>
      <c r="G46" s="66">
        <f>F46*12</f>
        <v>866400</v>
      </c>
    </row>
    <row r="47" spans="2:135" ht="15" thickBot="1" x14ac:dyDescent="0.35">
      <c r="C47" s="22" t="str">
        <f>Comps!B17</f>
        <v>1 Bed</v>
      </c>
      <c r="D47" s="67">
        <f t="shared" ref="D47:D49" si="123">COUNTIF($D$3:$D$40,C47)</f>
        <v>0</v>
      </c>
      <c r="E47" s="75">
        <f>IFERROR(SUMIF($C$46:$C$49,C47,Comps!$D$3:$D$6),0)</f>
        <v>0</v>
      </c>
      <c r="F47" s="75">
        <f t="shared" ref="F47:F49" si="124">E47*D47</f>
        <v>0</v>
      </c>
      <c r="G47" s="68">
        <f t="shared" ref="G47:G49" si="125">F47*12</f>
        <v>0</v>
      </c>
    </row>
    <row r="48" spans="2:135" ht="15" thickBot="1" x14ac:dyDescent="0.35">
      <c r="C48" s="22" t="str">
        <f>Comps!B23</f>
        <v>2 Bed</v>
      </c>
      <c r="D48" s="67">
        <f t="shared" si="123"/>
        <v>0</v>
      </c>
      <c r="E48" s="75">
        <f>IFERROR(SUMIF($C$46:$C$49,C48,Comps!$D$3:$D$6),0)</f>
        <v>0</v>
      </c>
      <c r="F48" s="75">
        <f t="shared" si="124"/>
        <v>0</v>
      </c>
      <c r="G48" s="68">
        <f t="shared" si="125"/>
        <v>0</v>
      </c>
    </row>
    <row r="49" spans="3:7" ht="15" thickBot="1" x14ac:dyDescent="0.35">
      <c r="C49" s="22" t="str">
        <f>Comps!B29</f>
        <v>3 Bed</v>
      </c>
      <c r="D49" s="67">
        <f t="shared" si="123"/>
        <v>0</v>
      </c>
      <c r="E49" s="75">
        <f>IFERROR(SUMIF($C$46:$C$49,C49,Comps!$D$3:$D$6),0)</f>
        <v>0</v>
      </c>
      <c r="F49" s="75">
        <f t="shared" si="124"/>
        <v>0</v>
      </c>
      <c r="G49" s="68">
        <f t="shared" si="125"/>
        <v>0</v>
      </c>
    </row>
    <row r="50" spans="3:7" ht="15" thickBot="1" x14ac:dyDescent="0.35">
      <c r="C50" s="22"/>
      <c r="D50" s="23"/>
      <c r="E50" s="21"/>
      <c r="F50" s="21"/>
      <c r="G50" s="24"/>
    </row>
    <row r="51" spans="3:7" ht="15" thickBot="1" x14ac:dyDescent="0.35">
      <c r="C51" s="4"/>
      <c r="D51" s="4"/>
      <c r="E51" s="4"/>
      <c r="F51" s="4"/>
    </row>
    <row r="52" spans="3:7" x14ac:dyDescent="0.3">
      <c r="C52" s="247" t="s">
        <v>13</v>
      </c>
      <c r="D52" s="248"/>
      <c r="E52" s="248"/>
      <c r="F52" s="248"/>
      <c r="G52" s="249"/>
    </row>
    <row r="53" spans="3:7" ht="15" thickBot="1" x14ac:dyDescent="0.35">
      <c r="C53" s="179" t="s">
        <v>2</v>
      </c>
      <c r="D53" s="180" t="s">
        <v>8</v>
      </c>
      <c r="E53" s="180" t="s">
        <v>98</v>
      </c>
      <c r="F53" s="180" t="str">
        <f>F45</f>
        <v>Total ERV PCM</v>
      </c>
      <c r="G53" s="181" t="str">
        <f>G45</f>
        <v>Total ERV PA</v>
      </c>
    </row>
    <row r="54" spans="3:7" ht="15" thickBot="1" x14ac:dyDescent="0.35">
      <c r="C54" s="143" t="str">
        <f>C46</f>
        <v>1 Bed Studio</v>
      </c>
      <c r="D54" s="65">
        <f t="shared" ref="D54:D57" si="126">D46</f>
        <v>38</v>
      </c>
      <c r="E54" s="76">
        <f>IFERROR(SUMIF($C$54:$C$57,C54,Comps!$E$3:$E$6),0)</f>
        <v>3.8</v>
      </c>
      <c r="F54" s="75">
        <f>E54*SUMIF(D3:D25,C54,E3:E25)</f>
        <v>39330</v>
      </c>
      <c r="G54" s="66">
        <f>F54*12</f>
        <v>471960</v>
      </c>
    </row>
    <row r="55" spans="3:7" ht="15" thickBot="1" x14ac:dyDescent="0.35">
      <c r="C55" s="22" t="str">
        <f t="shared" ref="C55:C57" si="127">C47</f>
        <v>1 Bed</v>
      </c>
      <c r="D55" s="67">
        <f t="shared" si="126"/>
        <v>0</v>
      </c>
      <c r="E55" s="75">
        <f>IFERROR(SUMIF($C$54:$C$57,C55,Comps!$E$3:$E$6),0)</f>
        <v>0</v>
      </c>
      <c r="F55" s="75">
        <f>E55*SUMIF(D4:D41,C55,E4:E41)</f>
        <v>0</v>
      </c>
      <c r="G55" s="68">
        <f t="shared" ref="G55:G57" si="128">F55*D55</f>
        <v>0</v>
      </c>
    </row>
    <row r="56" spans="3:7" ht="15" thickBot="1" x14ac:dyDescent="0.35">
      <c r="C56" s="22" t="str">
        <f t="shared" si="127"/>
        <v>2 Bed</v>
      </c>
      <c r="D56" s="67">
        <f t="shared" si="126"/>
        <v>0</v>
      </c>
      <c r="E56" s="75">
        <f>IFERROR(SUMIF($C$54:$C$57,C56,Comps!$E$3:$E$6),0)</f>
        <v>0</v>
      </c>
      <c r="F56" s="75">
        <f>E56*SUMIF(D5:D42,C56,E5:E42)</f>
        <v>0</v>
      </c>
      <c r="G56" s="68">
        <f t="shared" si="128"/>
        <v>0</v>
      </c>
    </row>
    <row r="57" spans="3:7" ht="15" thickBot="1" x14ac:dyDescent="0.35">
      <c r="C57" s="22" t="str">
        <f t="shared" si="127"/>
        <v>3 Bed</v>
      </c>
      <c r="D57" s="67">
        <f t="shared" si="126"/>
        <v>0</v>
      </c>
      <c r="E57" s="75">
        <f>IFERROR(SUMIF($C$54:$C$57,C57,Comps!$E$3:$E$6),0)</f>
        <v>0</v>
      </c>
      <c r="F57" s="75">
        <f>E57*SUMIF(D6:D43,C57,E6:E43)</f>
        <v>0</v>
      </c>
      <c r="G57" s="68">
        <f t="shared" si="128"/>
        <v>0</v>
      </c>
    </row>
    <row r="58" spans="3:7" ht="15" thickBot="1" x14ac:dyDescent="0.35">
      <c r="C58" s="22"/>
      <c r="D58" s="23"/>
      <c r="E58" s="21"/>
      <c r="F58" s="21"/>
      <c r="G58" s="24"/>
    </row>
    <row r="59" spans="3:7" ht="15" thickBot="1" x14ac:dyDescent="0.35"/>
    <row r="60" spans="3:7" x14ac:dyDescent="0.3">
      <c r="C60" s="247" t="s">
        <v>14</v>
      </c>
      <c r="D60" s="248"/>
      <c r="E60" s="248"/>
      <c r="F60" s="248"/>
      <c r="G60" s="249"/>
    </row>
    <row r="61" spans="3:7" ht="15" thickBot="1" x14ac:dyDescent="0.35">
      <c r="C61" s="179" t="s">
        <v>2</v>
      </c>
      <c r="D61" s="180" t="str">
        <f>D45</f>
        <v>No Units</v>
      </c>
      <c r="E61" s="180" t="str">
        <f t="shared" ref="E61:G61" si="129">E45</f>
        <v xml:space="preserve">ERV PCM Per Unit </v>
      </c>
      <c r="F61" s="180" t="str">
        <f t="shared" si="129"/>
        <v>Total ERV PCM</v>
      </c>
      <c r="G61" s="181" t="str">
        <f t="shared" si="129"/>
        <v>Total ERV PA</v>
      </c>
    </row>
    <row r="62" spans="3:7" ht="15" thickBot="1" x14ac:dyDescent="0.35">
      <c r="C62" s="143" t="str">
        <f>C54</f>
        <v>1 Bed Studio</v>
      </c>
      <c r="D62" s="65">
        <f t="shared" ref="D62:D65" si="130">D54</f>
        <v>38</v>
      </c>
      <c r="E62" s="75">
        <f>IFERROR(AVERAGEIF($D$3:$D$25,C62,$K$3:$K$25),0)</f>
        <v>1900</v>
      </c>
      <c r="F62" s="75">
        <f>E62*D62</f>
        <v>72200</v>
      </c>
      <c r="G62" s="66">
        <f>F62*12</f>
        <v>866400</v>
      </c>
    </row>
    <row r="63" spans="3:7" ht="15" thickBot="1" x14ac:dyDescent="0.35">
      <c r="C63" s="22" t="str">
        <f t="shared" ref="C63:C65" si="131">C55</f>
        <v>1 Bed</v>
      </c>
      <c r="D63" s="67">
        <f t="shared" si="130"/>
        <v>0</v>
      </c>
      <c r="E63" s="75">
        <f>IFERROR(AVERAGEIF($D$3:$D$25,C63,$K$3:$K$25),0)</f>
        <v>0</v>
      </c>
      <c r="F63" s="75">
        <f t="shared" ref="F63:F65" si="132">E63*D63</f>
        <v>0</v>
      </c>
      <c r="G63" s="68">
        <f t="shared" ref="G63:G65" si="133">F63*12</f>
        <v>0</v>
      </c>
    </row>
    <row r="64" spans="3:7" ht="15" thickBot="1" x14ac:dyDescent="0.35">
      <c r="C64" s="22" t="str">
        <f t="shared" si="131"/>
        <v>2 Bed</v>
      </c>
      <c r="D64" s="67">
        <f t="shared" si="130"/>
        <v>0</v>
      </c>
      <c r="E64" s="75">
        <f>IFERROR(AVERAGEIF($D$3:$D$25,C64,$K$3:$K$25),0)</f>
        <v>0</v>
      </c>
      <c r="F64" s="75">
        <f t="shared" si="132"/>
        <v>0</v>
      </c>
      <c r="G64" s="68">
        <f t="shared" si="133"/>
        <v>0</v>
      </c>
    </row>
    <row r="65" spans="3:7" ht="15" thickBot="1" x14ac:dyDescent="0.35">
      <c r="C65" s="22" t="str">
        <f t="shared" si="131"/>
        <v>3 Bed</v>
      </c>
      <c r="D65" s="67">
        <f t="shared" si="130"/>
        <v>0</v>
      </c>
      <c r="E65" s="75">
        <f>IFERROR(AVERAGEIF($D$3:$D$25,C65,$K$3:$K$25),0)</f>
        <v>0</v>
      </c>
      <c r="F65" s="75">
        <f t="shared" si="132"/>
        <v>0</v>
      </c>
      <c r="G65" s="68">
        <f t="shared" si="133"/>
        <v>0</v>
      </c>
    </row>
    <row r="66" spans="3:7" ht="15" thickBot="1" x14ac:dyDescent="0.35">
      <c r="C66" s="22"/>
      <c r="D66" s="23"/>
      <c r="E66" s="21"/>
      <c r="F66" s="21"/>
      <c r="G66" s="24"/>
    </row>
    <row r="67" spans="3:7" x14ac:dyDescent="0.3"/>
  </sheetData>
  <mergeCells count="4">
    <mergeCell ref="G2:H2"/>
    <mergeCell ref="C44:G44"/>
    <mergeCell ref="C52:G52"/>
    <mergeCell ref="C60:G6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462C4-C84C-42E2-98FB-A28531B77CB3}">
  <dimension ref="A1:N32"/>
  <sheetViews>
    <sheetView showGridLines="0" zoomScale="90" zoomScaleNormal="90" workbookViewId="0"/>
  </sheetViews>
  <sheetFormatPr defaultColWidth="0" defaultRowHeight="14.4" x14ac:dyDescent="0.3"/>
  <cols>
    <col min="1" max="1" width="1.5546875" customWidth="1"/>
    <col min="2" max="2" width="13.6640625" style="15" customWidth="1"/>
    <col min="3" max="3" width="17.44140625" style="15" bestFit="1" customWidth="1"/>
    <col min="4" max="4" width="27" style="15" bestFit="1" customWidth="1"/>
    <col min="5" max="5" width="12.21875" style="15" bestFit="1" customWidth="1"/>
    <col min="6" max="6" width="16.21875" style="15" customWidth="1"/>
    <col min="7" max="7" width="13.5546875" style="145" customWidth="1"/>
    <col min="8" max="8" width="10.33203125" style="145" customWidth="1"/>
    <col min="9" max="9" width="3.109375" customWidth="1"/>
    <col min="10" max="10" width="8.88671875" hidden="1" customWidth="1"/>
    <col min="11" max="11" width="24.6640625" hidden="1" customWidth="1"/>
    <col min="12" max="12" width="27.5546875" hidden="1" customWidth="1"/>
    <col min="13" max="13" width="24.6640625" hidden="1" customWidth="1"/>
    <col min="14" max="14" width="2.109375" hidden="1" customWidth="1"/>
    <col min="15" max="16384" width="8.88671875" hidden="1"/>
  </cols>
  <sheetData>
    <row r="1" spans="2:8" ht="12.6" customHeight="1" thickBot="1" x14ac:dyDescent="0.35">
      <c r="B1"/>
      <c r="C1"/>
      <c r="D1"/>
      <c r="E1"/>
      <c r="F1"/>
      <c r="G1"/>
      <c r="H1"/>
    </row>
    <row r="2" spans="2:8" ht="28.8" x14ac:dyDescent="0.3">
      <c r="B2"/>
      <c r="C2" s="165" t="s">
        <v>44</v>
      </c>
      <c r="D2" s="166" t="s">
        <v>45</v>
      </c>
      <c r="E2" s="167" t="s">
        <v>46</v>
      </c>
      <c r="F2"/>
      <c r="G2"/>
      <c r="H2"/>
    </row>
    <row r="3" spans="2:8" x14ac:dyDescent="0.3">
      <c r="B3"/>
      <c r="C3" s="72" t="str">
        <f>B8</f>
        <v>1 Bed Studio</v>
      </c>
      <c r="D3" s="69">
        <f>IFERROR(AVERAGE(F9:F16),0)</f>
        <v>1900</v>
      </c>
      <c r="E3" s="70">
        <f>IFERROR(AVERAGE(G9:G16),0)</f>
        <v>3.8</v>
      </c>
      <c r="F3"/>
      <c r="G3"/>
      <c r="H3"/>
    </row>
    <row r="4" spans="2:8" x14ac:dyDescent="0.3">
      <c r="B4"/>
      <c r="C4" s="72" t="str">
        <f>B17</f>
        <v>1 Bed</v>
      </c>
      <c r="D4" s="69">
        <f>IFERROR(AVERAGE(F18:F22),0)</f>
        <v>0</v>
      </c>
      <c r="E4" s="70">
        <f>IFERROR(AVERAGE(G18:G22),0)</f>
        <v>0</v>
      </c>
      <c r="F4"/>
      <c r="G4"/>
      <c r="H4"/>
    </row>
    <row r="5" spans="2:8" x14ac:dyDescent="0.3">
      <c r="B5"/>
      <c r="C5" s="72" t="str">
        <f>B23</f>
        <v>2 Bed</v>
      </c>
      <c r="D5" s="69">
        <f>IFERROR(AVERAGE(F24:F28),0)</f>
        <v>0</v>
      </c>
      <c r="E5" s="70">
        <f>IFERROR(AVERAGE(G24:G28),0)</f>
        <v>0</v>
      </c>
      <c r="F5"/>
      <c r="G5"/>
      <c r="H5"/>
    </row>
    <row r="6" spans="2:8" ht="15" thickBot="1" x14ac:dyDescent="0.35">
      <c r="B6"/>
      <c r="C6" s="73" t="str">
        <f>B29</f>
        <v>3 Bed</v>
      </c>
      <c r="D6" s="74">
        <f>IFERROR(AVERAGE(F30:F1071),0)</f>
        <v>0</v>
      </c>
      <c r="E6" s="71">
        <f>IFERROR(AVERAGE(G30:G1071),0)</f>
        <v>0</v>
      </c>
      <c r="F6"/>
      <c r="G6"/>
      <c r="H6"/>
    </row>
    <row r="7" spans="2:8" x14ac:dyDescent="0.3">
      <c r="B7"/>
      <c r="C7"/>
      <c r="D7"/>
      <c r="E7"/>
      <c r="F7"/>
      <c r="G7"/>
      <c r="H7"/>
    </row>
    <row r="8" spans="2:8" x14ac:dyDescent="0.3">
      <c r="B8" s="168" t="s">
        <v>10</v>
      </c>
      <c r="C8" s="169" t="s">
        <v>27</v>
      </c>
      <c r="D8" s="170" t="s">
        <v>39</v>
      </c>
      <c r="E8" s="169" t="s">
        <v>40</v>
      </c>
      <c r="F8" s="170" t="s">
        <v>41</v>
      </c>
      <c r="G8" s="170" t="s">
        <v>42</v>
      </c>
      <c r="H8" s="171" t="s">
        <v>43</v>
      </c>
    </row>
    <row r="9" spans="2:8" x14ac:dyDescent="0.3">
      <c r="C9" s="149"/>
      <c r="D9" s="150"/>
      <c r="E9" s="17">
        <v>500</v>
      </c>
      <c r="F9" s="153">
        <v>1900</v>
      </c>
      <c r="G9" s="146">
        <f>F9/E9</f>
        <v>3.8</v>
      </c>
      <c r="H9" s="147"/>
    </row>
    <row r="10" spans="2:8" x14ac:dyDescent="0.3">
      <c r="C10" s="149"/>
      <c r="D10" s="150"/>
      <c r="E10" s="17">
        <v>500</v>
      </c>
      <c r="F10" s="153">
        <v>1900</v>
      </c>
      <c r="G10" s="146">
        <f t="shared" ref="G10" si="0">F10/E10</f>
        <v>3.8</v>
      </c>
      <c r="H10" s="148"/>
    </row>
    <row r="11" spans="2:8" x14ac:dyDescent="0.3">
      <c r="C11" s="149"/>
      <c r="D11" s="150"/>
      <c r="E11" s="17"/>
      <c r="F11" s="153"/>
      <c r="G11" s="146"/>
      <c r="H11" s="148"/>
    </row>
    <row r="12" spans="2:8" x14ac:dyDescent="0.3">
      <c r="C12" s="149"/>
      <c r="D12" s="150"/>
      <c r="E12" s="17"/>
      <c r="F12" s="153"/>
      <c r="G12" s="146"/>
      <c r="H12" s="148"/>
    </row>
    <row r="13" spans="2:8" x14ac:dyDescent="0.3">
      <c r="C13" s="149"/>
      <c r="D13" s="150"/>
      <c r="E13" s="17"/>
      <c r="F13" s="153"/>
      <c r="G13" s="146"/>
      <c r="H13" s="148"/>
    </row>
    <row r="14" spans="2:8" x14ac:dyDescent="0.3">
      <c r="C14" s="149"/>
      <c r="D14" s="150"/>
      <c r="E14" s="17"/>
      <c r="F14" s="153"/>
      <c r="G14" s="146"/>
      <c r="H14" s="148"/>
    </row>
    <row r="15" spans="2:8" x14ac:dyDescent="0.3">
      <c r="C15" s="149"/>
      <c r="D15" s="150"/>
      <c r="E15" s="17"/>
      <c r="F15" s="153"/>
      <c r="G15" s="146"/>
      <c r="H15" s="148"/>
    </row>
    <row r="16" spans="2:8" x14ac:dyDescent="0.3">
      <c r="C16" s="149"/>
      <c r="D16" s="150"/>
      <c r="E16" s="17"/>
      <c r="F16" s="154"/>
      <c r="G16" s="146"/>
      <c r="H16" s="148"/>
    </row>
    <row r="17" spans="2:8" s="144" customFormat="1" x14ac:dyDescent="0.3">
      <c r="B17" s="172" t="s">
        <v>62</v>
      </c>
      <c r="C17" s="173" t="s">
        <v>27</v>
      </c>
      <c r="D17" s="174" t="s">
        <v>39</v>
      </c>
      <c r="E17" s="173" t="s">
        <v>40</v>
      </c>
      <c r="F17" s="174" t="s">
        <v>41</v>
      </c>
      <c r="G17" s="174" t="s">
        <v>42</v>
      </c>
      <c r="H17" s="175" t="s">
        <v>43</v>
      </c>
    </row>
    <row r="18" spans="2:8" x14ac:dyDescent="0.3">
      <c r="C18" s="149"/>
      <c r="D18" s="151"/>
      <c r="E18" s="152"/>
      <c r="F18" s="155"/>
      <c r="G18" s="146"/>
      <c r="H18" s="148"/>
    </row>
    <row r="19" spans="2:8" x14ac:dyDescent="0.3">
      <c r="C19" s="149"/>
      <c r="D19" s="150"/>
      <c r="E19" s="152"/>
      <c r="F19" s="155"/>
      <c r="G19" s="146"/>
      <c r="H19" s="148"/>
    </row>
    <row r="20" spans="2:8" x14ac:dyDescent="0.3">
      <c r="C20" s="149"/>
      <c r="D20" s="150"/>
      <c r="E20" s="152"/>
      <c r="F20" s="155"/>
      <c r="G20" s="146"/>
      <c r="H20" s="148"/>
    </row>
    <row r="21" spans="2:8" x14ac:dyDescent="0.3">
      <c r="C21" s="149"/>
      <c r="D21" s="150"/>
      <c r="E21" s="152"/>
      <c r="F21" s="155"/>
      <c r="G21" s="146"/>
      <c r="H21" s="148"/>
    </row>
    <row r="22" spans="2:8" x14ac:dyDescent="0.3">
      <c r="C22" s="149"/>
      <c r="D22" s="150"/>
      <c r="E22" s="152"/>
      <c r="F22" s="153"/>
      <c r="G22" s="146"/>
      <c r="H22" s="148"/>
    </row>
    <row r="23" spans="2:8" x14ac:dyDescent="0.3">
      <c r="B23" s="172" t="s">
        <v>63</v>
      </c>
      <c r="C23" s="173" t="s">
        <v>27</v>
      </c>
      <c r="D23" s="174" t="s">
        <v>39</v>
      </c>
      <c r="E23" s="173" t="s">
        <v>40</v>
      </c>
      <c r="F23" s="174" t="s">
        <v>41</v>
      </c>
      <c r="G23" s="174" t="s">
        <v>42</v>
      </c>
      <c r="H23" s="175" t="s">
        <v>43</v>
      </c>
    </row>
    <row r="24" spans="2:8" x14ac:dyDescent="0.3">
      <c r="C24" s="149"/>
      <c r="D24" s="150"/>
      <c r="E24" s="152"/>
      <c r="F24" s="153"/>
      <c r="G24" s="146"/>
      <c r="H24" s="148"/>
    </row>
    <row r="25" spans="2:8" x14ac:dyDescent="0.3">
      <c r="C25" s="149"/>
      <c r="D25" s="150"/>
      <c r="E25" s="152"/>
      <c r="F25" s="153"/>
      <c r="G25" s="146"/>
      <c r="H25" s="148"/>
    </row>
    <row r="26" spans="2:8" x14ac:dyDescent="0.3">
      <c r="C26" s="149"/>
      <c r="D26" s="150"/>
      <c r="E26" s="152"/>
      <c r="F26" s="153"/>
      <c r="G26" s="146"/>
      <c r="H26" s="148"/>
    </row>
    <row r="27" spans="2:8" x14ac:dyDescent="0.3">
      <c r="C27" s="149"/>
      <c r="D27" s="150"/>
      <c r="E27" s="152"/>
      <c r="F27" s="153"/>
      <c r="G27" s="146"/>
      <c r="H27" s="148"/>
    </row>
    <row r="28" spans="2:8" x14ac:dyDescent="0.3">
      <c r="C28" s="149"/>
      <c r="D28" s="150"/>
      <c r="E28" s="152"/>
      <c r="F28" s="153"/>
      <c r="G28" s="146"/>
      <c r="H28" s="148"/>
    </row>
    <row r="29" spans="2:8" x14ac:dyDescent="0.3">
      <c r="B29" s="172" t="s">
        <v>64</v>
      </c>
      <c r="C29" s="173" t="s">
        <v>27</v>
      </c>
      <c r="D29" s="174" t="s">
        <v>39</v>
      </c>
      <c r="E29" s="173" t="s">
        <v>40</v>
      </c>
      <c r="F29" s="174" t="s">
        <v>41</v>
      </c>
      <c r="G29" s="174" t="s">
        <v>42</v>
      </c>
      <c r="H29" s="175" t="s">
        <v>43</v>
      </c>
    </row>
    <row r="30" spans="2:8" x14ac:dyDescent="0.3">
      <c r="C30" s="149"/>
      <c r="D30" s="150"/>
      <c r="E30" s="16"/>
      <c r="F30" s="153"/>
      <c r="G30" s="146"/>
      <c r="H30" s="148"/>
    </row>
    <row r="31" spans="2:8" x14ac:dyDescent="0.3">
      <c r="C31" s="149"/>
      <c r="D31" s="150"/>
      <c r="E31" s="16"/>
      <c r="F31" s="153"/>
      <c r="G31" s="146"/>
      <c r="H31" s="148"/>
    </row>
    <row r="32" spans="2:8" x14ac:dyDescent="0.3">
      <c r="C32" s="149"/>
      <c r="D32" s="150"/>
      <c r="E32" s="16"/>
      <c r="F32" s="153"/>
      <c r="G32" s="146"/>
      <c r="H32" s="14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0A2DB-F807-4BAE-8F5C-44954A324167}">
  <dimension ref="A1:DS101"/>
  <sheetViews>
    <sheetView showGridLines="0" workbookViewId="0"/>
  </sheetViews>
  <sheetFormatPr defaultColWidth="0" defaultRowHeight="14.4" zeroHeight="1" x14ac:dyDescent="0.3"/>
  <cols>
    <col min="1" max="1" width="1.77734375" customWidth="1"/>
    <col min="2" max="2" width="38.77734375" bestFit="1" customWidth="1"/>
    <col min="3" max="3" width="19.109375" customWidth="1"/>
    <col min="4" max="4" width="16.33203125" bestFit="1" customWidth="1"/>
    <col min="5" max="5" width="29.6640625" customWidth="1"/>
    <col min="6" max="6" width="9.5546875" bestFit="1" customWidth="1"/>
    <col min="7" max="7" width="8.88671875" customWidth="1"/>
    <col min="8" max="8" width="6.6640625" bestFit="1" customWidth="1"/>
    <col min="9" max="11" width="8.88671875" customWidth="1"/>
    <col min="12" max="12" width="9.33203125" bestFit="1" customWidth="1"/>
    <col min="13" max="13" width="10.33203125" bestFit="1" customWidth="1"/>
    <col min="14" max="122" width="8.88671875" customWidth="1"/>
    <col min="123" max="123" width="2.109375" customWidth="1"/>
  </cols>
  <sheetData>
    <row r="1" spans="2:8" ht="15" thickBot="1" x14ac:dyDescent="0.35"/>
    <row r="2" spans="2:8" x14ac:dyDescent="0.3">
      <c r="B2" s="156" t="s">
        <v>16</v>
      </c>
      <c r="C2" s="157"/>
    </row>
    <row r="3" spans="2:8" x14ac:dyDescent="0.3">
      <c r="B3" s="1" t="s">
        <v>7</v>
      </c>
      <c r="C3" s="10" t="s">
        <v>23</v>
      </c>
      <c r="E3" s="122"/>
    </row>
    <row r="4" spans="2:8" x14ac:dyDescent="0.3">
      <c r="B4" s="1" t="s">
        <v>27</v>
      </c>
      <c r="C4" s="10" t="s">
        <v>208</v>
      </c>
    </row>
    <row r="5" spans="2:8" x14ac:dyDescent="0.3">
      <c r="B5" s="1" t="s">
        <v>97</v>
      </c>
      <c r="C5" s="97">
        <v>44561</v>
      </c>
    </row>
    <row r="6" spans="2:8" x14ac:dyDescent="0.3">
      <c r="B6" s="1" t="s">
        <v>126</v>
      </c>
      <c r="C6" s="121">
        <f>EOMONTH(C5,C7*12)</f>
        <v>46387</v>
      </c>
    </row>
    <row r="7" spans="2:8" x14ac:dyDescent="0.3">
      <c r="B7" s="1" t="s">
        <v>32</v>
      </c>
      <c r="C7" s="10">
        <v>5</v>
      </c>
      <c r="E7" s="122"/>
    </row>
    <row r="8" spans="2:8" x14ac:dyDescent="0.3">
      <c r="B8" s="1" t="s">
        <v>5</v>
      </c>
      <c r="C8" s="11">
        <f>'Unit List &amp; Rent Roll'!E41</f>
        <v>17100</v>
      </c>
      <c r="E8" s="122"/>
    </row>
    <row r="9" spans="2:8" x14ac:dyDescent="0.3">
      <c r="B9" s="1" t="s">
        <v>11</v>
      </c>
      <c r="C9" s="5">
        <f>'Unit List &amp; Rent Roll'!F41</f>
        <v>1588.6435214002361</v>
      </c>
    </row>
    <row r="10" spans="2:8" x14ac:dyDescent="0.3">
      <c r="B10" s="1" t="s">
        <v>8</v>
      </c>
      <c r="C10" s="5">
        <f>'Unit List &amp; Rent Roll'!C41</f>
        <v>38</v>
      </c>
      <c r="E10" s="122"/>
    </row>
    <row r="11" spans="2:8" ht="15" thickBot="1" x14ac:dyDescent="0.35">
      <c r="B11" s="3" t="s">
        <v>9</v>
      </c>
      <c r="C11" s="6">
        <f>'Unit List &amp; Rent Roll'!H41</f>
        <v>38</v>
      </c>
      <c r="E11" s="122"/>
    </row>
    <row r="12" spans="2:8" ht="15" thickBot="1" x14ac:dyDescent="0.35">
      <c r="B12" s="4"/>
      <c r="C12" s="204"/>
      <c r="E12" s="122"/>
    </row>
    <row r="13" spans="2:8" x14ac:dyDescent="0.3">
      <c r="B13" s="156" t="s">
        <v>25</v>
      </c>
      <c r="C13" s="157"/>
    </row>
    <row r="14" spans="2:8" x14ac:dyDescent="0.3">
      <c r="B14" s="1" t="s">
        <v>24</v>
      </c>
      <c r="C14" s="38">
        <v>15250000</v>
      </c>
      <c r="D14" s="252">
        <f>(('Annual Cashflow'!D15*'Input Assumptions'!C46)+'Annual Cashflow'!D29)/C14</f>
        <v>4.1595967213114753E-2</v>
      </c>
      <c r="E14" s="253"/>
      <c r="F14" s="253"/>
      <c r="G14" s="253"/>
      <c r="H14" s="253"/>
    </row>
    <row r="15" spans="2:8" x14ac:dyDescent="0.3">
      <c r="B15" s="1" t="s">
        <v>26</v>
      </c>
      <c r="C15" s="117">
        <v>3.7999999999999999E-2</v>
      </c>
      <c r="D15" s="250">
        <f>D14-C15</f>
        <v>3.5959672131147535E-3</v>
      </c>
      <c r="E15" s="251"/>
    </row>
    <row r="16" spans="2:8" x14ac:dyDescent="0.3">
      <c r="B16" s="1" t="s">
        <v>132</v>
      </c>
      <c r="C16" s="117">
        <v>6.8000000000000005E-2</v>
      </c>
    </row>
    <row r="17" spans="2:13" ht="15" thickBot="1" x14ac:dyDescent="0.35">
      <c r="B17" s="13" t="s">
        <v>121</v>
      </c>
      <c r="C17" s="116">
        <v>6.8000000000000005E-2</v>
      </c>
    </row>
    <row r="18" spans="2:13" ht="15" thickBot="1" x14ac:dyDescent="0.35"/>
    <row r="19" spans="2:13" x14ac:dyDescent="0.3">
      <c r="B19" s="156" t="s">
        <v>15</v>
      </c>
      <c r="C19" s="157"/>
    </row>
    <row r="20" spans="2:13" x14ac:dyDescent="0.3">
      <c r="B20" s="1" t="s">
        <v>17</v>
      </c>
      <c r="C20" s="9">
        <v>1</v>
      </c>
    </row>
    <row r="21" spans="2:13" x14ac:dyDescent="0.3">
      <c r="B21" s="1" t="s">
        <v>18</v>
      </c>
      <c r="C21" s="7">
        <f>1-C20</f>
        <v>0</v>
      </c>
    </row>
    <row r="22" spans="2:13" x14ac:dyDescent="0.3">
      <c r="B22" s="1" t="s">
        <v>19</v>
      </c>
      <c r="C22" s="7">
        <f>SUM(C20:C21)</f>
        <v>1</v>
      </c>
    </row>
    <row r="23" spans="2:13" x14ac:dyDescent="0.3">
      <c r="B23" s="1"/>
      <c r="C23" s="2"/>
    </row>
    <row r="24" spans="2:13" x14ac:dyDescent="0.3">
      <c r="B24" s="1" t="s">
        <v>20</v>
      </c>
      <c r="C24" s="9">
        <v>1</v>
      </c>
    </row>
    <row r="25" spans="2:13" x14ac:dyDescent="0.3">
      <c r="B25" s="1" t="s">
        <v>21</v>
      </c>
      <c r="C25" s="9">
        <v>0</v>
      </c>
    </row>
    <row r="26" spans="2:13" x14ac:dyDescent="0.3">
      <c r="B26" s="1" t="s">
        <v>22</v>
      </c>
      <c r="C26" s="9">
        <v>0</v>
      </c>
    </row>
    <row r="27" spans="2:13" ht="15" thickBot="1" x14ac:dyDescent="0.35">
      <c r="B27" s="3" t="s">
        <v>19</v>
      </c>
      <c r="C27" s="8">
        <f>SUM(C24:C26)</f>
        <v>1</v>
      </c>
    </row>
    <row r="28" spans="2:13" ht="15" thickBot="1" x14ac:dyDescent="0.35"/>
    <row r="29" spans="2:13" x14ac:dyDescent="0.3">
      <c r="B29" s="156" t="s">
        <v>28</v>
      </c>
      <c r="C29" s="158"/>
      <c r="D29" s="158"/>
      <c r="E29" s="158"/>
      <c r="F29" s="158"/>
      <c r="G29" s="158"/>
      <c r="H29" s="158"/>
      <c r="I29" s="158"/>
      <c r="J29" s="158"/>
      <c r="K29" s="158"/>
      <c r="L29" s="157"/>
      <c r="M29" s="4"/>
    </row>
    <row r="30" spans="2:13" x14ac:dyDescent="0.3">
      <c r="B30" s="1" t="s">
        <v>84</v>
      </c>
      <c r="C30" s="27">
        <v>0.04</v>
      </c>
      <c r="D30" s="4"/>
      <c r="E30" s="4"/>
      <c r="F30" s="4"/>
      <c r="G30" s="4"/>
      <c r="H30" s="4"/>
      <c r="I30" s="4"/>
      <c r="J30" s="4"/>
      <c r="K30" s="4"/>
      <c r="L30" s="2"/>
      <c r="M30" s="4"/>
    </row>
    <row r="31" spans="2:13" x14ac:dyDescent="0.3">
      <c r="B31" s="1" t="s">
        <v>83</v>
      </c>
      <c r="C31" s="27">
        <v>2.5000000000000001E-3</v>
      </c>
      <c r="D31" s="4"/>
      <c r="E31" s="4"/>
      <c r="F31" s="4"/>
      <c r="G31" s="4"/>
      <c r="H31" s="4"/>
      <c r="I31" s="4"/>
      <c r="J31" s="4"/>
      <c r="K31" s="4"/>
      <c r="L31" s="2"/>
      <c r="M31" s="4"/>
    </row>
    <row r="32" spans="2:13" x14ac:dyDescent="0.3">
      <c r="B32" s="1" t="s">
        <v>82</v>
      </c>
      <c r="C32" s="28">
        <f>C30-C31</f>
        <v>3.7499999999999999E-2</v>
      </c>
      <c r="D32" s="4"/>
      <c r="E32" s="4"/>
      <c r="F32" s="4"/>
      <c r="G32" s="4"/>
      <c r="H32" s="4"/>
      <c r="I32" s="4"/>
      <c r="J32" s="4"/>
      <c r="K32" s="4"/>
      <c r="L32" s="2"/>
      <c r="M32" s="4"/>
    </row>
    <row r="33" spans="1:123" x14ac:dyDescent="0.3">
      <c r="B33" s="1"/>
      <c r="C33" s="28"/>
      <c r="D33" s="4"/>
      <c r="E33" s="4"/>
      <c r="F33" s="4"/>
      <c r="G33" s="4"/>
      <c r="H33" s="4"/>
      <c r="I33" s="4"/>
      <c r="J33" s="4"/>
      <c r="K33" s="4"/>
      <c r="L33" s="2"/>
    </row>
    <row r="34" spans="1:123" x14ac:dyDescent="0.3">
      <c r="B34" s="12" t="s">
        <v>31</v>
      </c>
      <c r="C34" s="29">
        <v>1</v>
      </c>
      <c r="D34" s="29">
        <f>(IF(C34=($C$7),0,IF(C34=0,0,(C34+1))))</f>
        <v>2</v>
      </c>
      <c r="E34" s="29">
        <f t="shared" ref="E34:L34" si="0">(IF(D34=($C$7),0,IF(D34=0,0,(D34+1))))</f>
        <v>3</v>
      </c>
      <c r="F34" s="29">
        <f t="shared" si="0"/>
        <v>4</v>
      </c>
      <c r="G34" s="29">
        <f t="shared" si="0"/>
        <v>5</v>
      </c>
      <c r="H34" s="29">
        <f t="shared" si="0"/>
        <v>0</v>
      </c>
      <c r="I34" s="29">
        <f t="shared" si="0"/>
        <v>0</v>
      </c>
      <c r="J34" s="29">
        <f t="shared" si="0"/>
        <v>0</v>
      </c>
      <c r="K34" s="29">
        <f t="shared" si="0"/>
        <v>0</v>
      </c>
      <c r="L34" s="30">
        <f t="shared" si="0"/>
        <v>0</v>
      </c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</row>
    <row r="35" spans="1:123" x14ac:dyDescent="0.3">
      <c r="B35" s="12" t="s">
        <v>36</v>
      </c>
      <c r="C35" s="80">
        <v>0</v>
      </c>
      <c r="D35" s="80">
        <f t="shared" ref="D35:L35" si="1">$C$32</f>
        <v>3.7499999999999999E-2</v>
      </c>
      <c r="E35" s="80">
        <f t="shared" si="1"/>
        <v>3.7499999999999999E-2</v>
      </c>
      <c r="F35" s="80">
        <f t="shared" si="1"/>
        <v>3.7499999999999999E-2</v>
      </c>
      <c r="G35" s="80">
        <f t="shared" si="1"/>
        <v>3.7499999999999999E-2</v>
      </c>
      <c r="H35" s="80">
        <f t="shared" si="1"/>
        <v>3.7499999999999999E-2</v>
      </c>
      <c r="I35" s="80">
        <f t="shared" si="1"/>
        <v>3.7499999999999999E-2</v>
      </c>
      <c r="J35" s="80">
        <f t="shared" si="1"/>
        <v>3.7499999999999999E-2</v>
      </c>
      <c r="K35" s="80">
        <f t="shared" si="1"/>
        <v>3.7499999999999999E-2</v>
      </c>
      <c r="L35" s="81">
        <f t="shared" si="1"/>
        <v>3.7499999999999999E-2</v>
      </c>
      <c r="P35" s="77"/>
    </row>
    <row r="36" spans="1:123" x14ac:dyDescent="0.3">
      <c r="B36" s="12" t="s">
        <v>37</v>
      </c>
      <c r="C36" s="82">
        <f>(1+C35)</f>
        <v>1</v>
      </c>
      <c r="D36" s="82">
        <f>(1+C35)*(1+D35)</f>
        <v>1.0375000000000001</v>
      </c>
      <c r="E36" s="82">
        <f>(1+C35)*(1+D35)*(1+E35)</f>
        <v>1.0764062500000002</v>
      </c>
      <c r="F36" s="82">
        <f>(1+C35)*(1+D35)*(1+E35)*(1+F35)</f>
        <v>1.1167714843750003</v>
      </c>
      <c r="G36" s="82">
        <f>(1+C35)*(1+D35)*(1+E35)*(1+F35)*(1+G35)</f>
        <v>1.1586504150390629</v>
      </c>
      <c r="H36" s="82">
        <f>(1+C35)*(1+D35)*(1+E35)*(1+F35)*(1+G35)*(1+H35)</f>
        <v>1.2020998056030279</v>
      </c>
      <c r="I36" s="82">
        <f>(1+C35)*(1+D35)*(1+E35)*(1+F35)*(1+G35)*(1+H35)*(1+I35)</f>
        <v>1.2471785483131415</v>
      </c>
      <c r="J36" s="82">
        <f>(1+C35)*(1+D35)*(1+E35)*(1+F35)*(1+G35)*(1+H35)*(1+I35)*(1+J35)</f>
        <v>1.2939477438748843</v>
      </c>
      <c r="K36" s="82">
        <f>(1+C35)*(1+D35)*(1+E35)*(1+F35)*(1+G35)*(1+H35)*(1+I35)*(1+J35)*(1+K35)</f>
        <v>1.3424707842701926</v>
      </c>
      <c r="L36" s="83">
        <f>(1+C35)*(1+D35)*(1+E35)*(1+F35)*(1+G35)*(1+H35)*(1+I35)*(1+J35)*(1+K35)*(1+L35)</f>
        <v>1.392813438680325</v>
      </c>
    </row>
    <row r="37" spans="1:123" x14ac:dyDescent="0.3">
      <c r="B37" s="12"/>
      <c r="C37" s="28"/>
      <c r="D37" s="4"/>
      <c r="E37" s="4"/>
      <c r="F37" s="4"/>
      <c r="G37" s="4"/>
      <c r="H37" s="4"/>
      <c r="I37" s="4"/>
      <c r="J37" s="4"/>
      <c r="K37" s="4"/>
      <c r="L37" s="2"/>
    </row>
    <row r="38" spans="1:123" x14ac:dyDescent="0.3">
      <c r="B38" s="159" t="s">
        <v>29</v>
      </c>
      <c r="C38" s="160"/>
      <c r="D38" s="160"/>
      <c r="E38" s="160"/>
      <c r="F38" s="160"/>
      <c r="G38" s="160"/>
      <c r="H38" s="160"/>
      <c r="I38" s="160"/>
      <c r="J38" s="160"/>
      <c r="K38" s="160"/>
      <c r="L38" s="161"/>
    </row>
    <row r="39" spans="1:123" x14ac:dyDescent="0.3">
      <c r="B39" s="1" t="s">
        <v>81</v>
      </c>
      <c r="C39" s="27">
        <f>C32*0.5</f>
        <v>1.8749999999999999E-2</v>
      </c>
      <c r="D39" s="4"/>
      <c r="E39" s="4"/>
      <c r="F39" s="4"/>
      <c r="G39" s="4"/>
      <c r="H39" s="4"/>
      <c r="I39" s="4"/>
      <c r="J39" s="4"/>
      <c r="K39" s="4"/>
      <c r="L39" s="2"/>
    </row>
    <row r="40" spans="1:123" x14ac:dyDescent="0.3">
      <c r="B40" s="1"/>
      <c r="C40" s="203"/>
      <c r="D40" s="4"/>
      <c r="E40" s="4"/>
      <c r="F40" s="4"/>
      <c r="G40" s="4"/>
      <c r="H40" s="4"/>
      <c r="I40" s="4"/>
      <c r="J40" s="4"/>
      <c r="K40" s="4"/>
      <c r="L40" s="2"/>
    </row>
    <row r="41" spans="1:123" x14ac:dyDescent="0.3">
      <c r="B41" s="12" t="s">
        <v>31</v>
      </c>
      <c r="C41" s="29">
        <f t="shared" ref="C41:L41" si="2">C34</f>
        <v>1</v>
      </c>
      <c r="D41" s="4">
        <f t="shared" si="2"/>
        <v>2</v>
      </c>
      <c r="E41" s="4">
        <f t="shared" si="2"/>
        <v>3</v>
      </c>
      <c r="F41" s="4">
        <f t="shared" si="2"/>
        <v>4</v>
      </c>
      <c r="G41" s="4">
        <f t="shared" si="2"/>
        <v>5</v>
      </c>
      <c r="H41" s="4">
        <f t="shared" si="2"/>
        <v>0</v>
      </c>
      <c r="I41" s="4">
        <f t="shared" si="2"/>
        <v>0</v>
      </c>
      <c r="J41" s="4">
        <f t="shared" si="2"/>
        <v>0</v>
      </c>
      <c r="K41" s="4">
        <f t="shared" si="2"/>
        <v>0</v>
      </c>
      <c r="L41" s="2">
        <f t="shared" si="2"/>
        <v>0</v>
      </c>
    </row>
    <row r="42" spans="1:123" x14ac:dyDescent="0.3">
      <c r="B42" s="12" t="s">
        <v>38</v>
      </c>
      <c r="C42" s="84">
        <v>0</v>
      </c>
      <c r="D42" s="85">
        <f t="shared" ref="D42:L42" si="3">$C$39</f>
        <v>1.8749999999999999E-2</v>
      </c>
      <c r="E42" s="85">
        <f t="shared" si="3"/>
        <v>1.8749999999999999E-2</v>
      </c>
      <c r="F42" s="85">
        <f t="shared" si="3"/>
        <v>1.8749999999999999E-2</v>
      </c>
      <c r="G42" s="85">
        <f t="shared" si="3"/>
        <v>1.8749999999999999E-2</v>
      </c>
      <c r="H42" s="85">
        <f t="shared" si="3"/>
        <v>1.8749999999999999E-2</v>
      </c>
      <c r="I42" s="85">
        <f t="shared" si="3"/>
        <v>1.8749999999999999E-2</v>
      </c>
      <c r="J42" s="85">
        <f t="shared" si="3"/>
        <v>1.8749999999999999E-2</v>
      </c>
      <c r="K42" s="85">
        <f t="shared" si="3"/>
        <v>1.8749999999999999E-2</v>
      </c>
      <c r="L42" s="86">
        <f t="shared" si="3"/>
        <v>1.8749999999999999E-2</v>
      </c>
      <c r="N42" s="77"/>
    </row>
    <row r="43" spans="1:123" ht="15" thickBot="1" x14ac:dyDescent="0.35">
      <c r="B43" s="13" t="s">
        <v>37</v>
      </c>
      <c r="C43" s="87">
        <f>(1+C42)</f>
        <v>1</v>
      </c>
      <c r="D43" s="87">
        <f>(1+C42)*(1+D42)</f>
        <v>1.01875</v>
      </c>
      <c r="E43" s="87">
        <f>(1+C42)*(1+D42)*(1+E42)</f>
        <v>1.0378515625</v>
      </c>
      <c r="F43" s="87">
        <f>(1+C42)*(1+D42)*(1+E42)*(1+F42)</f>
        <v>1.0573112792968751</v>
      </c>
      <c r="G43" s="87">
        <f>(1+C42)*(1+D42)*(1+E42)*(1+F42)*(1+G42)</f>
        <v>1.0771358657836916</v>
      </c>
      <c r="H43" s="87">
        <f>(1+C42)*(1+D42)*(1+E42)*(1+F42)*(1+G42)*(1+H42)</f>
        <v>1.0973321632671358</v>
      </c>
      <c r="I43" s="87">
        <f>(1+C42)*(1+D42)*(1+E42)*(1+F42)*(1+G42)*(1+H42)*(1+I42)</f>
        <v>1.1179071413283945</v>
      </c>
      <c r="J43" s="87">
        <f>(1+C42)*(1+D42)*(1+E42)*(1+F42)*(1+G42)*(1+H42)*(1+I42)*(1+J42)</f>
        <v>1.138867900228302</v>
      </c>
      <c r="K43" s="87">
        <f>(1+C42)*(1+D42)*(1+E42)*(1+F42)*(1+G42)*(1+H42)*(1+I42)*(1+J42)*(1+K42)</f>
        <v>1.1602216733575828</v>
      </c>
      <c r="L43" s="88">
        <f>(1+C42)*(1+D42)*(1+E42)*(1+F42)*(1+G42)*(1+H42)*(1+I42)*(1+J42)*(1+K42)*(1+L42)</f>
        <v>1.1819758297330374</v>
      </c>
    </row>
    <row r="44" spans="1:123" ht="15" thickBot="1" x14ac:dyDescent="0.35"/>
    <row r="45" spans="1:123" ht="15" thickBot="1" x14ac:dyDescent="0.35">
      <c r="A45" s="4"/>
      <c r="B45" s="211" t="s">
        <v>30</v>
      </c>
      <c r="C45" s="212"/>
      <c r="D45" s="212"/>
      <c r="E45" s="213"/>
      <c r="F45" s="205"/>
      <c r="G45" s="205"/>
      <c r="H45" s="205"/>
      <c r="I45" s="205"/>
      <c r="J45" s="205"/>
      <c r="K45" s="205"/>
      <c r="L45" s="205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  <c r="AA45" s="206"/>
      <c r="AB45" s="206"/>
      <c r="AC45" s="206"/>
      <c r="AD45" s="206"/>
      <c r="AE45" s="206"/>
      <c r="AF45" s="206"/>
      <c r="AG45" s="206"/>
      <c r="AH45" s="206"/>
      <c r="AI45" s="206"/>
      <c r="AJ45" s="206"/>
      <c r="AK45" s="206"/>
      <c r="AL45" s="206"/>
      <c r="AM45" s="206"/>
      <c r="AN45" s="206"/>
      <c r="AO45" s="206"/>
      <c r="AP45" s="206"/>
      <c r="AQ45" s="206"/>
      <c r="AR45" s="206"/>
      <c r="AS45" s="206"/>
      <c r="AT45" s="206"/>
      <c r="AU45" s="206"/>
      <c r="AV45" s="206"/>
      <c r="AW45" s="206"/>
      <c r="AX45" s="206"/>
      <c r="AY45" s="206"/>
      <c r="AZ45" s="206"/>
      <c r="BA45" s="206"/>
      <c r="BB45" s="206"/>
      <c r="BC45" s="206"/>
      <c r="BD45" s="206"/>
      <c r="BE45" s="206"/>
      <c r="BF45" s="206"/>
      <c r="BG45" s="206"/>
      <c r="BH45" s="206"/>
      <c r="BI45" s="206"/>
      <c r="BJ45" s="206"/>
      <c r="BK45" s="206"/>
      <c r="BL45" s="206"/>
      <c r="BM45" s="206"/>
      <c r="BN45" s="206"/>
      <c r="BO45" s="206"/>
      <c r="BP45" s="206"/>
      <c r="BQ45" s="206"/>
      <c r="BR45" s="206"/>
      <c r="BS45" s="206"/>
      <c r="BT45" s="206"/>
      <c r="BU45" s="206"/>
      <c r="BV45" s="206"/>
      <c r="BW45" s="206"/>
      <c r="BX45" s="206"/>
      <c r="BY45" s="206"/>
      <c r="BZ45" s="206"/>
      <c r="CA45" s="206"/>
      <c r="CB45" s="206"/>
      <c r="CC45" s="206"/>
      <c r="CD45" s="206"/>
      <c r="CE45" s="206"/>
      <c r="CF45" s="206"/>
      <c r="CG45" s="206"/>
      <c r="CH45" s="206"/>
      <c r="CI45" s="206"/>
      <c r="CJ45" s="206"/>
      <c r="CK45" s="206"/>
      <c r="CL45" s="206"/>
      <c r="CM45" s="206"/>
      <c r="CN45" s="206"/>
      <c r="CO45" s="206"/>
      <c r="CP45" s="206"/>
      <c r="CQ45" s="206"/>
      <c r="CR45" s="206"/>
      <c r="CS45" s="206"/>
      <c r="CT45" s="206"/>
      <c r="CU45" s="206"/>
      <c r="CV45" s="206"/>
      <c r="CW45" s="206"/>
      <c r="CX45" s="206"/>
      <c r="CY45" s="206"/>
      <c r="CZ45" s="206"/>
      <c r="DA45" s="206"/>
      <c r="DB45" s="206"/>
      <c r="DC45" s="206"/>
      <c r="DD45" s="206"/>
      <c r="DE45" s="206"/>
      <c r="DF45" s="206"/>
      <c r="DG45" s="206"/>
      <c r="DH45" s="206"/>
      <c r="DI45" s="206"/>
      <c r="DJ45" s="206"/>
      <c r="DK45" s="206"/>
      <c r="DL45" s="206"/>
      <c r="DM45" s="206"/>
      <c r="DN45" s="206"/>
      <c r="DO45" s="206"/>
      <c r="DP45" s="206"/>
      <c r="DQ45" s="206"/>
      <c r="DR45" s="206"/>
      <c r="DS45" s="207"/>
    </row>
    <row r="46" spans="1:123" x14ac:dyDescent="0.3">
      <c r="A46" s="4"/>
      <c r="B46" s="1" t="s">
        <v>35</v>
      </c>
      <c r="C46" s="26">
        <v>0.95</v>
      </c>
      <c r="D46" s="35">
        <f>ROUND(C10*C46,0)</f>
        <v>36</v>
      </c>
      <c r="E46" s="208">
        <f>D46/C11</f>
        <v>0.94736842105263153</v>
      </c>
      <c r="F46" s="102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</row>
    <row r="47" spans="1:123" x14ac:dyDescent="0.3">
      <c r="A47" s="4"/>
      <c r="B47" s="1" t="s">
        <v>47</v>
      </c>
      <c r="C47" s="32">
        <v>6</v>
      </c>
      <c r="D47" s="4"/>
      <c r="E47" s="2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</row>
    <row r="48" spans="1:123" ht="15" thickBot="1" x14ac:dyDescent="0.35">
      <c r="A48" s="4"/>
      <c r="B48" s="1"/>
      <c r="C48" s="33"/>
      <c r="D48" s="4"/>
      <c r="E48" s="2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</row>
    <row r="49" spans="1:123" ht="15" thickBot="1" x14ac:dyDescent="0.35">
      <c r="A49" s="4"/>
      <c r="B49" s="211" t="s">
        <v>33</v>
      </c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4"/>
      <c r="DD49" s="214"/>
      <c r="DE49" s="214"/>
      <c r="DF49" s="214"/>
      <c r="DG49" s="214"/>
      <c r="DH49" s="214"/>
      <c r="DI49" s="214"/>
      <c r="DJ49" s="214"/>
      <c r="DK49" s="214"/>
      <c r="DL49" s="214"/>
      <c r="DM49" s="214"/>
      <c r="DN49" s="214"/>
      <c r="DO49" s="214"/>
      <c r="DP49" s="214"/>
      <c r="DQ49" s="214"/>
      <c r="DR49" s="215"/>
      <c r="DS49" s="210"/>
    </row>
    <row r="50" spans="1:123" x14ac:dyDescent="0.3">
      <c r="A50" s="4"/>
      <c r="B50" s="1" t="s">
        <v>34</v>
      </c>
      <c r="C50" s="4">
        <v>1</v>
      </c>
      <c r="D50" s="4">
        <f>IF(C50=($C$7*12),0,IF(C50=0,0,(C50+1)))</f>
        <v>2</v>
      </c>
      <c r="E50" s="4">
        <f t="shared" ref="E50:BP50" si="4">IF(D50=($C$7*12),0,IF(D50=0,0,(D50+1)))</f>
        <v>3</v>
      </c>
      <c r="F50" s="4">
        <f t="shared" si="4"/>
        <v>4</v>
      </c>
      <c r="G50" s="4">
        <f t="shared" si="4"/>
        <v>5</v>
      </c>
      <c r="H50" s="4">
        <f t="shared" si="4"/>
        <v>6</v>
      </c>
      <c r="I50" s="4">
        <f t="shared" si="4"/>
        <v>7</v>
      </c>
      <c r="J50" s="4">
        <f t="shared" si="4"/>
        <v>8</v>
      </c>
      <c r="K50" s="4">
        <f t="shared" si="4"/>
        <v>9</v>
      </c>
      <c r="L50" s="4">
        <f t="shared" si="4"/>
        <v>10</v>
      </c>
      <c r="M50" s="4">
        <f t="shared" si="4"/>
        <v>11</v>
      </c>
      <c r="N50" s="4">
        <f t="shared" si="4"/>
        <v>12</v>
      </c>
      <c r="O50" s="4">
        <f t="shared" si="4"/>
        <v>13</v>
      </c>
      <c r="P50" s="4">
        <f t="shared" si="4"/>
        <v>14</v>
      </c>
      <c r="Q50" s="4">
        <f t="shared" si="4"/>
        <v>15</v>
      </c>
      <c r="R50" s="4">
        <f t="shared" si="4"/>
        <v>16</v>
      </c>
      <c r="S50" s="4">
        <f t="shared" si="4"/>
        <v>17</v>
      </c>
      <c r="T50" s="4">
        <f t="shared" si="4"/>
        <v>18</v>
      </c>
      <c r="U50" s="4">
        <f t="shared" si="4"/>
        <v>19</v>
      </c>
      <c r="V50" s="4">
        <f t="shared" si="4"/>
        <v>20</v>
      </c>
      <c r="W50" s="4">
        <f t="shared" si="4"/>
        <v>21</v>
      </c>
      <c r="X50" s="4">
        <f t="shared" si="4"/>
        <v>22</v>
      </c>
      <c r="Y50" s="4">
        <f t="shared" si="4"/>
        <v>23</v>
      </c>
      <c r="Z50" s="4">
        <f t="shared" si="4"/>
        <v>24</v>
      </c>
      <c r="AA50" s="4">
        <f t="shared" si="4"/>
        <v>25</v>
      </c>
      <c r="AB50" s="4">
        <f t="shared" si="4"/>
        <v>26</v>
      </c>
      <c r="AC50" s="4">
        <f t="shared" si="4"/>
        <v>27</v>
      </c>
      <c r="AD50" s="4">
        <f t="shared" si="4"/>
        <v>28</v>
      </c>
      <c r="AE50" s="4">
        <f t="shared" si="4"/>
        <v>29</v>
      </c>
      <c r="AF50" s="4">
        <f t="shared" si="4"/>
        <v>30</v>
      </c>
      <c r="AG50" s="4">
        <f t="shared" si="4"/>
        <v>31</v>
      </c>
      <c r="AH50" s="4">
        <f t="shared" si="4"/>
        <v>32</v>
      </c>
      <c r="AI50" s="4">
        <f t="shared" si="4"/>
        <v>33</v>
      </c>
      <c r="AJ50" s="4">
        <f t="shared" si="4"/>
        <v>34</v>
      </c>
      <c r="AK50" s="4">
        <f t="shared" si="4"/>
        <v>35</v>
      </c>
      <c r="AL50" s="4">
        <f t="shared" si="4"/>
        <v>36</v>
      </c>
      <c r="AM50" s="4">
        <f t="shared" si="4"/>
        <v>37</v>
      </c>
      <c r="AN50" s="4">
        <f t="shared" si="4"/>
        <v>38</v>
      </c>
      <c r="AO50" s="4">
        <f t="shared" si="4"/>
        <v>39</v>
      </c>
      <c r="AP50" s="4">
        <f t="shared" si="4"/>
        <v>40</v>
      </c>
      <c r="AQ50" s="4">
        <f t="shared" si="4"/>
        <v>41</v>
      </c>
      <c r="AR50" s="4">
        <f t="shared" si="4"/>
        <v>42</v>
      </c>
      <c r="AS50" s="4">
        <f t="shared" si="4"/>
        <v>43</v>
      </c>
      <c r="AT50" s="4">
        <f t="shared" si="4"/>
        <v>44</v>
      </c>
      <c r="AU50" s="4">
        <f t="shared" si="4"/>
        <v>45</v>
      </c>
      <c r="AV50" s="4">
        <f t="shared" si="4"/>
        <v>46</v>
      </c>
      <c r="AW50" s="4">
        <f t="shared" si="4"/>
        <v>47</v>
      </c>
      <c r="AX50" s="4">
        <f t="shared" si="4"/>
        <v>48</v>
      </c>
      <c r="AY50" s="4">
        <f t="shared" si="4"/>
        <v>49</v>
      </c>
      <c r="AZ50" s="4">
        <f t="shared" si="4"/>
        <v>50</v>
      </c>
      <c r="BA50" s="4">
        <f t="shared" si="4"/>
        <v>51</v>
      </c>
      <c r="BB50" s="4">
        <f t="shared" si="4"/>
        <v>52</v>
      </c>
      <c r="BC50" s="4">
        <f t="shared" si="4"/>
        <v>53</v>
      </c>
      <c r="BD50" s="4">
        <f t="shared" si="4"/>
        <v>54</v>
      </c>
      <c r="BE50" s="4">
        <f t="shared" si="4"/>
        <v>55</v>
      </c>
      <c r="BF50" s="4">
        <f t="shared" si="4"/>
        <v>56</v>
      </c>
      <c r="BG50" s="4">
        <f t="shared" si="4"/>
        <v>57</v>
      </c>
      <c r="BH50" s="4">
        <f t="shared" si="4"/>
        <v>58</v>
      </c>
      <c r="BI50" s="4">
        <f t="shared" si="4"/>
        <v>59</v>
      </c>
      <c r="BJ50" s="4">
        <f t="shared" si="4"/>
        <v>60</v>
      </c>
      <c r="BK50" s="4">
        <f t="shared" si="4"/>
        <v>0</v>
      </c>
      <c r="BL50" s="4">
        <f t="shared" si="4"/>
        <v>0</v>
      </c>
      <c r="BM50" s="4">
        <f t="shared" si="4"/>
        <v>0</v>
      </c>
      <c r="BN50" s="4">
        <f t="shared" si="4"/>
        <v>0</v>
      </c>
      <c r="BO50" s="4">
        <f t="shared" si="4"/>
        <v>0</v>
      </c>
      <c r="BP50" s="4">
        <f t="shared" si="4"/>
        <v>0</v>
      </c>
      <c r="BQ50" s="4">
        <f t="shared" ref="BQ50:DR50" si="5">IF(BP50=($C$7*12),0,IF(BP50=0,0,(BP50+1)))</f>
        <v>0</v>
      </c>
      <c r="BR50" s="4">
        <f t="shared" si="5"/>
        <v>0</v>
      </c>
      <c r="BS50" s="4">
        <f t="shared" si="5"/>
        <v>0</v>
      </c>
      <c r="BT50" s="4">
        <f t="shared" si="5"/>
        <v>0</v>
      </c>
      <c r="BU50" s="4">
        <f t="shared" si="5"/>
        <v>0</v>
      </c>
      <c r="BV50" s="4">
        <f t="shared" si="5"/>
        <v>0</v>
      </c>
      <c r="BW50" s="4">
        <f t="shared" si="5"/>
        <v>0</v>
      </c>
      <c r="BX50" s="4">
        <f t="shared" si="5"/>
        <v>0</v>
      </c>
      <c r="BY50" s="4">
        <f t="shared" si="5"/>
        <v>0</v>
      </c>
      <c r="BZ50" s="4">
        <f t="shared" si="5"/>
        <v>0</v>
      </c>
      <c r="CA50" s="4">
        <f t="shared" si="5"/>
        <v>0</v>
      </c>
      <c r="CB50" s="4">
        <f t="shared" si="5"/>
        <v>0</v>
      </c>
      <c r="CC50" s="4">
        <f t="shared" si="5"/>
        <v>0</v>
      </c>
      <c r="CD50" s="4">
        <f t="shared" si="5"/>
        <v>0</v>
      </c>
      <c r="CE50" s="4">
        <f t="shared" si="5"/>
        <v>0</v>
      </c>
      <c r="CF50" s="4">
        <f t="shared" si="5"/>
        <v>0</v>
      </c>
      <c r="CG50" s="4">
        <f t="shared" si="5"/>
        <v>0</v>
      </c>
      <c r="CH50" s="4">
        <f t="shared" si="5"/>
        <v>0</v>
      </c>
      <c r="CI50" s="4">
        <f t="shared" si="5"/>
        <v>0</v>
      </c>
      <c r="CJ50" s="4">
        <f t="shared" si="5"/>
        <v>0</v>
      </c>
      <c r="CK50" s="4">
        <f t="shared" si="5"/>
        <v>0</v>
      </c>
      <c r="CL50" s="4">
        <f t="shared" si="5"/>
        <v>0</v>
      </c>
      <c r="CM50" s="4">
        <f t="shared" si="5"/>
        <v>0</v>
      </c>
      <c r="CN50" s="4">
        <f t="shared" si="5"/>
        <v>0</v>
      </c>
      <c r="CO50" s="4">
        <f t="shared" si="5"/>
        <v>0</v>
      </c>
      <c r="CP50" s="4">
        <f t="shared" si="5"/>
        <v>0</v>
      </c>
      <c r="CQ50" s="4">
        <f t="shared" si="5"/>
        <v>0</v>
      </c>
      <c r="CR50" s="4">
        <f t="shared" si="5"/>
        <v>0</v>
      </c>
      <c r="CS50" s="4">
        <f t="shared" si="5"/>
        <v>0</v>
      </c>
      <c r="CT50" s="4">
        <f t="shared" si="5"/>
        <v>0</v>
      </c>
      <c r="CU50" s="4">
        <f t="shared" si="5"/>
        <v>0</v>
      </c>
      <c r="CV50" s="4">
        <f t="shared" si="5"/>
        <v>0</v>
      </c>
      <c r="CW50" s="4">
        <f t="shared" si="5"/>
        <v>0</v>
      </c>
      <c r="CX50" s="4">
        <f t="shared" si="5"/>
        <v>0</v>
      </c>
      <c r="CY50" s="4">
        <f t="shared" si="5"/>
        <v>0</v>
      </c>
      <c r="CZ50" s="4">
        <f t="shared" si="5"/>
        <v>0</v>
      </c>
      <c r="DA50" s="4">
        <f t="shared" si="5"/>
        <v>0</v>
      </c>
      <c r="DB50" s="4">
        <f t="shared" si="5"/>
        <v>0</v>
      </c>
      <c r="DC50" s="4">
        <f t="shared" si="5"/>
        <v>0</v>
      </c>
      <c r="DD50" s="4">
        <f t="shared" si="5"/>
        <v>0</v>
      </c>
      <c r="DE50" s="4">
        <f t="shared" si="5"/>
        <v>0</v>
      </c>
      <c r="DF50" s="4">
        <f t="shared" si="5"/>
        <v>0</v>
      </c>
      <c r="DG50" s="4">
        <f t="shared" si="5"/>
        <v>0</v>
      </c>
      <c r="DH50" s="4">
        <f t="shared" si="5"/>
        <v>0</v>
      </c>
      <c r="DI50" s="4">
        <f t="shared" si="5"/>
        <v>0</v>
      </c>
      <c r="DJ50" s="4">
        <f t="shared" si="5"/>
        <v>0</v>
      </c>
      <c r="DK50" s="4">
        <f t="shared" si="5"/>
        <v>0</v>
      </c>
      <c r="DL50" s="4">
        <f t="shared" si="5"/>
        <v>0</v>
      </c>
      <c r="DM50" s="4">
        <f t="shared" si="5"/>
        <v>0</v>
      </c>
      <c r="DN50" s="4">
        <f t="shared" si="5"/>
        <v>0</v>
      </c>
      <c r="DO50" s="4">
        <f t="shared" si="5"/>
        <v>0</v>
      </c>
      <c r="DP50" s="4">
        <f t="shared" si="5"/>
        <v>0</v>
      </c>
      <c r="DQ50" s="4">
        <f t="shared" si="5"/>
        <v>0</v>
      </c>
      <c r="DR50" s="2">
        <f t="shared" si="5"/>
        <v>0</v>
      </c>
      <c r="DS50" s="2"/>
    </row>
    <row r="51" spans="1:123" ht="15" thickBot="1" x14ac:dyDescent="0.35">
      <c r="A51" s="4"/>
      <c r="B51" s="3" t="s">
        <v>48</v>
      </c>
      <c r="C51" s="91">
        <f>IF(C47&gt;C10,C10,C47)</f>
        <v>6</v>
      </c>
      <c r="D51" s="91">
        <f t="shared" ref="D51:AI51" si="6">IF((C51+$C$47)&gt;ROUND($C$10*$C$46,0),ROUND($C$10*$C$46,0),(C51+$C$47))</f>
        <v>12</v>
      </c>
      <c r="E51" s="92">
        <f t="shared" si="6"/>
        <v>18</v>
      </c>
      <c r="F51" s="92">
        <f t="shared" si="6"/>
        <v>24</v>
      </c>
      <c r="G51" s="92">
        <f t="shared" si="6"/>
        <v>30</v>
      </c>
      <c r="H51" s="92">
        <f t="shared" si="6"/>
        <v>36</v>
      </c>
      <c r="I51" s="92">
        <f t="shared" si="6"/>
        <v>36</v>
      </c>
      <c r="J51" s="92">
        <f t="shared" si="6"/>
        <v>36</v>
      </c>
      <c r="K51" s="92">
        <f t="shared" si="6"/>
        <v>36</v>
      </c>
      <c r="L51" s="92">
        <f t="shared" si="6"/>
        <v>36</v>
      </c>
      <c r="M51" s="92">
        <f t="shared" si="6"/>
        <v>36</v>
      </c>
      <c r="N51" s="92">
        <f t="shared" si="6"/>
        <v>36</v>
      </c>
      <c r="O51" s="92">
        <f t="shared" si="6"/>
        <v>36</v>
      </c>
      <c r="P51" s="92">
        <f t="shared" si="6"/>
        <v>36</v>
      </c>
      <c r="Q51" s="92">
        <f t="shared" si="6"/>
        <v>36</v>
      </c>
      <c r="R51" s="92">
        <f t="shared" si="6"/>
        <v>36</v>
      </c>
      <c r="S51" s="92">
        <f t="shared" si="6"/>
        <v>36</v>
      </c>
      <c r="T51" s="92">
        <f t="shared" si="6"/>
        <v>36</v>
      </c>
      <c r="U51" s="92">
        <f t="shared" si="6"/>
        <v>36</v>
      </c>
      <c r="V51" s="92">
        <f t="shared" si="6"/>
        <v>36</v>
      </c>
      <c r="W51" s="92">
        <f t="shared" si="6"/>
        <v>36</v>
      </c>
      <c r="X51" s="92">
        <f t="shared" si="6"/>
        <v>36</v>
      </c>
      <c r="Y51" s="92">
        <f t="shared" si="6"/>
        <v>36</v>
      </c>
      <c r="Z51" s="92">
        <f t="shared" si="6"/>
        <v>36</v>
      </c>
      <c r="AA51" s="92">
        <f t="shared" si="6"/>
        <v>36</v>
      </c>
      <c r="AB51" s="92">
        <f t="shared" si="6"/>
        <v>36</v>
      </c>
      <c r="AC51" s="92">
        <f t="shared" si="6"/>
        <v>36</v>
      </c>
      <c r="AD51" s="92">
        <f t="shared" si="6"/>
        <v>36</v>
      </c>
      <c r="AE51" s="92">
        <f t="shared" si="6"/>
        <v>36</v>
      </c>
      <c r="AF51" s="92">
        <f t="shared" si="6"/>
        <v>36</v>
      </c>
      <c r="AG51" s="92">
        <f t="shared" si="6"/>
        <v>36</v>
      </c>
      <c r="AH51" s="92">
        <f t="shared" si="6"/>
        <v>36</v>
      </c>
      <c r="AI51" s="92">
        <f t="shared" si="6"/>
        <v>36</v>
      </c>
      <c r="AJ51" s="92">
        <f t="shared" ref="AJ51:BO51" si="7">IF((AI51+$C$47)&gt;ROUND($C$10*$C$46,0),ROUND($C$10*$C$46,0),(AI51+$C$47))</f>
        <v>36</v>
      </c>
      <c r="AK51" s="92">
        <f t="shared" si="7"/>
        <v>36</v>
      </c>
      <c r="AL51" s="92">
        <f t="shared" si="7"/>
        <v>36</v>
      </c>
      <c r="AM51" s="92">
        <f t="shared" si="7"/>
        <v>36</v>
      </c>
      <c r="AN51" s="92">
        <f t="shared" si="7"/>
        <v>36</v>
      </c>
      <c r="AO51" s="92">
        <f t="shared" si="7"/>
        <v>36</v>
      </c>
      <c r="AP51" s="92">
        <f t="shared" si="7"/>
        <v>36</v>
      </c>
      <c r="AQ51" s="92">
        <f t="shared" si="7"/>
        <v>36</v>
      </c>
      <c r="AR51" s="92">
        <f t="shared" si="7"/>
        <v>36</v>
      </c>
      <c r="AS51" s="92">
        <f t="shared" si="7"/>
        <v>36</v>
      </c>
      <c r="AT51" s="92">
        <f t="shared" si="7"/>
        <v>36</v>
      </c>
      <c r="AU51" s="92">
        <f t="shared" si="7"/>
        <v>36</v>
      </c>
      <c r="AV51" s="92">
        <f t="shared" si="7"/>
        <v>36</v>
      </c>
      <c r="AW51" s="92">
        <f t="shared" si="7"/>
        <v>36</v>
      </c>
      <c r="AX51" s="92">
        <f t="shared" si="7"/>
        <v>36</v>
      </c>
      <c r="AY51" s="92">
        <f t="shared" si="7"/>
        <v>36</v>
      </c>
      <c r="AZ51" s="92">
        <f t="shared" si="7"/>
        <v>36</v>
      </c>
      <c r="BA51" s="92">
        <f t="shared" si="7"/>
        <v>36</v>
      </c>
      <c r="BB51" s="92">
        <f t="shared" si="7"/>
        <v>36</v>
      </c>
      <c r="BC51" s="92">
        <f t="shared" si="7"/>
        <v>36</v>
      </c>
      <c r="BD51" s="92">
        <f t="shared" si="7"/>
        <v>36</v>
      </c>
      <c r="BE51" s="92">
        <f t="shared" si="7"/>
        <v>36</v>
      </c>
      <c r="BF51" s="92">
        <f t="shared" si="7"/>
        <v>36</v>
      </c>
      <c r="BG51" s="92">
        <f t="shared" si="7"/>
        <v>36</v>
      </c>
      <c r="BH51" s="92">
        <f t="shared" si="7"/>
        <v>36</v>
      </c>
      <c r="BI51" s="92">
        <f t="shared" si="7"/>
        <v>36</v>
      </c>
      <c r="BJ51" s="92">
        <f t="shared" si="7"/>
        <v>36</v>
      </c>
      <c r="BK51" s="92">
        <f t="shared" si="7"/>
        <v>36</v>
      </c>
      <c r="BL51" s="92">
        <f t="shared" si="7"/>
        <v>36</v>
      </c>
      <c r="BM51" s="92">
        <f t="shared" si="7"/>
        <v>36</v>
      </c>
      <c r="BN51" s="92">
        <f t="shared" si="7"/>
        <v>36</v>
      </c>
      <c r="BO51" s="92">
        <f t="shared" si="7"/>
        <v>36</v>
      </c>
      <c r="BP51" s="92">
        <f t="shared" ref="BP51:CU51" si="8">IF((BO51+$C$47)&gt;ROUND($C$10*$C$46,0),ROUND($C$10*$C$46,0),(BO51+$C$47))</f>
        <v>36</v>
      </c>
      <c r="BQ51" s="92">
        <f t="shared" si="8"/>
        <v>36</v>
      </c>
      <c r="BR51" s="92">
        <f t="shared" si="8"/>
        <v>36</v>
      </c>
      <c r="BS51" s="92">
        <f t="shared" si="8"/>
        <v>36</v>
      </c>
      <c r="BT51" s="92">
        <f t="shared" si="8"/>
        <v>36</v>
      </c>
      <c r="BU51" s="92">
        <f t="shared" si="8"/>
        <v>36</v>
      </c>
      <c r="BV51" s="92">
        <f t="shared" si="8"/>
        <v>36</v>
      </c>
      <c r="BW51" s="92">
        <f t="shared" si="8"/>
        <v>36</v>
      </c>
      <c r="BX51" s="92">
        <f t="shared" si="8"/>
        <v>36</v>
      </c>
      <c r="BY51" s="92">
        <f t="shared" si="8"/>
        <v>36</v>
      </c>
      <c r="BZ51" s="92">
        <f t="shared" si="8"/>
        <v>36</v>
      </c>
      <c r="CA51" s="92">
        <f t="shared" si="8"/>
        <v>36</v>
      </c>
      <c r="CB51" s="92">
        <f t="shared" si="8"/>
        <v>36</v>
      </c>
      <c r="CC51" s="92">
        <f t="shared" si="8"/>
        <v>36</v>
      </c>
      <c r="CD51" s="92">
        <f t="shared" si="8"/>
        <v>36</v>
      </c>
      <c r="CE51" s="92">
        <f t="shared" si="8"/>
        <v>36</v>
      </c>
      <c r="CF51" s="92">
        <f t="shared" si="8"/>
        <v>36</v>
      </c>
      <c r="CG51" s="92">
        <f t="shared" si="8"/>
        <v>36</v>
      </c>
      <c r="CH51" s="92">
        <f t="shared" si="8"/>
        <v>36</v>
      </c>
      <c r="CI51" s="92">
        <f t="shared" si="8"/>
        <v>36</v>
      </c>
      <c r="CJ51" s="92">
        <f t="shared" si="8"/>
        <v>36</v>
      </c>
      <c r="CK51" s="92">
        <f t="shared" si="8"/>
        <v>36</v>
      </c>
      <c r="CL51" s="92">
        <f t="shared" si="8"/>
        <v>36</v>
      </c>
      <c r="CM51" s="92">
        <f t="shared" si="8"/>
        <v>36</v>
      </c>
      <c r="CN51" s="92">
        <f t="shared" si="8"/>
        <v>36</v>
      </c>
      <c r="CO51" s="92">
        <f t="shared" si="8"/>
        <v>36</v>
      </c>
      <c r="CP51" s="92">
        <f t="shared" si="8"/>
        <v>36</v>
      </c>
      <c r="CQ51" s="92">
        <f t="shared" si="8"/>
        <v>36</v>
      </c>
      <c r="CR51" s="92">
        <f t="shared" si="8"/>
        <v>36</v>
      </c>
      <c r="CS51" s="92">
        <f t="shared" si="8"/>
        <v>36</v>
      </c>
      <c r="CT51" s="92">
        <f t="shared" si="8"/>
        <v>36</v>
      </c>
      <c r="CU51" s="92">
        <f t="shared" si="8"/>
        <v>36</v>
      </c>
      <c r="CV51" s="92">
        <f t="shared" ref="CV51:DR51" si="9">IF((CU51+$C$47)&gt;ROUND($C$10*$C$46,0),ROUND($C$10*$C$46,0),(CU51+$C$47))</f>
        <v>36</v>
      </c>
      <c r="CW51" s="92">
        <f t="shared" si="9"/>
        <v>36</v>
      </c>
      <c r="CX51" s="92">
        <f t="shared" si="9"/>
        <v>36</v>
      </c>
      <c r="CY51" s="92">
        <f t="shared" si="9"/>
        <v>36</v>
      </c>
      <c r="CZ51" s="92">
        <f t="shared" si="9"/>
        <v>36</v>
      </c>
      <c r="DA51" s="92">
        <f t="shared" si="9"/>
        <v>36</v>
      </c>
      <c r="DB51" s="92">
        <f t="shared" si="9"/>
        <v>36</v>
      </c>
      <c r="DC51" s="92">
        <f t="shared" si="9"/>
        <v>36</v>
      </c>
      <c r="DD51" s="92">
        <f t="shared" si="9"/>
        <v>36</v>
      </c>
      <c r="DE51" s="92">
        <f t="shared" si="9"/>
        <v>36</v>
      </c>
      <c r="DF51" s="92">
        <f t="shared" si="9"/>
        <v>36</v>
      </c>
      <c r="DG51" s="92">
        <f t="shared" si="9"/>
        <v>36</v>
      </c>
      <c r="DH51" s="92">
        <f t="shared" si="9"/>
        <v>36</v>
      </c>
      <c r="DI51" s="92">
        <f t="shared" si="9"/>
        <v>36</v>
      </c>
      <c r="DJ51" s="92">
        <f t="shared" si="9"/>
        <v>36</v>
      </c>
      <c r="DK51" s="92">
        <f t="shared" si="9"/>
        <v>36</v>
      </c>
      <c r="DL51" s="92">
        <f t="shared" si="9"/>
        <v>36</v>
      </c>
      <c r="DM51" s="92">
        <f t="shared" si="9"/>
        <v>36</v>
      </c>
      <c r="DN51" s="92">
        <f t="shared" si="9"/>
        <v>36</v>
      </c>
      <c r="DO51" s="92">
        <f t="shared" si="9"/>
        <v>36</v>
      </c>
      <c r="DP51" s="92">
        <f t="shared" si="9"/>
        <v>36</v>
      </c>
      <c r="DQ51" s="92">
        <f t="shared" si="9"/>
        <v>36</v>
      </c>
      <c r="DR51" s="93">
        <f t="shared" si="9"/>
        <v>36</v>
      </c>
      <c r="DS51" s="209"/>
    </row>
    <row r="52" spans="1:123" ht="15" thickBot="1" x14ac:dyDescent="0.35"/>
    <row r="53" spans="1:123" x14ac:dyDescent="0.3">
      <c r="B53" s="156" t="s">
        <v>50</v>
      </c>
      <c r="C53" s="157"/>
      <c r="D53" s="34"/>
    </row>
    <row r="54" spans="1:123" x14ac:dyDescent="0.3">
      <c r="B54" s="1" t="s">
        <v>49</v>
      </c>
      <c r="C54" s="14">
        <v>110</v>
      </c>
    </row>
    <row r="55" spans="1:123" ht="15" thickBot="1" x14ac:dyDescent="0.35">
      <c r="B55" s="13" t="s">
        <v>58</v>
      </c>
      <c r="C55" s="36">
        <v>500</v>
      </c>
    </row>
    <row r="56" spans="1:123" ht="15" thickBot="1" x14ac:dyDescent="0.35"/>
    <row r="57" spans="1:123" x14ac:dyDescent="0.3">
      <c r="B57" s="156" t="s">
        <v>51</v>
      </c>
      <c r="C57" s="163" t="s">
        <v>52</v>
      </c>
      <c r="D57" s="163" t="s">
        <v>57</v>
      </c>
      <c r="E57" s="164" t="s">
        <v>80</v>
      </c>
    </row>
    <row r="58" spans="1:123" x14ac:dyDescent="0.3">
      <c r="B58" s="1" t="s">
        <v>53</v>
      </c>
      <c r="C58" s="39">
        <v>40000</v>
      </c>
      <c r="D58" s="31">
        <v>0</v>
      </c>
      <c r="E58" s="60">
        <f>D58*C58</f>
        <v>0</v>
      </c>
    </row>
    <row r="59" spans="1:123" x14ac:dyDescent="0.3">
      <c r="B59" s="1" t="s">
        <v>54</v>
      </c>
      <c r="C59" s="39">
        <v>33000</v>
      </c>
      <c r="D59" s="31">
        <v>1</v>
      </c>
      <c r="E59" s="60">
        <f t="shared" ref="E59:E61" si="10">D59*C59</f>
        <v>33000</v>
      </c>
    </row>
    <row r="60" spans="1:123" x14ac:dyDescent="0.3">
      <c r="B60" s="1" t="s">
        <v>55</v>
      </c>
      <c r="C60" s="39">
        <v>50000</v>
      </c>
      <c r="D60" s="31">
        <v>1</v>
      </c>
      <c r="E60" s="60">
        <f t="shared" si="10"/>
        <v>50000</v>
      </c>
    </row>
    <row r="61" spans="1:123" ht="15" thickBot="1" x14ac:dyDescent="0.35">
      <c r="B61" s="3" t="s">
        <v>56</v>
      </c>
      <c r="C61" s="40">
        <v>23000</v>
      </c>
      <c r="D61" s="37">
        <v>1</v>
      </c>
      <c r="E61" s="61">
        <f t="shared" si="10"/>
        <v>23000</v>
      </c>
    </row>
    <row r="62" spans="1:123" ht="15" thickBot="1" x14ac:dyDescent="0.35"/>
    <row r="63" spans="1:123" x14ac:dyDescent="0.3">
      <c r="B63" s="156" t="s">
        <v>59</v>
      </c>
      <c r="C63" s="158"/>
      <c r="D63" s="158"/>
      <c r="E63" s="158"/>
      <c r="F63" s="158"/>
      <c r="G63" s="158"/>
      <c r="H63" s="158"/>
      <c r="I63" s="158"/>
      <c r="J63" s="158"/>
      <c r="K63" s="158"/>
      <c r="L63" s="157"/>
      <c r="M63" s="4"/>
    </row>
    <row r="64" spans="1:123" x14ac:dyDescent="0.3">
      <c r="B64" s="41" t="s">
        <v>61</v>
      </c>
      <c r="C64" s="42">
        <v>0.05</v>
      </c>
      <c r="D64" s="4"/>
      <c r="E64" s="4"/>
      <c r="F64" s="4"/>
      <c r="G64" s="4"/>
      <c r="H64" s="4"/>
      <c r="I64" s="4"/>
      <c r="J64" s="4"/>
      <c r="K64" s="4"/>
      <c r="L64" s="2"/>
      <c r="M64" s="4"/>
    </row>
    <row r="65" spans="2:13" x14ac:dyDescent="0.3">
      <c r="B65" s="25"/>
      <c r="C65" s="4"/>
      <c r="D65" s="4"/>
      <c r="E65" s="4"/>
      <c r="F65" s="4"/>
      <c r="G65" s="4"/>
      <c r="H65" s="4"/>
      <c r="I65" s="4"/>
      <c r="J65" s="4"/>
      <c r="K65" s="4"/>
      <c r="L65" s="2"/>
      <c r="M65" s="4"/>
    </row>
    <row r="66" spans="2:13" x14ac:dyDescent="0.3">
      <c r="B66" s="1" t="s">
        <v>31</v>
      </c>
      <c r="C66" s="29">
        <f t="shared" ref="C66:L66" si="11">C41</f>
        <v>1</v>
      </c>
      <c r="D66" s="4">
        <f t="shared" si="11"/>
        <v>2</v>
      </c>
      <c r="E66" s="4">
        <f t="shared" si="11"/>
        <v>3</v>
      </c>
      <c r="F66" s="4">
        <f t="shared" si="11"/>
        <v>4</v>
      </c>
      <c r="G66" s="4">
        <f t="shared" si="11"/>
        <v>5</v>
      </c>
      <c r="H66" s="4">
        <f t="shared" si="11"/>
        <v>0</v>
      </c>
      <c r="I66" s="4">
        <f t="shared" si="11"/>
        <v>0</v>
      </c>
      <c r="J66" s="4">
        <f t="shared" si="11"/>
        <v>0</v>
      </c>
      <c r="K66" s="4">
        <f t="shared" si="11"/>
        <v>0</v>
      </c>
      <c r="L66" s="2">
        <f t="shared" si="11"/>
        <v>0</v>
      </c>
      <c r="M66" s="4"/>
    </row>
    <row r="67" spans="2:13" ht="15" thickBot="1" x14ac:dyDescent="0.35">
      <c r="B67" s="3" t="s">
        <v>60</v>
      </c>
      <c r="C67" s="43">
        <f t="shared" ref="C67:L67" si="12">$C$64</f>
        <v>0.05</v>
      </c>
      <c r="D67" s="89">
        <f t="shared" si="12"/>
        <v>0.05</v>
      </c>
      <c r="E67" s="89">
        <f t="shared" si="12"/>
        <v>0.05</v>
      </c>
      <c r="F67" s="89">
        <f t="shared" si="12"/>
        <v>0.05</v>
      </c>
      <c r="G67" s="89">
        <f t="shared" si="12"/>
        <v>0.05</v>
      </c>
      <c r="H67" s="89">
        <f t="shared" si="12"/>
        <v>0.05</v>
      </c>
      <c r="I67" s="89">
        <f t="shared" si="12"/>
        <v>0.05</v>
      </c>
      <c r="J67" s="89">
        <f t="shared" si="12"/>
        <v>0.05</v>
      </c>
      <c r="K67" s="89">
        <f t="shared" si="12"/>
        <v>0.05</v>
      </c>
      <c r="L67" s="90">
        <f t="shared" si="12"/>
        <v>0.05</v>
      </c>
      <c r="M67" s="119"/>
    </row>
    <row r="68" spans="2:13" ht="15" thickBot="1" x14ac:dyDescent="0.35"/>
    <row r="69" spans="2:13" x14ac:dyDescent="0.3">
      <c r="B69" s="156" t="s">
        <v>65</v>
      </c>
      <c r="C69" s="158"/>
      <c r="D69" s="158"/>
      <c r="E69" s="157"/>
    </row>
    <row r="70" spans="2:13" x14ac:dyDescent="0.3">
      <c r="B70" s="1" t="s">
        <v>66</v>
      </c>
      <c r="C70" s="48" t="s">
        <v>67</v>
      </c>
      <c r="D70" s="48" t="s">
        <v>68</v>
      </c>
      <c r="E70" s="49" t="s">
        <v>19</v>
      </c>
    </row>
    <row r="71" spans="2:13" x14ac:dyDescent="0.3">
      <c r="B71" s="1" t="s">
        <v>10</v>
      </c>
      <c r="C71" s="4">
        <f>'Unit List &amp; Rent Roll'!D46</f>
        <v>38</v>
      </c>
      <c r="D71" s="50">
        <v>0</v>
      </c>
      <c r="E71" s="45">
        <f>D71*C71</f>
        <v>0</v>
      </c>
    </row>
    <row r="72" spans="2:13" x14ac:dyDescent="0.3">
      <c r="B72" s="1" t="s">
        <v>69</v>
      </c>
      <c r="C72" s="4">
        <f>'Unit List &amp; Rent Roll'!D47</f>
        <v>0</v>
      </c>
      <c r="D72" s="50">
        <v>0</v>
      </c>
      <c r="E72" s="45">
        <f t="shared" ref="E72:E74" si="13">D72*C72</f>
        <v>0</v>
      </c>
    </row>
    <row r="73" spans="2:13" x14ac:dyDescent="0.3">
      <c r="B73" s="1" t="s">
        <v>70</v>
      </c>
      <c r="C73" s="4">
        <f>'Unit List &amp; Rent Roll'!D48</f>
        <v>0</v>
      </c>
      <c r="D73" s="50">
        <v>0</v>
      </c>
      <c r="E73" s="45">
        <f t="shared" si="13"/>
        <v>0</v>
      </c>
    </row>
    <row r="74" spans="2:13" x14ac:dyDescent="0.3">
      <c r="B74" s="1" t="s">
        <v>71</v>
      </c>
      <c r="C74" s="4">
        <f>'Unit List &amp; Rent Roll'!D49</f>
        <v>0</v>
      </c>
      <c r="D74" s="50">
        <v>0</v>
      </c>
      <c r="E74" s="45">
        <f t="shared" si="13"/>
        <v>0</v>
      </c>
    </row>
    <row r="75" spans="2:13" x14ac:dyDescent="0.3">
      <c r="B75" s="1"/>
      <c r="C75" s="4"/>
      <c r="D75" s="44"/>
      <c r="E75" s="45"/>
    </row>
    <row r="76" spans="2:13" x14ac:dyDescent="0.3">
      <c r="B76" s="1"/>
      <c r="C76" s="34"/>
      <c r="D76" s="46" t="s">
        <v>72</v>
      </c>
      <c r="E76" s="47"/>
    </row>
    <row r="77" spans="2:13" x14ac:dyDescent="0.3">
      <c r="B77" s="1" t="s">
        <v>73</v>
      </c>
      <c r="C77" s="4"/>
      <c r="D77" s="50">
        <v>0</v>
      </c>
      <c r="E77" s="45">
        <f>D77</f>
        <v>0</v>
      </c>
    </row>
    <row r="78" spans="2:13" x14ac:dyDescent="0.3">
      <c r="B78" s="1" t="s">
        <v>74</v>
      </c>
      <c r="C78" s="4"/>
      <c r="D78" s="50">
        <v>0</v>
      </c>
      <c r="E78" s="45">
        <f>D78</f>
        <v>0</v>
      </c>
    </row>
    <row r="79" spans="2:13" x14ac:dyDescent="0.3">
      <c r="B79" s="1" t="s">
        <v>19</v>
      </c>
      <c r="C79" s="4"/>
      <c r="D79" s="4"/>
      <c r="E79" s="45">
        <f>SUM(E71:E78)</f>
        <v>0</v>
      </c>
    </row>
    <row r="80" spans="2:13" x14ac:dyDescent="0.3">
      <c r="B80" s="1" t="s">
        <v>75</v>
      </c>
      <c r="C80" s="4"/>
      <c r="D80" s="42">
        <v>0.2</v>
      </c>
      <c r="E80" s="45">
        <f>E79*D80</f>
        <v>0</v>
      </c>
    </row>
    <row r="81" spans="2:14" ht="15" thickBot="1" x14ac:dyDescent="0.35">
      <c r="B81" s="53" t="s">
        <v>76</v>
      </c>
      <c r="C81" s="51"/>
      <c r="D81" s="51"/>
      <c r="E81" s="52">
        <f>SUM(E79:E80)</f>
        <v>0</v>
      </c>
    </row>
    <row r="82" spans="2:14" ht="15.6" thickTop="1" thickBot="1" x14ac:dyDescent="0.35"/>
    <row r="83" spans="2:14" x14ac:dyDescent="0.3">
      <c r="B83" s="156" t="s">
        <v>78</v>
      </c>
      <c r="C83" s="162"/>
    </row>
    <row r="84" spans="2:14" x14ac:dyDescent="0.3">
      <c r="B84" s="54" t="s">
        <v>79</v>
      </c>
      <c r="C84" s="112">
        <v>1000</v>
      </c>
    </row>
    <row r="85" spans="2:14" ht="15" thickBot="1" x14ac:dyDescent="0.35">
      <c r="B85" s="22" t="s">
        <v>77</v>
      </c>
      <c r="C85" s="55">
        <v>2000</v>
      </c>
    </row>
    <row r="86" spans="2:14" ht="15" thickBot="1" x14ac:dyDescent="0.35"/>
    <row r="87" spans="2:14" x14ac:dyDescent="0.3">
      <c r="B87" s="156" t="s">
        <v>85</v>
      </c>
      <c r="C87" s="158"/>
      <c r="D87" s="158"/>
      <c r="E87" s="158"/>
      <c r="F87" s="158"/>
      <c r="G87" s="158"/>
      <c r="H87" s="158"/>
      <c r="I87" s="158"/>
      <c r="J87" s="158"/>
      <c r="K87" s="158"/>
      <c r="L87" s="157"/>
      <c r="M87" s="4"/>
      <c r="N87" s="4"/>
    </row>
    <row r="88" spans="2:14" x14ac:dyDescent="0.3">
      <c r="B88" s="1" t="s">
        <v>31</v>
      </c>
      <c r="C88" s="29">
        <f>C66</f>
        <v>1</v>
      </c>
      <c r="D88" s="4">
        <f t="shared" ref="D88:L88" si="14">D66</f>
        <v>2</v>
      </c>
      <c r="E88" s="4">
        <f t="shared" si="14"/>
        <v>3</v>
      </c>
      <c r="F88" s="4">
        <f t="shared" si="14"/>
        <v>4</v>
      </c>
      <c r="G88" s="4">
        <f t="shared" si="14"/>
        <v>5</v>
      </c>
      <c r="H88" s="4">
        <f t="shared" si="14"/>
        <v>0</v>
      </c>
      <c r="I88" s="4">
        <f t="shared" si="14"/>
        <v>0</v>
      </c>
      <c r="J88" s="4">
        <f t="shared" si="14"/>
        <v>0</v>
      </c>
      <c r="K88" s="4">
        <f t="shared" si="14"/>
        <v>0</v>
      </c>
      <c r="L88" s="2">
        <f t="shared" si="14"/>
        <v>0</v>
      </c>
      <c r="M88" s="4"/>
      <c r="N88" s="4"/>
    </row>
    <row r="89" spans="2:14" x14ac:dyDescent="0.3">
      <c r="B89" s="1"/>
      <c r="C89" s="4"/>
      <c r="D89" s="4"/>
      <c r="E89" s="4"/>
      <c r="F89" s="4"/>
      <c r="G89" s="4"/>
      <c r="H89" s="4"/>
      <c r="I89" s="4"/>
      <c r="J89" s="4"/>
      <c r="K89" s="4"/>
      <c r="L89" s="2"/>
      <c r="M89" s="4"/>
      <c r="N89" s="4"/>
    </row>
    <row r="90" spans="2:14" x14ac:dyDescent="0.3">
      <c r="B90" s="1" t="s">
        <v>86</v>
      </c>
      <c r="C90" s="56">
        <v>1</v>
      </c>
      <c r="D90" s="56">
        <v>0</v>
      </c>
      <c r="E90" s="56">
        <v>0</v>
      </c>
      <c r="F90" s="56">
        <v>0</v>
      </c>
      <c r="G90" s="56">
        <v>0</v>
      </c>
      <c r="H90" s="56">
        <v>0</v>
      </c>
      <c r="I90" s="56">
        <v>0</v>
      </c>
      <c r="J90" s="56">
        <v>0</v>
      </c>
      <c r="K90" s="56">
        <v>0</v>
      </c>
      <c r="L90" s="57">
        <v>0</v>
      </c>
      <c r="N90" s="4"/>
    </row>
    <row r="91" spans="2:14" ht="15" thickBot="1" x14ac:dyDescent="0.35">
      <c r="B91" s="3" t="s">
        <v>87</v>
      </c>
      <c r="C91" s="58">
        <f t="shared" ref="C91:L91" si="15">C90*$E$81</f>
        <v>0</v>
      </c>
      <c r="D91" s="58">
        <f t="shared" si="15"/>
        <v>0</v>
      </c>
      <c r="E91" s="58">
        <f t="shared" si="15"/>
        <v>0</v>
      </c>
      <c r="F91" s="58">
        <f t="shared" si="15"/>
        <v>0</v>
      </c>
      <c r="G91" s="58">
        <f t="shared" si="15"/>
        <v>0</v>
      </c>
      <c r="H91" s="58">
        <f t="shared" si="15"/>
        <v>0</v>
      </c>
      <c r="I91" s="58">
        <f t="shared" si="15"/>
        <v>0</v>
      </c>
      <c r="J91" s="58">
        <f t="shared" si="15"/>
        <v>0</v>
      </c>
      <c r="K91" s="58">
        <f t="shared" si="15"/>
        <v>0</v>
      </c>
      <c r="L91" s="64">
        <f t="shared" si="15"/>
        <v>0</v>
      </c>
      <c r="M91" s="120"/>
      <c r="N91" s="4"/>
    </row>
    <row r="92" spans="2:14" ht="16.8" customHeight="1" x14ac:dyDescent="0.3"/>
    <row r="96" spans="2:14" hidden="1" x14ac:dyDescent="0.3">
      <c r="F96" s="59"/>
    </row>
    <row r="97" spans="6:6" hidden="1" x14ac:dyDescent="0.3">
      <c r="F97" s="59"/>
    </row>
    <row r="98" spans="6:6" hidden="1" x14ac:dyDescent="0.3">
      <c r="F98" s="59"/>
    </row>
    <row r="101" spans="6:6" hidden="1" x14ac:dyDescent="0.3">
      <c r="F101" s="59"/>
    </row>
  </sheetData>
  <mergeCells count="2">
    <mergeCell ref="D15:E15"/>
    <mergeCell ref="D14:H14"/>
  </mergeCells>
  <phoneticPr fontId="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A10E2-D533-4BD3-8E00-C66C55C778DF}">
  <dimension ref="A1:R12"/>
  <sheetViews>
    <sheetView showGridLines="0" workbookViewId="0"/>
  </sheetViews>
  <sheetFormatPr defaultColWidth="0" defaultRowHeight="14.4" zeroHeight="1" x14ac:dyDescent="0.3"/>
  <cols>
    <col min="1" max="1" width="2.33203125" customWidth="1"/>
    <col min="2" max="2" width="23.88671875" bestFit="1" customWidth="1"/>
    <col min="3" max="3" width="9.88671875" customWidth="1"/>
    <col min="4" max="4" width="16.109375" customWidth="1"/>
    <col min="5" max="5" width="8.88671875" customWidth="1"/>
    <col min="6" max="6" width="11.109375" bestFit="1" customWidth="1"/>
    <col min="7" max="7" width="8.88671875" customWidth="1"/>
    <col min="8" max="8" width="10.109375" bestFit="1" customWidth="1"/>
    <col min="9" max="17" width="9.88671875" bestFit="1" customWidth="1"/>
    <col min="18" max="18" width="2.21875" hidden="1" customWidth="1"/>
    <col min="19" max="16384" width="8.88671875" hidden="1"/>
  </cols>
  <sheetData>
    <row r="1" spans="2:17" ht="15" thickBot="1" x14ac:dyDescent="0.35"/>
    <row r="2" spans="2:17" ht="15" thickBot="1" x14ac:dyDescent="0.35">
      <c r="B2" s="156" t="s">
        <v>88</v>
      </c>
      <c r="C2" s="158"/>
      <c r="D2" s="157"/>
      <c r="F2" s="211" t="s">
        <v>31</v>
      </c>
      <c r="G2" s="225">
        <v>0</v>
      </c>
      <c r="H2" s="225">
        <f>'Input Assumptions'!C34</f>
        <v>1</v>
      </c>
      <c r="I2" s="225">
        <f>'Input Assumptions'!D34</f>
        <v>2</v>
      </c>
      <c r="J2" s="225">
        <f>'Input Assumptions'!E34</f>
        <v>3</v>
      </c>
      <c r="K2" s="225">
        <f>'Input Assumptions'!F34</f>
        <v>4</v>
      </c>
      <c r="L2" s="225">
        <f>'Input Assumptions'!G34</f>
        <v>5</v>
      </c>
      <c r="M2" s="225">
        <f>'Input Assumptions'!H34</f>
        <v>0</v>
      </c>
      <c r="N2" s="225">
        <f>'Input Assumptions'!I34</f>
        <v>0</v>
      </c>
      <c r="O2" s="225">
        <f>'Input Assumptions'!J34</f>
        <v>0</v>
      </c>
      <c r="P2" s="225">
        <f>'Input Assumptions'!K34</f>
        <v>0</v>
      </c>
      <c r="Q2" s="226">
        <f>'Input Assumptions'!L34</f>
        <v>0</v>
      </c>
    </row>
    <row r="3" spans="2:17" x14ac:dyDescent="0.3">
      <c r="B3" s="1" t="s">
        <v>89</v>
      </c>
      <c r="C3" s="42">
        <v>0.8</v>
      </c>
      <c r="D3" s="60">
        <f>C3*'Input Assumptions'!$C$14</f>
        <v>12200000</v>
      </c>
      <c r="F3" s="227" t="s">
        <v>141</v>
      </c>
      <c r="H3" s="59">
        <f>IF(H2&gt;$C$9,$D$10*12,$D$11*12)*IF(H2&gt;0,1,0)</f>
        <v>366000</v>
      </c>
      <c r="I3" s="59">
        <f t="shared" ref="I3:Q3" si="0">IF(I2&gt;$C$9,$D$10*12,$D$11*12)</f>
        <v>366000</v>
      </c>
      <c r="J3" s="59">
        <f t="shared" si="0"/>
        <v>366000</v>
      </c>
      <c r="K3" s="59">
        <f t="shared" si="0"/>
        <v>617228.30537991552</v>
      </c>
      <c r="L3" s="59">
        <f t="shared" si="0"/>
        <v>617228.30537991552</v>
      </c>
      <c r="M3" s="59">
        <f t="shared" si="0"/>
        <v>366000</v>
      </c>
      <c r="N3" s="59">
        <f t="shared" si="0"/>
        <v>366000</v>
      </c>
      <c r="O3" s="59">
        <f t="shared" si="0"/>
        <v>366000</v>
      </c>
      <c r="P3" s="59">
        <f t="shared" si="0"/>
        <v>366000</v>
      </c>
      <c r="Q3" s="59">
        <f t="shared" si="0"/>
        <v>366000</v>
      </c>
    </row>
    <row r="4" spans="2:17" x14ac:dyDescent="0.3">
      <c r="B4" s="1" t="s">
        <v>90</v>
      </c>
      <c r="C4" s="42">
        <v>0.01</v>
      </c>
      <c r="D4" s="60">
        <f>D3*C4</f>
        <v>122000</v>
      </c>
      <c r="F4" s="94" t="s">
        <v>144</v>
      </c>
      <c r="H4" s="59">
        <f>PV($C$7/12,$C$8*12-H2*12+MIN($C$9,H2)*12,-$D$10)</f>
        <v>12199999.999999866</v>
      </c>
      <c r="I4" s="59">
        <f t="shared" ref="I4:Q4" si="1">PV($C$7/12,$C$8*12-I2*12+MIN($C$9,I2)*12,-$D$10)</f>
        <v>12199999.999999866</v>
      </c>
      <c r="J4" s="59">
        <f t="shared" si="1"/>
        <v>12199999.999999866</v>
      </c>
      <c r="K4" s="59">
        <f t="shared" si="1"/>
        <v>11945288.356270235</v>
      </c>
      <c r="L4" s="59">
        <f t="shared" si="1"/>
        <v>11682829.414159555</v>
      </c>
      <c r="M4" s="59">
        <f t="shared" si="1"/>
        <v>12199999.999999866</v>
      </c>
      <c r="N4" s="59">
        <f t="shared" si="1"/>
        <v>12199999.999999866</v>
      </c>
      <c r="O4" s="59">
        <f t="shared" si="1"/>
        <v>12199999.999999866</v>
      </c>
      <c r="P4" s="59">
        <f t="shared" si="1"/>
        <v>12199999.999999866</v>
      </c>
      <c r="Q4" s="59">
        <f t="shared" si="1"/>
        <v>12199999.999999866</v>
      </c>
    </row>
    <row r="5" spans="2:17" x14ac:dyDescent="0.3">
      <c r="B5" s="1" t="s">
        <v>91</v>
      </c>
      <c r="C5" s="4"/>
      <c r="D5" s="62">
        <f>D3-D4</f>
        <v>12078000</v>
      </c>
      <c r="F5" s="94"/>
    </row>
    <row r="6" spans="2:17" x14ac:dyDescent="0.3">
      <c r="B6" s="1"/>
      <c r="C6" s="4"/>
      <c r="D6" s="2"/>
      <c r="F6" s="224" t="s">
        <v>145</v>
      </c>
      <c r="H6" s="135">
        <f>IF('Annual Cashflow'!D31=0,"",'Annual Cashflow'!D31)</f>
        <v>458577.49999999988</v>
      </c>
      <c r="I6" s="135">
        <f>'Annual Cashflow'!E31</f>
        <v>633959.375</v>
      </c>
      <c r="J6" s="135">
        <f>'Annual Cashflow'!F31</f>
        <v>661014.88203125028</v>
      </c>
      <c r="K6" s="135">
        <f>'Annual Cashflow'!G31</f>
        <v>689146.50864746096</v>
      </c>
      <c r="L6" s="135">
        <f>'Annual Cashflow'!H31</f>
        <v>718395.76317190647</v>
      </c>
      <c r="M6" s="135">
        <f>'Annual Cashflow'!I31</f>
        <v>0</v>
      </c>
      <c r="N6" s="135">
        <f>'Annual Cashflow'!J31</f>
        <v>0</v>
      </c>
      <c r="O6" s="135">
        <f>'Annual Cashflow'!K31</f>
        <v>0</v>
      </c>
      <c r="P6" s="135">
        <f>'Annual Cashflow'!L31</f>
        <v>0</v>
      </c>
      <c r="Q6" s="135">
        <f>'Annual Cashflow'!M31</f>
        <v>0</v>
      </c>
    </row>
    <row r="7" spans="2:17" x14ac:dyDescent="0.3">
      <c r="B7" s="1" t="s">
        <v>92</v>
      </c>
      <c r="C7" s="56">
        <v>0.03</v>
      </c>
      <c r="D7" s="2"/>
      <c r="F7" s="224" t="s">
        <v>146</v>
      </c>
      <c r="H7" s="235">
        <f>IF(H6/H3=0,"",H6/H3)</f>
        <v>1.2529439890710379</v>
      </c>
      <c r="I7" s="235">
        <f t="shared" ref="I7:Q7" si="2">IF(I6/I3=0,"",I6/I3)</f>
        <v>1.7321294398907103</v>
      </c>
      <c r="J7" s="235">
        <f t="shared" si="2"/>
        <v>1.8060515902493177</v>
      </c>
      <c r="K7" s="235">
        <f t="shared" si="2"/>
        <v>1.116517992841042</v>
      </c>
      <c r="L7" s="235">
        <f t="shared" si="2"/>
        <v>1.1639060569811692</v>
      </c>
      <c r="M7" s="235" t="str">
        <f t="shared" si="2"/>
        <v/>
      </c>
      <c r="N7" s="235" t="str">
        <f t="shared" si="2"/>
        <v/>
      </c>
      <c r="O7" s="235" t="str">
        <f t="shared" si="2"/>
        <v/>
      </c>
      <c r="P7" s="235" t="str">
        <f t="shared" si="2"/>
        <v/>
      </c>
      <c r="Q7" s="235" t="str">
        <f t="shared" si="2"/>
        <v/>
      </c>
    </row>
    <row r="8" spans="2:17" x14ac:dyDescent="0.3">
      <c r="B8" s="1" t="s">
        <v>93</v>
      </c>
      <c r="C8" s="31">
        <v>30</v>
      </c>
      <c r="D8" s="2"/>
      <c r="F8" s="224" t="s">
        <v>147</v>
      </c>
      <c r="H8" s="222">
        <f>IF(H6/$D$3=0,"",H6/$D$3)</f>
        <v>3.7588319672131137E-2</v>
      </c>
      <c r="I8" s="223">
        <f t="shared" ref="I8:Q8" si="3">IF(I6/$D$3=0,"",I6/$D$3)</f>
        <v>5.1963883196721308E-2</v>
      </c>
      <c r="J8" s="223">
        <f t="shared" si="3"/>
        <v>5.418154770747953E-2</v>
      </c>
      <c r="K8" s="223">
        <f t="shared" si="3"/>
        <v>5.6487418741595158E-2</v>
      </c>
      <c r="L8" s="223">
        <f t="shared" si="3"/>
        <v>5.8884898620648073E-2</v>
      </c>
      <c r="M8" s="223" t="str">
        <f t="shared" si="3"/>
        <v/>
      </c>
      <c r="N8" s="223" t="str">
        <f t="shared" si="3"/>
        <v/>
      </c>
      <c r="O8" s="223" t="str">
        <f t="shared" si="3"/>
        <v/>
      </c>
      <c r="P8" s="223" t="str">
        <f t="shared" si="3"/>
        <v/>
      </c>
      <c r="Q8" s="223" t="str">
        <f t="shared" si="3"/>
        <v/>
      </c>
    </row>
    <row r="9" spans="2:17" x14ac:dyDescent="0.3">
      <c r="B9" s="1" t="s">
        <v>94</v>
      </c>
      <c r="C9" s="31">
        <v>3</v>
      </c>
      <c r="D9" s="2"/>
      <c r="F9" s="94"/>
    </row>
    <row r="10" spans="2:17" x14ac:dyDescent="0.3">
      <c r="B10" s="1" t="s">
        <v>95</v>
      </c>
      <c r="C10" s="4"/>
      <c r="D10" s="60">
        <f>PMT(C7/12,C8*12,-D3)</f>
        <v>51435.692114992962</v>
      </c>
      <c r="F10" s="94"/>
    </row>
    <row r="11" spans="2:17" ht="15" thickBot="1" x14ac:dyDescent="0.35">
      <c r="B11" s="3" t="s">
        <v>96</v>
      </c>
      <c r="C11" s="63"/>
      <c r="D11" s="61">
        <f>C7/12*D3</f>
        <v>30500</v>
      </c>
      <c r="F11" s="94"/>
    </row>
    <row r="12" spans="2:17" x14ac:dyDescent="0.3">
      <c r="F12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5D7AF-39A8-4D19-BAD5-28119021537B}">
  <dimension ref="A1:E29"/>
  <sheetViews>
    <sheetView showGridLines="0" workbookViewId="0"/>
  </sheetViews>
  <sheetFormatPr defaultColWidth="0" defaultRowHeight="14.4" zeroHeight="1" x14ac:dyDescent="0.3"/>
  <cols>
    <col min="1" max="1" width="1.88671875" customWidth="1"/>
    <col min="2" max="2" width="31.21875" bestFit="1" customWidth="1"/>
    <col min="3" max="3" width="13.44140625" bestFit="1" customWidth="1"/>
    <col min="4" max="4" width="14.33203125" bestFit="1" customWidth="1"/>
    <col min="5" max="5" width="2.109375" customWidth="1"/>
    <col min="6" max="16384" width="8.88671875" hidden="1"/>
  </cols>
  <sheetData>
    <row r="1" spans="2:4" ht="15" thickBot="1" x14ac:dyDescent="0.35"/>
    <row r="2" spans="2:4" x14ac:dyDescent="0.3">
      <c r="B2" s="182" t="s">
        <v>31</v>
      </c>
      <c r="C2" s="183">
        <f>MAX('Monthly Cashflow'!4:4)</f>
        <v>5</v>
      </c>
      <c r="D2" s="162">
        <f>C2+1</f>
        <v>6</v>
      </c>
    </row>
    <row r="3" spans="2:4" x14ac:dyDescent="0.3">
      <c r="B3" s="1"/>
      <c r="C3" s="4"/>
      <c r="D3" s="2"/>
    </row>
    <row r="4" spans="2:4" ht="15" thickBot="1" x14ac:dyDescent="0.35">
      <c r="B4" s="184" t="str">
        <f>'Monthly Cashflow'!B15</f>
        <v>Operating Cashflows (Unlevered)</v>
      </c>
      <c r="C4" s="114"/>
      <c r="D4" s="185"/>
    </row>
    <row r="5" spans="2:4" x14ac:dyDescent="0.3">
      <c r="B5" s="186" t="str">
        <f>'Monthly Cashflow'!B16</f>
        <v>Gross rental income</v>
      </c>
      <c r="C5" s="139">
        <f>SUMIF('Monthly Cashflow'!$4:$4,'Reversion Proforma'!$C$2,'Monthly Cashflow'!16:16)</f>
        <v>1007086.1271871958</v>
      </c>
      <c r="D5" s="187">
        <f>C5*(1+'Input Assumptions'!$C$32)</f>
        <v>1044851.8569567157</v>
      </c>
    </row>
    <row r="6" spans="2:4" x14ac:dyDescent="0.3">
      <c r="B6" s="186" t="str">
        <f>'Monthly Cashflow'!B17</f>
        <v>Utilities expense</v>
      </c>
      <c r="C6" s="139">
        <f>SUMIF('Monthly Cashflow'!$4:$4,'Reversion Proforma'!$C$2,'Monthly Cashflow'!17:17)</f>
        <v>-51185.496342041013</v>
      </c>
      <c r="D6" s="187">
        <f>C6*(1+'Input Assumptions'!$C$39)</f>
        <v>-52145.224398454287</v>
      </c>
    </row>
    <row r="7" spans="2:4" x14ac:dyDescent="0.3">
      <c r="B7" s="188" t="str">
        <f>'Monthly Cashflow'!B18</f>
        <v>Net Income</v>
      </c>
      <c r="C7" s="108">
        <f>SUMIF('Monthly Cashflow'!$4:$4,'Reversion Proforma'!$C$2,'Monthly Cashflow'!18:18)</f>
        <v>955900.63084515464</v>
      </c>
      <c r="D7" s="189">
        <f>SUM(D5:D6)</f>
        <v>992706.63255826139</v>
      </c>
    </row>
    <row r="8" spans="2:4" x14ac:dyDescent="0.3">
      <c r="B8" s="1"/>
      <c r="C8" s="128"/>
      <c r="D8" s="190"/>
    </row>
    <row r="9" spans="2:4" x14ac:dyDescent="0.3">
      <c r="B9" s="191" t="str">
        <f>'Monthly Cashflow'!B20</f>
        <v>Vacancy cost</v>
      </c>
      <c r="C9" s="140">
        <f>SUMIF('Monthly Cashflow'!$4:$4,'Reversion Proforma'!$C$2,'Monthly Cashflow'!20:20)</f>
        <v>-53004.533009852457</v>
      </c>
      <c r="D9" s="192">
        <f>C9</f>
        <v>-53004.533009852457</v>
      </c>
    </row>
    <row r="10" spans="2:4" x14ac:dyDescent="0.3">
      <c r="B10" s="188" t="str">
        <f>'Monthly Cashflow'!B21</f>
        <v>Net Income Less Vacancy</v>
      </c>
      <c r="C10" s="108">
        <f>SUMIF('Monthly Cashflow'!$4:$4,'Reversion Proforma'!$C$2,'Monthly Cashflow'!21:21)</f>
        <v>902896.09783530224</v>
      </c>
      <c r="D10" s="189">
        <f>D9+D7</f>
        <v>939702.09954840899</v>
      </c>
    </row>
    <row r="11" spans="2:4" x14ac:dyDescent="0.3">
      <c r="B11" s="1"/>
      <c r="C11" s="128"/>
      <c r="D11" s="190"/>
    </row>
    <row r="12" spans="2:4" x14ac:dyDescent="0.3">
      <c r="B12" s="193" t="str">
        <f>'Monthly Cashflow'!B23</f>
        <v>Operating Expenses</v>
      </c>
      <c r="C12" s="141"/>
      <c r="D12" s="194"/>
    </row>
    <row r="13" spans="2:4" x14ac:dyDescent="0.3">
      <c r="B13" s="191" t="str">
        <f>'Monthly Cashflow'!B24</f>
        <v>Maintenance employment costs</v>
      </c>
      <c r="C13" s="142">
        <f>SUMIF('Monthly Cashflow'!$4:$4,'Reversion Proforma'!$C$2,'Monthly Cashflow'!24:24)</f>
        <v>-35545.483570861827</v>
      </c>
      <c r="D13" s="192">
        <f>C13*(1+'Input Assumptions'!$C$39)</f>
        <v>-36211.961387815485</v>
      </c>
    </row>
    <row r="14" spans="2:4" x14ac:dyDescent="0.3">
      <c r="B14" s="191" t="str">
        <f>'Monthly Cashflow'!B25</f>
        <v>Maintenance other costs</v>
      </c>
      <c r="C14" s="142">
        <f>SUMIF('Monthly Cashflow'!$4:$4,'Reversion Proforma'!$C$2,'Monthly Cashflow'!25:25)</f>
        <v>-19388.445584106448</v>
      </c>
      <c r="D14" s="192">
        <f>C14*(1+'Input Assumptions'!$C$39)</f>
        <v>-19751.978938808446</v>
      </c>
    </row>
    <row r="15" spans="2:4" x14ac:dyDescent="0.3">
      <c r="B15" s="191" t="str">
        <f>'Monthly Cashflow'!B26</f>
        <v>Operations employment costs</v>
      </c>
      <c r="C15" s="142">
        <f>SUMIF('Monthly Cashflow'!$4:$4,'Reversion Proforma'!$C$2,'Monthly Cashflow'!26:26)</f>
        <v>-53856.793289184563</v>
      </c>
      <c r="D15" s="192">
        <f>C15*(1+'Input Assumptions'!$C$39)</f>
        <v>-54866.608163356774</v>
      </c>
    </row>
    <row r="16" spans="2:4" x14ac:dyDescent="0.3">
      <c r="B16" s="191" t="str">
        <f>'Monthly Cashflow'!B27</f>
        <v>Cleaning employment costs</v>
      </c>
      <c r="C16" s="142">
        <f>SUMIF('Monthly Cashflow'!$4:$4,'Reversion Proforma'!$C$2,'Monthly Cashflow'!27:27)</f>
        <v>-24774.124913024902</v>
      </c>
      <c r="D16" s="192">
        <f>C16*(1+'Input Assumptions'!$C$39)</f>
        <v>-25238.639755144119</v>
      </c>
    </row>
    <row r="17" spans="2:4" x14ac:dyDescent="0.3">
      <c r="B17" s="191" t="str">
        <f>'Monthly Cashflow'!B28</f>
        <v>Sales/marketing employment costs</v>
      </c>
      <c r="C17" s="142">
        <f>SUMIF('Monthly Cashflow'!$4:$4,'Reversion Proforma'!$C$2,'Monthly Cashflow'!28:28)</f>
        <v>0</v>
      </c>
      <c r="D17" s="192">
        <f>C17*(1+'Input Assumptions'!$C$39)</f>
        <v>0</v>
      </c>
    </row>
    <row r="18" spans="2:4" x14ac:dyDescent="0.3">
      <c r="B18" s="191" t="str">
        <f>'Monthly Cashflow'!B29</f>
        <v>Agency/letting fees</v>
      </c>
      <c r="C18" s="142">
        <f>SUMIF('Monthly Cashflow'!$4:$4,'Reversion Proforma'!$C$2,'Monthly Cashflow'!29:29)</f>
        <v>-47704.079708867153</v>
      </c>
      <c r="D18" s="192">
        <f>C18*(1+'Input Assumptions'!$C$39)</f>
        <v>-48598.531203408413</v>
      </c>
    </row>
    <row r="19" spans="2:4" x14ac:dyDescent="0.3">
      <c r="B19" s="191" t="str">
        <f>'Monthly Cashflow'!B30</f>
        <v>Ground rent</v>
      </c>
      <c r="C19" s="142">
        <f>SUMIF('Monthly Cashflow'!$4:$4,'Reversion Proforma'!$C$2,'Monthly Cashflow'!30:30)</f>
        <v>-1077.1358657836915</v>
      </c>
      <c r="D19" s="192">
        <f>C19*(1+'Input Assumptions'!$C$39)</f>
        <v>-1097.3321632671359</v>
      </c>
    </row>
    <row r="20" spans="2:4" x14ac:dyDescent="0.3">
      <c r="B20" s="191" t="str">
        <f>'Monthly Cashflow'!B31</f>
        <v>Service charge</v>
      </c>
      <c r="C20" s="142">
        <f>SUMIF('Monthly Cashflow'!$4:$4,'Reversion Proforma'!$C$2,'Monthly Cashflow'!31:31)</f>
        <v>-2154.2717315673831</v>
      </c>
      <c r="D20" s="192">
        <f>C20*(1+'Input Assumptions'!$C$39)</f>
        <v>-2194.6643265342718</v>
      </c>
    </row>
    <row r="21" spans="2:4" x14ac:dyDescent="0.3">
      <c r="B21" s="188" t="str">
        <f>'Monthly Cashflow'!B32</f>
        <v>Total Operating Expenses</v>
      </c>
      <c r="C21" s="108">
        <f>SUMIF('Monthly Cashflow'!$4:$4,'Reversion Proforma'!$C$2,'Monthly Cashflow'!32:32)</f>
        <v>-184500.334663396</v>
      </c>
      <c r="D21" s="189">
        <f>SUM(D13:D20)</f>
        <v>-187959.71593833464</v>
      </c>
    </row>
    <row r="22" spans="2:4" x14ac:dyDescent="0.3">
      <c r="B22" s="1"/>
      <c r="C22" s="128"/>
      <c r="D22" s="190"/>
    </row>
    <row r="23" spans="2:4" x14ac:dyDescent="0.3">
      <c r="B23" s="188" t="str">
        <f>'Monthly Cashflow'!B34</f>
        <v>Net Operating Income</v>
      </c>
      <c r="C23" s="108">
        <f>SUMIF('Monthly Cashflow'!$4:$4,'Reversion Proforma'!$C$2,'Monthly Cashflow'!34:34)</f>
        <v>718395.76317190647</v>
      </c>
      <c r="D23" s="189">
        <f>D21+D10</f>
        <v>751742.38361007441</v>
      </c>
    </row>
    <row r="24" spans="2:4" x14ac:dyDescent="0.3">
      <c r="B24" s="1"/>
      <c r="C24" s="128"/>
      <c r="D24" s="190"/>
    </row>
    <row r="25" spans="2:4" ht="15" thickBot="1" x14ac:dyDescent="0.35">
      <c r="B25" s="195" t="str">
        <f>'Monthly Cashflow'!B39</f>
        <v>Reversion Cashflows (Unlevered)</v>
      </c>
      <c r="C25" s="118"/>
      <c r="D25" s="196"/>
    </row>
    <row r="26" spans="2:4" x14ac:dyDescent="0.3">
      <c r="B26" s="1" t="str">
        <f>'Monthly Cashflow'!B40</f>
        <v>Proceeds from sale</v>
      </c>
      <c r="C26" s="128"/>
      <c r="D26" s="190">
        <f>D23/'Input Assumptions'!$C$15</f>
        <v>19782694.305528276</v>
      </c>
    </row>
    <row r="27" spans="2:4" x14ac:dyDescent="0.3">
      <c r="B27" s="1" t="str">
        <f>'Monthly Cashflow'!B41</f>
        <v>Disposal Cost</v>
      </c>
      <c r="C27" s="128"/>
      <c r="D27" s="190">
        <f>-D26*'Input Assumptions'!C17</f>
        <v>-1345223.2127759228</v>
      </c>
    </row>
    <row r="28" spans="2:4" ht="15" thickBot="1" x14ac:dyDescent="0.35">
      <c r="B28" s="3" t="str">
        <f>'Monthly Cashflow'!B42</f>
        <v>Net Proceeds from sale</v>
      </c>
      <c r="C28" s="78"/>
      <c r="D28" s="197">
        <f>SUM(D26:D27)</f>
        <v>18437471.092752352</v>
      </c>
    </row>
    <row r="29" spans="2:4" ht="13.2" customHeight="1" x14ac:dyDescent="0.3"/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47B10-9AD2-4CD9-96DF-7F109BF90F21}">
  <dimension ref="A1:DU72"/>
  <sheetViews>
    <sheetView showGridLines="0" workbookViewId="0">
      <pane ySplit="8" topLeftCell="A9" activePane="bottomLeft" state="frozen"/>
      <selection pane="bottomLeft"/>
    </sheetView>
  </sheetViews>
  <sheetFormatPr defaultColWidth="0" defaultRowHeight="14.4" zeroHeight="1" x14ac:dyDescent="0.3"/>
  <cols>
    <col min="1" max="1" width="2.109375" customWidth="1"/>
    <col min="2" max="2" width="31.21875" bestFit="1" customWidth="1"/>
    <col min="3" max="3" width="11.21875" bestFit="1" customWidth="1"/>
    <col min="4" max="4" width="11.109375" bestFit="1" customWidth="1"/>
    <col min="5" max="62" width="10.5546875" bestFit="1" customWidth="1"/>
    <col min="63" max="63" width="11.21875" bestFit="1" customWidth="1"/>
    <col min="64" max="122" width="10.5546875" bestFit="1" customWidth="1"/>
    <col min="123" max="123" width="11.44140625" bestFit="1" customWidth="1"/>
    <col min="124" max="124" width="4.5546875" hidden="1"/>
    <col min="125" max="125" width="2.21875" hidden="1"/>
  </cols>
  <sheetData>
    <row r="1" spans="2:123" x14ac:dyDescent="0.3">
      <c r="B1" s="99" t="str">
        <f>'Input Assumptions'!C3</f>
        <v>Anytown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</row>
    <row r="2" spans="2:123" x14ac:dyDescent="0.3">
      <c r="B2" s="99" t="s">
        <v>103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  <c r="CG2" s="98"/>
      <c r="CH2" s="98"/>
      <c r="CI2" s="98"/>
      <c r="CJ2" s="98"/>
      <c r="CK2" s="98"/>
      <c r="CL2" s="98"/>
      <c r="CM2" s="98"/>
      <c r="CN2" s="98"/>
      <c r="CO2" s="98"/>
      <c r="CP2" s="98"/>
      <c r="CQ2" s="98"/>
      <c r="CR2" s="98"/>
      <c r="CS2" s="98"/>
      <c r="CT2" s="98"/>
      <c r="CU2" s="98"/>
      <c r="CV2" s="98"/>
      <c r="CW2" s="98"/>
      <c r="CX2" s="98"/>
      <c r="CY2" s="98"/>
      <c r="CZ2" s="98"/>
      <c r="DA2" s="98"/>
      <c r="DB2" s="98"/>
      <c r="DC2" s="98"/>
      <c r="DD2" s="98"/>
      <c r="DE2" s="98"/>
      <c r="DF2" s="98"/>
      <c r="DG2" s="98"/>
      <c r="DH2" s="98"/>
      <c r="DI2" s="98"/>
      <c r="DJ2" s="98"/>
      <c r="DK2" s="98"/>
      <c r="DL2" s="98"/>
      <c r="DM2" s="98"/>
      <c r="DN2" s="98"/>
      <c r="DO2" s="98"/>
      <c r="DP2" s="98"/>
      <c r="DQ2" s="98"/>
      <c r="DR2" s="98"/>
      <c r="DS2" s="98"/>
    </row>
    <row r="3" spans="2:123" x14ac:dyDescent="0.3">
      <c r="B3" s="100" t="s">
        <v>104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</row>
    <row r="4" spans="2:123" x14ac:dyDescent="0.3">
      <c r="B4" s="96" t="s">
        <v>31</v>
      </c>
      <c r="C4">
        <v>0</v>
      </c>
      <c r="D4">
        <f>ROUNDUP(D5/12,0)</f>
        <v>1</v>
      </c>
      <c r="E4">
        <f t="shared" ref="E4:P4" si="0">ROUNDUP(E5/12,0)</f>
        <v>1</v>
      </c>
      <c r="F4">
        <f t="shared" si="0"/>
        <v>1</v>
      </c>
      <c r="G4">
        <f t="shared" si="0"/>
        <v>1</v>
      </c>
      <c r="H4">
        <f t="shared" si="0"/>
        <v>1</v>
      </c>
      <c r="I4">
        <f t="shared" si="0"/>
        <v>1</v>
      </c>
      <c r="J4">
        <f t="shared" si="0"/>
        <v>1</v>
      </c>
      <c r="K4">
        <f t="shared" si="0"/>
        <v>1</v>
      </c>
      <c r="L4">
        <f t="shared" si="0"/>
        <v>1</v>
      </c>
      <c r="M4">
        <f t="shared" si="0"/>
        <v>1</v>
      </c>
      <c r="N4">
        <f t="shared" si="0"/>
        <v>1</v>
      </c>
      <c r="O4">
        <f t="shared" si="0"/>
        <v>1</v>
      </c>
      <c r="P4">
        <f t="shared" si="0"/>
        <v>2</v>
      </c>
      <c r="Q4">
        <f t="shared" ref="Q4" si="1">ROUNDUP(Q5/12,0)</f>
        <v>2</v>
      </c>
      <c r="R4">
        <f t="shared" ref="R4" si="2">ROUNDUP(R5/12,0)</f>
        <v>2</v>
      </c>
      <c r="S4">
        <f t="shared" ref="S4" si="3">ROUNDUP(S5/12,0)</f>
        <v>2</v>
      </c>
      <c r="T4">
        <f t="shared" ref="T4" si="4">ROUNDUP(T5/12,0)</f>
        <v>2</v>
      </c>
      <c r="U4">
        <f t="shared" ref="U4" si="5">ROUNDUP(U5/12,0)</f>
        <v>2</v>
      </c>
      <c r="V4">
        <f t="shared" ref="V4" si="6">ROUNDUP(V5/12,0)</f>
        <v>2</v>
      </c>
      <c r="W4">
        <f t="shared" ref="W4" si="7">ROUNDUP(W5/12,0)</f>
        <v>2</v>
      </c>
      <c r="X4">
        <f t="shared" ref="X4" si="8">ROUNDUP(X5/12,0)</f>
        <v>2</v>
      </c>
      <c r="Y4">
        <f t="shared" ref="Y4" si="9">ROUNDUP(Y5/12,0)</f>
        <v>2</v>
      </c>
      <c r="Z4">
        <f t="shared" ref="Z4" si="10">ROUNDUP(Z5/12,0)</f>
        <v>2</v>
      </c>
      <c r="AA4">
        <f t="shared" ref="AA4" si="11">ROUNDUP(AA5/12,0)</f>
        <v>2</v>
      </c>
      <c r="AB4">
        <f t="shared" ref="AB4" si="12">ROUNDUP(AB5/12,0)</f>
        <v>3</v>
      </c>
      <c r="AC4">
        <f t="shared" ref="AC4" si="13">ROUNDUP(AC5/12,0)</f>
        <v>3</v>
      </c>
      <c r="AD4">
        <f t="shared" ref="AD4" si="14">ROUNDUP(AD5/12,0)</f>
        <v>3</v>
      </c>
      <c r="AE4">
        <f t="shared" ref="AE4" si="15">ROUNDUP(AE5/12,0)</f>
        <v>3</v>
      </c>
      <c r="AF4">
        <f t="shared" ref="AF4" si="16">ROUNDUP(AF5/12,0)</f>
        <v>3</v>
      </c>
      <c r="AG4">
        <f t="shared" ref="AG4" si="17">ROUNDUP(AG5/12,0)</f>
        <v>3</v>
      </c>
      <c r="AH4">
        <f t="shared" ref="AH4" si="18">ROUNDUP(AH5/12,0)</f>
        <v>3</v>
      </c>
      <c r="AI4">
        <f t="shared" ref="AI4" si="19">ROUNDUP(AI5/12,0)</f>
        <v>3</v>
      </c>
      <c r="AJ4">
        <f t="shared" ref="AJ4" si="20">ROUNDUP(AJ5/12,0)</f>
        <v>3</v>
      </c>
      <c r="AK4">
        <f t="shared" ref="AK4" si="21">ROUNDUP(AK5/12,0)</f>
        <v>3</v>
      </c>
      <c r="AL4">
        <f t="shared" ref="AL4" si="22">ROUNDUP(AL5/12,0)</f>
        <v>3</v>
      </c>
      <c r="AM4">
        <f t="shared" ref="AM4" si="23">ROUNDUP(AM5/12,0)</f>
        <v>3</v>
      </c>
      <c r="AN4">
        <f t="shared" ref="AN4" si="24">ROUNDUP(AN5/12,0)</f>
        <v>4</v>
      </c>
      <c r="AO4">
        <f t="shared" ref="AO4" si="25">ROUNDUP(AO5/12,0)</f>
        <v>4</v>
      </c>
      <c r="AP4">
        <f t="shared" ref="AP4" si="26">ROUNDUP(AP5/12,0)</f>
        <v>4</v>
      </c>
      <c r="AQ4">
        <f t="shared" ref="AQ4" si="27">ROUNDUP(AQ5/12,0)</f>
        <v>4</v>
      </c>
      <c r="AR4">
        <f t="shared" ref="AR4" si="28">ROUNDUP(AR5/12,0)</f>
        <v>4</v>
      </c>
      <c r="AS4">
        <f t="shared" ref="AS4" si="29">ROUNDUP(AS5/12,0)</f>
        <v>4</v>
      </c>
      <c r="AT4">
        <f t="shared" ref="AT4" si="30">ROUNDUP(AT5/12,0)</f>
        <v>4</v>
      </c>
      <c r="AU4">
        <f t="shared" ref="AU4" si="31">ROUNDUP(AU5/12,0)</f>
        <v>4</v>
      </c>
      <c r="AV4">
        <f t="shared" ref="AV4" si="32">ROUNDUP(AV5/12,0)</f>
        <v>4</v>
      </c>
      <c r="AW4">
        <f t="shared" ref="AW4" si="33">ROUNDUP(AW5/12,0)</f>
        <v>4</v>
      </c>
      <c r="AX4">
        <f t="shared" ref="AX4" si="34">ROUNDUP(AX5/12,0)</f>
        <v>4</v>
      </c>
      <c r="AY4">
        <f t="shared" ref="AY4" si="35">ROUNDUP(AY5/12,0)</f>
        <v>4</v>
      </c>
      <c r="AZ4">
        <f t="shared" ref="AZ4" si="36">ROUNDUP(AZ5/12,0)</f>
        <v>5</v>
      </c>
      <c r="BA4">
        <f t="shared" ref="BA4" si="37">ROUNDUP(BA5/12,0)</f>
        <v>5</v>
      </c>
      <c r="BB4">
        <f t="shared" ref="BB4" si="38">ROUNDUP(BB5/12,0)</f>
        <v>5</v>
      </c>
      <c r="BC4">
        <f t="shared" ref="BC4" si="39">ROUNDUP(BC5/12,0)</f>
        <v>5</v>
      </c>
      <c r="BD4">
        <f t="shared" ref="BD4" si="40">ROUNDUP(BD5/12,0)</f>
        <v>5</v>
      </c>
      <c r="BE4">
        <f t="shared" ref="BE4" si="41">ROUNDUP(BE5/12,0)</f>
        <v>5</v>
      </c>
      <c r="BF4">
        <f t="shared" ref="BF4" si="42">ROUNDUP(BF5/12,0)</f>
        <v>5</v>
      </c>
      <c r="BG4">
        <f t="shared" ref="BG4" si="43">ROUNDUP(BG5/12,0)</f>
        <v>5</v>
      </c>
      <c r="BH4">
        <f t="shared" ref="BH4" si="44">ROUNDUP(BH5/12,0)</f>
        <v>5</v>
      </c>
      <c r="BI4">
        <f t="shared" ref="BI4" si="45">ROUNDUP(BI5/12,0)</f>
        <v>5</v>
      </c>
      <c r="BJ4">
        <f t="shared" ref="BJ4" si="46">ROUNDUP(BJ5/12,0)</f>
        <v>5</v>
      </c>
      <c r="BK4">
        <f t="shared" ref="BK4" si="47">ROUNDUP(BK5/12,0)</f>
        <v>5</v>
      </c>
      <c r="BL4">
        <f t="shared" ref="BL4" si="48">ROUNDUP(BL5/12,0)</f>
        <v>0</v>
      </c>
      <c r="BM4">
        <f t="shared" ref="BM4" si="49">ROUNDUP(BM5/12,0)</f>
        <v>0</v>
      </c>
      <c r="BN4">
        <f t="shared" ref="BN4" si="50">ROUNDUP(BN5/12,0)</f>
        <v>0</v>
      </c>
      <c r="BO4">
        <f t="shared" ref="BO4" si="51">ROUNDUP(BO5/12,0)</f>
        <v>0</v>
      </c>
      <c r="BP4">
        <f t="shared" ref="BP4" si="52">ROUNDUP(BP5/12,0)</f>
        <v>0</v>
      </c>
      <c r="BQ4">
        <f t="shared" ref="BQ4" si="53">ROUNDUP(BQ5/12,0)</f>
        <v>0</v>
      </c>
      <c r="BR4">
        <f t="shared" ref="BR4" si="54">ROUNDUP(BR5/12,0)</f>
        <v>0</v>
      </c>
      <c r="BS4">
        <f t="shared" ref="BS4" si="55">ROUNDUP(BS5/12,0)</f>
        <v>0</v>
      </c>
      <c r="BT4">
        <f t="shared" ref="BT4" si="56">ROUNDUP(BT5/12,0)</f>
        <v>0</v>
      </c>
      <c r="BU4">
        <f t="shared" ref="BU4" si="57">ROUNDUP(BU5/12,0)</f>
        <v>0</v>
      </c>
      <c r="BV4">
        <f t="shared" ref="BV4" si="58">ROUNDUP(BV5/12,0)</f>
        <v>0</v>
      </c>
      <c r="BW4">
        <f t="shared" ref="BW4" si="59">ROUNDUP(BW5/12,0)</f>
        <v>0</v>
      </c>
      <c r="BX4">
        <f t="shared" ref="BX4" si="60">ROUNDUP(BX5/12,0)</f>
        <v>0</v>
      </c>
      <c r="BY4">
        <f t="shared" ref="BY4" si="61">ROUNDUP(BY5/12,0)</f>
        <v>0</v>
      </c>
      <c r="BZ4">
        <f t="shared" ref="BZ4" si="62">ROUNDUP(BZ5/12,0)</f>
        <v>0</v>
      </c>
      <c r="CA4">
        <f t="shared" ref="CA4" si="63">ROUNDUP(CA5/12,0)</f>
        <v>0</v>
      </c>
      <c r="CB4">
        <f t="shared" ref="CB4" si="64">ROUNDUP(CB5/12,0)</f>
        <v>0</v>
      </c>
      <c r="CC4">
        <f t="shared" ref="CC4" si="65">ROUNDUP(CC5/12,0)</f>
        <v>0</v>
      </c>
      <c r="CD4">
        <f t="shared" ref="CD4" si="66">ROUNDUP(CD5/12,0)</f>
        <v>0</v>
      </c>
      <c r="CE4">
        <f t="shared" ref="CE4" si="67">ROUNDUP(CE5/12,0)</f>
        <v>0</v>
      </c>
      <c r="CF4">
        <f t="shared" ref="CF4" si="68">ROUNDUP(CF5/12,0)</f>
        <v>0</v>
      </c>
      <c r="CG4">
        <f t="shared" ref="CG4" si="69">ROUNDUP(CG5/12,0)</f>
        <v>0</v>
      </c>
      <c r="CH4">
        <f t="shared" ref="CH4" si="70">ROUNDUP(CH5/12,0)</f>
        <v>0</v>
      </c>
      <c r="CI4">
        <f t="shared" ref="CI4" si="71">ROUNDUP(CI5/12,0)</f>
        <v>0</v>
      </c>
      <c r="CJ4">
        <f t="shared" ref="CJ4" si="72">ROUNDUP(CJ5/12,0)</f>
        <v>0</v>
      </c>
      <c r="CK4">
        <f t="shared" ref="CK4" si="73">ROUNDUP(CK5/12,0)</f>
        <v>0</v>
      </c>
      <c r="CL4">
        <f t="shared" ref="CL4" si="74">ROUNDUP(CL5/12,0)</f>
        <v>0</v>
      </c>
      <c r="CM4">
        <f t="shared" ref="CM4" si="75">ROUNDUP(CM5/12,0)</f>
        <v>0</v>
      </c>
      <c r="CN4">
        <f t="shared" ref="CN4" si="76">ROUNDUP(CN5/12,0)</f>
        <v>0</v>
      </c>
      <c r="CO4">
        <f t="shared" ref="CO4" si="77">ROUNDUP(CO5/12,0)</f>
        <v>0</v>
      </c>
      <c r="CP4">
        <f t="shared" ref="CP4" si="78">ROUNDUP(CP5/12,0)</f>
        <v>0</v>
      </c>
      <c r="CQ4">
        <f t="shared" ref="CQ4" si="79">ROUNDUP(CQ5/12,0)</f>
        <v>0</v>
      </c>
      <c r="CR4">
        <f t="shared" ref="CR4" si="80">ROUNDUP(CR5/12,0)</f>
        <v>0</v>
      </c>
      <c r="CS4">
        <f t="shared" ref="CS4" si="81">ROUNDUP(CS5/12,0)</f>
        <v>0</v>
      </c>
      <c r="CT4">
        <f t="shared" ref="CT4" si="82">ROUNDUP(CT5/12,0)</f>
        <v>0</v>
      </c>
      <c r="CU4">
        <f t="shared" ref="CU4" si="83">ROUNDUP(CU5/12,0)</f>
        <v>0</v>
      </c>
      <c r="CV4">
        <f t="shared" ref="CV4" si="84">ROUNDUP(CV5/12,0)</f>
        <v>0</v>
      </c>
      <c r="CW4">
        <f t="shared" ref="CW4" si="85">ROUNDUP(CW5/12,0)</f>
        <v>0</v>
      </c>
      <c r="CX4">
        <f t="shared" ref="CX4" si="86">ROUNDUP(CX5/12,0)</f>
        <v>0</v>
      </c>
      <c r="CY4">
        <f t="shared" ref="CY4" si="87">ROUNDUP(CY5/12,0)</f>
        <v>0</v>
      </c>
      <c r="CZ4">
        <f t="shared" ref="CZ4" si="88">ROUNDUP(CZ5/12,0)</f>
        <v>0</v>
      </c>
      <c r="DA4">
        <f t="shared" ref="DA4" si="89">ROUNDUP(DA5/12,0)</f>
        <v>0</v>
      </c>
      <c r="DB4">
        <f t="shared" ref="DB4" si="90">ROUNDUP(DB5/12,0)</f>
        <v>0</v>
      </c>
      <c r="DC4">
        <f t="shared" ref="DC4" si="91">ROUNDUP(DC5/12,0)</f>
        <v>0</v>
      </c>
      <c r="DD4">
        <f t="shared" ref="DD4" si="92">ROUNDUP(DD5/12,0)</f>
        <v>0</v>
      </c>
      <c r="DE4">
        <f t="shared" ref="DE4" si="93">ROUNDUP(DE5/12,0)</f>
        <v>0</v>
      </c>
      <c r="DF4">
        <f t="shared" ref="DF4" si="94">ROUNDUP(DF5/12,0)</f>
        <v>0</v>
      </c>
      <c r="DG4">
        <f t="shared" ref="DG4" si="95">ROUNDUP(DG5/12,0)</f>
        <v>0</v>
      </c>
      <c r="DH4">
        <f t="shared" ref="DH4" si="96">ROUNDUP(DH5/12,0)</f>
        <v>0</v>
      </c>
      <c r="DI4">
        <f t="shared" ref="DI4" si="97">ROUNDUP(DI5/12,0)</f>
        <v>0</v>
      </c>
      <c r="DJ4">
        <f t="shared" ref="DJ4" si="98">ROUNDUP(DJ5/12,0)</f>
        <v>0</v>
      </c>
      <c r="DK4">
        <f t="shared" ref="DK4" si="99">ROUNDUP(DK5/12,0)</f>
        <v>0</v>
      </c>
      <c r="DL4">
        <f t="shared" ref="DL4" si="100">ROUNDUP(DL5/12,0)</f>
        <v>0</v>
      </c>
      <c r="DM4">
        <f t="shared" ref="DM4" si="101">ROUNDUP(DM5/12,0)</f>
        <v>0</v>
      </c>
      <c r="DN4">
        <f t="shared" ref="DN4" si="102">ROUNDUP(DN5/12,0)</f>
        <v>0</v>
      </c>
      <c r="DO4">
        <f t="shared" ref="DO4" si="103">ROUNDUP(DO5/12,0)</f>
        <v>0</v>
      </c>
      <c r="DP4">
        <f t="shared" ref="DP4" si="104">ROUNDUP(DP5/12,0)</f>
        <v>0</v>
      </c>
      <c r="DQ4">
        <f t="shared" ref="DQ4" si="105">ROUNDUP(DQ5/12,0)</f>
        <v>0</v>
      </c>
      <c r="DR4">
        <f t="shared" ref="DR4" si="106">ROUNDUP(DR5/12,0)</f>
        <v>0</v>
      </c>
      <c r="DS4">
        <f t="shared" ref="DS4" si="107">ROUNDUP(DS5/12,0)</f>
        <v>0</v>
      </c>
    </row>
    <row r="5" spans="2:123" x14ac:dyDescent="0.3">
      <c r="B5" s="96" t="s">
        <v>34</v>
      </c>
      <c r="C5">
        <v>0</v>
      </c>
      <c r="D5">
        <f>IF('Input Assumptions'!C50=0,"",'Input Assumptions'!C50)</f>
        <v>1</v>
      </c>
      <c r="E5">
        <f>'Input Assumptions'!D50</f>
        <v>2</v>
      </c>
      <c r="F5">
        <f>'Input Assumptions'!E50</f>
        <v>3</v>
      </c>
      <c r="G5">
        <f>'Input Assumptions'!F50</f>
        <v>4</v>
      </c>
      <c r="H5">
        <f>'Input Assumptions'!G50</f>
        <v>5</v>
      </c>
      <c r="I5">
        <f>'Input Assumptions'!H50</f>
        <v>6</v>
      </c>
      <c r="J5">
        <f>'Input Assumptions'!I50</f>
        <v>7</v>
      </c>
      <c r="K5">
        <f>'Input Assumptions'!J50</f>
        <v>8</v>
      </c>
      <c r="L5">
        <f>'Input Assumptions'!K50</f>
        <v>9</v>
      </c>
      <c r="M5">
        <f>'Input Assumptions'!L50</f>
        <v>10</v>
      </c>
      <c r="N5">
        <f>'Input Assumptions'!M50</f>
        <v>11</v>
      </c>
      <c r="O5">
        <f>'Input Assumptions'!N50</f>
        <v>12</v>
      </c>
      <c r="P5">
        <f>'Input Assumptions'!O50</f>
        <v>13</v>
      </c>
      <c r="Q5">
        <f>'Input Assumptions'!P50</f>
        <v>14</v>
      </c>
      <c r="R5">
        <f>'Input Assumptions'!Q50</f>
        <v>15</v>
      </c>
      <c r="S5">
        <f>'Input Assumptions'!R50</f>
        <v>16</v>
      </c>
      <c r="T5">
        <f>'Input Assumptions'!S50</f>
        <v>17</v>
      </c>
      <c r="U5">
        <f>'Input Assumptions'!T50</f>
        <v>18</v>
      </c>
      <c r="V5">
        <f>'Input Assumptions'!U50</f>
        <v>19</v>
      </c>
      <c r="W5">
        <f>'Input Assumptions'!V50</f>
        <v>20</v>
      </c>
      <c r="X5">
        <f>'Input Assumptions'!W50</f>
        <v>21</v>
      </c>
      <c r="Y5">
        <f>'Input Assumptions'!X50</f>
        <v>22</v>
      </c>
      <c r="Z5">
        <f>'Input Assumptions'!Y50</f>
        <v>23</v>
      </c>
      <c r="AA5">
        <f>'Input Assumptions'!Z50</f>
        <v>24</v>
      </c>
      <c r="AB5">
        <f>'Input Assumptions'!AA50</f>
        <v>25</v>
      </c>
      <c r="AC5">
        <f>'Input Assumptions'!AB50</f>
        <v>26</v>
      </c>
      <c r="AD5">
        <f>'Input Assumptions'!AC50</f>
        <v>27</v>
      </c>
      <c r="AE5">
        <f>'Input Assumptions'!AD50</f>
        <v>28</v>
      </c>
      <c r="AF5">
        <f>'Input Assumptions'!AE50</f>
        <v>29</v>
      </c>
      <c r="AG5">
        <f>'Input Assumptions'!AF50</f>
        <v>30</v>
      </c>
      <c r="AH5">
        <f>'Input Assumptions'!AG50</f>
        <v>31</v>
      </c>
      <c r="AI5">
        <f>'Input Assumptions'!AH50</f>
        <v>32</v>
      </c>
      <c r="AJ5">
        <f>'Input Assumptions'!AI50</f>
        <v>33</v>
      </c>
      <c r="AK5">
        <f>'Input Assumptions'!AJ50</f>
        <v>34</v>
      </c>
      <c r="AL5">
        <f>'Input Assumptions'!AK50</f>
        <v>35</v>
      </c>
      <c r="AM5">
        <f>'Input Assumptions'!AL50</f>
        <v>36</v>
      </c>
      <c r="AN5">
        <f>'Input Assumptions'!AM50</f>
        <v>37</v>
      </c>
      <c r="AO5">
        <f>'Input Assumptions'!AN50</f>
        <v>38</v>
      </c>
      <c r="AP5">
        <f>'Input Assumptions'!AO50</f>
        <v>39</v>
      </c>
      <c r="AQ5">
        <f>'Input Assumptions'!AP50</f>
        <v>40</v>
      </c>
      <c r="AR5">
        <f>'Input Assumptions'!AQ50</f>
        <v>41</v>
      </c>
      <c r="AS5">
        <f>'Input Assumptions'!AR50</f>
        <v>42</v>
      </c>
      <c r="AT5">
        <f>'Input Assumptions'!AS50</f>
        <v>43</v>
      </c>
      <c r="AU5">
        <f>'Input Assumptions'!AT50</f>
        <v>44</v>
      </c>
      <c r="AV5">
        <f>'Input Assumptions'!AU50</f>
        <v>45</v>
      </c>
      <c r="AW5">
        <f>'Input Assumptions'!AV50</f>
        <v>46</v>
      </c>
      <c r="AX5">
        <f>'Input Assumptions'!AW50</f>
        <v>47</v>
      </c>
      <c r="AY5">
        <f>'Input Assumptions'!AX50</f>
        <v>48</v>
      </c>
      <c r="AZ5">
        <f>'Input Assumptions'!AY50</f>
        <v>49</v>
      </c>
      <c r="BA5">
        <f>'Input Assumptions'!AZ50</f>
        <v>50</v>
      </c>
      <c r="BB5">
        <f>'Input Assumptions'!BA50</f>
        <v>51</v>
      </c>
      <c r="BC5">
        <f>'Input Assumptions'!BB50</f>
        <v>52</v>
      </c>
      <c r="BD5">
        <f>'Input Assumptions'!BC50</f>
        <v>53</v>
      </c>
      <c r="BE5">
        <f>'Input Assumptions'!BD50</f>
        <v>54</v>
      </c>
      <c r="BF5">
        <f>'Input Assumptions'!BE50</f>
        <v>55</v>
      </c>
      <c r="BG5">
        <f>'Input Assumptions'!BF50</f>
        <v>56</v>
      </c>
      <c r="BH5">
        <f>'Input Assumptions'!BG50</f>
        <v>57</v>
      </c>
      <c r="BI5">
        <f>'Input Assumptions'!BH50</f>
        <v>58</v>
      </c>
      <c r="BJ5">
        <f>'Input Assumptions'!BI50</f>
        <v>59</v>
      </c>
      <c r="BK5">
        <f>'Input Assumptions'!BJ50</f>
        <v>60</v>
      </c>
      <c r="BL5">
        <f>'Input Assumptions'!BK50</f>
        <v>0</v>
      </c>
      <c r="BM5">
        <f>'Input Assumptions'!BL50</f>
        <v>0</v>
      </c>
      <c r="BN5">
        <f>'Input Assumptions'!BM50</f>
        <v>0</v>
      </c>
      <c r="BO5">
        <f>'Input Assumptions'!BN50</f>
        <v>0</v>
      </c>
      <c r="BP5">
        <f>'Input Assumptions'!BO50</f>
        <v>0</v>
      </c>
      <c r="BQ5">
        <f>'Input Assumptions'!BP50</f>
        <v>0</v>
      </c>
      <c r="BR5">
        <f>'Input Assumptions'!BQ50</f>
        <v>0</v>
      </c>
      <c r="BS5">
        <f>'Input Assumptions'!BR50</f>
        <v>0</v>
      </c>
      <c r="BT5">
        <f>'Input Assumptions'!BS50</f>
        <v>0</v>
      </c>
      <c r="BU5">
        <f>'Input Assumptions'!BT50</f>
        <v>0</v>
      </c>
      <c r="BV5">
        <f>'Input Assumptions'!BU50</f>
        <v>0</v>
      </c>
      <c r="BW5">
        <f>'Input Assumptions'!BV50</f>
        <v>0</v>
      </c>
      <c r="BX5">
        <f>'Input Assumptions'!BW50</f>
        <v>0</v>
      </c>
      <c r="BY5">
        <f>'Input Assumptions'!BX50</f>
        <v>0</v>
      </c>
      <c r="BZ5">
        <f>'Input Assumptions'!BY50</f>
        <v>0</v>
      </c>
      <c r="CA5">
        <f>'Input Assumptions'!BZ50</f>
        <v>0</v>
      </c>
      <c r="CB5">
        <f>'Input Assumptions'!CA50</f>
        <v>0</v>
      </c>
      <c r="CC5">
        <f>'Input Assumptions'!CB50</f>
        <v>0</v>
      </c>
      <c r="CD5">
        <f>'Input Assumptions'!CC50</f>
        <v>0</v>
      </c>
      <c r="CE5">
        <f>'Input Assumptions'!CD50</f>
        <v>0</v>
      </c>
      <c r="CF5">
        <f>'Input Assumptions'!CE50</f>
        <v>0</v>
      </c>
      <c r="CG5">
        <f>'Input Assumptions'!CF50</f>
        <v>0</v>
      </c>
      <c r="CH5">
        <f>'Input Assumptions'!CG50</f>
        <v>0</v>
      </c>
      <c r="CI5">
        <f>'Input Assumptions'!CH50</f>
        <v>0</v>
      </c>
      <c r="CJ5">
        <f>'Input Assumptions'!CI50</f>
        <v>0</v>
      </c>
      <c r="CK5">
        <f>'Input Assumptions'!CJ50</f>
        <v>0</v>
      </c>
      <c r="CL5">
        <f>'Input Assumptions'!CK50</f>
        <v>0</v>
      </c>
      <c r="CM5">
        <f>'Input Assumptions'!CL50</f>
        <v>0</v>
      </c>
      <c r="CN5">
        <f>'Input Assumptions'!CM50</f>
        <v>0</v>
      </c>
      <c r="CO5">
        <f>'Input Assumptions'!CN50</f>
        <v>0</v>
      </c>
      <c r="CP5">
        <f>'Input Assumptions'!CO50</f>
        <v>0</v>
      </c>
      <c r="CQ5">
        <f>'Input Assumptions'!CP50</f>
        <v>0</v>
      </c>
      <c r="CR5">
        <f>'Input Assumptions'!CQ50</f>
        <v>0</v>
      </c>
      <c r="CS5">
        <f>'Input Assumptions'!CR50</f>
        <v>0</v>
      </c>
      <c r="CT5">
        <f>'Input Assumptions'!CS50</f>
        <v>0</v>
      </c>
      <c r="CU5">
        <f>'Input Assumptions'!CT50</f>
        <v>0</v>
      </c>
      <c r="CV5">
        <f>'Input Assumptions'!CU50</f>
        <v>0</v>
      </c>
      <c r="CW5">
        <f>'Input Assumptions'!CV50</f>
        <v>0</v>
      </c>
      <c r="CX5">
        <f>'Input Assumptions'!CW50</f>
        <v>0</v>
      </c>
      <c r="CY5">
        <f>'Input Assumptions'!CX50</f>
        <v>0</v>
      </c>
      <c r="CZ5">
        <f>'Input Assumptions'!CY50</f>
        <v>0</v>
      </c>
      <c r="DA5">
        <f>'Input Assumptions'!CZ50</f>
        <v>0</v>
      </c>
      <c r="DB5">
        <f>'Input Assumptions'!DA50</f>
        <v>0</v>
      </c>
      <c r="DC5">
        <f>'Input Assumptions'!DB50</f>
        <v>0</v>
      </c>
      <c r="DD5">
        <f>'Input Assumptions'!DC50</f>
        <v>0</v>
      </c>
      <c r="DE5">
        <f>'Input Assumptions'!DD50</f>
        <v>0</v>
      </c>
      <c r="DF5">
        <f>'Input Assumptions'!DE50</f>
        <v>0</v>
      </c>
      <c r="DG5">
        <f>'Input Assumptions'!DF50</f>
        <v>0</v>
      </c>
      <c r="DH5">
        <f>'Input Assumptions'!DG50</f>
        <v>0</v>
      </c>
      <c r="DI5">
        <f>'Input Assumptions'!DH50</f>
        <v>0</v>
      </c>
      <c r="DJ5">
        <f>'Input Assumptions'!DI50</f>
        <v>0</v>
      </c>
      <c r="DK5">
        <f>'Input Assumptions'!DJ50</f>
        <v>0</v>
      </c>
      <c r="DL5">
        <f>'Input Assumptions'!DK50</f>
        <v>0</v>
      </c>
      <c r="DM5">
        <f>'Input Assumptions'!DL50</f>
        <v>0</v>
      </c>
      <c r="DN5">
        <f>'Input Assumptions'!DM50</f>
        <v>0</v>
      </c>
      <c r="DO5">
        <f>'Input Assumptions'!DN50</f>
        <v>0</v>
      </c>
      <c r="DP5">
        <f>'Input Assumptions'!DO50</f>
        <v>0</v>
      </c>
      <c r="DQ5">
        <f>'Input Assumptions'!DP50</f>
        <v>0</v>
      </c>
      <c r="DR5">
        <f>'Input Assumptions'!DQ50</f>
        <v>0</v>
      </c>
      <c r="DS5">
        <f>'Input Assumptions'!DR50</f>
        <v>0</v>
      </c>
    </row>
    <row r="6" spans="2:123" x14ac:dyDescent="0.3">
      <c r="B6" s="105" t="s">
        <v>102</v>
      </c>
      <c r="C6" s="106">
        <f>'Input Assumptions'!C5</f>
        <v>44561</v>
      </c>
      <c r="D6" s="106">
        <f>IF(C6&lt;'Input Assumptions'!$C$5,0,IF(D5&gt;0,EOMONTH(C6,1),0))</f>
        <v>44592</v>
      </c>
      <c r="E6" s="106">
        <f t="shared" ref="E6:BP6" si="108">IF(E5&gt;0,EOMONTH(D6,1),0)</f>
        <v>44620</v>
      </c>
      <c r="F6" s="106">
        <f t="shared" si="108"/>
        <v>44651</v>
      </c>
      <c r="G6" s="106">
        <f t="shared" si="108"/>
        <v>44681</v>
      </c>
      <c r="H6" s="106">
        <f t="shared" si="108"/>
        <v>44712</v>
      </c>
      <c r="I6" s="106">
        <f t="shared" si="108"/>
        <v>44742</v>
      </c>
      <c r="J6" s="106">
        <f t="shared" si="108"/>
        <v>44773</v>
      </c>
      <c r="K6" s="106">
        <f t="shared" si="108"/>
        <v>44804</v>
      </c>
      <c r="L6" s="106">
        <f t="shared" si="108"/>
        <v>44834</v>
      </c>
      <c r="M6" s="106">
        <f t="shared" si="108"/>
        <v>44865</v>
      </c>
      <c r="N6" s="106">
        <f t="shared" si="108"/>
        <v>44895</v>
      </c>
      <c r="O6" s="106">
        <f t="shared" si="108"/>
        <v>44926</v>
      </c>
      <c r="P6" s="106">
        <f t="shared" si="108"/>
        <v>44957</v>
      </c>
      <c r="Q6" s="106">
        <f t="shared" si="108"/>
        <v>44985</v>
      </c>
      <c r="R6" s="106">
        <f t="shared" si="108"/>
        <v>45016</v>
      </c>
      <c r="S6" s="106">
        <f t="shared" si="108"/>
        <v>45046</v>
      </c>
      <c r="T6" s="106">
        <f t="shared" si="108"/>
        <v>45077</v>
      </c>
      <c r="U6" s="106">
        <f t="shared" si="108"/>
        <v>45107</v>
      </c>
      <c r="V6" s="106">
        <f t="shared" si="108"/>
        <v>45138</v>
      </c>
      <c r="W6" s="106">
        <f t="shared" si="108"/>
        <v>45169</v>
      </c>
      <c r="X6" s="106">
        <f t="shared" si="108"/>
        <v>45199</v>
      </c>
      <c r="Y6" s="106">
        <f t="shared" si="108"/>
        <v>45230</v>
      </c>
      <c r="Z6" s="106">
        <f t="shared" si="108"/>
        <v>45260</v>
      </c>
      <c r="AA6" s="106">
        <f t="shared" si="108"/>
        <v>45291</v>
      </c>
      <c r="AB6" s="106">
        <f t="shared" si="108"/>
        <v>45322</v>
      </c>
      <c r="AC6" s="106">
        <f t="shared" si="108"/>
        <v>45351</v>
      </c>
      <c r="AD6" s="106">
        <f t="shared" si="108"/>
        <v>45382</v>
      </c>
      <c r="AE6" s="106">
        <f t="shared" si="108"/>
        <v>45412</v>
      </c>
      <c r="AF6" s="106">
        <f t="shared" si="108"/>
        <v>45443</v>
      </c>
      <c r="AG6" s="106">
        <f t="shared" si="108"/>
        <v>45473</v>
      </c>
      <c r="AH6" s="106">
        <f t="shared" si="108"/>
        <v>45504</v>
      </c>
      <c r="AI6" s="106">
        <f t="shared" si="108"/>
        <v>45535</v>
      </c>
      <c r="AJ6" s="106">
        <f t="shared" si="108"/>
        <v>45565</v>
      </c>
      <c r="AK6" s="106">
        <f t="shared" si="108"/>
        <v>45596</v>
      </c>
      <c r="AL6" s="106">
        <f t="shared" si="108"/>
        <v>45626</v>
      </c>
      <c r="AM6" s="106">
        <f t="shared" si="108"/>
        <v>45657</v>
      </c>
      <c r="AN6" s="106">
        <f t="shared" si="108"/>
        <v>45688</v>
      </c>
      <c r="AO6" s="106">
        <f t="shared" si="108"/>
        <v>45716</v>
      </c>
      <c r="AP6" s="106">
        <f t="shared" si="108"/>
        <v>45747</v>
      </c>
      <c r="AQ6" s="106">
        <f t="shared" si="108"/>
        <v>45777</v>
      </c>
      <c r="AR6" s="106">
        <f t="shared" si="108"/>
        <v>45808</v>
      </c>
      <c r="AS6" s="106">
        <f t="shared" si="108"/>
        <v>45838</v>
      </c>
      <c r="AT6" s="106">
        <f t="shared" si="108"/>
        <v>45869</v>
      </c>
      <c r="AU6" s="106">
        <f t="shared" si="108"/>
        <v>45900</v>
      </c>
      <c r="AV6" s="106">
        <f t="shared" si="108"/>
        <v>45930</v>
      </c>
      <c r="AW6" s="106">
        <f t="shared" si="108"/>
        <v>45961</v>
      </c>
      <c r="AX6" s="106">
        <f t="shared" si="108"/>
        <v>45991</v>
      </c>
      <c r="AY6" s="106">
        <f t="shared" si="108"/>
        <v>46022</v>
      </c>
      <c r="AZ6" s="106">
        <f t="shared" si="108"/>
        <v>46053</v>
      </c>
      <c r="BA6" s="106">
        <f t="shared" si="108"/>
        <v>46081</v>
      </c>
      <c r="BB6" s="106">
        <f t="shared" si="108"/>
        <v>46112</v>
      </c>
      <c r="BC6" s="106">
        <f t="shared" si="108"/>
        <v>46142</v>
      </c>
      <c r="BD6" s="106">
        <f t="shared" si="108"/>
        <v>46173</v>
      </c>
      <c r="BE6" s="106">
        <f t="shared" si="108"/>
        <v>46203</v>
      </c>
      <c r="BF6" s="106">
        <f t="shared" si="108"/>
        <v>46234</v>
      </c>
      <c r="BG6" s="106">
        <f t="shared" si="108"/>
        <v>46265</v>
      </c>
      <c r="BH6" s="106">
        <f t="shared" si="108"/>
        <v>46295</v>
      </c>
      <c r="BI6" s="106">
        <f t="shared" si="108"/>
        <v>46326</v>
      </c>
      <c r="BJ6" s="106">
        <f t="shared" si="108"/>
        <v>46356</v>
      </c>
      <c r="BK6" s="106">
        <f t="shared" si="108"/>
        <v>46387</v>
      </c>
      <c r="BL6" s="106">
        <f t="shared" si="108"/>
        <v>0</v>
      </c>
      <c r="BM6" s="106">
        <f t="shared" si="108"/>
        <v>0</v>
      </c>
      <c r="BN6" s="106">
        <f t="shared" si="108"/>
        <v>0</v>
      </c>
      <c r="BO6" s="106">
        <f t="shared" si="108"/>
        <v>0</v>
      </c>
      <c r="BP6" s="106">
        <f t="shared" si="108"/>
        <v>0</v>
      </c>
      <c r="BQ6" s="106">
        <f t="shared" ref="BQ6:DS6" si="109">IF(BQ5&gt;0,EOMONTH(BP6,1),0)</f>
        <v>0</v>
      </c>
      <c r="BR6" s="106">
        <f t="shared" si="109"/>
        <v>0</v>
      </c>
      <c r="BS6" s="106">
        <f t="shared" si="109"/>
        <v>0</v>
      </c>
      <c r="BT6" s="106">
        <f t="shared" si="109"/>
        <v>0</v>
      </c>
      <c r="BU6" s="106">
        <f t="shared" si="109"/>
        <v>0</v>
      </c>
      <c r="BV6" s="106">
        <f t="shared" si="109"/>
        <v>0</v>
      </c>
      <c r="BW6" s="106">
        <f t="shared" si="109"/>
        <v>0</v>
      </c>
      <c r="BX6" s="106">
        <f t="shared" si="109"/>
        <v>0</v>
      </c>
      <c r="BY6" s="106">
        <f t="shared" si="109"/>
        <v>0</v>
      </c>
      <c r="BZ6" s="106">
        <f t="shared" si="109"/>
        <v>0</v>
      </c>
      <c r="CA6" s="106">
        <f t="shared" si="109"/>
        <v>0</v>
      </c>
      <c r="CB6" s="106">
        <f t="shared" si="109"/>
        <v>0</v>
      </c>
      <c r="CC6" s="106">
        <f t="shared" si="109"/>
        <v>0</v>
      </c>
      <c r="CD6" s="106">
        <f t="shared" si="109"/>
        <v>0</v>
      </c>
      <c r="CE6" s="106">
        <f t="shared" si="109"/>
        <v>0</v>
      </c>
      <c r="CF6" s="106">
        <f t="shared" si="109"/>
        <v>0</v>
      </c>
      <c r="CG6" s="106">
        <f t="shared" si="109"/>
        <v>0</v>
      </c>
      <c r="CH6" s="106">
        <f t="shared" si="109"/>
        <v>0</v>
      </c>
      <c r="CI6" s="106">
        <f t="shared" si="109"/>
        <v>0</v>
      </c>
      <c r="CJ6" s="106">
        <f t="shared" si="109"/>
        <v>0</v>
      </c>
      <c r="CK6" s="106">
        <f t="shared" si="109"/>
        <v>0</v>
      </c>
      <c r="CL6" s="106">
        <f t="shared" si="109"/>
        <v>0</v>
      </c>
      <c r="CM6" s="106">
        <f t="shared" si="109"/>
        <v>0</v>
      </c>
      <c r="CN6" s="106">
        <f t="shared" si="109"/>
        <v>0</v>
      </c>
      <c r="CO6" s="106">
        <f t="shared" si="109"/>
        <v>0</v>
      </c>
      <c r="CP6" s="106">
        <f t="shared" si="109"/>
        <v>0</v>
      </c>
      <c r="CQ6" s="106">
        <f t="shared" si="109"/>
        <v>0</v>
      </c>
      <c r="CR6" s="106">
        <f t="shared" si="109"/>
        <v>0</v>
      </c>
      <c r="CS6" s="106">
        <f t="shared" si="109"/>
        <v>0</v>
      </c>
      <c r="CT6" s="106">
        <f t="shared" si="109"/>
        <v>0</v>
      </c>
      <c r="CU6" s="106">
        <f t="shared" si="109"/>
        <v>0</v>
      </c>
      <c r="CV6" s="106">
        <f t="shared" si="109"/>
        <v>0</v>
      </c>
      <c r="CW6" s="106">
        <f t="shared" si="109"/>
        <v>0</v>
      </c>
      <c r="CX6" s="106">
        <f t="shared" si="109"/>
        <v>0</v>
      </c>
      <c r="CY6" s="106">
        <f t="shared" si="109"/>
        <v>0</v>
      </c>
      <c r="CZ6" s="106">
        <f t="shared" si="109"/>
        <v>0</v>
      </c>
      <c r="DA6" s="106">
        <f t="shared" si="109"/>
        <v>0</v>
      </c>
      <c r="DB6" s="106">
        <f t="shared" si="109"/>
        <v>0</v>
      </c>
      <c r="DC6" s="106">
        <f t="shared" si="109"/>
        <v>0</v>
      </c>
      <c r="DD6" s="106">
        <f t="shared" si="109"/>
        <v>0</v>
      </c>
      <c r="DE6" s="106">
        <f t="shared" si="109"/>
        <v>0</v>
      </c>
      <c r="DF6" s="106">
        <f t="shared" si="109"/>
        <v>0</v>
      </c>
      <c r="DG6" s="106">
        <f t="shared" si="109"/>
        <v>0</v>
      </c>
      <c r="DH6" s="106">
        <f t="shared" si="109"/>
        <v>0</v>
      </c>
      <c r="DI6" s="106">
        <f t="shared" si="109"/>
        <v>0</v>
      </c>
      <c r="DJ6" s="106">
        <f t="shared" si="109"/>
        <v>0</v>
      </c>
      <c r="DK6" s="106">
        <f t="shared" si="109"/>
        <v>0</v>
      </c>
      <c r="DL6" s="106">
        <f t="shared" si="109"/>
        <v>0</v>
      </c>
      <c r="DM6" s="106">
        <f t="shared" si="109"/>
        <v>0</v>
      </c>
      <c r="DN6" s="106">
        <f t="shared" si="109"/>
        <v>0</v>
      </c>
      <c r="DO6" s="106">
        <f t="shared" si="109"/>
        <v>0</v>
      </c>
      <c r="DP6" s="106">
        <f t="shared" si="109"/>
        <v>0</v>
      </c>
      <c r="DQ6" s="106">
        <f t="shared" si="109"/>
        <v>0</v>
      </c>
      <c r="DR6" s="106">
        <f t="shared" si="109"/>
        <v>0</v>
      </c>
      <c r="DS6" s="106">
        <f t="shared" si="109"/>
        <v>0</v>
      </c>
    </row>
    <row r="7" spans="2:123" x14ac:dyDescent="0.3">
      <c r="B7" s="104" t="s">
        <v>30</v>
      </c>
      <c r="C7" s="102">
        <v>0</v>
      </c>
      <c r="D7" s="102">
        <f>IF(D4=0,"",'Input Assumptions'!C51/'Input Assumptions'!$C$10)</f>
        <v>0.15789473684210525</v>
      </c>
      <c r="E7" s="102">
        <f>IF(E4=0,"",'Input Assumptions'!D51/'Input Assumptions'!$C$10)</f>
        <v>0.31578947368421051</v>
      </c>
      <c r="F7" s="102">
        <f>IF(F4=0,"",'Input Assumptions'!E51/'Input Assumptions'!$C$10)</f>
        <v>0.47368421052631576</v>
      </c>
      <c r="G7" s="102">
        <f>IF(G4=0,"",'Input Assumptions'!F51/'Input Assumptions'!$C$10)</f>
        <v>0.63157894736842102</v>
      </c>
      <c r="H7" s="102">
        <f>IF(H4=0,"",'Input Assumptions'!G51/'Input Assumptions'!$C$10)</f>
        <v>0.78947368421052633</v>
      </c>
      <c r="I7" s="102">
        <f>IF(I4=0,"",'Input Assumptions'!H51/'Input Assumptions'!$C$10)</f>
        <v>0.94736842105263153</v>
      </c>
      <c r="J7" s="102">
        <f>IF(J4=0,"",'Input Assumptions'!I51/'Input Assumptions'!$C$10)</f>
        <v>0.94736842105263153</v>
      </c>
      <c r="K7" s="102">
        <f>IF(K4=0,"",'Input Assumptions'!J51/'Input Assumptions'!$C$10)</f>
        <v>0.94736842105263153</v>
      </c>
      <c r="L7" s="102">
        <f>IF(L4=0,"",'Input Assumptions'!K51/'Input Assumptions'!$C$10)</f>
        <v>0.94736842105263153</v>
      </c>
      <c r="M7" s="102">
        <f>IF(M4=0,"",'Input Assumptions'!L51/'Input Assumptions'!$C$10)</f>
        <v>0.94736842105263153</v>
      </c>
      <c r="N7" s="102">
        <f>IF(N4=0,"",'Input Assumptions'!M51/'Input Assumptions'!$C$10)</f>
        <v>0.94736842105263153</v>
      </c>
      <c r="O7" s="102">
        <f>IF(O4=0,"",'Input Assumptions'!N51/'Input Assumptions'!$C$10)</f>
        <v>0.94736842105263153</v>
      </c>
      <c r="P7" s="102">
        <f>IF(P4=0,"",'Input Assumptions'!O51/'Input Assumptions'!$C$10)</f>
        <v>0.94736842105263153</v>
      </c>
      <c r="Q7" s="102">
        <f>IF(Q4=0,"",'Input Assumptions'!P51/'Input Assumptions'!$C$10)</f>
        <v>0.94736842105263153</v>
      </c>
      <c r="R7" s="102">
        <f>IF(R4=0,"",'Input Assumptions'!Q51/'Input Assumptions'!$C$10)</f>
        <v>0.94736842105263153</v>
      </c>
      <c r="S7" s="102">
        <f>IF(S4=0,"",'Input Assumptions'!R51/'Input Assumptions'!$C$10)</f>
        <v>0.94736842105263153</v>
      </c>
      <c r="T7" s="102">
        <f>IF(T4=0,"",'Input Assumptions'!S51/'Input Assumptions'!$C$10)</f>
        <v>0.94736842105263153</v>
      </c>
      <c r="U7" s="102">
        <f>IF(U4=0,"",'Input Assumptions'!T51/'Input Assumptions'!$C$10)</f>
        <v>0.94736842105263153</v>
      </c>
      <c r="V7" s="102">
        <f>IF(V4=0,"",'Input Assumptions'!U51/'Input Assumptions'!$C$10)</f>
        <v>0.94736842105263153</v>
      </c>
      <c r="W7" s="102">
        <f>IF(W4=0,"",'Input Assumptions'!V51/'Input Assumptions'!$C$10)</f>
        <v>0.94736842105263153</v>
      </c>
      <c r="X7" s="102">
        <f>IF(X4=0,"",'Input Assumptions'!W51/'Input Assumptions'!$C$10)</f>
        <v>0.94736842105263153</v>
      </c>
      <c r="Y7" s="102">
        <f>IF(Y4=0,"",'Input Assumptions'!X51/'Input Assumptions'!$C$10)</f>
        <v>0.94736842105263153</v>
      </c>
      <c r="Z7" s="102">
        <f>IF(Z4=0,"",'Input Assumptions'!Y51/'Input Assumptions'!$C$10)</f>
        <v>0.94736842105263153</v>
      </c>
      <c r="AA7" s="102">
        <f>IF(AA4=0,"",'Input Assumptions'!Z51/'Input Assumptions'!$C$10)</f>
        <v>0.94736842105263153</v>
      </c>
      <c r="AB7" s="102">
        <f>IF(AB4=0,"",'Input Assumptions'!AA51/'Input Assumptions'!$C$10)</f>
        <v>0.94736842105263153</v>
      </c>
      <c r="AC7" s="102">
        <f>IF(AC4=0,"",'Input Assumptions'!AB51/'Input Assumptions'!$C$10)</f>
        <v>0.94736842105263153</v>
      </c>
      <c r="AD7" s="102">
        <f>IF(AD4=0,"",'Input Assumptions'!AC51/'Input Assumptions'!$C$10)</f>
        <v>0.94736842105263153</v>
      </c>
      <c r="AE7" s="102">
        <f>IF(AE4=0,"",'Input Assumptions'!AD51/'Input Assumptions'!$C$10)</f>
        <v>0.94736842105263153</v>
      </c>
      <c r="AF7" s="102">
        <f>IF(AF4=0,"",'Input Assumptions'!AE51/'Input Assumptions'!$C$10)</f>
        <v>0.94736842105263153</v>
      </c>
      <c r="AG7" s="102">
        <f>IF(AG4=0,"",'Input Assumptions'!AF51/'Input Assumptions'!$C$10)</f>
        <v>0.94736842105263153</v>
      </c>
      <c r="AH7" s="102">
        <f>IF(AH4=0,"",'Input Assumptions'!AG51/'Input Assumptions'!$C$10)</f>
        <v>0.94736842105263153</v>
      </c>
      <c r="AI7" s="102">
        <f>IF(AI4=0,"",'Input Assumptions'!AH51/'Input Assumptions'!$C$10)</f>
        <v>0.94736842105263153</v>
      </c>
      <c r="AJ7" s="102">
        <f>IF(AJ4=0,"",'Input Assumptions'!AI51/'Input Assumptions'!$C$10)</f>
        <v>0.94736842105263153</v>
      </c>
      <c r="AK7" s="102">
        <f>IF(AK4=0,"",'Input Assumptions'!AJ51/'Input Assumptions'!$C$10)</f>
        <v>0.94736842105263153</v>
      </c>
      <c r="AL7" s="102">
        <f>IF(AL4=0,"",'Input Assumptions'!AK51/'Input Assumptions'!$C$10)</f>
        <v>0.94736842105263153</v>
      </c>
      <c r="AM7" s="102">
        <f>IF(AM4=0,"",'Input Assumptions'!AL51/'Input Assumptions'!$C$10)</f>
        <v>0.94736842105263153</v>
      </c>
      <c r="AN7" s="102">
        <f>IF(AN4=0,"",'Input Assumptions'!AM51/'Input Assumptions'!$C$10)</f>
        <v>0.94736842105263153</v>
      </c>
      <c r="AO7" s="102">
        <f>IF(AO4=0,"",'Input Assumptions'!AN51/'Input Assumptions'!$C$10)</f>
        <v>0.94736842105263153</v>
      </c>
      <c r="AP7" s="102">
        <f>IF(AP4=0,"",'Input Assumptions'!AO51/'Input Assumptions'!$C$10)</f>
        <v>0.94736842105263153</v>
      </c>
      <c r="AQ7" s="102">
        <f>IF(AQ4=0,"",'Input Assumptions'!AP51/'Input Assumptions'!$C$10)</f>
        <v>0.94736842105263153</v>
      </c>
      <c r="AR7" s="102">
        <f>IF(AR4=0,"",'Input Assumptions'!AQ51/'Input Assumptions'!$C$10)</f>
        <v>0.94736842105263153</v>
      </c>
      <c r="AS7" s="102">
        <f>IF(AS4=0,"",'Input Assumptions'!AR51/'Input Assumptions'!$C$10)</f>
        <v>0.94736842105263153</v>
      </c>
      <c r="AT7" s="102">
        <f>IF(AT4=0,"",'Input Assumptions'!AS51/'Input Assumptions'!$C$10)</f>
        <v>0.94736842105263153</v>
      </c>
      <c r="AU7" s="102">
        <f>IF(AU4=0,"",'Input Assumptions'!AT51/'Input Assumptions'!$C$10)</f>
        <v>0.94736842105263153</v>
      </c>
      <c r="AV7" s="102">
        <f>IF(AV4=0,"",'Input Assumptions'!AU51/'Input Assumptions'!$C$10)</f>
        <v>0.94736842105263153</v>
      </c>
      <c r="AW7" s="102">
        <f>IF(AW4=0,"",'Input Assumptions'!AV51/'Input Assumptions'!$C$10)</f>
        <v>0.94736842105263153</v>
      </c>
      <c r="AX7" s="102">
        <f>IF(AX4=0,"",'Input Assumptions'!AW51/'Input Assumptions'!$C$10)</f>
        <v>0.94736842105263153</v>
      </c>
      <c r="AY7" s="102">
        <f>IF(AY4=0,"",'Input Assumptions'!AX51/'Input Assumptions'!$C$10)</f>
        <v>0.94736842105263153</v>
      </c>
      <c r="AZ7" s="102">
        <f>IF(AZ4=0,"",'Input Assumptions'!AY51/'Input Assumptions'!$C$10)</f>
        <v>0.94736842105263153</v>
      </c>
      <c r="BA7" s="102">
        <f>IF(BA4=0,"",'Input Assumptions'!AZ51/'Input Assumptions'!$C$10)</f>
        <v>0.94736842105263153</v>
      </c>
      <c r="BB7" s="102">
        <f>IF(BB4=0,"",'Input Assumptions'!BA51/'Input Assumptions'!$C$10)</f>
        <v>0.94736842105263153</v>
      </c>
      <c r="BC7" s="102">
        <f>IF(BC4=0,"",'Input Assumptions'!BB51/'Input Assumptions'!$C$10)</f>
        <v>0.94736842105263153</v>
      </c>
      <c r="BD7" s="102">
        <f>IF(BD4=0,"",'Input Assumptions'!BC51/'Input Assumptions'!$C$10)</f>
        <v>0.94736842105263153</v>
      </c>
      <c r="BE7" s="102">
        <f>IF(BE4=0,"",'Input Assumptions'!BD51/'Input Assumptions'!$C$10)</f>
        <v>0.94736842105263153</v>
      </c>
      <c r="BF7" s="102">
        <f>IF(BF4=0,"",'Input Assumptions'!BE51/'Input Assumptions'!$C$10)</f>
        <v>0.94736842105263153</v>
      </c>
      <c r="BG7" s="102">
        <f>IF(BG4=0,"",'Input Assumptions'!BF51/'Input Assumptions'!$C$10)</f>
        <v>0.94736842105263153</v>
      </c>
      <c r="BH7" s="102">
        <f>IF(BH4=0,"",'Input Assumptions'!BG51/'Input Assumptions'!$C$10)</f>
        <v>0.94736842105263153</v>
      </c>
      <c r="BI7" s="102">
        <f>IF(BI4=0,"",'Input Assumptions'!BH51/'Input Assumptions'!$C$10)</f>
        <v>0.94736842105263153</v>
      </c>
      <c r="BJ7" s="102">
        <f>IF(BJ4=0,"",'Input Assumptions'!BI51/'Input Assumptions'!$C$10)</f>
        <v>0.94736842105263153</v>
      </c>
      <c r="BK7" s="102">
        <f>IF(BK4=0,"",'Input Assumptions'!BJ51/'Input Assumptions'!$C$10)</f>
        <v>0.94736842105263153</v>
      </c>
      <c r="BL7" s="102" t="str">
        <f>IF(BL4=0,"",'Input Assumptions'!BK51/'Input Assumptions'!$C$10)</f>
        <v/>
      </c>
      <c r="BM7" s="102" t="str">
        <f>IF(BM4=0,"",'Input Assumptions'!BL51/'Input Assumptions'!$C$10)</f>
        <v/>
      </c>
      <c r="BN7" s="102" t="str">
        <f>IF(BN4=0,"",'Input Assumptions'!BM51/'Input Assumptions'!$C$10)</f>
        <v/>
      </c>
      <c r="BO7" s="102" t="str">
        <f>IF(BO4=0,"",'Input Assumptions'!BN51/'Input Assumptions'!$C$10)</f>
        <v/>
      </c>
      <c r="BP7" s="102" t="str">
        <f>IF(BP4=0,"",'Input Assumptions'!BO51/'Input Assumptions'!$C$10)</f>
        <v/>
      </c>
      <c r="BQ7" s="102" t="str">
        <f>IF(BQ4=0,"",'Input Assumptions'!BP51/'Input Assumptions'!$C$10)</f>
        <v/>
      </c>
      <c r="BR7" s="102" t="str">
        <f>IF(BR4=0,"",'Input Assumptions'!BQ51/'Input Assumptions'!$C$10)</f>
        <v/>
      </c>
      <c r="BS7" s="102" t="str">
        <f>IF(BS4=0,"",'Input Assumptions'!BR51/'Input Assumptions'!$C$10)</f>
        <v/>
      </c>
      <c r="BT7" s="102" t="str">
        <f>IF(BT4=0,"",'Input Assumptions'!BS51/'Input Assumptions'!$C$10)</f>
        <v/>
      </c>
      <c r="BU7" s="102" t="str">
        <f>IF(BU4=0,"",'Input Assumptions'!BT51/'Input Assumptions'!$C$10)</f>
        <v/>
      </c>
      <c r="BV7" s="102" t="str">
        <f>IF(BV4=0,"",'Input Assumptions'!BU51/'Input Assumptions'!$C$10)</f>
        <v/>
      </c>
      <c r="BW7" s="102" t="str">
        <f>IF(BW4=0,"",'Input Assumptions'!BV51/'Input Assumptions'!$C$10)</f>
        <v/>
      </c>
      <c r="BX7" s="102" t="str">
        <f>IF(BX4=0,"",'Input Assumptions'!BW51/'Input Assumptions'!$C$10)</f>
        <v/>
      </c>
      <c r="BY7" s="102" t="str">
        <f>IF(BY4=0,"",'Input Assumptions'!BX51/'Input Assumptions'!$C$10)</f>
        <v/>
      </c>
      <c r="BZ7" s="102" t="str">
        <f>IF(BZ4=0,"",'Input Assumptions'!BY51/'Input Assumptions'!$C$10)</f>
        <v/>
      </c>
      <c r="CA7" s="102" t="str">
        <f>IF(CA4=0,"",'Input Assumptions'!BZ51/'Input Assumptions'!$C$10)</f>
        <v/>
      </c>
      <c r="CB7" s="102" t="str">
        <f>IF(CB4=0,"",'Input Assumptions'!CA51/'Input Assumptions'!$C$10)</f>
        <v/>
      </c>
      <c r="CC7" s="102" t="str">
        <f>IF(CC4=0,"",'Input Assumptions'!CB51/'Input Assumptions'!$C$10)</f>
        <v/>
      </c>
      <c r="CD7" s="102" t="str">
        <f>IF(CD4=0,"",'Input Assumptions'!CC51/'Input Assumptions'!$C$10)</f>
        <v/>
      </c>
      <c r="CE7" s="102" t="str">
        <f>IF(CE4=0,"",'Input Assumptions'!CD51/'Input Assumptions'!$C$10)</f>
        <v/>
      </c>
      <c r="CF7" s="102" t="str">
        <f>IF(CF4=0,"",'Input Assumptions'!CE51/'Input Assumptions'!$C$10)</f>
        <v/>
      </c>
      <c r="CG7" s="102" t="str">
        <f>IF(CG4=0,"",'Input Assumptions'!CF51/'Input Assumptions'!$C$10)</f>
        <v/>
      </c>
      <c r="CH7" s="102" t="str">
        <f>IF(CH4=0,"",'Input Assumptions'!CG51/'Input Assumptions'!$C$10)</f>
        <v/>
      </c>
      <c r="CI7" s="102" t="str">
        <f>IF(CI4=0,"",'Input Assumptions'!CH51/'Input Assumptions'!$C$10)</f>
        <v/>
      </c>
      <c r="CJ7" s="102" t="str">
        <f>IF(CJ4=0,"",'Input Assumptions'!CI51/'Input Assumptions'!$C$10)</f>
        <v/>
      </c>
      <c r="CK7" s="102" t="str">
        <f>IF(CK4=0,"",'Input Assumptions'!CJ51/'Input Assumptions'!$C$10)</f>
        <v/>
      </c>
      <c r="CL7" s="102" t="str">
        <f>IF(CL4=0,"",'Input Assumptions'!CK51/'Input Assumptions'!$C$10)</f>
        <v/>
      </c>
      <c r="CM7" s="102" t="str">
        <f>IF(CM4=0,"",'Input Assumptions'!CL51/'Input Assumptions'!$C$10)</f>
        <v/>
      </c>
      <c r="CN7" s="102" t="str">
        <f>IF(CN4=0,"",'Input Assumptions'!CM51/'Input Assumptions'!$C$10)</f>
        <v/>
      </c>
      <c r="CO7" s="102" t="str">
        <f>IF(CO4=0,"",'Input Assumptions'!CN51/'Input Assumptions'!$C$10)</f>
        <v/>
      </c>
      <c r="CP7" s="102" t="str">
        <f>IF(CP4=0,"",'Input Assumptions'!CO51/'Input Assumptions'!$C$10)</f>
        <v/>
      </c>
      <c r="CQ7" s="102" t="str">
        <f>IF(CQ4=0,"",'Input Assumptions'!CP51/'Input Assumptions'!$C$10)</f>
        <v/>
      </c>
      <c r="CR7" s="102" t="str">
        <f>IF(CR4=0,"",'Input Assumptions'!CQ51/'Input Assumptions'!$C$10)</f>
        <v/>
      </c>
      <c r="CS7" s="102" t="str">
        <f>IF(CS4=0,"",'Input Assumptions'!CR51/'Input Assumptions'!$C$10)</f>
        <v/>
      </c>
      <c r="CT7" s="102" t="str">
        <f>IF(CT4=0,"",'Input Assumptions'!CS51/'Input Assumptions'!$C$10)</f>
        <v/>
      </c>
      <c r="CU7" s="102" t="str">
        <f>IF(CU4=0,"",'Input Assumptions'!CT51/'Input Assumptions'!$C$10)</f>
        <v/>
      </c>
      <c r="CV7" s="102" t="str">
        <f>IF(CV4=0,"",'Input Assumptions'!CU51/'Input Assumptions'!$C$10)</f>
        <v/>
      </c>
      <c r="CW7" s="102" t="str">
        <f>IF(CW4=0,"",'Input Assumptions'!CV51/'Input Assumptions'!$C$10)</f>
        <v/>
      </c>
      <c r="CX7" s="102" t="str">
        <f>IF(CX4=0,"",'Input Assumptions'!CW51/'Input Assumptions'!$C$10)</f>
        <v/>
      </c>
      <c r="CY7" s="102" t="str">
        <f>IF(CY4=0,"",'Input Assumptions'!CX51/'Input Assumptions'!$C$10)</f>
        <v/>
      </c>
      <c r="CZ7" s="102" t="str">
        <f>IF(CZ4=0,"",'Input Assumptions'!CY51/'Input Assumptions'!$C$10)</f>
        <v/>
      </c>
      <c r="DA7" s="102" t="str">
        <f>IF(DA4=0,"",'Input Assumptions'!CZ51/'Input Assumptions'!$C$10)</f>
        <v/>
      </c>
      <c r="DB7" s="102" t="str">
        <f>IF(DB4=0,"",'Input Assumptions'!DA51/'Input Assumptions'!$C$10)</f>
        <v/>
      </c>
      <c r="DC7" s="102" t="str">
        <f>IF(DC4=0,"",'Input Assumptions'!DB51/'Input Assumptions'!$C$10)</f>
        <v/>
      </c>
      <c r="DD7" s="102" t="str">
        <f>IF(DD4=0,"",'Input Assumptions'!DC51/'Input Assumptions'!$C$10)</f>
        <v/>
      </c>
      <c r="DE7" s="102" t="str">
        <f>IF(DE4=0,"",'Input Assumptions'!DD51/'Input Assumptions'!$C$10)</f>
        <v/>
      </c>
      <c r="DF7" s="102" t="str">
        <f>IF(DF4=0,"",'Input Assumptions'!DE51/'Input Assumptions'!$C$10)</f>
        <v/>
      </c>
      <c r="DG7" s="102" t="str">
        <f>IF(DG4=0,"",'Input Assumptions'!DF51/'Input Assumptions'!$C$10)</f>
        <v/>
      </c>
      <c r="DH7" s="102" t="str">
        <f>IF(DH4=0,"",'Input Assumptions'!DG51/'Input Assumptions'!$C$10)</f>
        <v/>
      </c>
      <c r="DI7" s="102" t="str">
        <f>IF(DI4=0,"",'Input Assumptions'!DH51/'Input Assumptions'!$C$10)</f>
        <v/>
      </c>
      <c r="DJ7" s="102" t="str">
        <f>IF(DJ4=0,"",'Input Assumptions'!DI51/'Input Assumptions'!$C$10)</f>
        <v/>
      </c>
      <c r="DK7" s="102" t="str">
        <f>IF(DK4=0,"",'Input Assumptions'!DJ51/'Input Assumptions'!$C$10)</f>
        <v/>
      </c>
      <c r="DL7" s="102" t="str">
        <f>IF(DL4=0,"",'Input Assumptions'!DK51/'Input Assumptions'!$C$10)</f>
        <v/>
      </c>
      <c r="DM7" s="102" t="str">
        <f>IF(DM4=0,"",'Input Assumptions'!DL51/'Input Assumptions'!$C$10)</f>
        <v/>
      </c>
      <c r="DN7" s="102" t="str">
        <f>IF(DN4=0,"",'Input Assumptions'!DM51/'Input Assumptions'!$C$10)</f>
        <v/>
      </c>
      <c r="DO7" s="102" t="str">
        <f>IF(DO4=0,"",'Input Assumptions'!DN51/'Input Assumptions'!$C$10)</f>
        <v/>
      </c>
      <c r="DP7" s="102" t="str">
        <f>IF(DP4=0,"",'Input Assumptions'!DO51/'Input Assumptions'!$C$10)</f>
        <v/>
      </c>
      <c r="DQ7" s="102" t="str">
        <f>IF(DQ4=0,"",'Input Assumptions'!DP51/'Input Assumptions'!$C$10)</f>
        <v/>
      </c>
      <c r="DR7" s="102" t="str">
        <f>IF(DR4=0,"",'Input Assumptions'!DQ51/'Input Assumptions'!$C$10)</f>
        <v/>
      </c>
      <c r="DS7" s="102" t="str">
        <f>IF(DS4=0,"",'Input Assumptions'!DR51/'Input Assumptions'!$C$10)</f>
        <v/>
      </c>
    </row>
    <row r="8" spans="2:123" x14ac:dyDescent="0.3">
      <c r="B8" s="101" t="s">
        <v>48</v>
      </c>
      <c r="C8" s="103">
        <v>0</v>
      </c>
      <c r="D8" s="103">
        <f>IF(D4=0,"",'Input Assumptions'!C51)</f>
        <v>6</v>
      </c>
      <c r="E8" s="103">
        <f>IF(E4=0,"",'Input Assumptions'!D51)</f>
        <v>12</v>
      </c>
      <c r="F8" s="103">
        <f>IF(F4=0,"",'Input Assumptions'!E51)</f>
        <v>18</v>
      </c>
      <c r="G8" s="103">
        <f>IF(G4=0,"",'Input Assumptions'!F51)</f>
        <v>24</v>
      </c>
      <c r="H8" s="103">
        <f>IF(H4=0,"",'Input Assumptions'!G51)</f>
        <v>30</v>
      </c>
      <c r="I8" s="103">
        <f>IF(I4=0,"",'Input Assumptions'!H51)</f>
        <v>36</v>
      </c>
      <c r="J8" s="103">
        <f>IF(J4=0,"",'Input Assumptions'!I51)</f>
        <v>36</v>
      </c>
      <c r="K8" s="103">
        <f>IF(K4=0,"",'Input Assumptions'!J51)</f>
        <v>36</v>
      </c>
      <c r="L8" s="103">
        <f>IF(L4=0,"",'Input Assumptions'!K51)</f>
        <v>36</v>
      </c>
      <c r="M8" s="103">
        <f>IF(M4=0,"",'Input Assumptions'!L51)</f>
        <v>36</v>
      </c>
      <c r="N8" s="103">
        <f>IF(N4=0,"",'Input Assumptions'!M51)</f>
        <v>36</v>
      </c>
      <c r="O8" s="103">
        <f>IF(O4=0,"",'Input Assumptions'!N51)</f>
        <v>36</v>
      </c>
      <c r="P8" s="103">
        <f>IF(P4=0,"",'Input Assumptions'!O51)</f>
        <v>36</v>
      </c>
      <c r="Q8" s="103">
        <f>IF(Q4=0,"",'Input Assumptions'!P51)</f>
        <v>36</v>
      </c>
      <c r="R8" s="103">
        <f>IF(R4=0,"",'Input Assumptions'!Q51)</f>
        <v>36</v>
      </c>
      <c r="S8" s="103">
        <f>IF(S4=0,"",'Input Assumptions'!R51)</f>
        <v>36</v>
      </c>
      <c r="T8" s="103">
        <f>IF(T4=0,"",'Input Assumptions'!S51)</f>
        <v>36</v>
      </c>
      <c r="U8" s="103">
        <f>IF(U4=0,"",'Input Assumptions'!T51)</f>
        <v>36</v>
      </c>
      <c r="V8" s="103">
        <f>IF(V4=0,"",'Input Assumptions'!U51)</f>
        <v>36</v>
      </c>
      <c r="W8" s="103">
        <f>IF(W4=0,"",'Input Assumptions'!V51)</f>
        <v>36</v>
      </c>
      <c r="X8" s="103">
        <f>IF(X4=0,"",'Input Assumptions'!W51)</f>
        <v>36</v>
      </c>
      <c r="Y8" s="103">
        <f>IF(Y4=0,"",'Input Assumptions'!X51)</f>
        <v>36</v>
      </c>
      <c r="Z8" s="103">
        <f>IF(Z4=0,"",'Input Assumptions'!Y51)</f>
        <v>36</v>
      </c>
      <c r="AA8" s="103">
        <f>IF(AA4=0,"",'Input Assumptions'!Z51)</f>
        <v>36</v>
      </c>
      <c r="AB8" s="103">
        <f>IF(AB4=0,"",'Input Assumptions'!AA51)</f>
        <v>36</v>
      </c>
      <c r="AC8" s="103">
        <f>IF(AC4=0,"",'Input Assumptions'!AB51)</f>
        <v>36</v>
      </c>
      <c r="AD8" s="103">
        <f>IF(AD4=0,"",'Input Assumptions'!AC51)</f>
        <v>36</v>
      </c>
      <c r="AE8" s="103">
        <f>IF(AE4=0,"",'Input Assumptions'!AD51)</f>
        <v>36</v>
      </c>
      <c r="AF8" s="103">
        <f>IF(AF4=0,"",'Input Assumptions'!AE51)</f>
        <v>36</v>
      </c>
      <c r="AG8" s="103">
        <f>IF(AG4=0,"",'Input Assumptions'!AF51)</f>
        <v>36</v>
      </c>
      <c r="AH8" s="103">
        <f>IF(AH4=0,"",'Input Assumptions'!AG51)</f>
        <v>36</v>
      </c>
      <c r="AI8" s="103">
        <f>IF(AI4=0,"",'Input Assumptions'!AH51)</f>
        <v>36</v>
      </c>
      <c r="AJ8" s="103">
        <f>IF(AJ4=0,"",'Input Assumptions'!AI51)</f>
        <v>36</v>
      </c>
      <c r="AK8" s="103">
        <f>IF(AK4=0,"",'Input Assumptions'!AJ51)</f>
        <v>36</v>
      </c>
      <c r="AL8" s="103">
        <f>IF(AL4=0,"",'Input Assumptions'!AK51)</f>
        <v>36</v>
      </c>
      <c r="AM8" s="103">
        <f>IF(AM4=0,"",'Input Assumptions'!AL51)</f>
        <v>36</v>
      </c>
      <c r="AN8" s="103">
        <f>IF(AN4=0,"",'Input Assumptions'!AM51)</f>
        <v>36</v>
      </c>
      <c r="AO8" s="103">
        <f>IF(AO4=0,"",'Input Assumptions'!AN51)</f>
        <v>36</v>
      </c>
      <c r="AP8" s="103">
        <f>IF(AP4=0,"",'Input Assumptions'!AO51)</f>
        <v>36</v>
      </c>
      <c r="AQ8" s="103">
        <f>IF(AQ4=0,"",'Input Assumptions'!AP51)</f>
        <v>36</v>
      </c>
      <c r="AR8" s="103">
        <f>IF(AR4=0,"",'Input Assumptions'!AQ51)</f>
        <v>36</v>
      </c>
      <c r="AS8" s="103">
        <f>IF(AS4=0,"",'Input Assumptions'!AR51)</f>
        <v>36</v>
      </c>
      <c r="AT8" s="103">
        <f>IF(AT4=0,"",'Input Assumptions'!AS51)</f>
        <v>36</v>
      </c>
      <c r="AU8" s="103">
        <f>IF(AU4=0,"",'Input Assumptions'!AT51)</f>
        <v>36</v>
      </c>
      <c r="AV8" s="103">
        <f>IF(AV4=0,"",'Input Assumptions'!AU51)</f>
        <v>36</v>
      </c>
      <c r="AW8" s="103">
        <f>IF(AW4=0,"",'Input Assumptions'!AV51)</f>
        <v>36</v>
      </c>
      <c r="AX8" s="103">
        <f>IF(AX4=0,"",'Input Assumptions'!AW51)</f>
        <v>36</v>
      </c>
      <c r="AY8" s="103">
        <f>IF(AY4=0,"",'Input Assumptions'!AX51)</f>
        <v>36</v>
      </c>
      <c r="AZ8" s="103">
        <f>IF(AZ4=0,"",'Input Assumptions'!AY51)</f>
        <v>36</v>
      </c>
      <c r="BA8" s="103">
        <f>IF(BA4=0,"",'Input Assumptions'!AZ51)</f>
        <v>36</v>
      </c>
      <c r="BB8" s="103">
        <f>IF(BB4=0,"",'Input Assumptions'!BA51)</f>
        <v>36</v>
      </c>
      <c r="BC8" s="103">
        <f>IF(BC4=0,"",'Input Assumptions'!BB51)</f>
        <v>36</v>
      </c>
      <c r="BD8" s="103">
        <f>IF(BD4=0,"",'Input Assumptions'!BC51)</f>
        <v>36</v>
      </c>
      <c r="BE8" s="103">
        <f>IF(BE4=0,"",'Input Assumptions'!BD51)</f>
        <v>36</v>
      </c>
      <c r="BF8" s="103">
        <f>IF(BF4=0,"",'Input Assumptions'!BE51)</f>
        <v>36</v>
      </c>
      <c r="BG8" s="103">
        <f>IF(BG4=0,"",'Input Assumptions'!BF51)</f>
        <v>36</v>
      </c>
      <c r="BH8" s="103">
        <f>IF(BH4=0,"",'Input Assumptions'!BG51)</f>
        <v>36</v>
      </c>
      <c r="BI8" s="103">
        <f>IF(BI4=0,"",'Input Assumptions'!BH51)</f>
        <v>36</v>
      </c>
      <c r="BJ8" s="103">
        <f>IF(BJ4=0,"",'Input Assumptions'!BI51)</f>
        <v>36</v>
      </c>
      <c r="BK8" s="103">
        <f>IF(BK4=0,"",'Input Assumptions'!BJ51)</f>
        <v>36</v>
      </c>
      <c r="BL8" s="103" t="str">
        <f>IF(BL4=0,"",'Input Assumptions'!BK51)</f>
        <v/>
      </c>
      <c r="BM8" s="103" t="str">
        <f>IF(BM4=0,"",'Input Assumptions'!BL51)</f>
        <v/>
      </c>
      <c r="BN8" s="103" t="str">
        <f>IF(BN4=0,"",'Input Assumptions'!BM51)</f>
        <v/>
      </c>
      <c r="BO8" s="103" t="str">
        <f>IF(BO4=0,"",'Input Assumptions'!BN51)</f>
        <v/>
      </c>
      <c r="BP8" s="103" t="str">
        <f>IF(BP4=0,"",'Input Assumptions'!BO51)</f>
        <v/>
      </c>
      <c r="BQ8" s="103" t="str">
        <f>IF(BQ4=0,"",'Input Assumptions'!BP51)</f>
        <v/>
      </c>
      <c r="BR8" s="103" t="str">
        <f>IF(BR4=0,"",'Input Assumptions'!BQ51)</f>
        <v/>
      </c>
      <c r="BS8" s="103" t="str">
        <f>IF(BS4=0,"",'Input Assumptions'!BR51)</f>
        <v/>
      </c>
      <c r="BT8" s="103" t="str">
        <f>IF(BT4=0,"",'Input Assumptions'!BS51)</f>
        <v/>
      </c>
      <c r="BU8" s="103" t="str">
        <f>IF(BU4=0,"",'Input Assumptions'!BT51)</f>
        <v/>
      </c>
      <c r="BV8" s="103" t="str">
        <f>IF(BV4=0,"",'Input Assumptions'!BU51)</f>
        <v/>
      </c>
      <c r="BW8" s="103" t="str">
        <f>IF(BW4=0,"",'Input Assumptions'!BV51)</f>
        <v/>
      </c>
      <c r="BX8" s="103" t="str">
        <f>IF(BX4=0,"",'Input Assumptions'!BW51)</f>
        <v/>
      </c>
      <c r="BY8" s="103" t="str">
        <f>IF(BY4=0,"",'Input Assumptions'!BX51)</f>
        <v/>
      </c>
      <c r="BZ8" s="103" t="str">
        <f>IF(BZ4=0,"",'Input Assumptions'!BY51)</f>
        <v/>
      </c>
      <c r="CA8" s="103" t="str">
        <f>IF(CA4=0,"",'Input Assumptions'!BZ51)</f>
        <v/>
      </c>
      <c r="CB8" s="103" t="str">
        <f>IF(CB4=0,"",'Input Assumptions'!CA51)</f>
        <v/>
      </c>
      <c r="CC8" s="103" t="str">
        <f>IF(CC4=0,"",'Input Assumptions'!CB51)</f>
        <v/>
      </c>
      <c r="CD8" s="103" t="str">
        <f>IF(CD4=0,"",'Input Assumptions'!CC51)</f>
        <v/>
      </c>
      <c r="CE8" s="103" t="str">
        <f>IF(CE4=0,"",'Input Assumptions'!CD51)</f>
        <v/>
      </c>
      <c r="CF8" s="103" t="str">
        <f>IF(CF4=0,"",'Input Assumptions'!CE51)</f>
        <v/>
      </c>
      <c r="CG8" s="103" t="str">
        <f>IF(CG4=0,"",'Input Assumptions'!CF51)</f>
        <v/>
      </c>
      <c r="CH8" s="103" t="str">
        <f>IF(CH4=0,"",'Input Assumptions'!CG51)</f>
        <v/>
      </c>
      <c r="CI8" s="103" t="str">
        <f>IF(CI4=0,"",'Input Assumptions'!CH51)</f>
        <v/>
      </c>
      <c r="CJ8" s="103" t="str">
        <f>IF(CJ4=0,"",'Input Assumptions'!CI51)</f>
        <v/>
      </c>
      <c r="CK8" s="103" t="str">
        <f>IF(CK4=0,"",'Input Assumptions'!CJ51)</f>
        <v/>
      </c>
      <c r="CL8" s="103" t="str">
        <f>IF(CL4=0,"",'Input Assumptions'!CK51)</f>
        <v/>
      </c>
      <c r="CM8" s="103" t="str">
        <f>IF(CM4=0,"",'Input Assumptions'!CL51)</f>
        <v/>
      </c>
      <c r="CN8" s="103" t="str">
        <f>IF(CN4=0,"",'Input Assumptions'!CM51)</f>
        <v/>
      </c>
      <c r="CO8" s="103" t="str">
        <f>IF(CO4=0,"",'Input Assumptions'!CN51)</f>
        <v/>
      </c>
      <c r="CP8" s="103" t="str">
        <f>IF(CP4=0,"",'Input Assumptions'!CO51)</f>
        <v/>
      </c>
      <c r="CQ8" s="103" t="str">
        <f>IF(CQ4=0,"",'Input Assumptions'!CP51)</f>
        <v/>
      </c>
      <c r="CR8" s="103" t="str">
        <f>IF(CR4=0,"",'Input Assumptions'!CQ51)</f>
        <v/>
      </c>
      <c r="CS8" s="103" t="str">
        <f>IF(CS4=0,"",'Input Assumptions'!CR51)</f>
        <v/>
      </c>
      <c r="CT8" s="103" t="str">
        <f>IF(CT4=0,"",'Input Assumptions'!CS51)</f>
        <v/>
      </c>
      <c r="CU8" s="103" t="str">
        <f>IF(CU4=0,"",'Input Assumptions'!CT51)</f>
        <v/>
      </c>
      <c r="CV8" s="103" t="str">
        <f>IF(CV4=0,"",'Input Assumptions'!CU51)</f>
        <v/>
      </c>
      <c r="CW8" s="103" t="str">
        <f>IF(CW4=0,"",'Input Assumptions'!CV51)</f>
        <v/>
      </c>
      <c r="CX8" s="103" t="str">
        <f>IF(CX4=0,"",'Input Assumptions'!CW51)</f>
        <v/>
      </c>
      <c r="CY8" s="103" t="str">
        <f>IF(CY4=0,"",'Input Assumptions'!CX51)</f>
        <v/>
      </c>
      <c r="CZ8" s="103" t="str">
        <f>IF(CZ4=0,"",'Input Assumptions'!CY51)</f>
        <v/>
      </c>
      <c r="DA8" s="103" t="str">
        <f>IF(DA4=0,"",'Input Assumptions'!CZ51)</f>
        <v/>
      </c>
      <c r="DB8" s="103" t="str">
        <f>IF(DB4=0,"",'Input Assumptions'!DA51)</f>
        <v/>
      </c>
      <c r="DC8" s="103" t="str">
        <f>IF(DC4=0,"",'Input Assumptions'!DB51)</f>
        <v/>
      </c>
      <c r="DD8" s="103" t="str">
        <f>IF(DD4=0,"",'Input Assumptions'!DC51)</f>
        <v/>
      </c>
      <c r="DE8" s="103" t="str">
        <f>IF(DE4=0,"",'Input Assumptions'!DD51)</f>
        <v/>
      </c>
      <c r="DF8" s="103" t="str">
        <f>IF(DF4=0,"",'Input Assumptions'!DE51)</f>
        <v/>
      </c>
      <c r="DG8" s="103" t="str">
        <f>IF(DG4=0,"",'Input Assumptions'!DF51)</f>
        <v/>
      </c>
      <c r="DH8" s="103" t="str">
        <f>IF(DH4=0,"",'Input Assumptions'!DG51)</f>
        <v/>
      </c>
      <c r="DI8" s="103" t="str">
        <f>IF(DI4=0,"",'Input Assumptions'!DH51)</f>
        <v/>
      </c>
      <c r="DJ8" s="103" t="str">
        <f>IF(DJ4=0,"",'Input Assumptions'!DI51)</f>
        <v/>
      </c>
      <c r="DK8" s="103" t="str">
        <f>IF(DK4=0,"",'Input Assumptions'!DJ51)</f>
        <v/>
      </c>
      <c r="DL8" s="103" t="str">
        <f>IF(DL4=0,"",'Input Assumptions'!DK51)</f>
        <v/>
      </c>
      <c r="DM8" s="103" t="str">
        <f>IF(DM4=0,"",'Input Assumptions'!DL51)</f>
        <v/>
      </c>
      <c r="DN8" s="103" t="str">
        <f>IF(DN4=0,"",'Input Assumptions'!DM51)</f>
        <v/>
      </c>
      <c r="DO8" s="103" t="str">
        <f>IF(DO4=0,"",'Input Assumptions'!DN51)</f>
        <v/>
      </c>
      <c r="DP8" s="103" t="str">
        <f>IF(DP4=0,"",'Input Assumptions'!DO51)</f>
        <v/>
      </c>
      <c r="DQ8" s="103" t="str">
        <f>IF(DQ4=0,"",'Input Assumptions'!DP51)</f>
        <v/>
      </c>
      <c r="DR8" s="103" t="str">
        <f>IF(DR4=0,"",'Input Assumptions'!DQ51)</f>
        <v/>
      </c>
      <c r="DS8" s="103" t="str">
        <f>IF(DS4=0,"",'Input Assumptions'!DR51)</f>
        <v/>
      </c>
    </row>
    <row r="9" spans="2:123" x14ac:dyDescent="0.3">
      <c r="B9" s="101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</row>
    <row r="10" spans="2:123" ht="15" thickBot="1" x14ac:dyDescent="0.35">
      <c r="B10" s="113" t="s">
        <v>129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</row>
    <row r="11" spans="2:123" x14ac:dyDescent="0.3">
      <c r="B11" s="110" t="s">
        <v>24</v>
      </c>
      <c r="C11" s="109">
        <f>-'Input Assumptions'!C14</f>
        <v>-15250000</v>
      </c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</row>
    <row r="12" spans="2:123" x14ac:dyDescent="0.3">
      <c r="B12" s="110" t="str">
        <f>'Input Assumptions'!B16</f>
        <v>Acquisition Cost</v>
      </c>
      <c r="C12" s="109">
        <f>C11*'Input Assumptions'!C16</f>
        <v>-1037000.0000000001</v>
      </c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</row>
    <row r="13" spans="2:123" x14ac:dyDescent="0.3">
      <c r="B13" s="107" t="s">
        <v>137</v>
      </c>
      <c r="C13" s="108">
        <f>SUM(C11:C12)</f>
        <v>-16287000</v>
      </c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</row>
    <row r="14" spans="2:123" x14ac:dyDescent="0.3">
      <c r="B14" s="101"/>
    </row>
    <row r="15" spans="2:123" ht="15" thickBot="1" x14ac:dyDescent="0.35">
      <c r="B15" s="114" t="s">
        <v>130</v>
      </c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</row>
    <row r="16" spans="2:123" x14ac:dyDescent="0.3">
      <c r="B16" s="110" t="s">
        <v>105</v>
      </c>
      <c r="C16" s="59"/>
      <c r="D16" s="59">
        <f>IF(D4=0,"",'Unit List &amp; Rent Roll'!N41-D30-D31)</f>
        <v>72450</v>
      </c>
      <c r="E16" s="59">
        <f>IF(E4=0,"",'Unit List &amp; Rent Roll'!O41-E30-E31)</f>
        <v>72450</v>
      </c>
      <c r="F16" s="59">
        <f>IF(F4=0,"",'Unit List &amp; Rent Roll'!P41-F30-F31)</f>
        <v>72450</v>
      </c>
      <c r="G16" s="59">
        <f>IF(G4=0,"",'Unit List &amp; Rent Roll'!Q41-G30-G31)</f>
        <v>72450</v>
      </c>
      <c r="H16" s="59">
        <f>IF(H4=0,"",'Unit List &amp; Rent Roll'!R41-H30-H31)</f>
        <v>72450</v>
      </c>
      <c r="I16" s="59">
        <f>IF(I4=0,"",'Unit List &amp; Rent Roll'!S41-I30-I31)</f>
        <v>72450</v>
      </c>
      <c r="J16" s="59">
        <f>IF(J4=0,"",'Unit List &amp; Rent Roll'!T41-J30-J31)</f>
        <v>72450</v>
      </c>
      <c r="K16" s="59">
        <f>IF(K4=0,"",'Unit List &amp; Rent Roll'!U41-K30-K31)</f>
        <v>72450</v>
      </c>
      <c r="L16" s="59">
        <f>IF(L4=0,"",'Unit List &amp; Rent Roll'!V41-L30-L31)</f>
        <v>72450</v>
      </c>
      <c r="M16" s="59">
        <f>IF(M4=0,"",'Unit List &amp; Rent Roll'!W41-M30-M31)</f>
        <v>72450</v>
      </c>
      <c r="N16" s="59">
        <f>IF(N4=0,"",'Unit List &amp; Rent Roll'!X41-N30-N31)</f>
        <v>72450</v>
      </c>
      <c r="O16" s="59">
        <f>IF(O4=0,"",'Unit List &amp; Rent Roll'!Y41-O30-O31)</f>
        <v>72450</v>
      </c>
      <c r="P16" s="59">
        <f>IF(P4=0,"",'Unit List &amp; Rent Roll'!Z41-P30-P31)</f>
        <v>75162.187500000015</v>
      </c>
      <c r="Q16" s="59">
        <f>IF(Q4=0,"",'Unit List &amp; Rent Roll'!AA41-Q30-Q31)</f>
        <v>75162.187500000015</v>
      </c>
      <c r="R16" s="59">
        <f>IF(R4=0,"",'Unit List &amp; Rent Roll'!AB41-R30-R31)</f>
        <v>75162.187500000015</v>
      </c>
      <c r="S16" s="59">
        <f>IF(S4=0,"",'Unit List &amp; Rent Roll'!AC41-S30-S31)</f>
        <v>75162.187500000015</v>
      </c>
      <c r="T16" s="59">
        <f>IF(T4=0,"",'Unit List &amp; Rent Roll'!AD41-T30-T31)</f>
        <v>75162.187500000015</v>
      </c>
      <c r="U16" s="59">
        <f>IF(U4=0,"",'Unit List &amp; Rent Roll'!AE41-U30-U31)</f>
        <v>75162.187500000015</v>
      </c>
      <c r="V16" s="59">
        <f>IF(V4=0,"",'Unit List &amp; Rent Roll'!AF41-V30-V31)</f>
        <v>75162.187500000015</v>
      </c>
      <c r="W16" s="59">
        <f>IF(W4=0,"",'Unit List &amp; Rent Roll'!AG41-W30-W31)</f>
        <v>75162.187500000015</v>
      </c>
      <c r="X16" s="59">
        <f>IF(X4=0,"",'Unit List &amp; Rent Roll'!AH41-X30-X31)</f>
        <v>75162.187500000015</v>
      </c>
      <c r="Y16" s="59">
        <f>IF(Y4=0,"",'Unit List &amp; Rent Roll'!AI41-Y30-Y31)</f>
        <v>75162.187500000015</v>
      </c>
      <c r="Z16" s="59">
        <f>IF(Z4=0,"",'Unit List &amp; Rent Roll'!AJ41-Z30-Z31)</f>
        <v>75162.187500000015</v>
      </c>
      <c r="AA16" s="59">
        <f>IF(AA4=0,"",'Unit List &amp; Rent Roll'!AK41-AA30-AA31)</f>
        <v>75162.187500000015</v>
      </c>
      <c r="AB16" s="59">
        <f>IF(AB4=0,"",'Unit List &amp; Rent Roll'!AL41-AB30-AB31)</f>
        <v>77975.994140625015</v>
      </c>
      <c r="AC16" s="59">
        <f>IF(AC4=0,"",'Unit List &amp; Rent Roll'!AM41-AC30-AC31)</f>
        <v>77975.994140625015</v>
      </c>
      <c r="AD16" s="59">
        <f>IF(AD4=0,"",'Unit List &amp; Rent Roll'!AN41-AD30-AD31)</f>
        <v>77975.994140625015</v>
      </c>
      <c r="AE16" s="59">
        <f>IF(AE4=0,"",'Unit List &amp; Rent Roll'!AO41-AE30-AE31)</f>
        <v>77975.994140625015</v>
      </c>
      <c r="AF16" s="59">
        <f>IF(AF4=0,"",'Unit List &amp; Rent Roll'!AP41-AF30-AF31)</f>
        <v>77975.994140625015</v>
      </c>
      <c r="AG16" s="59">
        <f>IF(AG4=0,"",'Unit List &amp; Rent Roll'!AQ41-AG30-AG31)</f>
        <v>77975.994140625015</v>
      </c>
      <c r="AH16" s="59">
        <f>IF(AH4=0,"",'Unit List &amp; Rent Roll'!AR41-AH30-AH31)</f>
        <v>77975.994140625015</v>
      </c>
      <c r="AI16" s="59">
        <f>IF(AI4=0,"",'Unit List &amp; Rent Roll'!AS41-AI30-AI31)</f>
        <v>77975.994140625015</v>
      </c>
      <c r="AJ16" s="59">
        <f>IF(AJ4=0,"",'Unit List &amp; Rent Roll'!AT41-AJ30-AJ31)</f>
        <v>77975.994140625015</v>
      </c>
      <c r="AK16" s="59">
        <f>IF(AK4=0,"",'Unit List &amp; Rent Roll'!AU41-AK30-AK31)</f>
        <v>77975.994140625015</v>
      </c>
      <c r="AL16" s="59">
        <f>IF(AL4=0,"",'Unit List &amp; Rent Roll'!AV41-AL30-AL31)</f>
        <v>77975.994140625015</v>
      </c>
      <c r="AM16" s="59">
        <f>IF(AM4=0,"",'Unit List &amp; Rent Roll'!AW41-AM30-AM31)</f>
        <v>77975.994140625015</v>
      </c>
      <c r="AN16" s="59">
        <f>IF(AN4=0,"",'Unit List &amp; Rent Roll'!AX41-AN30-AN31)</f>
        <v>80895.228991699216</v>
      </c>
      <c r="AO16" s="59">
        <f>IF(AO4=0,"",'Unit List &amp; Rent Roll'!AY41-AO30-AO31)</f>
        <v>80895.228991699216</v>
      </c>
      <c r="AP16" s="59">
        <f>IF(AP4=0,"",'Unit List &amp; Rent Roll'!AZ41-AP30-AP31)</f>
        <v>80895.228991699216</v>
      </c>
      <c r="AQ16" s="59">
        <f>IF(AQ4=0,"",'Unit List &amp; Rent Roll'!BA41-AQ30-AQ31)</f>
        <v>80895.228991699216</v>
      </c>
      <c r="AR16" s="59">
        <f>IF(AR4=0,"",'Unit List &amp; Rent Roll'!BB41-AR30-AR31)</f>
        <v>80895.228991699216</v>
      </c>
      <c r="AS16" s="59">
        <f>IF(AS4=0,"",'Unit List &amp; Rent Roll'!BC41-AS30-AS31)</f>
        <v>80895.228991699216</v>
      </c>
      <c r="AT16" s="59">
        <f>IF(AT4=0,"",'Unit List &amp; Rent Roll'!BD41-AT30-AT31)</f>
        <v>80895.228991699216</v>
      </c>
      <c r="AU16" s="59">
        <f>IF(AU4=0,"",'Unit List &amp; Rent Roll'!BE41-AU30-AU31)</f>
        <v>80895.228991699216</v>
      </c>
      <c r="AV16" s="59">
        <f>IF(AV4=0,"",'Unit List &amp; Rent Roll'!BF41-AV30-AV31)</f>
        <v>80895.228991699216</v>
      </c>
      <c r="AW16" s="59">
        <f>IF(AW4=0,"",'Unit List &amp; Rent Roll'!BG41-AW30-AW31)</f>
        <v>80895.228991699216</v>
      </c>
      <c r="AX16" s="59">
        <f>IF(AX4=0,"",'Unit List &amp; Rent Roll'!BH41-AX30-AX31)</f>
        <v>80895.228991699216</v>
      </c>
      <c r="AY16" s="59">
        <f>IF(AY4=0,"",'Unit List &amp; Rent Roll'!BI41-AY30-AY31)</f>
        <v>80895.228991699216</v>
      </c>
      <c r="AZ16" s="59">
        <f>IF(AZ4=0,"",'Unit List &amp; Rent Roll'!BJ41-AZ30-AZ31)</f>
        <v>83923.843932266303</v>
      </c>
      <c r="BA16" s="59">
        <f>IF(BA4=0,"",'Unit List &amp; Rent Roll'!BK41-BA30-BA31)</f>
        <v>83923.843932266303</v>
      </c>
      <c r="BB16" s="59">
        <f>IF(BB4=0,"",'Unit List &amp; Rent Roll'!BL41-BB30-BB31)</f>
        <v>83923.843932266303</v>
      </c>
      <c r="BC16" s="59">
        <f>IF(BC4=0,"",'Unit List &amp; Rent Roll'!BM41-BC30-BC31)</f>
        <v>83923.843932266303</v>
      </c>
      <c r="BD16" s="59">
        <f>IF(BD4=0,"",'Unit List &amp; Rent Roll'!BN41-BD30-BD31)</f>
        <v>83923.843932266303</v>
      </c>
      <c r="BE16" s="59">
        <f>IF(BE4=0,"",'Unit List &amp; Rent Roll'!BO41-BE30-BE31)</f>
        <v>83923.843932266303</v>
      </c>
      <c r="BF16" s="59">
        <f>IF(BF4=0,"",'Unit List &amp; Rent Roll'!BP41-BF30-BF31)</f>
        <v>83923.843932266303</v>
      </c>
      <c r="BG16" s="59">
        <f>IF(BG4=0,"",'Unit List &amp; Rent Roll'!BQ41-BG30-BG31)</f>
        <v>83923.843932266303</v>
      </c>
      <c r="BH16" s="59">
        <f>IF(BH4=0,"",'Unit List &amp; Rent Roll'!BR41-BH30-BH31)</f>
        <v>83923.843932266303</v>
      </c>
      <c r="BI16" s="59">
        <f>IF(BI4=0,"",'Unit List &amp; Rent Roll'!BS41-BI30-BI31)</f>
        <v>83923.843932266303</v>
      </c>
      <c r="BJ16" s="59">
        <f>IF(BJ4=0,"",'Unit List &amp; Rent Roll'!BT41-BJ30-BJ31)</f>
        <v>83923.843932266303</v>
      </c>
      <c r="BK16" s="59">
        <f>IF(BK4=0,"",'Unit List &amp; Rent Roll'!BU41-BK30-BK31)</f>
        <v>83923.843932266303</v>
      </c>
      <c r="BL16" s="59" t="str">
        <f>IF(BL4=0,"",'Unit List &amp; Rent Roll'!BV41-BL30-BL31)</f>
        <v/>
      </c>
      <c r="BM16" s="59" t="str">
        <f>IF(BM4=0,"",'Unit List &amp; Rent Roll'!BW41-BM30-BM31)</f>
        <v/>
      </c>
      <c r="BN16" s="59" t="str">
        <f>IF(BN4=0,"",'Unit List &amp; Rent Roll'!BX41-BN30-BN31)</f>
        <v/>
      </c>
      <c r="BO16" s="59" t="str">
        <f>IF(BO4=0,"",'Unit List &amp; Rent Roll'!BY41-BO30-BO31)</f>
        <v/>
      </c>
      <c r="BP16" s="59" t="str">
        <f>IF(BP4=0,"",'Unit List &amp; Rent Roll'!BZ41-BP30-BP31)</f>
        <v/>
      </c>
      <c r="BQ16" s="59" t="str">
        <f>IF(BQ4=0,"",'Unit List &amp; Rent Roll'!CA41-BQ30-BQ31)</f>
        <v/>
      </c>
      <c r="BR16" s="59" t="str">
        <f>IF(BR4=0,"",'Unit List &amp; Rent Roll'!CB41-BR30-BR31)</f>
        <v/>
      </c>
      <c r="BS16" s="59" t="str">
        <f>IF(BS4=0,"",'Unit List &amp; Rent Roll'!CC41-BS30-BS31)</f>
        <v/>
      </c>
      <c r="BT16" s="59" t="str">
        <f>IF(BT4=0,"",'Unit List &amp; Rent Roll'!CD41-BT30-BT31)</f>
        <v/>
      </c>
      <c r="BU16" s="59" t="str">
        <f>IF(BU4=0,"",'Unit List &amp; Rent Roll'!CE41-BU30-BU31)</f>
        <v/>
      </c>
      <c r="BV16" s="59" t="str">
        <f>IF(BV4=0,"",'Unit List &amp; Rent Roll'!CF41-BV30-BV31)</f>
        <v/>
      </c>
      <c r="BW16" s="59" t="str">
        <f>IF(BW4=0,"",'Unit List &amp; Rent Roll'!CG41-BW30-BW31)</f>
        <v/>
      </c>
      <c r="BX16" s="59" t="str">
        <f>IF(BX4=0,"",'Unit List &amp; Rent Roll'!CH41-BX30-BX31)</f>
        <v/>
      </c>
      <c r="BY16" s="59" t="str">
        <f>IF(BY4=0,"",'Unit List &amp; Rent Roll'!CI41-BY30-BY31)</f>
        <v/>
      </c>
      <c r="BZ16" s="59" t="str">
        <f>IF(BZ4=0,"",'Unit List &amp; Rent Roll'!CJ41-BZ30-BZ31)</f>
        <v/>
      </c>
      <c r="CA16" s="59" t="str">
        <f>IF(CA4=0,"",'Unit List &amp; Rent Roll'!CK41-CA30-CA31)</f>
        <v/>
      </c>
      <c r="CB16" s="59" t="str">
        <f>IF(CB4=0,"",'Unit List &amp; Rent Roll'!CL41-CB30-CB31)</f>
        <v/>
      </c>
      <c r="CC16" s="59" t="str">
        <f>IF(CC4=0,"",'Unit List &amp; Rent Roll'!CM41-CC30-CC31)</f>
        <v/>
      </c>
      <c r="CD16" s="59" t="str">
        <f>IF(CD4=0,"",'Unit List &amp; Rent Roll'!CN41-CD30-CD31)</f>
        <v/>
      </c>
      <c r="CE16" s="59" t="str">
        <f>IF(CE4=0,"",'Unit List &amp; Rent Roll'!CO41-CE30-CE31)</f>
        <v/>
      </c>
      <c r="CF16" s="59" t="str">
        <f>IF(CF4=0,"",'Unit List &amp; Rent Roll'!CP41-CF30-CF31)</f>
        <v/>
      </c>
      <c r="CG16" s="59" t="str">
        <f>IF(CG4=0,"",'Unit List &amp; Rent Roll'!CQ41-CG30-CG31)</f>
        <v/>
      </c>
      <c r="CH16" s="59" t="str">
        <f>IF(CH4=0,"",'Unit List &amp; Rent Roll'!CR41-CH30-CH31)</f>
        <v/>
      </c>
      <c r="CI16" s="59" t="str">
        <f>IF(CI4=0,"",'Unit List &amp; Rent Roll'!CS41-CI30-CI31)</f>
        <v/>
      </c>
      <c r="CJ16" s="59" t="str">
        <f>IF(CJ4=0,"",'Unit List &amp; Rent Roll'!CT41-CJ30-CJ31)</f>
        <v/>
      </c>
      <c r="CK16" s="59" t="str">
        <f>IF(CK4=0,"",'Unit List &amp; Rent Roll'!CU41-CK30-CK31)</f>
        <v/>
      </c>
      <c r="CL16" s="59" t="str">
        <f>IF(CL4=0,"",'Unit List &amp; Rent Roll'!CV41-CL30-CL31)</f>
        <v/>
      </c>
      <c r="CM16" s="59" t="str">
        <f>IF(CM4=0,"",'Unit List &amp; Rent Roll'!CW41-CM30-CM31)</f>
        <v/>
      </c>
      <c r="CN16" s="59" t="str">
        <f>IF(CN4=0,"",'Unit List &amp; Rent Roll'!CX41-CN30-CN31)</f>
        <v/>
      </c>
      <c r="CO16" s="59" t="str">
        <f>IF(CO4=0,"",'Unit List &amp; Rent Roll'!CY41-CO30-CO31)</f>
        <v/>
      </c>
      <c r="CP16" s="59" t="str">
        <f>IF(CP4=0,"",'Unit List &amp; Rent Roll'!CZ41-CP30-CP31)</f>
        <v/>
      </c>
      <c r="CQ16" s="59" t="str">
        <f>IF(CQ4=0,"",'Unit List &amp; Rent Roll'!DA41-CQ30-CQ31)</f>
        <v/>
      </c>
      <c r="CR16" s="59" t="str">
        <f>IF(CR4=0,"",'Unit List &amp; Rent Roll'!DB41-CR30-CR31)</f>
        <v/>
      </c>
      <c r="CS16" s="59" t="str">
        <f>IF(CS4=0,"",'Unit List &amp; Rent Roll'!DC41-CS30-CS31)</f>
        <v/>
      </c>
      <c r="CT16" s="59" t="str">
        <f>IF(CT4=0,"",'Unit List &amp; Rent Roll'!DD41-CT30-CT31)</f>
        <v/>
      </c>
      <c r="CU16" s="59" t="str">
        <f>IF(CU4=0,"",'Unit List &amp; Rent Roll'!DE41-CU30-CU31)</f>
        <v/>
      </c>
      <c r="CV16" s="59" t="str">
        <f>IF(CV4=0,"",'Unit List &amp; Rent Roll'!DF41-CV30-CV31)</f>
        <v/>
      </c>
      <c r="CW16" s="59" t="str">
        <f>IF(CW4=0,"",'Unit List &amp; Rent Roll'!DG41-CW30-CW31)</f>
        <v/>
      </c>
      <c r="CX16" s="59" t="str">
        <f>IF(CX4=0,"",'Unit List &amp; Rent Roll'!DH41-CX30-CX31)</f>
        <v/>
      </c>
      <c r="CY16" s="59" t="str">
        <f>IF(CY4=0,"",'Unit List &amp; Rent Roll'!DI41-CY30-CY31)</f>
        <v/>
      </c>
      <c r="CZ16" s="59" t="str">
        <f>IF(CZ4=0,"",'Unit List &amp; Rent Roll'!DJ41-CZ30-CZ31)</f>
        <v/>
      </c>
      <c r="DA16" s="59" t="str">
        <f>IF(DA4=0,"",'Unit List &amp; Rent Roll'!DK41-DA30-DA31)</f>
        <v/>
      </c>
      <c r="DB16" s="59" t="str">
        <f>IF(DB4=0,"",'Unit List &amp; Rent Roll'!DL41-DB30-DB31)</f>
        <v/>
      </c>
      <c r="DC16" s="59" t="str">
        <f>IF(DC4=0,"",'Unit List &amp; Rent Roll'!DM41-DC30-DC31)</f>
        <v/>
      </c>
      <c r="DD16" s="59" t="str">
        <f>IF(DD4=0,"",'Unit List &amp; Rent Roll'!DN41-DD30-DD31)</f>
        <v/>
      </c>
      <c r="DE16" s="59" t="str">
        <f>IF(DE4=0,"",'Unit List &amp; Rent Roll'!DO41-DE30-DE31)</f>
        <v/>
      </c>
      <c r="DF16" s="59" t="str">
        <f>IF(DF4=0,"",'Unit List &amp; Rent Roll'!DP41-DF30-DF31)</f>
        <v/>
      </c>
      <c r="DG16" s="59" t="str">
        <f>IF(DG4=0,"",'Unit List &amp; Rent Roll'!DQ41-DG30-DG31)</f>
        <v/>
      </c>
      <c r="DH16" s="59" t="str">
        <f>IF(DH4=0,"",'Unit List &amp; Rent Roll'!DR41-DH30-DH31)</f>
        <v/>
      </c>
      <c r="DI16" s="59" t="str">
        <f>IF(DI4=0,"",'Unit List &amp; Rent Roll'!DS41-DI30-DI31)</f>
        <v/>
      </c>
      <c r="DJ16" s="59" t="str">
        <f>IF(DJ4=0,"",'Unit List &amp; Rent Roll'!DT41-DJ30-DJ31)</f>
        <v/>
      </c>
      <c r="DK16" s="59" t="str">
        <f>IF(DK4=0,"",'Unit List &amp; Rent Roll'!DU41-DK30-DK31)</f>
        <v/>
      </c>
      <c r="DL16" s="59" t="str">
        <f>IF(DL4=0,"",'Unit List &amp; Rent Roll'!DV41-DL30-DL31)</f>
        <v/>
      </c>
      <c r="DM16" s="59" t="str">
        <f>IF(DM4=0,"",'Unit List &amp; Rent Roll'!DW41-DM30-DM31)</f>
        <v/>
      </c>
      <c r="DN16" s="59" t="str">
        <f>IF(DN4=0,"",'Unit List &amp; Rent Roll'!DX41-DN30-DN31)</f>
        <v/>
      </c>
      <c r="DO16" s="59" t="str">
        <f>IF(DO4=0,"",'Unit List &amp; Rent Roll'!DY41-DO30-DO31)</f>
        <v/>
      </c>
      <c r="DP16" s="59" t="str">
        <f>IF(DP4=0,"",'Unit List &amp; Rent Roll'!DZ41-DP30-DP31)</f>
        <v/>
      </c>
      <c r="DQ16" s="59" t="str">
        <f>IF(DQ4=0,"",'Unit List &amp; Rent Roll'!EA41-DQ30-DQ31)</f>
        <v/>
      </c>
      <c r="DR16" s="59" t="str">
        <f>IF(DR4=0,"",'Unit List &amp; Rent Roll'!EB41-DR30-DR31)</f>
        <v/>
      </c>
      <c r="DS16" s="59" t="str">
        <f>IF(DS4=0,"",'Unit List &amp; Rent Roll'!EC41-DS30-DS31)</f>
        <v/>
      </c>
    </row>
    <row r="17" spans="1:123" x14ac:dyDescent="0.3">
      <c r="B17" s="110" t="s">
        <v>106</v>
      </c>
      <c r="D17" s="59">
        <f>IF(D4=0,"",-('Input Assumptions'!$C$54*_xlfn.XLOOKUP(D4,'Input Assumptions'!$C$41:$L$41,'Input Assumptions'!$C$43:$L$43)*D8))</f>
        <v>-660</v>
      </c>
      <c r="E17" s="59">
        <f>IF(E4=0,"",-('Input Assumptions'!$C$54*_xlfn.XLOOKUP(E4,'Input Assumptions'!$C$41:$L$41,'Input Assumptions'!$C$43:$L$43)*E8))</f>
        <v>-1320</v>
      </c>
      <c r="F17" s="59">
        <f>IF(F4=0,"",-('Input Assumptions'!$C$54*_xlfn.XLOOKUP(F4,'Input Assumptions'!$C$41:$L$41,'Input Assumptions'!$C$43:$L$43)*F8))</f>
        <v>-1980</v>
      </c>
      <c r="G17" s="59">
        <f>IF(G4=0,"",-('Input Assumptions'!$C$54*_xlfn.XLOOKUP(G4,'Input Assumptions'!$C$41:$L$41,'Input Assumptions'!$C$43:$L$43)*G8))</f>
        <v>-2640</v>
      </c>
      <c r="H17" s="59">
        <f>IF(H4=0,"",-('Input Assumptions'!$C$54*_xlfn.XLOOKUP(H4,'Input Assumptions'!$C$41:$L$41,'Input Assumptions'!$C$43:$L$43)*H8))</f>
        <v>-3300</v>
      </c>
      <c r="I17" s="59">
        <f>IF(I4=0,"",-('Input Assumptions'!$C$54*_xlfn.XLOOKUP(I4,'Input Assumptions'!$C$41:$L$41,'Input Assumptions'!$C$43:$L$43)*I8))</f>
        <v>-3960</v>
      </c>
      <c r="J17" s="59">
        <f>IF(J4=0,"",-('Input Assumptions'!$C$54*_xlfn.XLOOKUP(J4,'Input Assumptions'!$C$41:$L$41,'Input Assumptions'!$C$43:$L$43)*J8))</f>
        <v>-3960</v>
      </c>
      <c r="K17" s="59">
        <f>IF(K4=0,"",-('Input Assumptions'!$C$54*_xlfn.XLOOKUP(K4,'Input Assumptions'!$C$41:$L$41,'Input Assumptions'!$C$43:$L$43)*K8))</f>
        <v>-3960</v>
      </c>
      <c r="L17" s="59">
        <f>IF(L4=0,"",-('Input Assumptions'!$C$54*_xlfn.XLOOKUP(L4,'Input Assumptions'!$C$41:$L$41,'Input Assumptions'!$C$43:$L$43)*L8))</f>
        <v>-3960</v>
      </c>
      <c r="M17" s="59">
        <f>IF(M4=0,"",-('Input Assumptions'!$C$54*_xlfn.XLOOKUP(M4,'Input Assumptions'!$C$41:$L$41,'Input Assumptions'!$C$43:$L$43)*M8))</f>
        <v>-3960</v>
      </c>
      <c r="N17" s="59">
        <f>IF(N4=0,"",-('Input Assumptions'!$C$54*_xlfn.XLOOKUP(N4,'Input Assumptions'!$C$41:$L$41,'Input Assumptions'!$C$43:$L$43)*N8))</f>
        <v>-3960</v>
      </c>
      <c r="O17" s="59">
        <f>IF(O4=0,"",-('Input Assumptions'!$C$54*_xlfn.XLOOKUP(O4,'Input Assumptions'!$C$41:$L$41,'Input Assumptions'!$C$43:$L$43)*O8))</f>
        <v>-3960</v>
      </c>
      <c r="P17" s="59">
        <f>IF(P4=0,"",-('Input Assumptions'!$C$54*_xlfn.XLOOKUP(P4,'Input Assumptions'!$C$41:$L$41,'Input Assumptions'!$C$43:$L$43)*P8))</f>
        <v>-4034.25</v>
      </c>
      <c r="Q17" s="59">
        <f>IF(Q4=0,"",-('Input Assumptions'!$C$54*_xlfn.XLOOKUP(Q4,'Input Assumptions'!$C$41:$L$41,'Input Assumptions'!$C$43:$L$43)*Q8))</f>
        <v>-4034.25</v>
      </c>
      <c r="R17" s="59">
        <f>IF(R4=0,"",-('Input Assumptions'!$C$54*_xlfn.XLOOKUP(R4,'Input Assumptions'!$C$41:$L$41,'Input Assumptions'!$C$43:$L$43)*R8))</f>
        <v>-4034.25</v>
      </c>
      <c r="S17" s="59">
        <f>IF(S4=0,"",-('Input Assumptions'!$C$54*_xlfn.XLOOKUP(S4,'Input Assumptions'!$C$41:$L$41,'Input Assumptions'!$C$43:$L$43)*S8))</f>
        <v>-4034.25</v>
      </c>
      <c r="T17" s="59">
        <f>IF(T4=0,"",-('Input Assumptions'!$C$54*_xlfn.XLOOKUP(T4,'Input Assumptions'!$C$41:$L$41,'Input Assumptions'!$C$43:$L$43)*T8))</f>
        <v>-4034.25</v>
      </c>
      <c r="U17" s="59">
        <f>IF(U4=0,"",-('Input Assumptions'!$C$54*_xlfn.XLOOKUP(U4,'Input Assumptions'!$C$41:$L$41,'Input Assumptions'!$C$43:$L$43)*U8))</f>
        <v>-4034.25</v>
      </c>
      <c r="V17" s="59">
        <f>IF(V4=0,"",-('Input Assumptions'!$C$54*_xlfn.XLOOKUP(V4,'Input Assumptions'!$C$41:$L$41,'Input Assumptions'!$C$43:$L$43)*V8))</f>
        <v>-4034.25</v>
      </c>
      <c r="W17" s="59">
        <f>IF(W4=0,"",-('Input Assumptions'!$C$54*_xlfn.XLOOKUP(W4,'Input Assumptions'!$C$41:$L$41,'Input Assumptions'!$C$43:$L$43)*W8))</f>
        <v>-4034.25</v>
      </c>
      <c r="X17" s="59">
        <f>IF(X4=0,"",-('Input Assumptions'!$C$54*_xlfn.XLOOKUP(X4,'Input Assumptions'!$C$41:$L$41,'Input Assumptions'!$C$43:$L$43)*X8))</f>
        <v>-4034.25</v>
      </c>
      <c r="Y17" s="59">
        <f>IF(Y4=0,"",-('Input Assumptions'!$C$54*_xlfn.XLOOKUP(Y4,'Input Assumptions'!$C$41:$L$41,'Input Assumptions'!$C$43:$L$43)*Y8))</f>
        <v>-4034.25</v>
      </c>
      <c r="Z17" s="59">
        <f>IF(Z4=0,"",-('Input Assumptions'!$C$54*_xlfn.XLOOKUP(Z4,'Input Assumptions'!$C$41:$L$41,'Input Assumptions'!$C$43:$L$43)*Z8))</f>
        <v>-4034.25</v>
      </c>
      <c r="AA17" s="59">
        <f>IF(AA4=0,"",-('Input Assumptions'!$C$54*_xlfn.XLOOKUP(AA4,'Input Assumptions'!$C$41:$L$41,'Input Assumptions'!$C$43:$L$43)*AA8))</f>
        <v>-4034.25</v>
      </c>
      <c r="AB17" s="59">
        <f>IF(AB4=0,"",-('Input Assumptions'!$C$54*_xlfn.XLOOKUP(AB4,'Input Assumptions'!$C$41:$L$41,'Input Assumptions'!$C$43:$L$43)*AB8))</f>
        <v>-4109.8921875000005</v>
      </c>
      <c r="AC17" s="59">
        <f>IF(AC4=0,"",-('Input Assumptions'!$C$54*_xlfn.XLOOKUP(AC4,'Input Assumptions'!$C$41:$L$41,'Input Assumptions'!$C$43:$L$43)*AC8))</f>
        <v>-4109.8921875000005</v>
      </c>
      <c r="AD17" s="59">
        <f>IF(AD4=0,"",-('Input Assumptions'!$C$54*_xlfn.XLOOKUP(AD4,'Input Assumptions'!$C$41:$L$41,'Input Assumptions'!$C$43:$L$43)*AD8))</f>
        <v>-4109.8921875000005</v>
      </c>
      <c r="AE17" s="59">
        <f>IF(AE4=0,"",-('Input Assumptions'!$C$54*_xlfn.XLOOKUP(AE4,'Input Assumptions'!$C$41:$L$41,'Input Assumptions'!$C$43:$L$43)*AE8))</f>
        <v>-4109.8921875000005</v>
      </c>
      <c r="AF17" s="59">
        <f>IF(AF4=0,"",-('Input Assumptions'!$C$54*_xlfn.XLOOKUP(AF4,'Input Assumptions'!$C$41:$L$41,'Input Assumptions'!$C$43:$L$43)*AF8))</f>
        <v>-4109.8921875000005</v>
      </c>
      <c r="AG17" s="59">
        <f>IF(AG4=0,"",-('Input Assumptions'!$C$54*_xlfn.XLOOKUP(AG4,'Input Assumptions'!$C$41:$L$41,'Input Assumptions'!$C$43:$L$43)*AG8))</f>
        <v>-4109.8921875000005</v>
      </c>
      <c r="AH17" s="59">
        <f>IF(AH4=0,"",-('Input Assumptions'!$C$54*_xlfn.XLOOKUP(AH4,'Input Assumptions'!$C$41:$L$41,'Input Assumptions'!$C$43:$L$43)*AH8))</f>
        <v>-4109.8921875000005</v>
      </c>
      <c r="AI17" s="59">
        <f>IF(AI4=0,"",-('Input Assumptions'!$C$54*_xlfn.XLOOKUP(AI4,'Input Assumptions'!$C$41:$L$41,'Input Assumptions'!$C$43:$L$43)*AI8))</f>
        <v>-4109.8921875000005</v>
      </c>
      <c r="AJ17" s="59">
        <f>IF(AJ4=0,"",-('Input Assumptions'!$C$54*_xlfn.XLOOKUP(AJ4,'Input Assumptions'!$C$41:$L$41,'Input Assumptions'!$C$43:$L$43)*AJ8))</f>
        <v>-4109.8921875000005</v>
      </c>
      <c r="AK17" s="59">
        <f>IF(AK4=0,"",-('Input Assumptions'!$C$54*_xlfn.XLOOKUP(AK4,'Input Assumptions'!$C$41:$L$41,'Input Assumptions'!$C$43:$L$43)*AK8))</f>
        <v>-4109.8921875000005</v>
      </c>
      <c r="AL17" s="59">
        <f>IF(AL4=0,"",-('Input Assumptions'!$C$54*_xlfn.XLOOKUP(AL4,'Input Assumptions'!$C$41:$L$41,'Input Assumptions'!$C$43:$L$43)*AL8))</f>
        <v>-4109.8921875000005</v>
      </c>
      <c r="AM17" s="59">
        <f>IF(AM4=0,"",-('Input Assumptions'!$C$54*_xlfn.XLOOKUP(AM4,'Input Assumptions'!$C$41:$L$41,'Input Assumptions'!$C$43:$L$43)*AM8))</f>
        <v>-4109.8921875000005</v>
      </c>
      <c r="AN17" s="59">
        <f>IF(AN4=0,"",-('Input Assumptions'!$C$54*_xlfn.XLOOKUP(AN4,'Input Assumptions'!$C$41:$L$41,'Input Assumptions'!$C$43:$L$43)*AN8))</f>
        <v>-4186.9526660156253</v>
      </c>
      <c r="AO17" s="59">
        <f>IF(AO4=0,"",-('Input Assumptions'!$C$54*_xlfn.XLOOKUP(AO4,'Input Assumptions'!$C$41:$L$41,'Input Assumptions'!$C$43:$L$43)*AO8))</f>
        <v>-4186.9526660156253</v>
      </c>
      <c r="AP17" s="59">
        <f>IF(AP4=0,"",-('Input Assumptions'!$C$54*_xlfn.XLOOKUP(AP4,'Input Assumptions'!$C$41:$L$41,'Input Assumptions'!$C$43:$L$43)*AP8))</f>
        <v>-4186.9526660156253</v>
      </c>
      <c r="AQ17" s="59">
        <f>IF(AQ4=0,"",-('Input Assumptions'!$C$54*_xlfn.XLOOKUP(AQ4,'Input Assumptions'!$C$41:$L$41,'Input Assumptions'!$C$43:$L$43)*AQ8))</f>
        <v>-4186.9526660156253</v>
      </c>
      <c r="AR17" s="59">
        <f>IF(AR4=0,"",-('Input Assumptions'!$C$54*_xlfn.XLOOKUP(AR4,'Input Assumptions'!$C$41:$L$41,'Input Assumptions'!$C$43:$L$43)*AR8))</f>
        <v>-4186.9526660156253</v>
      </c>
      <c r="AS17" s="59">
        <f>IF(AS4=0,"",-('Input Assumptions'!$C$54*_xlfn.XLOOKUP(AS4,'Input Assumptions'!$C$41:$L$41,'Input Assumptions'!$C$43:$L$43)*AS8))</f>
        <v>-4186.9526660156253</v>
      </c>
      <c r="AT17" s="59">
        <f>IF(AT4=0,"",-('Input Assumptions'!$C$54*_xlfn.XLOOKUP(AT4,'Input Assumptions'!$C$41:$L$41,'Input Assumptions'!$C$43:$L$43)*AT8))</f>
        <v>-4186.9526660156253</v>
      </c>
      <c r="AU17" s="59">
        <f>IF(AU4=0,"",-('Input Assumptions'!$C$54*_xlfn.XLOOKUP(AU4,'Input Assumptions'!$C$41:$L$41,'Input Assumptions'!$C$43:$L$43)*AU8))</f>
        <v>-4186.9526660156253</v>
      </c>
      <c r="AV17" s="59">
        <f>IF(AV4=0,"",-('Input Assumptions'!$C$54*_xlfn.XLOOKUP(AV4,'Input Assumptions'!$C$41:$L$41,'Input Assumptions'!$C$43:$L$43)*AV8))</f>
        <v>-4186.9526660156253</v>
      </c>
      <c r="AW17" s="59">
        <f>IF(AW4=0,"",-('Input Assumptions'!$C$54*_xlfn.XLOOKUP(AW4,'Input Assumptions'!$C$41:$L$41,'Input Assumptions'!$C$43:$L$43)*AW8))</f>
        <v>-4186.9526660156253</v>
      </c>
      <c r="AX17" s="59">
        <f>IF(AX4=0,"",-('Input Assumptions'!$C$54*_xlfn.XLOOKUP(AX4,'Input Assumptions'!$C$41:$L$41,'Input Assumptions'!$C$43:$L$43)*AX8))</f>
        <v>-4186.9526660156253</v>
      </c>
      <c r="AY17" s="59">
        <f>IF(AY4=0,"",-('Input Assumptions'!$C$54*_xlfn.XLOOKUP(AY4,'Input Assumptions'!$C$41:$L$41,'Input Assumptions'!$C$43:$L$43)*AY8))</f>
        <v>-4186.9526660156253</v>
      </c>
      <c r="AZ17" s="59">
        <f>IF(AZ4=0,"",-('Input Assumptions'!$C$54*_xlfn.XLOOKUP(AZ4,'Input Assumptions'!$C$41:$L$41,'Input Assumptions'!$C$43:$L$43)*AZ8))</f>
        <v>-4265.458028503419</v>
      </c>
      <c r="BA17" s="59">
        <f>IF(BA4=0,"",-('Input Assumptions'!$C$54*_xlfn.XLOOKUP(BA4,'Input Assumptions'!$C$41:$L$41,'Input Assumptions'!$C$43:$L$43)*BA8))</f>
        <v>-4265.458028503419</v>
      </c>
      <c r="BB17" s="59">
        <f>IF(BB4=0,"",-('Input Assumptions'!$C$54*_xlfn.XLOOKUP(BB4,'Input Assumptions'!$C$41:$L$41,'Input Assumptions'!$C$43:$L$43)*BB8))</f>
        <v>-4265.458028503419</v>
      </c>
      <c r="BC17" s="59">
        <f>IF(BC4=0,"",-('Input Assumptions'!$C$54*_xlfn.XLOOKUP(BC4,'Input Assumptions'!$C$41:$L$41,'Input Assumptions'!$C$43:$L$43)*BC8))</f>
        <v>-4265.458028503419</v>
      </c>
      <c r="BD17" s="59">
        <f>IF(BD4=0,"",-('Input Assumptions'!$C$54*_xlfn.XLOOKUP(BD4,'Input Assumptions'!$C$41:$L$41,'Input Assumptions'!$C$43:$L$43)*BD8))</f>
        <v>-4265.458028503419</v>
      </c>
      <c r="BE17" s="59">
        <f>IF(BE4=0,"",-('Input Assumptions'!$C$54*_xlfn.XLOOKUP(BE4,'Input Assumptions'!$C$41:$L$41,'Input Assumptions'!$C$43:$L$43)*BE8))</f>
        <v>-4265.458028503419</v>
      </c>
      <c r="BF17" s="59">
        <f>IF(BF4=0,"",-('Input Assumptions'!$C$54*_xlfn.XLOOKUP(BF4,'Input Assumptions'!$C$41:$L$41,'Input Assumptions'!$C$43:$L$43)*BF8))</f>
        <v>-4265.458028503419</v>
      </c>
      <c r="BG17" s="59">
        <f>IF(BG4=0,"",-('Input Assumptions'!$C$54*_xlfn.XLOOKUP(BG4,'Input Assumptions'!$C$41:$L$41,'Input Assumptions'!$C$43:$L$43)*BG8))</f>
        <v>-4265.458028503419</v>
      </c>
      <c r="BH17" s="59">
        <f>IF(BH4=0,"",-('Input Assumptions'!$C$54*_xlfn.XLOOKUP(BH4,'Input Assumptions'!$C$41:$L$41,'Input Assumptions'!$C$43:$L$43)*BH8))</f>
        <v>-4265.458028503419</v>
      </c>
      <c r="BI17" s="59">
        <f>IF(BI4=0,"",-('Input Assumptions'!$C$54*_xlfn.XLOOKUP(BI4,'Input Assumptions'!$C$41:$L$41,'Input Assumptions'!$C$43:$L$43)*BI8))</f>
        <v>-4265.458028503419</v>
      </c>
      <c r="BJ17" s="59">
        <f>IF(BJ4=0,"",-('Input Assumptions'!$C$54*_xlfn.XLOOKUP(BJ4,'Input Assumptions'!$C$41:$L$41,'Input Assumptions'!$C$43:$L$43)*BJ8))</f>
        <v>-4265.458028503419</v>
      </c>
      <c r="BK17" s="59">
        <f>IF(BK4=0,"",-('Input Assumptions'!$C$54*_xlfn.XLOOKUP(BK4,'Input Assumptions'!$C$41:$L$41,'Input Assumptions'!$C$43:$L$43)*BK8))</f>
        <v>-4265.458028503419</v>
      </c>
      <c r="BL17" s="59" t="str">
        <f>IF(BL4=0,"",-('Input Assumptions'!$C$54*_xlfn.XLOOKUP(BL4,'Input Assumptions'!$C$41:$L$41,'Input Assumptions'!$C$43:$L$43)*BL8))</f>
        <v/>
      </c>
      <c r="BM17" s="59" t="str">
        <f>IF(BM4=0,"",-('Input Assumptions'!$C$54*_xlfn.XLOOKUP(BM4,'Input Assumptions'!$C$41:$L$41,'Input Assumptions'!$C$43:$L$43)*BM8))</f>
        <v/>
      </c>
      <c r="BN17" s="59" t="str">
        <f>IF(BN4=0,"",-('Input Assumptions'!$C$54*_xlfn.XLOOKUP(BN4,'Input Assumptions'!$C$41:$L$41,'Input Assumptions'!$C$43:$L$43)*BN8))</f>
        <v/>
      </c>
      <c r="BO17" s="59" t="str">
        <f>IF(BO4=0,"",-('Input Assumptions'!$C$54*_xlfn.XLOOKUP(BO4,'Input Assumptions'!$C$41:$L$41,'Input Assumptions'!$C$43:$L$43)*BO8))</f>
        <v/>
      </c>
      <c r="BP17" s="59" t="str">
        <f>IF(BP4=0,"",-('Input Assumptions'!$C$54*_xlfn.XLOOKUP(BP4,'Input Assumptions'!$C$41:$L$41,'Input Assumptions'!$C$43:$L$43)*BP8))</f>
        <v/>
      </c>
      <c r="BQ17" s="59" t="str">
        <f>IF(BQ4=0,"",-('Input Assumptions'!$C$54*_xlfn.XLOOKUP(BQ4,'Input Assumptions'!$C$41:$L$41,'Input Assumptions'!$C$43:$L$43)*BQ8))</f>
        <v/>
      </c>
      <c r="BR17" s="59" t="str">
        <f>IF(BR4=0,"",-('Input Assumptions'!$C$54*_xlfn.XLOOKUP(BR4,'Input Assumptions'!$C$41:$L$41,'Input Assumptions'!$C$43:$L$43)*BR8))</f>
        <v/>
      </c>
      <c r="BS17" s="59" t="str">
        <f>IF(BS4=0,"",-('Input Assumptions'!$C$54*_xlfn.XLOOKUP(BS4,'Input Assumptions'!$C$41:$L$41,'Input Assumptions'!$C$43:$L$43)*BS8))</f>
        <v/>
      </c>
      <c r="BT17" s="59" t="str">
        <f>IF(BT4=0,"",-('Input Assumptions'!$C$54*_xlfn.XLOOKUP(BT4,'Input Assumptions'!$C$41:$L$41,'Input Assumptions'!$C$43:$L$43)*BT8))</f>
        <v/>
      </c>
      <c r="BU17" s="59" t="str">
        <f>IF(BU4=0,"",-('Input Assumptions'!$C$54*_xlfn.XLOOKUP(BU4,'Input Assumptions'!$C$41:$L$41,'Input Assumptions'!$C$43:$L$43)*BU8))</f>
        <v/>
      </c>
      <c r="BV17" s="59" t="str">
        <f>IF(BV4=0,"",-('Input Assumptions'!$C$54*_xlfn.XLOOKUP(BV4,'Input Assumptions'!$C$41:$L$41,'Input Assumptions'!$C$43:$L$43)*BV8))</f>
        <v/>
      </c>
      <c r="BW17" s="59" t="str">
        <f>IF(BW4=0,"",-('Input Assumptions'!$C$54*_xlfn.XLOOKUP(BW4,'Input Assumptions'!$C$41:$L$41,'Input Assumptions'!$C$43:$L$43)*BW8))</f>
        <v/>
      </c>
      <c r="BX17" s="59" t="str">
        <f>IF(BX4=0,"",-('Input Assumptions'!$C$54*_xlfn.XLOOKUP(BX4,'Input Assumptions'!$C$41:$L$41,'Input Assumptions'!$C$43:$L$43)*BX8))</f>
        <v/>
      </c>
      <c r="BY17" s="59" t="str">
        <f>IF(BY4=0,"",-('Input Assumptions'!$C$54*_xlfn.XLOOKUP(BY4,'Input Assumptions'!$C$41:$L$41,'Input Assumptions'!$C$43:$L$43)*BY8))</f>
        <v/>
      </c>
      <c r="BZ17" s="59" t="str">
        <f>IF(BZ4=0,"",-('Input Assumptions'!$C$54*_xlfn.XLOOKUP(BZ4,'Input Assumptions'!$C$41:$L$41,'Input Assumptions'!$C$43:$L$43)*BZ8))</f>
        <v/>
      </c>
      <c r="CA17" s="59" t="str">
        <f>IF(CA4=0,"",-('Input Assumptions'!$C$54*_xlfn.XLOOKUP(CA4,'Input Assumptions'!$C$41:$L$41,'Input Assumptions'!$C$43:$L$43)*CA8))</f>
        <v/>
      </c>
      <c r="CB17" s="59" t="str">
        <f>IF(CB4=0,"",-('Input Assumptions'!$C$54*_xlfn.XLOOKUP(CB4,'Input Assumptions'!$C$41:$L$41,'Input Assumptions'!$C$43:$L$43)*CB8))</f>
        <v/>
      </c>
      <c r="CC17" s="59" t="str">
        <f>IF(CC4=0,"",-('Input Assumptions'!$C$54*_xlfn.XLOOKUP(CC4,'Input Assumptions'!$C$41:$L$41,'Input Assumptions'!$C$43:$L$43)*CC8))</f>
        <v/>
      </c>
      <c r="CD17" s="59" t="str">
        <f>IF(CD4=0,"",-('Input Assumptions'!$C$54*_xlfn.XLOOKUP(CD4,'Input Assumptions'!$C$41:$L$41,'Input Assumptions'!$C$43:$L$43)*CD8))</f>
        <v/>
      </c>
      <c r="CE17" s="59" t="str">
        <f>IF(CE4=0,"",-('Input Assumptions'!$C$54*_xlfn.XLOOKUP(CE4,'Input Assumptions'!$C$41:$L$41,'Input Assumptions'!$C$43:$L$43)*CE8))</f>
        <v/>
      </c>
      <c r="CF17" s="59" t="str">
        <f>IF(CF4=0,"",-('Input Assumptions'!$C$54*_xlfn.XLOOKUP(CF4,'Input Assumptions'!$C$41:$L$41,'Input Assumptions'!$C$43:$L$43)*CF8))</f>
        <v/>
      </c>
      <c r="CG17" s="59" t="str">
        <f>IF(CG4=0,"",-('Input Assumptions'!$C$54*_xlfn.XLOOKUP(CG4,'Input Assumptions'!$C$41:$L$41,'Input Assumptions'!$C$43:$L$43)*CG8))</f>
        <v/>
      </c>
      <c r="CH17" s="59" t="str">
        <f>IF(CH4=0,"",-('Input Assumptions'!$C$54*_xlfn.XLOOKUP(CH4,'Input Assumptions'!$C$41:$L$41,'Input Assumptions'!$C$43:$L$43)*CH8))</f>
        <v/>
      </c>
      <c r="CI17" s="59" t="str">
        <f>IF(CI4=0,"",-('Input Assumptions'!$C$54*_xlfn.XLOOKUP(CI4,'Input Assumptions'!$C$41:$L$41,'Input Assumptions'!$C$43:$L$43)*CI8))</f>
        <v/>
      </c>
      <c r="CJ17" s="59" t="str">
        <f>IF(CJ4=0,"",-('Input Assumptions'!$C$54*_xlfn.XLOOKUP(CJ4,'Input Assumptions'!$C$41:$L$41,'Input Assumptions'!$C$43:$L$43)*CJ8))</f>
        <v/>
      </c>
      <c r="CK17" s="59" t="str">
        <f>IF(CK4=0,"",-('Input Assumptions'!$C$54*_xlfn.XLOOKUP(CK4,'Input Assumptions'!$C$41:$L$41,'Input Assumptions'!$C$43:$L$43)*CK8))</f>
        <v/>
      </c>
      <c r="CL17" s="59" t="str">
        <f>IF(CL4=0,"",-('Input Assumptions'!$C$54*_xlfn.XLOOKUP(CL4,'Input Assumptions'!$C$41:$L$41,'Input Assumptions'!$C$43:$L$43)*CL8))</f>
        <v/>
      </c>
      <c r="CM17" s="59" t="str">
        <f>IF(CM4=0,"",-('Input Assumptions'!$C$54*_xlfn.XLOOKUP(CM4,'Input Assumptions'!$C$41:$L$41,'Input Assumptions'!$C$43:$L$43)*CM8))</f>
        <v/>
      </c>
      <c r="CN17" s="59" t="str">
        <f>IF(CN4=0,"",-('Input Assumptions'!$C$54*_xlfn.XLOOKUP(CN4,'Input Assumptions'!$C$41:$L$41,'Input Assumptions'!$C$43:$L$43)*CN8))</f>
        <v/>
      </c>
      <c r="CO17" s="59" t="str">
        <f>IF(CO4=0,"",-('Input Assumptions'!$C$54*_xlfn.XLOOKUP(CO4,'Input Assumptions'!$C$41:$L$41,'Input Assumptions'!$C$43:$L$43)*CO8))</f>
        <v/>
      </c>
      <c r="CP17" s="59" t="str">
        <f>IF(CP4=0,"",-('Input Assumptions'!$C$54*_xlfn.XLOOKUP(CP4,'Input Assumptions'!$C$41:$L$41,'Input Assumptions'!$C$43:$L$43)*CP8))</f>
        <v/>
      </c>
      <c r="CQ17" s="59" t="str">
        <f>IF(CQ4=0,"",-('Input Assumptions'!$C$54*_xlfn.XLOOKUP(CQ4,'Input Assumptions'!$C$41:$L$41,'Input Assumptions'!$C$43:$L$43)*CQ8))</f>
        <v/>
      </c>
      <c r="CR17" s="59" t="str">
        <f>IF(CR4=0,"",-('Input Assumptions'!$C$54*_xlfn.XLOOKUP(CR4,'Input Assumptions'!$C$41:$L$41,'Input Assumptions'!$C$43:$L$43)*CR8))</f>
        <v/>
      </c>
      <c r="CS17" s="59" t="str">
        <f>IF(CS4=0,"",-('Input Assumptions'!$C$54*_xlfn.XLOOKUP(CS4,'Input Assumptions'!$C$41:$L$41,'Input Assumptions'!$C$43:$L$43)*CS8))</f>
        <v/>
      </c>
      <c r="CT17" s="59" t="str">
        <f>IF(CT4=0,"",-('Input Assumptions'!$C$54*_xlfn.XLOOKUP(CT4,'Input Assumptions'!$C$41:$L$41,'Input Assumptions'!$C$43:$L$43)*CT8))</f>
        <v/>
      </c>
      <c r="CU17" s="59" t="str">
        <f>IF(CU4=0,"",-('Input Assumptions'!$C$54*_xlfn.XLOOKUP(CU4,'Input Assumptions'!$C$41:$L$41,'Input Assumptions'!$C$43:$L$43)*CU8))</f>
        <v/>
      </c>
      <c r="CV17" s="59" t="str">
        <f>IF(CV4=0,"",-('Input Assumptions'!$C$54*_xlfn.XLOOKUP(CV4,'Input Assumptions'!$C$41:$L$41,'Input Assumptions'!$C$43:$L$43)*CV8))</f>
        <v/>
      </c>
      <c r="CW17" s="59" t="str">
        <f>IF(CW4=0,"",-('Input Assumptions'!$C$54*_xlfn.XLOOKUP(CW4,'Input Assumptions'!$C$41:$L$41,'Input Assumptions'!$C$43:$L$43)*CW8))</f>
        <v/>
      </c>
      <c r="CX17" s="59" t="str">
        <f>IF(CX4=0,"",-('Input Assumptions'!$C$54*_xlfn.XLOOKUP(CX4,'Input Assumptions'!$C$41:$L$41,'Input Assumptions'!$C$43:$L$43)*CX8))</f>
        <v/>
      </c>
      <c r="CY17" s="59" t="str">
        <f>IF(CY4=0,"",-('Input Assumptions'!$C$54*_xlfn.XLOOKUP(CY4,'Input Assumptions'!$C$41:$L$41,'Input Assumptions'!$C$43:$L$43)*CY8))</f>
        <v/>
      </c>
      <c r="CZ17" s="59" t="str">
        <f>IF(CZ4=0,"",-('Input Assumptions'!$C$54*_xlfn.XLOOKUP(CZ4,'Input Assumptions'!$C$41:$L$41,'Input Assumptions'!$C$43:$L$43)*CZ8))</f>
        <v/>
      </c>
      <c r="DA17" s="59" t="str">
        <f>IF(DA4=0,"",-('Input Assumptions'!$C$54*_xlfn.XLOOKUP(DA4,'Input Assumptions'!$C$41:$L$41,'Input Assumptions'!$C$43:$L$43)*DA8))</f>
        <v/>
      </c>
      <c r="DB17" s="59" t="str">
        <f>IF(DB4=0,"",-('Input Assumptions'!$C$54*_xlfn.XLOOKUP(DB4,'Input Assumptions'!$C$41:$L$41,'Input Assumptions'!$C$43:$L$43)*DB8))</f>
        <v/>
      </c>
      <c r="DC17" s="59" t="str">
        <f>IF(DC4=0,"",-('Input Assumptions'!$C$54*_xlfn.XLOOKUP(DC4,'Input Assumptions'!$C$41:$L$41,'Input Assumptions'!$C$43:$L$43)*DC8))</f>
        <v/>
      </c>
      <c r="DD17" s="59" t="str">
        <f>IF(DD4=0,"",-('Input Assumptions'!$C$54*_xlfn.XLOOKUP(DD4,'Input Assumptions'!$C$41:$L$41,'Input Assumptions'!$C$43:$L$43)*DD8))</f>
        <v/>
      </c>
      <c r="DE17" s="59" t="str">
        <f>IF(DE4=0,"",-('Input Assumptions'!$C$54*_xlfn.XLOOKUP(DE4,'Input Assumptions'!$C$41:$L$41,'Input Assumptions'!$C$43:$L$43)*DE8))</f>
        <v/>
      </c>
      <c r="DF17" s="59" t="str">
        <f>IF(DF4=0,"",-('Input Assumptions'!$C$54*_xlfn.XLOOKUP(DF4,'Input Assumptions'!$C$41:$L$41,'Input Assumptions'!$C$43:$L$43)*DF8))</f>
        <v/>
      </c>
      <c r="DG17" s="59" t="str">
        <f>IF(DG4=0,"",-('Input Assumptions'!$C$54*_xlfn.XLOOKUP(DG4,'Input Assumptions'!$C$41:$L$41,'Input Assumptions'!$C$43:$L$43)*DG8))</f>
        <v/>
      </c>
      <c r="DH17" s="59" t="str">
        <f>IF(DH4=0,"",-('Input Assumptions'!$C$54*_xlfn.XLOOKUP(DH4,'Input Assumptions'!$C$41:$L$41,'Input Assumptions'!$C$43:$L$43)*DH8))</f>
        <v/>
      </c>
      <c r="DI17" s="59" t="str">
        <f>IF(DI4=0,"",-('Input Assumptions'!$C$54*_xlfn.XLOOKUP(DI4,'Input Assumptions'!$C$41:$L$41,'Input Assumptions'!$C$43:$L$43)*DI8))</f>
        <v/>
      </c>
      <c r="DJ17" s="59" t="str">
        <f>IF(DJ4=0,"",-('Input Assumptions'!$C$54*_xlfn.XLOOKUP(DJ4,'Input Assumptions'!$C$41:$L$41,'Input Assumptions'!$C$43:$L$43)*DJ8))</f>
        <v/>
      </c>
      <c r="DK17" s="59" t="str">
        <f>IF(DK4=0,"",-('Input Assumptions'!$C$54*_xlfn.XLOOKUP(DK4,'Input Assumptions'!$C$41:$L$41,'Input Assumptions'!$C$43:$L$43)*DK8))</f>
        <v/>
      </c>
      <c r="DL17" s="59" t="str">
        <f>IF(DL4=0,"",-('Input Assumptions'!$C$54*_xlfn.XLOOKUP(DL4,'Input Assumptions'!$C$41:$L$41,'Input Assumptions'!$C$43:$L$43)*DL8))</f>
        <v/>
      </c>
      <c r="DM17" s="59" t="str">
        <f>IF(DM4=0,"",-('Input Assumptions'!$C$54*_xlfn.XLOOKUP(DM4,'Input Assumptions'!$C$41:$L$41,'Input Assumptions'!$C$43:$L$43)*DM8))</f>
        <v/>
      </c>
      <c r="DN17" s="59" t="str">
        <f>IF(DN4=0,"",-('Input Assumptions'!$C$54*_xlfn.XLOOKUP(DN4,'Input Assumptions'!$C$41:$L$41,'Input Assumptions'!$C$43:$L$43)*DN8))</f>
        <v/>
      </c>
      <c r="DO17" s="59" t="str">
        <f>IF(DO4=0,"",-('Input Assumptions'!$C$54*_xlfn.XLOOKUP(DO4,'Input Assumptions'!$C$41:$L$41,'Input Assumptions'!$C$43:$L$43)*DO8))</f>
        <v/>
      </c>
      <c r="DP17" s="59" t="str">
        <f>IF(DP4=0,"",-('Input Assumptions'!$C$54*_xlfn.XLOOKUP(DP4,'Input Assumptions'!$C$41:$L$41,'Input Assumptions'!$C$43:$L$43)*DP8))</f>
        <v/>
      </c>
      <c r="DQ17" s="59" t="str">
        <f>IF(DQ4=0,"",-('Input Assumptions'!$C$54*_xlfn.XLOOKUP(DQ4,'Input Assumptions'!$C$41:$L$41,'Input Assumptions'!$C$43:$L$43)*DQ8))</f>
        <v/>
      </c>
      <c r="DR17" s="59" t="str">
        <f>IF(DR4=0,"",-('Input Assumptions'!$C$54*_xlfn.XLOOKUP(DR4,'Input Assumptions'!$C$41:$L$41,'Input Assumptions'!$C$43:$L$43)*DR8))</f>
        <v/>
      </c>
      <c r="DS17" s="59" t="str">
        <f>IF(DS4=0,"",-('Input Assumptions'!$C$54*_xlfn.XLOOKUP(DS4,'Input Assumptions'!$C$41:$L$41,'Input Assumptions'!$C$43:$L$43)*DS8))</f>
        <v/>
      </c>
    </row>
    <row r="18" spans="1:123" s="59" customFormat="1" x14ac:dyDescent="0.3">
      <c r="A18"/>
      <c r="B18" s="107" t="s">
        <v>122</v>
      </c>
      <c r="C18" s="108"/>
      <c r="D18" s="108">
        <f>IF(D4=0,"",SUM(D16:D17))</f>
        <v>71790</v>
      </c>
      <c r="E18" s="108">
        <f t="shared" ref="E18:BP18" si="110">IF(E4=0,"",SUM(E16:E17))</f>
        <v>71130</v>
      </c>
      <c r="F18" s="108">
        <f t="shared" si="110"/>
        <v>70470</v>
      </c>
      <c r="G18" s="108">
        <f t="shared" si="110"/>
        <v>69810</v>
      </c>
      <c r="H18" s="108">
        <f t="shared" si="110"/>
        <v>69150</v>
      </c>
      <c r="I18" s="108">
        <f t="shared" si="110"/>
        <v>68490</v>
      </c>
      <c r="J18" s="108">
        <f t="shared" si="110"/>
        <v>68490</v>
      </c>
      <c r="K18" s="108">
        <f t="shared" si="110"/>
        <v>68490</v>
      </c>
      <c r="L18" s="108">
        <f t="shared" si="110"/>
        <v>68490</v>
      </c>
      <c r="M18" s="108">
        <f t="shared" si="110"/>
        <v>68490</v>
      </c>
      <c r="N18" s="108">
        <f t="shared" si="110"/>
        <v>68490</v>
      </c>
      <c r="O18" s="108">
        <f t="shared" si="110"/>
        <v>68490</v>
      </c>
      <c r="P18" s="108">
        <f t="shared" si="110"/>
        <v>71127.937500000015</v>
      </c>
      <c r="Q18" s="108">
        <f t="shared" si="110"/>
        <v>71127.937500000015</v>
      </c>
      <c r="R18" s="108">
        <f t="shared" si="110"/>
        <v>71127.937500000015</v>
      </c>
      <c r="S18" s="108">
        <f t="shared" si="110"/>
        <v>71127.937500000015</v>
      </c>
      <c r="T18" s="108">
        <f t="shared" si="110"/>
        <v>71127.937500000015</v>
      </c>
      <c r="U18" s="108">
        <f t="shared" si="110"/>
        <v>71127.937500000015</v>
      </c>
      <c r="V18" s="108">
        <f t="shared" si="110"/>
        <v>71127.937500000015</v>
      </c>
      <c r="W18" s="108">
        <f t="shared" si="110"/>
        <v>71127.937500000015</v>
      </c>
      <c r="X18" s="108">
        <f t="shared" si="110"/>
        <v>71127.937500000015</v>
      </c>
      <c r="Y18" s="108">
        <f t="shared" si="110"/>
        <v>71127.937500000015</v>
      </c>
      <c r="Z18" s="108">
        <f t="shared" si="110"/>
        <v>71127.937500000015</v>
      </c>
      <c r="AA18" s="108">
        <f t="shared" si="110"/>
        <v>71127.937500000015</v>
      </c>
      <c r="AB18" s="108">
        <f t="shared" si="110"/>
        <v>73866.10195312502</v>
      </c>
      <c r="AC18" s="108">
        <f t="shared" si="110"/>
        <v>73866.10195312502</v>
      </c>
      <c r="AD18" s="108">
        <f t="shared" si="110"/>
        <v>73866.10195312502</v>
      </c>
      <c r="AE18" s="108">
        <f t="shared" si="110"/>
        <v>73866.10195312502</v>
      </c>
      <c r="AF18" s="108">
        <f t="shared" si="110"/>
        <v>73866.10195312502</v>
      </c>
      <c r="AG18" s="108">
        <f t="shared" si="110"/>
        <v>73866.10195312502</v>
      </c>
      <c r="AH18" s="108">
        <f t="shared" si="110"/>
        <v>73866.10195312502</v>
      </c>
      <c r="AI18" s="108">
        <f t="shared" si="110"/>
        <v>73866.10195312502</v>
      </c>
      <c r="AJ18" s="108">
        <f t="shared" si="110"/>
        <v>73866.10195312502</v>
      </c>
      <c r="AK18" s="108">
        <f t="shared" si="110"/>
        <v>73866.10195312502</v>
      </c>
      <c r="AL18" s="108">
        <f t="shared" si="110"/>
        <v>73866.10195312502</v>
      </c>
      <c r="AM18" s="108">
        <f t="shared" si="110"/>
        <v>73866.10195312502</v>
      </c>
      <c r="AN18" s="108">
        <f t="shared" si="110"/>
        <v>76708.27632568359</v>
      </c>
      <c r="AO18" s="108">
        <f t="shared" si="110"/>
        <v>76708.27632568359</v>
      </c>
      <c r="AP18" s="108">
        <f t="shared" si="110"/>
        <v>76708.27632568359</v>
      </c>
      <c r="AQ18" s="108">
        <f t="shared" si="110"/>
        <v>76708.27632568359</v>
      </c>
      <c r="AR18" s="108">
        <f t="shared" si="110"/>
        <v>76708.27632568359</v>
      </c>
      <c r="AS18" s="108">
        <f t="shared" si="110"/>
        <v>76708.27632568359</v>
      </c>
      <c r="AT18" s="108">
        <f t="shared" si="110"/>
        <v>76708.27632568359</v>
      </c>
      <c r="AU18" s="108">
        <f t="shared" si="110"/>
        <v>76708.27632568359</v>
      </c>
      <c r="AV18" s="108">
        <f t="shared" si="110"/>
        <v>76708.27632568359</v>
      </c>
      <c r="AW18" s="108">
        <f t="shared" si="110"/>
        <v>76708.27632568359</v>
      </c>
      <c r="AX18" s="108">
        <f t="shared" si="110"/>
        <v>76708.27632568359</v>
      </c>
      <c r="AY18" s="108">
        <f t="shared" si="110"/>
        <v>76708.27632568359</v>
      </c>
      <c r="AZ18" s="108">
        <f t="shared" si="110"/>
        <v>79658.385903762886</v>
      </c>
      <c r="BA18" s="108">
        <f t="shared" si="110"/>
        <v>79658.385903762886</v>
      </c>
      <c r="BB18" s="108">
        <f t="shared" si="110"/>
        <v>79658.385903762886</v>
      </c>
      <c r="BC18" s="108">
        <f t="shared" si="110"/>
        <v>79658.385903762886</v>
      </c>
      <c r="BD18" s="108">
        <f t="shared" si="110"/>
        <v>79658.385903762886</v>
      </c>
      <c r="BE18" s="108">
        <f t="shared" si="110"/>
        <v>79658.385903762886</v>
      </c>
      <c r="BF18" s="108">
        <f t="shared" si="110"/>
        <v>79658.385903762886</v>
      </c>
      <c r="BG18" s="108">
        <f t="shared" si="110"/>
        <v>79658.385903762886</v>
      </c>
      <c r="BH18" s="108">
        <f t="shared" si="110"/>
        <v>79658.385903762886</v>
      </c>
      <c r="BI18" s="108">
        <f t="shared" si="110"/>
        <v>79658.385903762886</v>
      </c>
      <c r="BJ18" s="108">
        <f t="shared" si="110"/>
        <v>79658.385903762886</v>
      </c>
      <c r="BK18" s="108">
        <f t="shared" si="110"/>
        <v>79658.385903762886</v>
      </c>
      <c r="BL18" s="108" t="str">
        <f t="shared" si="110"/>
        <v/>
      </c>
      <c r="BM18" s="108" t="str">
        <f t="shared" si="110"/>
        <v/>
      </c>
      <c r="BN18" s="108" t="str">
        <f t="shared" si="110"/>
        <v/>
      </c>
      <c r="BO18" s="108" t="str">
        <f t="shared" si="110"/>
        <v/>
      </c>
      <c r="BP18" s="108" t="str">
        <f t="shared" si="110"/>
        <v/>
      </c>
      <c r="BQ18" s="108" t="str">
        <f t="shared" ref="BQ18:DS18" si="111">IF(BQ4=0,"",SUM(BQ16:BQ17))</f>
        <v/>
      </c>
      <c r="BR18" s="108" t="str">
        <f t="shared" si="111"/>
        <v/>
      </c>
      <c r="BS18" s="108" t="str">
        <f t="shared" si="111"/>
        <v/>
      </c>
      <c r="BT18" s="108" t="str">
        <f t="shared" si="111"/>
        <v/>
      </c>
      <c r="BU18" s="108" t="str">
        <f t="shared" si="111"/>
        <v/>
      </c>
      <c r="BV18" s="108" t="str">
        <f t="shared" si="111"/>
        <v/>
      </c>
      <c r="BW18" s="108" t="str">
        <f t="shared" si="111"/>
        <v/>
      </c>
      <c r="BX18" s="108" t="str">
        <f t="shared" si="111"/>
        <v/>
      </c>
      <c r="BY18" s="108" t="str">
        <f t="shared" si="111"/>
        <v/>
      </c>
      <c r="BZ18" s="108" t="str">
        <f t="shared" si="111"/>
        <v/>
      </c>
      <c r="CA18" s="108" t="str">
        <f t="shared" si="111"/>
        <v/>
      </c>
      <c r="CB18" s="108" t="str">
        <f t="shared" si="111"/>
        <v/>
      </c>
      <c r="CC18" s="108" t="str">
        <f t="shared" si="111"/>
        <v/>
      </c>
      <c r="CD18" s="108" t="str">
        <f t="shared" si="111"/>
        <v/>
      </c>
      <c r="CE18" s="108" t="str">
        <f t="shared" si="111"/>
        <v/>
      </c>
      <c r="CF18" s="108" t="str">
        <f t="shared" si="111"/>
        <v/>
      </c>
      <c r="CG18" s="108" t="str">
        <f t="shared" si="111"/>
        <v/>
      </c>
      <c r="CH18" s="108" t="str">
        <f t="shared" si="111"/>
        <v/>
      </c>
      <c r="CI18" s="108" t="str">
        <f t="shared" si="111"/>
        <v/>
      </c>
      <c r="CJ18" s="108" t="str">
        <f t="shared" si="111"/>
        <v/>
      </c>
      <c r="CK18" s="108" t="str">
        <f t="shared" si="111"/>
        <v/>
      </c>
      <c r="CL18" s="108" t="str">
        <f t="shared" si="111"/>
        <v/>
      </c>
      <c r="CM18" s="108" t="str">
        <f t="shared" si="111"/>
        <v/>
      </c>
      <c r="CN18" s="108" t="str">
        <f t="shared" si="111"/>
        <v/>
      </c>
      <c r="CO18" s="108" t="str">
        <f t="shared" si="111"/>
        <v/>
      </c>
      <c r="CP18" s="108" t="str">
        <f t="shared" si="111"/>
        <v/>
      </c>
      <c r="CQ18" s="108" t="str">
        <f t="shared" si="111"/>
        <v/>
      </c>
      <c r="CR18" s="108" t="str">
        <f t="shared" si="111"/>
        <v/>
      </c>
      <c r="CS18" s="108" t="str">
        <f t="shared" si="111"/>
        <v/>
      </c>
      <c r="CT18" s="108" t="str">
        <f t="shared" si="111"/>
        <v/>
      </c>
      <c r="CU18" s="108" t="str">
        <f t="shared" si="111"/>
        <v/>
      </c>
      <c r="CV18" s="108" t="str">
        <f t="shared" si="111"/>
        <v/>
      </c>
      <c r="CW18" s="108" t="str">
        <f t="shared" si="111"/>
        <v/>
      </c>
      <c r="CX18" s="108" t="str">
        <f t="shared" si="111"/>
        <v/>
      </c>
      <c r="CY18" s="108" t="str">
        <f t="shared" si="111"/>
        <v/>
      </c>
      <c r="CZ18" s="108" t="str">
        <f t="shared" si="111"/>
        <v/>
      </c>
      <c r="DA18" s="108" t="str">
        <f t="shared" si="111"/>
        <v/>
      </c>
      <c r="DB18" s="108" t="str">
        <f t="shared" si="111"/>
        <v/>
      </c>
      <c r="DC18" s="108" t="str">
        <f t="shared" si="111"/>
        <v/>
      </c>
      <c r="DD18" s="108" t="str">
        <f t="shared" si="111"/>
        <v/>
      </c>
      <c r="DE18" s="108" t="str">
        <f t="shared" si="111"/>
        <v/>
      </c>
      <c r="DF18" s="108" t="str">
        <f t="shared" si="111"/>
        <v/>
      </c>
      <c r="DG18" s="108" t="str">
        <f t="shared" si="111"/>
        <v/>
      </c>
      <c r="DH18" s="108" t="str">
        <f t="shared" si="111"/>
        <v/>
      </c>
      <c r="DI18" s="108" t="str">
        <f t="shared" si="111"/>
        <v/>
      </c>
      <c r="DJ18" s="108" t="str">
        <f t="shared" si="111"/>
        <v/>
      </c>
      <c r="DK18" s="108" t="str">
        <f t="shared" si="111"/>
        <v/>
      </c>
      <c r="DL18" s="108" t="str">
        <f t="shared" si="111"/>
        <v/>
      </c>
      <c r="DM18" s="108" t="str">
        <f t="shared" si="111"/>
        <v/>
      </c>
      <c r="DN18" s="108" t="str">
        <f t="shared" si="111"/>
        <v/>
      </c>
      <c r="DO18" s="108" t="str">
        <f t="shared" si="111"/>
        <v/>
      </c>
      <c r="DP18" s="108" t="str">
        <f t="shared" si="111"/>
        <v/>
      </c>
      <c r="DQ18" s="108" t="str">
        <f t="shared" si="111"/>
        <v/>
      </c>
      <c r="DR18" s="108" t="str">
        <f t="shared" si="111"/>
        <v/>
      </c>
      <c r="DS18" s="108" t="str">
        <f t="shared" si="111"/>
        <v/>
      </c>
    </row>
    <row r="19" spans="1:123" x14ac:dyDescent="0.3"/>
    <row r="20" spans="1:123" x14ac:dyDescent="0.3">
      <c r="B20" s="111" t="s">
        <v>107</v>
      </c>
      <c r="D20" s="59">
        <f>IF(D4=0,"",-D16*(1-D7))</f>
        <v>-61010.526315789473</v>
      </c>
      <c r="E20" s="59">
        <f t="shared" ref="E20:BP20" si="112">IF(E4=0,"",-E16*(1-E7))</f>
        <v>-49571.052631578947</v>
      </c>
      <c r="F20" s="59">
        <f t="shared" si="112"/>
        <v>-38131.578947368427</v>
      </c>
      <c r="G20" s="59">
        <f t="shared" si="112"/>
        <v>-26692.105263157897</v>
      </c>
      <c r="H20" s="59">
        <f t="shared" si="112"/>
        <v>-15252.631578947368</v>
      </c>
      <c r="I20" s="59">
        <f t="shared" si="112"/>
        <v>-3813.1578947368457</v>
      </c>
      <c r="J20" s="59">
        <f t="shared" si="112"/>
        <v>-3813.1578947368457</v>
      </c>
      <c r="K20" s="59">
        <f t="shared" si="112"/>
        <v>-3813.1578947368457</v>
      </c>
      <c r="L20" s="59">
        <f t="shared" si="112"/>
        <v>-3813.1578947368457</v>
      </c>
      <c r="M20" s="59">
        <f t="shared" si="112"/>
        <v>-3813.1578947368457</v>
      </c>
      <c r="N20" s="59">
        <f t="shared" si="112"/>
        <v>-3813.1578947368457</v>
      </c>
      <c r="O20" s="59">
        <f t="shared" si="112"/>
        <v>-3813.1578947368457</v>
      </c>
      <c r="P20" s="59">
        <f t="shared" si="112"/>
        <v>-3955.9046052631625</v>
      </c>
      <c r="Q20" s="59">
        <f t="shared" si="112"/>
        <v>-3955.9046052631625</v>
      </c>
      <c r="R20" s="59">
        <f t="shared" si="112"/>
        <v>-3955.9046052631625</v>
      </c>
      <c r="S20" s="59">
        <f t="shared" si="112"/>
        <v>-3955.9046052631625</v>
      </c>
      <c r="T20" s="59">
        <f t="shared" si="112"/>
        <v>-3955.9046052631625</v>
      </c>
      <c r="U20" s="59">
        <f t="shared" si="112"/>
        <v>-3955.9046052631625</v>
      </c>
      <c r="V20" s="59">
        <f t="shared" si="112"/>
        <v>-3955.9046052631625</v>
      </c>
      <c r="W20" s="59">
        <f t="shared" si="112"/>
        <v>-3955.9046052631625</v>
      </c>
      <c r="X20" s="59">
        <f t="shared" si="112"/>
        <v>-3955.9046052631625</v>
      </c>
      <c r="Y20" s="59">
        <f t="shared" si="112"/>
        <v>-3955.9046052631625</v>
      </c>
      <c r="Z20" s="59">
        <f t="shared" si="112"/>
        <v>-3955.9046052631625</v>
      </c>
      <c r="AA20" s="59">
        <f t="shared" si="112"/>
        <v>-3955.9046052631625</v>
      </c>
      <c r="AB20" s="59">
        <f t="shared" si="112"/>
        <v>-4103.9996916118471</v>
      </c>
      <c r="AC20" s="59">
        <f t="shared" si="112"/>
        <v>-4103.9996916118471</v>
      </c>
      <c r="AD20" s="59">
        <f t="shared" si="112"/>
        <v>-4103.9996916118471</v>
      </c>
      <c r="AE20" s="59">
        <f t="shared" si="112"/>
        <v>-4103.9996916118471</v>
      </c>
      <c r="AF20" s="59">
        <f t="shared" si="112"/>
        <v>-4103.9996916118471</v>
      </c>
      <c r="AG20" s="59">
        <f t="shared" si="112"/>
        <v>-4103.9996916118471</v>
      </c>
      <c r="AH20" s="59">
        <f t="shared" si="112"/>
        <v>-4103.9996916118471</v>
      </c>
      <c r="AI20" s="59">
        <f t="shared" si="112"/>
        <v>-4103.9996916118471</v>
      </c>
      <c r="AJ20" s="59">
        <f t="shared" si="112"/>
        <v>-4103.9996916118471</v>
      </c>
      <c r="AK20" s="59">
        <f t="shared" si="112"/>
        <v>-4103.9996916118471</v>
      </c>
      <c r="AL20" s="59">
        <f t="shared" si="112"/>
        <v>-4103.9996916118471</v>
      </c>
      <c r="AM20" s="59">
        <f t="shared" si="112"/>
        <v>-4103.9996916118471</v>
      </c>
      <c r="AN20" s="59">
        <f t="shared" si="112"/>
        <v>-4257.6436311420684</v>
      </c>
      <c r="AO20" s="59">
        <f t="shared" si="112"/>
        <v>-4257.6436311420684</v>
      </c>
      <c r="AP20" s="59">
        <f t="shared" si="112"/>
        <v>-4257.6436311420684</v>
      </c>
      <c r="AQ20" s="59">
        <f t="shared" si="112"/>
        <v>-4257.6436311420684</v>
      </c>
      <c r="AR20" s="59">
        <f t="shared" si="112"/>
        <v>-4257.6436311420684</v>
      </c>
      <c r="AS20" s="59">
        <f t="shared" si="112"/>
        <v>-4257.6436311420684</v>
      </c>
      <c r="AT20" s="59">
        <f t="shared" si="112"/>
        <v>-4257.6436311420684</v>
      </c>
      <c r="AU20" s="59">
        <f t="shared" si="112"/>
        <v>-4257.6436311420684</v>
      </c>
      <c r="AV20" s="59">
        <f t="shared" si="112"/>
        <v>-4257.6436311420684</v>
      </c>
      <c r="AW20" s="59">
        <f t="shared" si="112"/>
        <v>-4257.6436311420684</v>
      </c>
      <c r="AX20" s="59">
        <f t="shared" si="112"/>
        <v>-4257.6436311420684</v>
      </c>
      <c r="AY20" s="59">
        <f t="shared" si="112"/>
        <v>-4257.6436311420684</v>
      </c>
      <c r="AZ20" s="59">
        <f t="shared" si="112"/>
        <v>-4417.0444174877048</v>
      </c>
      <c r="BA20" s="59">
        <f t="shared" si="112"/>
        <v>-4417.0444174877048</v>
      </c>
      <c r="BB20" s="59">
        <f t="shared" si="112"/>
        <v>-4417.0444174877048</v>
      </c>
      <c r="BC20" s="59">
        <f t="shared" si="112"/>
        <v>-4417.0444174877048</v>
      </c>
      <c r="BD20" s="59">
        <f t="shared" si="112"/>
        <v>-4417.0444174877048</v>
      </c>
      <c r="BE20" s="59">
        <f t="shared" si="112"/>
        <v>-4417.0444174877048</v>
      </c>
      <c r="BF20" s="59">
        <f t="shared" si="112"/>
        <v>-4417.0444174877048</v>
      </c>
      <c r="BG20" s="59">
        <f t="shared" si="112"/>
        <v>-4417.0444174877048</v>
      </c>
      <c r="BH20" s="59">
        <f t="shared" si="112"/>
        <v>-4417.0444174877048</v>
      </c>
      <c r="BI20" s="59">
        <f t="shared" si="112"/>
        <v>-4417.0444174877048</v>
      </c>
      <c r="BJ20" s="59">
        <f t="shared" si="112"/>
        <v>-4417.0444174877048</v>
      </c>
      <c r="BK20" s="59">
        <f t="shared" si="112"/>
        <v>-4417.0444174877048</v>
      </c>
      <c r="BL20" s="59" t="str">
        <f t="shared" si="112"/>
        <v/>
      </c>
      <c r="BM20" s="59" t="str">
        <f t="shared" si="112"/>
        <v/>
      </c>
      <c r="BN20" s="59" t="str">
        <f t="shared" si="112"/>
        <v/>
      </c>
      <c r="BO20" s="59" t="str">
        <f t="shared" si="112"/>
        <v/>
      </c>
      <c r="BP20" s="59" t="str">
        <f t="shared" si="112"/>
        <v/>
      </c>
      <c r="BQ20" s="59" t="str">
        <f t="shared" ref="BQ20:DS20" si="113">IF(BQ4=0,"",-BQ16*(1-BQ7))</f>
        <v/>
      </c>
      <c r="BR20" s="59" t="str">
        <f t="shared" si="113"/>
        <v/>
      </c>
      <c r="BS20" s="59" t="str">
        <f t="shared" si="113"/>
        <v/>
      </c>
      <c r="BT20" s="59" t="str">
        <f t="shared" si="113"/>
        <v/>
      </c>
      <c r="BU20" s="59" t="str">
        <f t="shared" si="113"/>
        <v/>
      </c>
      <c r="BV20" s="59" t="str">
        <f t="shared" si="113"/>
        <v/>
      </c>
      <c r="BW20" s="59" t="str">
        <f t="shared" si="113"/>
        <v/>
      </c>
      <c r="BX20" s="59" t="str">
        <f t="shared" si="113"/>
        <v/>
      </c>
      <c r="BY20" s="59" t="str">
        <f t="shared" si="113"/>
        <v/>
      </c>
      <c r="BZ20" s="59" t="str">
        <f t="shared" si="113"/>
        <v/>
      </c>
      <c r="CA20" s="59" t="str">
        <f t="shared" si="113"/>
        <v/>
      </c>
      <c r="CB20" s="59" t="str">
        <f t="shared" si="113"/>
        <v/>
      </c>
      <c r="CC20" s="59" t="str">
        <f t="shared" si="113"/>
        <v/>
      </c>
      <c r="CD20" s="59" t="str">
        <f t="shared" si="113"/>
        <v/>
      </c>
      <c r="CE20" s="59" t="str">
        <f t="shared" si="113"/>
        <v/>
      </c>
      <c r="CF20" s="59" t="str">
        <f t="shared" si="113"/>
        <v/>
      </c>
      <c r="CG20" s="59" t="str">
        <f t="shared" si="113"/>
        <v/>
      </c>
      <c r="CH20" s="59" t="str">
        <f t="shared" si="113"/>
        <v/>
      </c>
      <c r="CI20" s="59" t="str">
        <f t="shared" si="113"/>
        <v/>
      </c>
      <c r="CJ20" s="59" t="str">
        <f t="shared" si="113"/>
        <v/>
      </c>
      <c r="CK20" s="59" t="str">
        <f t="shared" si="113"/>
        <v/>
      </c>
      <c r="CL20" s="59" t="str">
        <f t="shared" si="113"/>
        <v/>
      </c>
      <c r="CM20" s="59" t="str">
        <f t="shared" si="113"/>
        <v/>
      </c>
      <c r="CN20" s="59" t="str">
        <f t="shared" si="113"/>
        <v/>
      </c>
      <c r="CO20" s="59" t="str">
        <f t="shared" si="113"/>
        <v/>
      </c>
      <c r="CP20" s="59" t="str">
        <f t="shared" si="113"/>
        <v/>
      </c>
      <c r="CQ20" s="59" t="str">
        <f t="shared" si="113"/>
        <v/>
      </c>
      <c r="CR20" s="59" t="str">
        <f t="shared" si="113"/>
        <v/>
      </c>
      <c r="CS20" s="59" t="str">
        <f t="shared" si="113"/>
        <v/>
      </c>
      <c r="CT20" s="59" t="str">
        <f t="shared" si="113"/>
        <v/>
      </c>
      <c r="CU20" s="59" t="str">
        <f t="shared" si="113"/>
        <v/>
      </c>
      <c r="CV20" s="59" t="str">
        <f t="shared" si="113"/>
        <v/>
      </c>
      <c r="CW20" s="59" t="str">
        <f t="shared" si="113"/>
        <v/>
      </c>
      <c r="CX20" s="59" t="str">
        <f t="shared" si="113"/>
        <v/>
      </c>
      <c r="CY20" s="59" t="str">
        <f t="shared" si="113"/>
        <v/>
      </c>
      <c r="CZ20" s="59" t="str">
        <f t="shared" si="113"/>
        <v/>
      </c>
      <c r="DA20" s="59" t="str">
        <f t="shared" si="113"/>
        <v/>
      </c>
      <c r="DB20" s="59" t="str">
        <f t="shared" si="113"/>
        <v/>
      </c>
      <c r="DC20" s="59" t="str">
        <f t="shared" si="113"/>
        <v/>
      </c>
      <c r="DD20" s="59" t="str">
        <f t="shared" si="113"/>
        <v/>
      </c>
      <c r="DE20" s="59" t="str">
        <f t="shared" si="113"/>
        <v/>
      </c>
      <c r="DF20" s="59" t="str">
        <f t="shared" si="113"/>
        <v/>
      </c>
      <c r="DG20" s="59" t="str">
        <f t="shared" si="113"/>
        <v/>
      </c>
      <c r="DH20" s="59" t="str">
        <f t="shared" si="113"/>
        <v/>
      </c>
      <c r="DI20" s="59" t="str">
        <f t="shared" si="113"/>
        <v/>
      </c>
      <c r="DJ20" s="59" t="str">
        <f t="shared" si="113"/>
        <v/>
      </c>
      <c r="DK20" s="59" t="str">
        <f t="shared" si="113"/>
        <v/>
      </c>
      <c r="DL20" s="59" t="str">
        <f t="shared" si="113"/>
        <v/>
      </c>
      <c r="DM20" s="59" t="str">
        <f t="shared" si="113"/>
        <v/>
      </c>
      <c r="DN20" s="59" t="str">
        <f t="shared" si="113"/>
        <v/>
      </c>
      <c r="DO20" s="59" t="str">
        <f t="shared" si="113"/>
        <v/>
      </c>
      <c r="DP20" s="59" t="str">
        <f t="shared" si="113"/>
        <v/>
      </c>
      <c r="DQ20" s="59" t="str">
        <f t="shared" si="113"/>
        <v/>
      </c>
      <c r="DR20" s="59" t="str">
        <f t="shared" si="113"/>
        <v/>
      </c>
      <c r="DS20" s="59" t="str">
        <f t="shared" si="113"/>
        <v/>
      </c>
    </row>
    <row r="21" spans="1:123" x14ac:dyDescent="0.3">
      <c r="B21" s="107" t="s">
        <v>123</v>
      </c>
      <c r="C21" s="108"/>
      <c r="D21" s="108">
        <f>IF(D4=0,"",D18+D20)</f>
        <v>10779.473684210527</v>
      </c>
      <c r="E21" s="108">
        <f t="shared" ref="E21:BP21" si="114">IF(E4=0,"",E18+E20)</f>
        <v>21558.947368421053</v>
      </c>
      <c r="F21" s="108">
        <f t="shared" si="114"/>
        <v>32338.421052631573</v>
      </c>
      <c r="G21" s="108">
        <f t="shared" si="114"/>
        <v>43117.894736842107</v>
      </c>
      <c r="H21" s="108">
        <f t="shared" si="114"/>
        <v>53897.368421052633</v>
      </c>
      <c r="I21" s="108">
        <f t="shared" si="114"/>
        <v>64676.842105263153</v>
      </c>
      <c r="J21" s="108">
        <f t="shared" si="114"/>
        <v>64676.842105263153</v>
      </c>
      <c r="K21" s="108">
        <f t="shared" si="114"/>
        <v>64676.842105263153</v>
      </c>
      <c r="L21" s="108">
        <f t="shared" si="114"/>
        <v>64676.842105263153</v>
      </c>
      <c r="M21" s="108">
        <f t="shared" si="114"/>
        <v>64676.842105263153</v>
      </c>
      <c r="N21" s="108">
        <f t="shared" si="114"/>
        <v>64676.842105263153</v>
      </c>
      <c r="O21" s="108">
        <f t="shared" si="114"/>
        <v>64676.842105263153</v>
      </c>
      <c r="P21" s="108">
        <f t="shared" si="114"/>
        <v>67172.032894736854</v>
      </c>
      <c r="Q21" s="108">
        <f t="shared" si="114"/>
        <v>67172.032894736854</v>
      </c>
      <c r="R21" s="108">
        <f t="shared" si="114"/>
        <v>67172.032894736854</v>
      </c>
      <c r="S21" s="108">
        <f t="shared" si="114"/>
        <v>67172.032894736854</v>
      </c>
      <c r="T21" s="108">
        <f t="shared" si="114"/>
        <v>67172.032894736854</v>
      </c>
      <c r="U21" s="108">
        <f t="shared" si="114"/>
        <v>67172.032894736854</v>
      </c>
      <c r="V21" s="108">
        <f t="shared" si="114"/>
        <v>67172.032894736854</v>
      </c>
      <c r="W21" s="108">
        <f t="shared" si="114"/>
        <v>67172.032894736854</v>
      </c>
      <c r="X21" s="108">
        <f t="shared" si="114"/>
        <v>67172.032894736854</v>
      </c>
      <c r="Y21" s="108">
        <f t="shared" si="114"/>
        <v>67172.032894736854</v>
      </c>
      <c r="Z21" s="108">
        <f t="shared" si="114"/>
        <v>67172.032894736854</v>
      </c>
      <c r="AA21" s="108">
        <f t="shared" si="114"/>
        <v>67172.032894736854</v>
      </c>
      <c r="AB21" s="108">
        <f t="shared" si="114"/>
        <v>69762.102261513181</v>
      </c>
      <c r="AC21" s="108">
        <f t="shared" si="114"/>
        <v>69762.102261513181</v>
      </c>
      <c r="AD21" s="108">
        <f t="shared" si="114"/>
        <v>69762.102261513181</v>
      </c>
      <c r="AE21" s="108">
        <f t="shared" si="114"/>
        <v>69762.102261513181</v>
      </c>
      <c r="AF21" s="108">
        <f t="shared" si="114"/>
        <v>69762.102261513181</v>
      </c>
      <c r="AG21" s="108">
        <f t="shared" si="114"/>
        <v>69762.102261513181</v>
      </c>
      <c r="AH21" s="108">
        <f t="shared" si="114"/>
        <v>69762.102261513181</v>
      </c>
      <c r="AI21" s="108">
        <f t="shared" si="114"/>
        <v>69762.102261513181</v>
      </c>
      <c r="AJ21" s="108">
        <f t="shared" si="114"/>
        <v>69762.102261513181</v>
      </c>
      <c r="AK21" s="108">
        <f t="shared" si="114"/>
        <v>69762.102261513181</v>
      </c>
      <c r="AL21" s="108">
        <f t="shared" si="114"/>
        <v>69762.102261513181</v>
      </c>
      <c r="AM21" s="108">
        <f t="shared" si="114"/>
        <v>69762.102261513181</v>
      </c>
      <c r="AN21" s="108">
        <f t="shared" si="114"/>
        <v>72450.63269454152</v>
      </c>
      <c r="AO21" s="108">
        <f t="shared" si="114"/>
        <v>72450.63269454152</v>
      </c>
      <c r="AP21" s="108">
        <f t="shared" si="114"/>
        <v>72450.63269454152</v>
      </c>
      <c r="AQ21" s="108">
        <f t="shared" si="114"/>
        <v>72450.63269454152</v>
      </c>
      <c r="AR21" s="108">
        <f t="shared" si="114"/>
        <v>72450.63269454152</v>
      </c>
      <c r="AS21" s="108">
        <f t="shared" si="114"/>
        <v>72450.63269454152</v>
      </c>
      <c r="AT21" s="108">
        <f t="shared" si="114"/>
        <v>72450.63269454152</v>
      </c>
      <c r="AU21" s="108">
        <f t="shared" si="114"/>
        <v>72450.63269454152</v>
      </c>
      <c r="AV21" s="108">
        <f t="shared" si="114"/>
        <v>72450.63269454152</v>
      </c>
      <c r="AW21" s="108">
        <f t="shared" si="114"/>
        <v>72450.63269454152</v>
      </c>
      <c r="AX21" s="108">
        <f t="shared" si="114"/>
        <v>72450.63269454152</v>
      </c>
      <c r="AY21" s="108">
        <f t="shared" si="114"/>
        <v>72450.63269454152</v>
      </c>
      <c r="AZ21" s="108">
        <f t="shared" si="114"/>
        <v>75241.341486275182</v>
      </c>
      <c r="BA21" s="108">
        <f t="shared" si="114"/>
        <v>75241.341486275182</v>
      </c>
      <c r="BB21" s="108">
        <f t="shared" si="114"/>
        <v>75241.341486275182</v>
      </c>
      <c r="BC21" s="108">
        <f t="shared" si="114"/>
        <v>75241.341486275182</v>
      </c>
      <c r="BD21" s="108">
        <f t="shared" si="114"/>
        <v>75241.341486275182</v>
      </c>
      <c r="BE21" s="108">
        <f t="shared" si="114"/>
        <v>75241.341486275182</v>
      </c>
      <c r="BF21" s="108">
        <f t="shared" si="114"/>
        <v>75241.341486275182</v>
      </c>
      <c r="BG21" s="108">
        <f t="shared" si="114"/>
        <v>75241.341486275182</v>
      </c>
      <c r="BH21" s="108">
        <f t="shared" si="114"/>
        <v>75241.341486275182</v>
      </c>
      <c r="BI21" s="108">
        <f t="shared" si="114"/>
        <v>75241.341486275182</v>
      </c>
      <c r="BJ21" s="108">
        <f t="shared" si="114"/>
        <v>75241.341486275182</v>
      </c>
      <c r="BK21" s="108">
        <f t="shared" si="114"/>
        <v>75241.341486275182</v>
      </c>
      <c r="BL21" s="108" t="str">
        <f t="shared" si="114"/>
        <v/>
      </c>
      <c r="BM21" s="108" t="str">
        <f t="shared" si="114"/>
        <v/>
      </c>
      <c r="BN21" s="108" t="str">
        <f t="shared" si="114"/>
        <v/>
      </c>
      <c r="BO21" s="108" t="str">
        <f t="shared" si="114"/>
        <v/>
      </c>
      <c r="BP21" s="108" t="str">
        <f t="shared" si="114"/>
        <v/>
      </c>
      <c r="BQ21" s="108" t="str">
        <f t="shared" ref="BQ21:DS21" si="115">IF(BQ4=0,"",BQ18+BQ20)</f>
        <v/>
      </c>
      <c r="BR21" s="108" t="str">
        <f t="shared" si="115"/>
        <v/>
      </c>
      <c r="BS21" s="108" t="str">
        <f t="shared" si="115"/>
        <v/>
      </c>
      <c r="BT21" s="108" t="str">
        <f t="shared" si="115"/>
        <v/>
      </c>
      <c r="BU21" s="108" t="str">
        <f t="shared" si="115"/>
        <v/>
      </c>
      <c r="BV21" s="108" t="str">
        <f t="shared" si="115"/>
        <v/>
      </c>
      <c r="BW21" s="108" t="str">
        <f t="shared" si="115"/>
        <v/>
      </c>
      <c r="BX21" s="108" t="str">
        <f t="shared" si="115"/>
        <v/>
      </c>
      <c r="BY21" s="108" t="str">
        <f t="shared" si="115"/>
        <v/>
      </c>
      <c r="BZ21" s="108" t="str">
        <f t="shared" si="115"/>
        <v/>
      </c>
      <c r="CA21" s="108" t="str">
        <f t="shared" si="115"/>
        <v/>
      </c>
      <c r="CB21" s="108" t="str">
        <f t="shared" si="115"/>
        <v/>
      </c>
      <c r="CC21" s="108" t="str">
        <f t="shared" si="115"/>
        <v/>
      </c>
      <c r="CD21" s="108" t="str">
        <f t="shared" si="115"/>
        <v/>
      </c>
      <c r="CE21" s="108" t="str">
        <f t="shared" si="115"/>
        <v/>
      </c>
      <c r="CF21" s="108" t="str">
        <f t="shared" si="115"/>
        <v/>
      </c>
      <c r="CG21" s="108" t="str">
        <f t="shared" si="115"/>
        <v/>
      </c>
      <c r="CH21" s="108" t="str">
        <f t="shared" si="115"/>
        <v/>
      </c>
      <c r="CI21" s="108" t="str">
        <f t="shared" si="115"/>
        <v/>
      </c>
      <c r="CJ21" s="108" t="str">
        <f t="shared" si="115"/>
        <v/>
      </c>
      <c r="CK21" s="108" t="str">
        <f t="shared" si="115"/>
        <v/>
      </c>
      <c r="CL21" s="108" t="str">
        <f t="shared" si="115"/>
        <v/>
      </c>
      <c r="CM21" s="108" t="str">
        <f t="shared" si="115"/>
        <v/>
      </c>
      <c r="CN21" s="108" t="str">
        <f t="shared" si="115"/>
        <v/>
      </c>
      <c r="CO21" s="108" t="str">
        <f t="shared" si="115"/>
        <v/>
      </c>
      <c r="CP21" s="108" t="str">
        <f t="shared" si="115"/>
        <v/>
      </c>
      <c r="CQ21" s="108" t="str">
        <f t="shared" si="115"/>
        <v/>
      </c>
      <c r="CR21" s="108" t="str">
        <f t="shared" si="115"/>
        <v/>
      </c>
      <c r="CS21" s="108" t="str">
        <f t="shared" si="115"/>
        <v/>
      </c>
      <c r="CT21" s="108" t="str">
        <f t="shared" si="115"/>
        <v/>
      </c>
      <c r="CU21" s="108" t="str">
        <f t="shared" si="115"/>
        <v/>
      </c>
      <c r="CV21" s="108" t="str">
        <f t="shared" si="115"/>
        <v/>
      </c>
      <c r="CW21" s="108" t="str">
        <f t="shared" si="115"/>
        <v/>
      </c>
      <c r="CX21" s="108" t="str">
        <f t="shared" si="115"/>
        <v/>
      </c>
      <c r="CY21" s="108" t="str">
        <f t="shared" si="115"/>
        <v/>
      </c>
      <c r="CZ21" s="108" t="str">
        <f t="shared" si="115"/>
        <v/>
      </c>
      <c r="DA21" s="108" t="str">
        <f t="shared" si="115"/>
        <v/>
      </c>
      <c r="DB21" s="108" t="str">
        <f t="shared" si="115"/>
        <v/>
      </c>
      <c r="DC21" s="108" t="str">
        <f t="shared" si="115"/>
        <v/>
      </c>
      <c r="DD21" s="108" t="str">
        <f t="shared" si="115"/>
        <v/>
      </c>
      <c r="DE21" s="108" t="str">
        <f t="shared" si="115"/>
        <v/>
      </c>
      <c r="DF21" s="108" t="str">
        <f t="shared" si="115"/>
        <v/>
      </c>
      <c r="DG21" s="108" t="str">
        <f t="shared" si="115"/>
        <v/>
      </c>
      <c r="DH21" s="108" t="str">
        <f t="shared" si="115"/>
        <v/>
      </c>
      <c r="DI21" s="108" t="str">
        <f t="shared" si="115"/>
        <v/>
      </c>
      <c r="DJ21" s="108" t="str">
        <f t="shared" si="115"/>
        <v/>
      </c>
      <c r="DK21" s="108" t="str">
        <f t="shared" si="115"/>
        <v/>
      </c>
      <c r="DL21" s="108" t="str">
        <f t="shared" si="115"/>
        <v/>
      </c>
      <c r="DM21" s="108" t="str">
        <f t="shared" si="115"/>
        <v/>
      </c>
      <c r="DN21" s="108" t="str">
        <f t="shared" si="115"/>
        <v/>
      </c>
      <c r="DO21" s="108" t="str">
        <f t="shared" si="115"/>
        <v/>
      </c>
      <c r="DP21" s="108" t="str">
        <f t="shared" si="115"/>
        <v/>
      </c>
      <c r="DQ21" s="108" t="str">
        <f t="shared" si="115"/>
        <v/>
      </c>
      <c r="DR21" s="108" t="str">
        <f t="shared" si="115"/>
        <v/>
      </c>
      <c r="DS21" s="108" t="str">
        <f t="shared" si="115"/>
        <v/>
      </c>
    </row>
    <row r="22" spans="1:123" x14ac:dyDescent="0.3"/>
    <row r="23" spans="1:123" x14ac:dyDescent="0.3">
      <c r="B23" s="96" t="s">
        <v>108</v>
      </c>
    </row>
    <row r="24" spans="1:123" x14ac:dyDescent="0.3">
      <c r="B24" s="111" t="s">
        <v>109</v>
      </c>
      <c r="D24" s="132">
        <f>IF(D4=0,"",-'Input Assumptions'!$E$59*_xlfn.XLOOKUP('Monthly Cashflow'!D4,'Input Assumptions'!$C$41:$L$41,'Input Assumptions'!$C$43:$L$43)/12)</f>
        <v>-2750</v>
      </c>
      <c r="E24" s="132">
        <f>IF(E4=0,"",-'Input Assumptions'!$E$59*_xlfn.XLOOKUP('Monthly Cashflow'!E4,'Input Assumptions'!$C$41:$L$41,'Input Assumptions'!$C$43:$L$43)/12)</f>
        <v>-2750</v>
      </c>
      <c r="F24" s="132">
        <f>IF(F4=0,"",-'Input Assumptions'!$E$59*_xlfn.XLOOKUP('Monthly Cashflow'!F4,'Input Assumptions'!$C$41:$L$41,'Input Assumptions'!$C$43:$L$43)/12)</f>
        <v>-2750</v>
      </c>
      <c r="G24" s="132">
        <f>IF(G4=0,"",-'Input Assumptions'!$E$59*_xlfn.XLOOKUP('Monthly Cashflow'!G4,'Input Assumptions'!$C$41:$L$41,'Input Assumptions'!$C$43:$L$43)/12)</f>
        <v>-2750</v>
      </c>
      <c r="H24" s="132">
        <f>IF(H4=0,"",-'Input Assumptions'!$E$59*_xlfn.XLOOKUP('Monthly Cashflow'!H4,'Input Assumptions'!$C$41:$L$41,'Input Assumptions'!$C$43:$L$43)/12)</f>
        <v>-2750</v>
      </c>
      <c r="I24" s="132">
        <f>IF(I4=0,"",-'Input Assumptions'!$E$59*_xlfn.XLOOKUP('Monthly Cashflow'!I4,'Input Assumptions'!$C$41:$L$41,'Input Assumptions'!$C$43:$L$43)/12)</f>
        <v>-2750</v>
      </c>
      <c r="J24" s="132">
        <f>IF(J4=0,"",-'Input Assumptions'!$E$59*_xlfn.XLOOKUP('Monthly Cashflow'!J4,'Input Assumptions'!$C$41:$L$41,'Input Assumptions'!$C$43:$L$43)/12)</f>
        <v>-2750</v>
      </c>
      <c r="K24" s="132">
        <f>IF(K4=0,"",-'Input Assumptions'!$E$59*_xlfn.XLOOKUP('Monthly Cashflow'!K4,'Input Assumptions'!$C$41:$L$41,'Input Assumptions'!$C$43:$L$43)/12)</f>
        <v>-2750</v>
      </c>
      <c r="L24" s="132">
        <f>IF(L4=0,"",-'Input Assumptions'!$E$59*_xlfn.XLOOKUP('Monthly Cashflow'!L4,'Input Assumptions'!$C$41:$L$41,'Input Assumptions'!$C$43:$L$43)/12)</f>
        <v>-2750</v>
      </c>
      <c r="M24" s="132">
        <f>IF(M4=0,"",-'Input Assumptions'!$E$59*_xlfn.XLOOKUP('Monthly Cashflow'!M4,'Input Assumptions'!$C$41:$L$41,'Input Assumptions'!$C$43:$L$43)/12)</f>
        <v>-2750</v>
      </c>
      <c r="N24" s="132">
        <f>IF(N4=0,"",-'Input Assumptions'!$E$59*_xlfn.XLOOKUP('Monthly Cashflow'!N4,'Input Assumptions'!$C$41:$L$41,'Input Assumptions'!$C$43:$L$43)/12)</f>
        <v>-2750</v>
      </c>
      <c r="O24" s="132">
        <f>IF(O4=0,"",-'Input Assumptions'!$E$59*_xlfn.XLOOKUP('Monthly Cashflow'!O4,'Input Assumptions'!$C$41:$L$41,'Input Assumptions'!$C$43:$L$43)/12)</f>
        <v>-2750</v>
      </c>
      <c r="P24" s="132">
        <f>IF(P4=0,"",-'Input Assumptions'!$E$59*_xlfn.XLOOKUP('Monthly Cashflow'!P4,'Input Assumptions'!$C$41:$L$41,'Input Assumptions'!$C$43:$L$43)/12)</f>
        <v>-2801.5625</v>
      </c>
      <c r="Q24" s="132">
        <f>IF(Q4=0,"",-'Input Assumptions'!$E$59*_xlfn.XLOOKUP('Monthly Cashflow'!Q4,'Input Assumptions'!$C$41:$L$41,'Input Assumptions'!$C$43:$L$43)/12)</f>
        <v>-2801.5625</v>
      </c>
      <c r="R24" s="132">
        <f>IF(R4=0,"",-'Input Assumptions'!$E$59*_xlfn.XLOOKUP('Monthly Cashflow'!R4,'Input Assumptions'!$C$41:$L$41,'Input Assumptions'!$C$43:$L$43)/12)</f>
        <v>-2801.5625</v>
      </c>
      <c r="S24" s="132">
        <f>IF(S4=0,"",-'Input Assumptions'!$E$59*_xlfn.XLOOKUP('Monthly Cashflow'!S4,'Input Assumptions'!$C$41:$L$41,'Input Assumptions'!$C$43:$L$43)/12)</f>
        <v>-2801.5625</v>
      </c>
      <c r="T24" s="132">
        <f>IF(T4=0,"",-'Input Assumptions'!$E$59*_xlfn.XLOOKUP('Monthly Cashflow'!T4,'Input Assumptions'!$C$41:$L$41,'Input Assumptions'!$C$43:$L$43)/12)</f>
        <v>-2801.5625</v>
      </c>
      <c r="U24" s="132">
        <f>IF(U4=0,"",-'Input Assumptions'!$E$59*_xlfn.XLOOKUP('Monthly Cashflow'!U4,'Input Assumptions'!$C$41:$L$41,'Input Assumptions'!$C$43:$L$43)/12)</f>
        <v>-2801.5625</v>
      </c>
      <c r="V24" s="132">
        <f>IF(V4=0,"",-'Input Assumptions'!$E$59*_xlfn.XLOOKUP('Monthly Cashflow'!V4,'Input Assumptions'!$C$41:$L$41,'Input Assumptions'!$C$43:$L$43)/12)</f>
        <v>-2801.5625</v>
      </c>
      <c r="W24" s="132">
        <f>IF(W4=0,"",-'Input Assumptions'!$E$59*_xlfn.XLOOKUP('Monthly Cashflow'!W4,'Input Assumptions'!$C$41:$L$41,'Input Assumptions'!$C$43:$L$43)/12)</f>
        <v>-2801.5625</v>
      </c>
      <c r="X24" s="132">
        <f>IF(X4=0,"",-'Input Assumptions'!$E$59*_xlfn.XLOOKUP('Monthly Cashflow'!X4,'Input Assumptions'!$C$41:$L$41,'Input Assumptions'!$C$43:$L$43)/12)</f>
        <v>-2801.5625</v>
      </c>
      <c r="Y24" s="132">
        <f>IF(Y4=0,"",-'Input Assumptions'!$E$59*_xlfn.XLOOKUP('Monthly Cashflow'!Y4,'Input Assumptions'!$C$41:$L$41,'Input Assumptions'!$C$43:$L$43)/12)</f>
        <v>-2801.5625</v>
      </c>
      <c r="Z24" s="132">
        <f>IF(Z4=0,"",-'Input Assumptions'!$E$59*_xlfn.XLOOKUP('Monthly Cashflow'!Z4,'Input Assumptions'!$C$41:$L$41,'Input Assumptions'!$C$43:$L$43)/12)</f>
        <v>-2801.5625</v>
      </c>
      <c r="AA24" s="132">
        <f>IF(AA4=0,"",-'Input Assumptions'!$E$59*_xlfn.XLOOKUP('Monthly Cashflow'!AA4,'Input Assumptions'!$C$41:$L$41,'Input Assumptions'!$C$43:$L$43)/12)</f>
        <v>-2801.5625</v>
      </c>
      <c r="AB24" s="132">
        <f>IF(AB4=0,"",-'Input Assumptions'!$E$59*_xlfn.XLOOKUP('Monthly Cashflow'!AB4,'Input Assumptions'!$C$41:$L$41,'Input Assumptions'!$C$43:$L$43)/12)</f>
        <v>-2854.091796875</v>
      </c>
      <c r="AC24" s="132">
        <f>IF(AC4=0,"",-'Input Assumptions'!$E$59*_xlfn.XLOOKUP('Monthly Cashflow'!AC4,'Input Assumptions'!$C$41:$L$41,'Input Assumptions'!$C$43:$L$43)/12)</f>
        <v>-2854.091796875</v>
      </c>
      <c r="AD24" s="132">
        <f>IF(AD4=0,"",-'Input Assumptions'!$E$59*_xlfn.XLOOKUP('Monthly Cashflow'!AD4,'Input Assumptions'!$C$41:$L$41,'Input Assumptions'!$C$43:$L$43)/12)</f>
        <v>-2854.091796875</v>
      </c>
      <c r="AE24" s="132">
        <f>IF(AE4=0,"",-'Input Assumptions'!$E$59*_xlfn.XLOOKUP('Monthly Cashflow'!AE4,'Input Assumptions'!$C$41:$L$41,'Input Assumptions'!$C$43:$L$43)/12)</f>
        <v>-2854.091796875</v>
      </c>
      <c r="AF24" s="132">
        <f>IF(AF4=0,"",-'Input Assumptions'!$E$59*_xlfn.XLOOKUP('Monthly Cashflow'!AF4,'Input Assumptions'!$C$41:$L$41,'Input Assumptions'!$C$43:$L$43)/12)</f>
        <v>-2854.091796875</v>
      </c>
      <c r="AG24" s="132">
        <f>IF(AG4=0,"",-'Input Assumptions'!$E$59*_xlfn.XLOOKUP('Monthly Cashflow'!AG4,'Input Assumptions'!$C$41:$L$41,'Input Assumptions'!$C$43:$L$43)/12)</f>
        <v>-2854.091796875</v>
      </c>
      <c r="AH24" s="132">
        <f>IF(AH4=0,"",-'Input Assumptions'!$E$59*_xlfn.XLOOKUP('Monthly Cashflow'!AH4,'Input Assumptions'!$C$41:$L$41,'Input Assumptions'!$C$43:$L$43)/12)</f>
        <v>-2854.091796875</v>
      </c>
      <c r="AI24" s="132">
        <f>IF(AI4=0,"",-'Input Assumptions'!$E$59*_xlfn.XLOOKUP('Monthly Cashflow'!AI4,'Input Assumptions'!$C$41:$L$41,'Input Assumptions'!$C$43:$L$43)/12)</f>
        <v>-2854.091796875</v>
      </c>
      <c r="AJ24" s="132">
        <f>IF(AJ4=0,"",-'Input Assumptions'!$E$59*_xlfn.XLOOKUP('Monthly Cashflow'!AJ4,'Input Assumptions'!$C$41:$L$41,'Input Assumptions'!$C$43:$L$43)/12)</f>
        <v>-2854.091796875</v>
      </c>
      <c r="AK24" s="132">
        <f>IF(AK4=0,"",-'Input Assumptions'!$E$59*_xlfn.XLOOKUP('Monthly Cashflow'!AK4,'Input Assumptions'!$C$41:$L$41,'Input Assumptions'!$C$43:$L$43)/12)</f>
        <v>-2854.091796875</v>
      </c>
      <c r="AL24" s="132">
        <f>IF(AL4=0,"",-'Input Assumptions'!$E$59*_xlfn.XLOOKUP('Monthly Cashflow'!AL4,'Input Assumptions'!$C$41:$L$41,'Input Assumptions'!$C$43:$L$43)/12)</f>
        <v>-2854.091796875</v>
      </c>
      <c r="AM24" s="132">
        <f>IF(AM4=0,"",-'Input Assumptions'!$E$59*_xlfn.XLOOKUP('Monthly Cashflow'!AM4,'Input Assumptions'!$C$41:$L$41,'Input Assumptions'!$C$43:$L$43)/12)</f>
        <v>-2854.091796875</v>
      </c>
      <c r="AN24" s="132">
        <f>IF(AN4=0,"",-'Input Assumptions'!$E$59*_xlfn.XLOOKUP('Monthly Cashflow'!AN4,'Input Assumptions'!$C$41:$L$41,'Input Assumptions'!$C$43:$L$43)/12)</f>
        <v>-2907.6060180664063</v>
      </c>
      <c r="AO24" s="132">
        <f>IF(AO4=0,"",-'Input Assumptions'!$E$59*_xlfn.XLOOKUP('Monthly Cashflow'!AO4,'Input Assumptions'!$C$41:$L$41,'Input Assumptions'!$C$43:$L$43)/12)</f>
        <v>-2907.6060180664063</v>
      </c>
      <c r="AP24" s="132">
        <f>IF(AP4=0,"",-'Input Assumptions'!$E$59*_xlfn.XLOOKUP('Monthly Cashflow'!AP4,'Input Assumptions'!$C$41:$L$41,'Input Assumptions'!$C$43:$L$43)/12)</f>
        <v>-2907.6060180664063</v>
      </c>
      <c r="AQ24" s="132">
        <f>IF(AQ4=0,"",-'Input Assumptions'!$E$59*_xlfn.XLOOKUP('Monthly Cashflow'!AQ4,'Input Assumptions'!$C$41:$L$41,'Input Assumptions'!$C$43:$L$43)/12)</f>
        <v>-2907.6060180664063</v>
      </c>
      <c r="AR24" s="132">
        <f>IF(AR4=0,"",-'Input Assumptions'!$E$59*_xlfn.XLOOKUP('Monthly Cashflow'!AR4,'Input Assumptions'!$C$41:$L$41,'Input Assumptions'!$C$43:$L$43)/12)</f>
        <v>-2907.6060180664063</v>
      </c>
      <c r="AS24" s="132">
        <f>IF(AS4=0,"",-'Input Assumptions'!$E$59*_xlfn.XLOOKUP('Monthly Cashflow'!AS4,'Input Assumptions'!$C$41:$L$41,'Input Assumptions'!$C$43:$L$43)/12)</f>
        <v>-2907.6060180664063</v>
      </c>
      <c r="AT24" s="132">
        <f>IF(AT4=0,"",-'Input Assumptions'!$E$59*_xlfn.XLOOKUP('Monthly Cashflow'!AT4,'Input Assumptions'!$C$41:$L$41,'Input Assumptions'!$C$43:$L$43)/12)</f>
        <v>-2907.6060180664063</v>
      </c>
      <c r="AU24" s="132">
        <f>IF(AU4=0,"",-'Input Assumptions'!$E$59*_xlfn.XLOOKUP('Monthly Cashflow'!AU4,'Input Assumptions'!$C$41:$L$41,'Input Assumptions'!$C$43:$L$43)/12)</f>
        <v>-2907.6060180664063</v>
      </c>
      <c r="AV24" s="132">
        <f>IF(AV4=0,"",-'Input Assumptions'!$E$59*_xlfn.XLOOKUP('Monthly Cashflow'!AV4,'Input Assumptions'!$C$41:$L$41,'Input Assumptions'!$C$43:$L$43)/12)</f>
        <v>-2907.6060180664063</v>
      </c>
      <c r="AW24" s="132">
        <f>IF(AW4=0,"",-'Input Assumptions'!$E$59*_xlfn.XLOOKUP('Monthly Cashflow'!AW4,'Input Assumptions'!$C$41:$L$41,'Input Assumptions'!$C$43:$L$43)/12)</f>
        <v>-2907.6060180664063</v>
      </c>
      <c r="AX24" s="132">
        <f>IF(AX4=0,"",-'Input Assumptions'!$E$59*_xlfn.XLOOKUP('Monthly Cashflow'!AX4,'Input Assumptions'!$C$41:$L$41,'Input Assumptions'!$C$43:$L$43)/12)</f>
        <v>-2907.6060180664063</v>
      </c>
      <c r="AY24" s="132">
        <f>IF(AY4=0,"",-'Input Assumptions'!$E$59*_xlfn.XLOOKUP('Monthly Cashflow'!AY4,'Input Assumptions'!$C$41:$L$41,'Input Assumptions'!$C$43:$L$43)/12)</f>
        <v>-2907.6060180664063</v>
      </c>
      <c r="AZ24" s="132">
        <f>IF(AZ4=0,"",-'Input Assumptions'!$E$59*_xlfn.XLOOKUP('Monthly Cashflow'!AZ4,'Input Assumptions'!$C$41:$L$41,'Input Assumptions'!$C$43:$L$43)/12)</f>
        <v>-2962.1236309051515</v>
      </c>
      <c r="BA24" s="132">
        <f>IF(BA4=0,"",-'Input Assumptions'!$E$59*_xlfn.XLOOKUP('Monthly Cashflow'!BA4,'Input Assumptions'!$C$41:$L$41,'Input Assumptions'!$C$43:$L$43)/12)</f>
        <v>-2962.1236309051515</v>
      </c>
      <c r="BB24" s="132">
        <f>IF(BB4=0,"",-'Input Assumptions'!$E$59*_xlfn.XLOOKUP('Monthly Cashflow'!BB4,'Input Assumptions'!$C$41:$L$41,'Input Assumptions'!$C$43:$L$43)/12)</f>
        <v>-2962.1236309051515</v>
      </c>
      <c r="BC24" s="132">
        <f>IF(BC4=0,"",-'Input Assumptions'!$E$59*_xlfn.XLOOKUP('Monthly Cashflow'!BC4,'Input Assumptions'!$C$41:$L$41,'Input Assumptions'!$C$43:$L$43)/12)</f>
        <v>-2962.1236309051515</v>
      </c>
      <c r="BD24" s="132">
        <f>IF(BD4=0,"",-'Input Assumptions'!$E$59*_xlfn.XLOOKUP('Monthly Cashflow'!BD4,'Input Assumptions'!$C$41:$L$41,'Input Assumptions'!$C$43:$L$43)/12)</f>
        <v>-2962.1236309051515</v>
      </c>
      <c r="BE24" s="132">
        <f>IF(BE4=0,"",-'Input Assumptions'!$E$59*_xlfn.XLOOKUP('Monthly Cashflow'!BE4,'Input Assumptions'!$C$41:$L$41,'Input Assumptions'!$C$43:$L$43)/12)</f>
        <v>-2962.1236309051515</v>
      </c>
      <c r="BF24" s="132">
        <f>IF(BF4=0,"",-'Input Assumptions'!$E$59*_xlfn.XLOOKUP('Monthly Cashflow'!BF4,'Input Assumptions'!$C$41:$L$41,'Input Assumptions'!$C$43:$L$43)/12)</f>
        <v>-2962.1236309051515</v>
      </c>
      <c r="BG24" s="132">
        <f>IF(BG4=0,"",-'Input Assumptions'!$E$59*_xlfn.XLOOKUP('Monthly Cashflow'!BG4,'Input Assumptions'!$C$41:$L$41,'Input Assumptions'!$C$43:$L$43)/12)</f>
        <v>-2962.1236309051515</v>
      </c>
      <c r="BH24" s="132">
        <f>IF(BH4=0,"",-'Input Assumptions'!$E$59*_xlfn.XLOOKUP('Monthly Cashflow'!BH4,'Input Assumptions'!$C$41:$L$41,'Input Assumptions'!$C$43:$L$43)/12)</f>
        <v>-2962.1236309051515</v>
      </c>
      <c r="BI24" s="132">
        <f>IF(BI4=0,"",-'Input Assumptions'!$E$59*_xlfn.XLOOKUP('Monthly Cashflow'!BI4,'Input Assumptions'!$C$41:$L$41,'Input Assumptions'!$C$43:$L$43)/12)</f>
        <v>-2962.1236309051515</v>
      </c>
      <c r="BJ24" s="132">
        <f>IF(BJ4=0,"",-'Input Assumptions'!$E$59*_xlfn.XLOOKUP('Monthly Cashflow'!BJ4,'Input Assumptions'!$C$41:$L$41,'Input Assumptions'!$C$43:$L$43)/12)</f>
        <v>-2962.1236309051515</v>
      </c>
      <c r="BK24" s="132">
        <f>IF(BK4=0,"",-'Input Assumptions'!$E$59*_xlfn.XLOOKUP('Monthly Cashflow'!BK4,'Input Assumptions'!$C$41:$L$41,'Input Assumptions'!$C$43:$L$43)/12)</f>
        <v>-2962.1236309051515</v>
      </c>
      <c r="BL24" s="132" t="str">
        <f>IF(BL4=0,"",-'Input Assumptions'!$E$59*_xlfn.XLOOKUP('Monthly Cashflow'!BL4,'Input Assumptions'!$C$41:$L$41,'Input Assumptions'!$C$43:$L$43)/12)</f>
        <v/>
      </c>
      <c r="BM24" s="132" t="str">
        <f>IF(BM4=0,"",-'Input Assumptions'!$E$59*_xlfn.XLOOKUP('Monthly Cashflow'!BM4,'Input Assumptions'!$C$41:$L$41,'Input Assumptions'!$C$43:$L$43)/12)</f>
        <v/>
      </c>
      <c r="BN24" s="132" t="str">
        <f>IF(BN4=0,"",-'Input Assumptions'!$E$59*_xlfn.XLOOKUP('Monthly Cashflow'!BN4,'Input Assumptions'!$C$41:$L$41,'Input Assumptions'!$C$43:$L$43)/12)</f>
        <v/>
      </c>
      <c r="BO24" s="132" t="str">
        <f>IF(BO4=0,"",-'Input Assumptions'!$E$59*_xlfn.XLOOKUP('Monthly Cashflow'!BO4,'Input Assumptions'!$C$41:$L$41,'Input Assumptions'!$C$43:$L$43)/12)</f>
        <v/>
      </c>
      <c r="BP24" s="132" t="str">
        <f>IF(BP4=0,"",-'Input Assumptions'!$E$59*_xlfn.XLOOKUP('Monthly Cashflow'!BP4,'Input Assumptions'!$C$41:$L$41,'Input Assumptions'!$C$43:$L$43)/12)</f>
        <v/>
      </c>
      <c r="BQ24" s="132" t="str">
        <f>IF(BQ4=0,"",-'Input Assumptions'!$E$59*_xlfn.XLOOKUP('Monthly Cashflow'!BQ4,'Input Assumptions'!$C$41:$L$41,'Input Assumptions'!$C$43:$L$43)/12)</f>
        <v/>
      </c>
      <c r="BR24" s="132" t="str">
        <f>IF(BR4=0,"",-'Input Assumptions'!$E$59*_xlfn.XLOOKUP('Monthly Cashflow'!BR4,'Input Assumptions'!$C$41:$L$41,'Input Assumptions'!$C$43:$L$43)/12)</f>
        <v/>
      </c>
      <c r="BS24" s="132" t="str">
        <f>IF(BS4=0,"",-'Input Assumptions'!$E$59*_xlfn.XLOOKUP('Monthly Cashflow'!BS4,'Input Assumptions'!$C$41:$L$41,'Input Assumptions'!$C$43:$L$43)/12)</f>
        <v/>
      </c>
      <c r="BT24" s="132" t="str">
        <f>IF(BT4=0,"",-'Input Assumptions'!$E$59*_xlfn.XLOOKUP('Monthly Cashflow'!BT4,'Input Assumptions'!$C$41:$L$41,'Input Assumptions'!$C$43:$L$43)/12)</f>
        <v/>
      </c>
      <c r="BU24" s="132" t="str">
        <f>IF(BU4=0,"",-'Input Assumptions'!$E$59*_xlfn.XLOOKUP('Monthly Cashflow'!BU4,'Input Assumptions'!$C$41:$L$41,'Input Assumptions'!$C$43:$L$43)/12)</f>
        <v/>
      </c>
      <c r="BV24" s="132" t="str">
        <f>IF(BV4=0,"",-'Input Assumptions'!$E$59*_xlfn.XLOOKUP('Monthly Cashflow'!BV4,'Input Assumptions'!$C$41:$L$41,'Input Assumptions'!$C$43:$L$43)/12)</f>
        <v/>
      </c>
      <c r="BW24" s="132" t="str">
        <f>IF(BW4=0,"",-'Input Assumptions'!$E$59*_xlfn.XLOOKUP('Monthly Cashflow'!BW4,'Input Assumptions'!$C$41:$L$41,'Input Assumptions'!$C$43:$L$43)/12)</f>
        <v/>
      </c>
      <c r="BX24" s="132" t="str">
        <f>IF(BX4=0,"",-'Input Assumptions'!$E$59*_xlfn.XLOOKUP('Monthly Cashflow'!BX4,'Input Assumptions'!$C$41:$L$41,'Input Assumptions'!$C$43:$L$43)/12)</f>
        <v/>
      </c>
      <c r="BY24" s="132" t="str">
        <f>IF(BY4=0,"",-'Input Assumptions'!$E$59*_xlfn.XLOOKUP('Monthly Cashflow'!BY4,'Input Assumptions'!$C$41:$L$41,'Input Assumptions'!$C$43:$L$43)/12)</f>
        <v/>
      </c>
      <c r="BZ24" s="132" t="str">
        <f>IF(BZ4=0,"",-'Input Assumptions'!$E$59*_xlfn.XLOOKUP('Monthly Cashflow'!BZ4,'Input Assumptions'!$C$41:$L$41,'Input Assumptions'!$C$43:$L$43)/12)</f>
        <v/>
      </c>
      <c r="CA24" s="132" t="str">
        <f>IF(CA4=0,"",-'Input Assumptions'!$E$59*_xlfn.XLOOKUP('Monthly Cashflow'!CA4,'Input Assumptions'!$C$41:$L$41,'Input Assumptions'!$C$43:$L$43)/12)</f>
        <v/>
      </c>
      <c r="CB24" s="132" t="str">
        <f>IF(CB4=0,"",-'Input Assumptions'!$E$59*_xlfn.XLOOKUP('Monthly Cashflow'!CB4,'Input Assumptions'!$C$41:$L$41,'Input Assumptions'!$C$43:$L$43)/12)</f>
        <v/>
      </c>
      <c r="CC24" s="132" t="str">
        <f>IF(CC4=0,"",-'Input Assumptions'!$E$59*_xlfn.XLOOKUP('Monthly Cashflow'!CC4,'Input Assumptions'!$C$41:$L$41,'Input Assumptions'!$C$43:$L$43)/12)</f>
        <v/>
      </c>
      <c r="CD24" s="132" t="str">
        <f>IF(CD4=0,"",-'Input Assumptions'!$E$59*_xlfn.XLOOKUP('Monthly Cashflow'!CD4,'Input Assumptions'!$C$41:$L$41,'Input Assumptions'!$C$43:$L$43)/12)</f>
        <v/>
      </c>
      <c r="CE24" s="132" t="str">
        <f>IF(CE4=0,"",-'Input Assumptions'!$E$59*_xlfn.XLOOKUP('Monthly Cashflow'!CE4,'Input Assumptions'!$C$41:$L$41,'Input Assumptions'!$C$43:$L$43)/12)</f>
        <v/>
      </c>
      <c r="CF24" s="132" t="str">
        <f>IF(CF4=0,"",-'Input Assumptions'!$E$59*_xlfn.XLOOKUP('Monthly Cashflow'!CF4,'Input Assumptions'!$C$41:$L$41,'Input Assumptions'!$C$43:$L$43)/12)</f>
        <v/>
      </c>
      <c r="CG24" s="132" t="str">
        <f>IF(CG4=0,"",-'Input Assumptions'!$E$59*_xlfn.XLOOKUP('Monthly Cashflow'!CG4,'Input Assumptions'!$C$41:$L$41,'Input Assumptions'!$C$43:$L$43)/12)</f>
        <v/>
      </c>
      <c r="CH24" s="132" t="str">
        <f>IF(CH4=0,"",-'Input Assumptions'!$E$59*_xlfn.XLOOKUP('Monthly Cashflow'!CH4,'Input Assumptions'!$C$41:$L$41,'Input Assumptions'!$C$43:$L$43)/12)</f>
        <v/>
      </c>
      <c r="CI24" s="132" t="str">
        <f>IF(CI4=0,"",-'Input Assumptions'!$E$59*_xlfn.XLOOKUP('Monthly Cashflow'!CI4,'Input Assumptions'!$C$41:$L$41,'Input Assumptions'!$C$43:$L$43)/12)</f>
        <v/>
      </c>
      <c r="CJ24" s="132" t="str">
        <f>IF(CJ4=0,"",-'Input Assumptions'!$E$59*_xlfn.XLOOKUP('Monthly Cashflow'!CJ4,'Input Assumptions'!$C$41:$L$41,'Input Assumptions'!$C$43:$L$43)/12)</f>
        <v/>
      </c>
      <c r="CK24" s="132" t="str">
        <f>IF(CK4=0,"",-'Input Assumptions'!$E$59*_xlfn.XLOOKUP('Monthly Cashflow'!CK4,'Input Assumptions'!$C$41:$L$41,'Input Assumptions'!$C$43:$L$43)/12)</f>
        <v/>
      </c>
      <c r="CL24" s="132" t="str">
        <f>IF(CL4=0,"",-'Input Assumptions'!$E$59*_xlfn.XLOOKUP('Monthly Cashflow'!CL4,'Input Assumptions'!$C$41:$L$41,'Input Assumptions'!$C$43:$L$43)/12)</f>
        <v/>
      </c>
      <c r="CM24" s="132" t="str">
        <f>IF(CM4=0,"",-'Input Assumptions'!$E$59*_xlfn.XLOOKUP('Monthly Cashflow'!CM4,'Input Assumptions'!$C$41:$L$41,'Input Assumptions'!$C$43:$L$43)/12)</f>
        <v/>
      </c>
      <c r="CN24" s="132" t="str">
        <f>IF(CN4=0,"",-'Input Assumptions'!$E$59*_xlfn.XLOOKUP('Monthly Cashflow'!CN4,'Input Assumptions'!$C$41:$L$41,'Input Assumptions'!$C$43:$L$43)/12)</f>
        <v/>
      </c>
      <c r="CO24" s="132" t="str">
        <f>IF(CO4=0,"",-'Input Assumptions'!$E$59*_xlfn.XLOOKUP('Monthly Cashflow'!CO4,'Input Assumptions'!$C$41:$L$41,'Input Assumptions'!$C$43:$L$43)/12)</f>
        <v/>
      </c>
      <c r="CP24" s="132" t="str">
        <f>IF(CP4=0,"",-'Input Assumptions'!$E$59*_xlfn.XLOOKUP('Monthly Cashflow'!CP4,'Input Assumptions'!$C$41:$L$41,'Input Assumptions'!$C$43:$L$43)/12)</f>
        <v/>
      </c>
      <c r="CQ24" s="132" t="str">
        <f>IF(CQ4=0,"",-'Input Assumptions'!$E$59*_xlfn.XLOOKUP('Monthly Cashflow'!CQ4,'Input Assumptions'!$C$41:$L$41,'Input Assumptions'!$C$43:$L$43)/12)</f>
        <v/>
      </c>
      <c r="CR24" s="132" t="str">
        <f>IF(CR4=0,"",-'Input Assumptions'!$E$59*_xlfn.XLOOKUP('Monthly Cashflow'!CR4,'Input Assumptions'!$C$41:$L$41,'Input Assumptions'!$C$43:$L$43)/12)</f>
        <v/>
      </c>
      <c r="CS24" s="132" t="str">
        <f>IF(CS4=0,"",-'Input Assumptions'!$E$59*_xlfn.XLOOKUP('Monthly Cashflow'!CS4,'Input Assumptions'!$C$41:$L$41,'Input Assumptions'!$C$43:$L$43)/12)</f>
        <v/>
      </c>
      <c r="CT24" s="132" t="str">
        <f>IF(CT4=0,"",-'Input Assumptions'!$E$59*_xlfn.XLOOKUP('Monthly Cashflow'!CT4,'Input Assumptions'!$C$41:$L$41,'Input Assumptions'!$C$43:$L$43)/12)</f>
        <v/>
      </c>
      <c r="CU24" s="132" t="str">
        <f>IF(CU4=0,"",-'Input Assumptions'!$E$59*_xlfn.XLOOKUP('Monthly Cashflow'!CU4,'Input Assumptions'!$C$41:$L$41,'Input Assumptions'!$C$43:$L$43)/12)</f>
        <v/>
      </c>
      <c r="CV24" s="132" t="str">
        <f>IF(CV4=0,"",-'Input Assumptions'!$E$59*_xlfn.XLOOKUP('Monthly Cashflow'!CV4,'Input Assumptions'!$C$41:$L$41,'Input Assumptions'!$C$43:$L$43)/12)</f>
        <v/>
      </c>
      <c r="CW24" s="132" t="str">
        <f>IF(CW4=0,"",-'Input Assumptions'!$E$59*_xlfn.XLOOKUP('Monthly Cashflow'!CW4,'Input Assumptions'!$C$41:$L$41,'Input Assumptions'!$C$43:$L$43)/12)</f>
        <v/>
      </c>
      <c r="CX24" s="132" t="str">
        <f>IF(CX4=0,"",-'Input Assumptions'!$E$59*_xlfn.XLOOKUP('Monthly Cashflow'!CX4,'Input Assumptions'!$C$41:$L$41,'Input Assumptions'!$C$43:$L$43)/12)</f>
        <v/>
      </c>
      <c r="CY24" s="132" t="str">
        <f>IF(CY4=0,"",-'Input Assumptions'!$E$59*_xlfn.XLOOKUP('Monthly Cashflow'!CY4,'Input Assumptions'!$C$41:$L$41,'Input Assumptions'!$C$43:$L$43)/12)</f>
        <v/>
      </c>
      <c r="CZ24" s="132" t="str">
        <f>IF(CZ4=0,"",-'Input Assumptions'!$E$59*_xlfn.XLOOKUP('Monthly Cashflow'!CZ4,'Input Assumptions'!$C$41:$L$41,'Input Assumptions'!$C$43:$L$43)/12)</f>
        <v/>
      </c>
      <c r="DA24" s="132" t="str">
        <f>IF(DA4=0,"",-'Input Assumptions'!$E$59*_xlfn.XLOOKUP('Monthly Cashflow'!DA4,'Input Assumptions'!$C$41:$L$41,'Input Assumptions'!$C$43:$L$43)/12)</f>
        <v/>
      </c>
      <c r="DB24" s="132" t="str">
        <f>IF(DB4=0,"",-'Input Assumptions'!$E$59*_xlfn.XLOOKUP('Monthly Cashflow'!DB4,'Input Assumptions'!$C$41:$L$41,'Input Assumptions'!$C$43:$L$43)/12)</f>
        <v/>
      </c>
      <c r="DC24" s="132" t="str">
        <f>IF(DC4=0,"",-'Input Assumptions'!$E$59*_xlfn.XLOOKUP('Monthly Cashflow'!DC4,'Input Assumptions'!$C$41:$L$41,'Input Assumptions'!$C$43:$L$43)/12)</f>
        <v/>
      </c>
      <c r="DD24" s="132" t="str">
        <f>IF(DD4=0,"",-'Input Assumptions'!$E$59*_xlfn.XLOOKUP('Monthly Cashflow'!DD4,'Input Assumptions'!$C$41:$L$41,'Input Assumptions'!$C$43:$L$43)/12)</f>
        <v/>
      </c>
      <c r="DE24" s="132" t="str">
        <f>IF(DE4=0,"",-'Input Assumptions'!$E$59*_xlfn.XLOOKUP('Monthly Cashflow'!DE4,'Input Assumptions'!$C$41:$L$41,'Input Assumptions'!$C$43:$L$43)/12)</f>
        <v/>
      </c>
      <c r="DF24" s="132" t="str">
        <f>IF(DF4=0,"",-'Input Assumptions'!$E$59*_xlfn.XLOOKUP('Monthly Cashflow'!DF4,'Input Assumptions'!$C$41:$L$41,'Input Assumptions'!$C$43:$L$43)/12)</f>
        <v/>
      </c>
      <c r="DG24" s="132" t="str">
        <f>IF(DG4=0,"",-'Input Assumptions'!$E$59*_xlfn.XLOOKUP('Monthly Cashflow'!DG4,'Input Assumptions'!$C$41:$L$41,'Input Assumptions'!$C$43:$L$43)/12)</f>
        <v/>
      </c>
      <c r="DH24" s="132" t="str">
        <f>IF(DH4=0,"",-'Input Assumptions'!$E$59*_xlfn.XLOOKUP('Monthly Cashflow'!DH4,'Input Assumptions'!$C$41:$L$41,'Input Assumptions'!$C$43:$L$43)/12)</f>
        <v/>
      </c>
      <c r="DI24" s="132" t="str">
        <f>IF(DI4=0,"",-'Input Assumptions'!$E$59*_xlfn.XLOOKUP('Monthly Cashflow'!DI4,'Input Assumptions'!$C$41:$L$41,'Input Assumptions'!$C$43:$L$43)/12)</f>
        <v/>
      </c>
      <c r="DJ24" s="132" t="str">
        <f>IF(DJ4=0,"",-'Input Assumptions'!$E$59*_xlfn.XLOOKUP('Monthly Cashflow'!DJ4,'Input Assumptions'!$C$41:$L$41,'Input Assumptions'!$C$43:$L$43)/12)</f>
        <v/>
      </c>
      <c r="DK24" s="132" t="str">
        <f>IF(DK4=0,"",-'Input Assumptions'!$E$59*_xlfn.XLOOKUP('Monthly Cashflow'!DK4,'Input Assumptions'!$C$41:$L$41,'Input Assumptions'!$C$43:$L$43)/12)</f>
        <v/>
      </c>
      <c r="DL24" s="132" t="str">
        <f>IF(DL4=0,"",-'Input Assumptions'!$E$59*_xlfn.XLOOKUP('Monthly Cashflow'!DL4,'Input Assumptions'!$C$41:$L$41,'Input Assumptions'!$C$43:$L$43)/12)</f>
        <v/>
      </c>
      <c r="DM24" s="132" t="str">
        <f>IF(DM4=0,"",-'Input Assumptions'!$E$59*_xlfn.XLOOKUP('Monthly Cashflow'!DM4,'Input Assumptions'!$C$41:$L$41,'Input Assumptions'!$C$43:$L$43)/12)</f>
        <v/>
      </c>
      <c r="DN24" s="132" t="str">
        <f>IF(DN4=0,"",-'Input Assumptions'!$E$59*_xlfn.XLOOKUP('Monthly Cashflow'!DN4,'Input Assumptions'!$C$41:$L$41,'Input Assumptions'!$C$43:$L$43)/12)</f>
        <v/>
      </c>
      <c r="DO24" s="132" t="str">
        <f>IF(DO4=0,"",-'Input Assumptions'!$E$59*_xlfn.XLOOKUP('Monthly Cashflow'!DO4,'Input Assumptions'!$C$41:$L$41,'Input Assumptions'!$C$43:$L$43)/12)</f>
        <v/>
      </c>
      <c r="DP24" s="132" t="str">
        <f>IF(DP4=0,"",-'Input Assumptions'!$E$59*_xlfn.XLOOKUP('Monthly Cashflow'!DP4,'Input Assumptions'!$C$41:$L$41,'Input Assumptions'!$C$43:$L$43)/12)</f>
        <v/>
      </c>
      <c r="DQ24" s="132" t="str">
        <f>IF(DQ4=0,"",-'Input Assumptions'!$E$59*_xlfn.XLOOKUP('Monthly Cashflow'!DQ4,'Input Assumptions'!$C$41:$L$41,'Input Assumptions'!$C$43:$L$43)/12)</f>
        <v/>
      </c>
      <c r="DR24" s="132" t="str">
        <f>IF(DR4=0,"",-'Input Assumptions'!$E$59*_xlfn.XLOOKUP('Monthly Cashflow'!DR4,'Input Assumptions'!$C$41:$L$41,'Input Assumptions'!$C$43:$L$43)/12)</f>
        <v/>
      </c>
      <c r="DS24" s="132" t="str">
        <f>IF(DS4=0,"",-'Input Assumptions'!$E$59*_xlfn.XLOOKUP('Monthly Cashflow'!DS4,'Input Assumptions'!$C$41:$L$41,'Input Assumptions'!$C$43:$L$43)/12)</f>
        <v/>
      </c>
    </row>
    <row r="25" spans="1:123" x14ac:dyDescent="0.3">
      <c r="B25" s="111" t="s">
        <v>110</v>
      </c>
      <c r="D25" s="132">
        <f>IF(D4=0,"",-'Input Assumptions'!$C$55*_xlfn.XLOOKUP('Monthly Cashflow'!D4,'Input Assumptions'!$C$41:$L$41,'Input Assumptions'!$C$43:$L$43)*D8/12)</f>
        <v>-250</v>
      </c>
      <c r="E25" s="132">
        <f>IF(E4=0,"",-'Input Assumptions'!$C$55*_xlfn.XLOOKUP('Monthly Cashflow'!E4,'Input Assumptions'!$C$41:$L$41,'Input Assumptions'!$C$43:$L$43)*E8/12)</f>
        <v>-500</v>
      </c>
      <c r="F25" s="132">
        <f>IF(F4=0,"",-'Input Assumptions'!$C$55*_xlfn.XLOOKUP('Monthly Cashflow'!F4,'Input Assumptions'!$C$41:$L$41,'Input Assumptions'!$C$43:$L$43)*F8/12)</f>
        <v>-750</v>
      </c>
      <c r="G25" s="132">
        <f>IF(G4=0,"",-'Input Assumptions'!$C$55*_xlfn.XLOOKUP('Monthly Cashflow'!G4,'Input Assumptions'!$C$41:$L$41,'Input Assumptions'!$C$43:$L$43)*G8/12)</f>
        <v>-1000</v>
      </c>
      <c r="H25" s="132">
        <f>IF(H4=0,"",-'Input Assumptions'!$C$55*_xlfn.XLOOKUP('Monthly Cashflow'!H4,'Input Assumptions'!$C$41:$L$41,'Input Assumptions'!$C$43:$L$43)*H8/12)</f>
        <v>-1250</v>
      </c>
      <c r="I25" s="132">
        <f>IF(I4=0,"",-'Input Assumptions'!$C$55*_xlfn.XLOOKUP('Monthly Cashflow'!I4,'Input Assumptions'!$C$41:$L$41,'Input Assumptions'!$C$43:$L$43)*I8/12)</f>
        <v>-1500</v>
      </c>
      <c r="J25" s="132">
        <f>IF(J4=0,"",-'Input Assumptions'!$C$55*_xlfn.XLOOKUP('Monthly Cashflow'!J4,'Input Assumptions'!$C$41:$L$41,'Input Assumptions'!$C$43:$L$43)*J8/12)</f>
        <v>-1500</v>
      </c>
      <c r="K25" s="132">
        <f>IF(K4=0,"",-'Input Assumptions'!$C$55*_xlfn.XLOOKUP('Monthly Cashflow'!K4,'Input Assumptions'!$C$41:$L$41,'Input Assumptions'!$C$43:$L$43)*K8/12)</f>
        <v>-1500</v>
      </c>
      <c r="L25" s="132">
        <f>IF(L4=0,"",-'Input Assumptions'!$C$55*_xlfn.XLOOKUP('Monthly Cashflow'!L4,'Input Assumptions'!$C$41:$L$41,'Input Assumptions'!$C$43:$L$43)*L8/12)</f>
        <v>-1500</v>
      </c>
      <c r="M25" s="132">
        <f>IF(M4=0,"",-'Input Assumptions'!$C$55*_xlfn.XLOOKUP('Monthly Cashflow'!M4,'Input Assumptions'!$C$41:$L$41,'Input Assumptions'!$C$43:$L$43)*M8/12)</f>
        <v>-1500</v>
      </c>
      <c r="N25" s="132">
        <f>IF(N4=0,"",-'Input Assumptions'!$C$55*_xlfn.XLOOKUP('Monthly Cashflow'!N4,'Input Assumptions'!$C$41:$L$41,'Input Assumptions'!$C$43:$L$43)*N8/12)</f>
        <v>-1500</v>
      </c>
      <c r="O25" s="132">
        <f>IF(O4=0,"",-'Input Assumptions'!$C$55*_xlfn.XLOOKUP('Monthly Cashflow'!O4,'Input Assumptions'!$C$41:$L$41,'Input Assumptions'!$C$43:$L$43)*O8/12)</f>
        <v>-1500</v>
      </c>
      <c r="P25" s="132">
        <f>IF(P4=0,"",-'Input Assumptions'!$C$55*_xlfn.XLOOKUP('Monthly Cashflow'!P4,'Input Assumptions'!$C$41:$L$41,'Input Assumptions'!$C$43:$L$43)*P8/12)</f>
        <v>-1528.125</v>
      </c>
      <c r="Q25" s="132">
        <f>IF(Q4=0,"",-'Input Assumptions'!$C$55*_xlfn.XLOOKUP('Monthly Cashflow'!Q4,'Input Assumptions'!$C$41:$L$41,'Input Assumptions'!$C$43:$L$43)*Q8/12)</f>
        <v>-1528.125</v>
      </c>
      <c r="R25" s="132">
        <f>IF(R4=0,"",-'Input Assumptions'!$C$55*_xlfn.XLOOKUP('Monthly Cashflow'!R4,'Input Assumptions'!$C$41:$L$41,'Input Assumptions'!$C$43:$L$43)*R8/12)</f>
        <v>-1528.125</v>
      </c>
      <c r="S25" s="132">
        <f>IF(S4=0,"",-'Input Assumptions'!$C$55*_xlfn.XLOOKUP('Monthly Cashflow'!S4,'Input Assumptions'!$C$41:$L$41,'Input Assumptions'!$C$43:$L$43)*S8/12)</f>
        <v>-1528.125</v>
      </c>
      <c r="T25" s="132">
        <f>IF(T4=0,"",-'Input Assumptions'!$C$55*_xlfn.XLOOKUP('Monthly Cashflow'!T4,'Input Assumptions'!$C$41:$L$41,'Input Assumptions'!$C$43:$L$43)*T8/12)</f>
        <v>-1528.125</v>
      </c>
      <c r="U25" s="132">
        <f>IF(U4=0,"",-'Input Assumptions'!$C$55*_xlfn.XLOOKUP('Monthly Cashflow'!U4,'Input Assumptions'!$C$41:$L$41,'Input Assumptions'!$C$43:$L$43)*U8/12)</f>
        <v>-1528.125</v>
      </c>
      <c r="V25" s="132">
        <f>IF(V4=0,"",-'Input Assumptions'!$C$55*_xlfn.XLOOKUP('Monthly Cashflow'!V4,'Input Assumptions'!$C$41:$L$41,'Input Assumptions'!$C$43:$L$43)*V8/12)</f>
        <v>-1528.125</v>
      </c>
      <c r="W25" s="132">
        <f>IF(W4=0,"",-'Input Assumptions'!$C$55*_xlfn.XLOOKUP('Monthly Cashflow'!W4,'Input Assumptions'!$C$41:$L$41,'Input Assumptions'!$C$43:$L$43)*W8/12)</f>
        <v>-1528.125</v>
      </c>
      <c r="X25" s="132">
        <f>IF(X4=0,"",-'Input Assumptions'!$C$55*_xlfn.XLOOKUP('Monthly Cashflow'!X4,'Input Assumptions'!$C$41:$L$41,'Input Assumptions'!$C$43:$L$43)*X8/12)</f>
        <v>-1528.125</v>
      </c>
      <c r="Y25" s="132">
        <f>IF(Y4=0,"",-'Input Assumptions'!$C$55*_xlfn.XLOOKUP('Monthly Cashflow'!Y4,'Input Assumptions'!$C$41:$L$41,'Input Assumptions'!$C$43:$L$43)*Y8/12)</f>
        <v>-1528.125</v>
      </c>
      <c r="Z25" s="132">
        <f>IF(Z4=0,"",-'Input Assumptions'!$C$55*_xlfn.XLOOKUP('Monthly Cashflow'!Z4,'Input Assumptions'!$C$41:$L$41,'Input Assumptions'!$C$43:$L$43)*Z8/12)</f>
        <v>-1528.125</v>
      </c>
      <c r="AA25" s="132">
        <f>IF(AA4=0,"",-'Input Assumptions'!$C$55*_xlfn.XLOOKUP('Monthly Cashflow'!AA4,'Input Assumptions'!$C$41:$L$41,'Input Assumptions'!$C$43:$L$43)*AA8/12)</f>
        <v>-1528.125</v>
      </c>
      <c r="AB25" s="132">
        <f>IF(AB4=0,"",-'Input Assumptions'!$C$55*_xlfn.XLOOKUP('Monthly Cashflow'!AB4,'Input Assumptions'!$C$41:$L$41,'Input Assumptions'!$C$43:$L$43)*AB8/12)</f>
        <v>-1556.77734375</v>
      </c>
      <c r="AC25" s="132">
        <f>IF(AC4=0,"",-'Input Assumptions'!$C$55*_xlfn.XLOOKUP('Monthly Cashflow'!AC4,'Input Assumptions'!$C$41:$L$41,'Input Assumptions'!$C$43:$L$43)*AC8/12)</f>
        <v>-1556.77734375</v>
      </c>
      <c r="AD25" s="132">
        <f>IF(AD4=0,"",-'Input Assumptions'!$C$55*_xlfn.XLOOKUP('Monthly Cashflow'!AD4,'Input Assumptions'!$C$41:$L$41,'Input Assumptions'!$C$43:$L$43)*AD8/12)</f>
        <v>-1556.77734375</v>
      </c>
      <c r="AE25" s="132">
        <f>IF(AE4=0,"",-'Input Assumptions'!$C$55*_xlfn.XLOOKUP('Monthly Cashflow'!AE4,'Input Assumptions'!$C$41:$L$41,'Input Assumptions'!$C$43:$L$43)*AE8/12)</f>
        <v>-1556.77734375</v>
      </c>
      <c r="AF25" s="132">
        <f>IF(AF4=0,"",-'Input Assumptions'!$C$55*_xlfn.XLOOKUP('Monthly Cashflow'!AF4,'Input Assumptions'!$C$41:$L$41,'Input Assumptions'!$C$43:$L$43)*AF8/12)</f>
        <v>-1556.77734375</v>
      </c>
      <c r="AG25" s="132">
        <f>IF(AG4=0,"",-'Input Assumptions'!$C$55*_xlfn.XLOOKUP('Monthly Cashflow'!AG4,'Input Assumptions'!$C$41:$L$41,'Input Assumptions'!$C$43:$L$43)*AG8/12)</f>
        <v>-1556.77734375</v>
      </c>
      <c r="AH25" s="132">
        <f>IF(AH4=0,"",-'Input Assumptions'!$C$55*_xlfn.XLOOKUP('Monthly Cashflow'!AH4,'Input Assumptions'!$C$41:$L$41,'Input Assumptions'!$C$43:$L$43)*AH8/12)</f>
        <v>-1556.77734375</v>
      </c>
      <c r="AI25" s="132">
        <f>IF(AI4=0,"",-'Input Assumptions'!$C$55*_xlfn.XLOOKUP('Monthly Cashflow'!AI4,'Input Assumptions'!$C$41:$L$41,'Input Assumptions'!$C$43:$L$43)*AI8/12)</f>
        <v>-1556.77734375</v>
      </c>
      <c r="AJ25" s="132">
        <f>IF(AJ4=0,"",-'Input Assumptions'!$C$55*_xlfn.XLOOKUP('Monthly Cashflow'!AJ4,'Input Assumptions'!$C$41:$L$41,'Input Assumptions'!$C$43:$L$43)*AJ8/12)</f>
        <v>-1556.77734375</v>
      </c>
      <c r="AK25" s="132">
        <f>IF(AK4=0,"",-'Input Assumptions'!$C$55*_xlfn.XLOOKUP('Monthly Cashflow'!AK4,'Input Assumptions'!$C$41:$L$41,'Input Assumptions'!$C$43:$L$43)*AK8/12)</f>
        <v>-1556.77734375</v>
      </c>
      <c r="AL25" s="132">
        <f>IF(AL4=0,"",-'Input Assumptions'!$C$55*_xlfn.XLOOKUP('Monthly Cashflow'!AL4,'Input Assumptions'!$C$41:$L$41,'Input Assumptions'!$C$43:$L$43)*AL8/12)</f>
        <v>-1556.77734375</v>
      </c>
      <c r="AM25" s="132">
        <f>IF(AM4=0,"",-'Input Assumptions'!$C$55*_xlfn.XLOOKUP('Monthly Cashflow'!AM4,'Input Assumptions'!$C$41:$L$41,'Input Assumptions'!$C$43:$L$43)*AM8/12)</f>
        <v>-1556.77734375</v>
      </c>
      <c r="AN25" s="132">
        <f>IF(AN4=0,"",-'Input Assumptions'!$C$55*_xlfn.XLOOKUP('Monthly Cashflow'!AN4,'Input Assumptions'!$C$41:$L$41,'Input Assumptions'!$C$43:$L$43)*AN8/12)</f>
        <v>-1585.9669189453125</v>
      </c>
      <c r="AO25" s="132">
        <f>IF(AO4=0,"",-'Input Assumptions'!$C$55*_xlfn.XLOOKUP('Monthly Cashflow'!AO4,'Input Assumptions'!$C$41:$L$41,'Input Assumptions'!$C$43:$L$43)*AO8/12)</f>
        <v>-1585.9669189453125</v>
      </c>
      <c r="AP25" s="132">
        <f>IF(AP4=0,"",-'Input Assumptions'!$C$55*_xlfn.XLOOKUP('Monthly Cashflow'!AP4,'Input Assumptions'!$C$41:$L$41,'Input Assumptions'!$C$43:$L$43)*AP8/12)</f>
        <v>-1585.9669189453125</v>
      </c>
      <c r="AQ25" s="132">
        <f>IF(AQ4=0,"",-'Input Assumptions'!$C$55*_xlfn.XLOOKUP('Monthly Cashflow'!AQ4,'Input Assumptions'!$C$41:$L$41,'Input Assumptions'!$C$43:$L$43)*AQ8/12)</f>
        <v>-1585.9669189453125</v>
      </c>
      <c r="AR25" s="132">
        <f>IF(AR4=0,"",-'Input Assumptions'!$C$55*_xlfn.XLOOKUP('Monthly Cashflow'!AR4,'Input Assumptions'!$C$41:$L$41,'Input Assumptions'!$C$43:$L$43)*AR8/12)</f>
        <v>-1585.9669189453125</v>
      </c>
      <c r="AS25" s="132">
        <f>IF(AS4=0,"",-'Input Assumptions'!$C$55*_xlfn.XLOOKUP('Monthly Cashflow'!AS4,'Input Assumptions'!$C$41:$L$41,'Input Assumptions'!$C$43:$L$43)*AS8/12)</f>
        <v>-1585.9669189453125</v>
      </c>
      <c r="AT25" s="132">
        <f>IF(AT4=0,"",-'Input Assumptions'!$C$55*_xlfn.XLOOKUP('Monthly Cashflow'!AT4,'Input Assumptions'!$C$41:$L$41,'Input Assumptions'!$C$43:$L$43)*AT8/12)</f>
        <v>-1585.9669189453125</v>
      </c>
      <c r="AU25" s="132">
        <f>IF(AU4=0,"",-'Input Assumptions'!$C$55*_xlfn.XLOOKUP('Monthly Cashflow'!AU4,'Input Assumptions'!$C$41:$L$41,'Input Assumptions'!$C$43:$L$43)*AU8/12)</f>
        <v>-1585.9669189453125</v>
      </c>
      <c r="AV25" s="132">
        <f>IF(AV4=0,"",-'Input Assumptions'!$C$55*_xlfn.XLOOKUP('Monthly Cashflow'!AV4,'Input Assumptions'!$C$41:$L$41,'Input Assumptions'!$C$43:$L$43)*AV8/12)</f>
        <v>-1585.9669189453125</v>
      </c>
      <c r="AW25" s="132">
        <f>IF(AW4=0,"",-'Input Assumptions'!$C$55*_xlfn.XLOOKUP('Monthly Cashflow'!AW4,'Input Assumptions'!$C$41:$L$41,'Input Assumptions'!$C$43:$L$43)*AW8/12)</f>
        <v>-1585.9669189453125</v>
      </c>
      <c r="AX25" s="132">
        <f>IF(AX4=0,"",-'Input Assumptions'!$C$55*_xlfn.XLOOKUP('Monthly Cashflow'!AX4,'Input Assumptions'!$C$41:$L$41,'Input Assumptions'!$C$43:$L$43)*AX8/12)</f>
        <v>-1585.9669189453125</v>
      </c>
      <c r="AY25" s="132">
        <f>IF(AY4=0,"",-'Input Assumptions'!$C$55*_xlfn.XLOOKUP('Monthly Cashflow'!AY4,'Input Assumptions'!$C$41:$L$41,'Input Assumptions'!$C$43:$L$43)*AY8/12)</f>
        <v>-1585.9669189453125</v>
      </c>
      <c r="AZ25" s="132">
        <f>IF(AZ4=0,"",-'Input Assumptions'!$C$55*_xlfn.XLOOKUP('Monthly Cashflow'!AZ4,'Input Assumptions'!$C$41:$L$41,'Input Assumptions'!$C$43:$L$43)*AZ8/12)</f>
        <v>-1615.7037986755374</v>
      </c>
      <c r="BA25" s="132">
        <f>IF(BA4=0,"",-'Input Assumptions'!$C$55*_xlfn.XLOOKUP('Monthly Cashflow'!BA4,'Input Assumptions'!$C$41:$L$41,'Input Assumptions'!$C$43:$L$43)*BA8/12)</f>
        <v>-1615.7037986755374</v>
      </c>
      <c r="BB25" s="132">
        <f>IF(BB4=0,"",-'Input Assumptions'!$C$55*_xlfn.XLOOKUP('Monthly Cashflow'!BB4,'Input Assumptions'!$C$41:$L$41,'Input Assumptions'!$C$43:$L$43)*BB8/12)</f>
        <v>-1615.7037986755374</v>
      </c>
      <c r="BC25" s="132">
        <f>IF(BC4=0,"",-'Input Assumptions'!$C$55*_xlfn.XLOOKUP('Monthly Cashflow'!BC4,'Input Assumptions'!$C$41:$L$41,'Input Assumptions'!$C$43:$L$43)*BC8/12)</f>
        <v>-1615.7037986755374</v>
      </c>
      <c r="BD25" s="132">
        <f>IF(BD4=0,"",-'Input Assumptions'!$C$55*_xlfn.XLOOKUP('Monthly Cashflow'!BD4,'Input Assumptions'!$C$41:$L$41,'Input Assumptions'!$C$43:$L$43)*BD8/12)</f>
        <v>-1615.7037986755374</v>
      </c>
      <c r="BE25" s="132">
        <f>IF(BE4=0,"",-'Input Assumptions'!$C$55*_xlfn.XLOOKUP('Monthly Cashflow'!BE4,'Input Assumptions'!$C$41:$L$41,'Input Assumptions'!$C$43:$L$43)*BE8/12)</f>
        <v>-1615.7037986755374</v>
      </c>
      <c r="BF25" s="132">
        <f>IF(BF4=0,"",-'Input Assumptions'!$C$55*_xlfn.XLOOKUP('Monthly Cashflow'!BF4,'Input Assumptions'!$C$41:$L$41,'Input Assumptions'!$C$43:$L$43)*BF8/12)</f>
        <v>-1615.7037986755374</v>
      </c>
      <c r="BG25" s="132">
        <f>IF(BG4=0,"",-'Input Assumptions'!$C$55*_xlfn.XLOOKUP('Monthly Cashflow'!BG4,'Input Assumptions'!$C$41:$L$41,'Input Assumptions'!$C$43:$L$43)*BG8/12)</f>
        <v>-1615.7037986755374</v>
      </c>
      <c r="BH25" s="132">
        <f>IF(BH4=0,"",-'Input Assumptions'!$C$55*_xlfn.XLOOKUP('Monthly Cashflow'!BH4,'Input Assumptions'!$C$41:$L$41,'Input Assumptions'!$C$43:$L$43)*BH8/12)</f>
        <v>-1615.7037986755374</v>
      </c>
      <c r="BI25" s="132">
        <f>IF(BI4=0,"",-'Input Assumptions'!$C$55*_xlfn.XLOOKUP('Monthly Cashflow'!BI4,'Input Assumptions'!$C$41:$L$41,'Input Assumptions'!$C$43:$L$43)*BI8/12)</f>
        <v>-1615.7037986755374</v>
      </c>
      <c r="BJ25" s="132">
        <f>IF(BJ4=0,"",-'Input Assumptions'!$C$55*_xlfn.XLOOKUP('Monthly Cashflow'!BJ4,'Input Assumptions'!$C$41:$L$41,'Input Assumptions'!$C$43:$L$43)*BJ8/12)</f>
        <v>-1615.7037986755374</v>
      </c>
      <c r="BK25" s="132">
        <f>IF(BK4=0,"",-'Input Assumptions'!$C$55*_xlfn.XLOOKUP('Monthly Cashflow'!BK4,'Input Assumptions'!$C$41:$L$41,'Input Assumptions'!$C$43:$L$43)*BK8/12)</f>
        <v>-1615.7037986755374</v>
      </c>
      <c r="BL25" s="132" t="str">
        <f>IF(BL4=0,"",-'Input Assumptions'!$C$55*_xlfn.XLOOKUP('Monthly Cashflow'!BL4,'Input Assumptions'!$C$41:$L$41,'Input Assumptions'!$C$43:$L$43)*BL8/12)</f>
        <v/>
      </c>
      <c r="BM25" s="132" t="str">
        <f>IF(BM4=0,"",-'Input Assumptions'!$C$55*_xlfn.XLOOKUP('Monthly Cashflow'!BM4,'Input Assumptions'!$C$41:$L$41,'Input Assumptions'!$C$43:$L$43)*BM8/12)</f>
        <v/>
      </c>
      <c r="BN25" s="132" t="str">
        <f>IF(BN4=0,"",-'Input Assumptions'!$C$55*_xlfn.XLOOKUP('Monthly Cashflow'!BN4,'Input Assumptions'!$C$41:$L$41,'Input Assumptions'!$C$43:$L$43)*BN8/12)</f>
        <v/>
      </c>
      <c r="BO25" s="132" t="str">
        <f>IF(BO4=0,"",-'Input Assumptions'!$C$55*_xlfn.XLOOKUP('Monthly Cashflow'!BO4,'Input Assumptions'!$C$41:$L$41,'Input Assumptions'!$C$43:$L$43)*BO8/12)</f>
        <v/>
      </c>
      <c r="BP25" s="132" t="str">
        <f>IF(BP4=0,"",-'Input Assumptions'!$C$55*_xlfn.XLOOKUP('Monthly Cashflow'!BP4,'Input Assumptions'!$C$41:$L$41,'Input Assumptions'!$C$43:$L$43)*BP8/12)</f>
        <v/>
      </c>
      <c r="BQ25" s="132" t="str">
        <f>IF(BQ4=0,"",-'Input Assumptions'!$C$55*_xlfn.XLOOKUP('Monthly Cashflow'!BQ4,'Input Assumptions'!$C$41:$L$41,'Input Assumptions'!$C$43:$L$43)*BQ8/12)</f>
        <v/>
      </c>
      <c r="BR25" s="132" t="str">
        <f>IF(BR4=0,"",-'Input Assumptions'!$C$55*_xlfn.XLOOKUP('Monthly Cashflow'!BR4,'Input Assumptions'!$C$41:$L$41,'Input Assumptions'!$C$43:$L$43)*BR8/12)</f>
        <v/>
      </c>
      <c r="BS25" s="132" t="str">
        <f>IF(BS4=0,"",-'Input Assumptions'!$C$55*_xlfn.XLOOKUP('Monthly Cashflow'!BS4,'Input Assumptions'!$C$41:$L$41,'Input Assumptions'!$C$43:$L$43)*BS8/12)</f>
        <v/>
      </c>
      <c r="BT25" s="132" t="str">
        <f>IF(BT4=0,"",-'Input Assumptions'!$C$55*_xlfn.XLOOKUP('Monthly Cashflow'!BT4,'Input Assumptions'!$C$41:$L$41,'Input Assumptions'!$C$43:$L$43)*BT8/12)</f>
        <v/>
      </c>
      <c r="BU25" s="132" t="str">
        <f>IF(BU4=0,"",-'Input Assumptions'!$C$55*_xlfn.XLOOKUP('Monthly Cashflow'!BU4,'Input Assumptions'!$C$41:$L$41,'Input Assumptions'!$C$43:$L$43)*BU8/12)</f>
        <v/>
      </c>
      <c r="BV25" s="132" t="str">
        <f>IF(BV4=0,"",-'Input Assumptions'!$C$55*_xlfn.XLOOKUP('Monthly Cashflow'!BV4,'Input Assumptions'!$C$41:$L$41,'Input Assumptions'!$C$43:$L$43)*BV8/12)</f>
        <v/>
      </c>
      <c r="BW25" s="132" t="str">
        <f>IF(BW4=0,"",-'Input Assumptions'!$C$55*_xlfn.XLOOKUP('Monthly Cashflow'!BW4,'Input Assumptions'!$C$41:$L$41,'Input Assumptions'!$C$43:$L$43)*BW8/12)</f>
        <v/>
      </c>
      <c r="BX25" s="132" t="str">
        <f>IF(BX4=0,"",-'Input Assumptions'!$C$55*_xlfn.XLOOKUP('Monthly Cashflow'!BX4,'Input Assumptions'!$C$41:$L$41,'Input Assumptions'!$C$43:$L$43)*BX8/12)</f>
        <v/>
      </c>
      <c r="BY25" s="132" t="str">
        <f>IF(BY4=0,"",-'Input Assumptions'!$C$55*_xlfn.XLOOKUP('Monthly Cashflow'!BY4,'Input Assumptions'!$C$41:$L$41,'Input Assumptions'!$C$43:$L$43)*BY8/12)</f>
        <v/>
      </c>
      <c r="BZ25" s="132" t="str">
        <f>IF(BZ4=0,"",-'Input Assumptions'!$C$55*_xlfn.XLOOKUP('Monthly Cashflow'!BZ4,'Input Assumptions'!$C$41:$L$41,'Input Assumptions'!$C$43:$L$43)*BZ8/12)</f>
        <v/>
      </c>
      <c r="CA25" s="132" t="str">
        <f>IF(CA4=0,"",-'Input Assumptions'!$C$55*_xlfn.XLOOKUP('Monthly Cashflow'!CA4,'Input Assumptions'!$C$41:$L$41,'Input Assumptions'!$C$43:$L$43)*CA8/12)</f>
        <v/>
      </c>
      <c r="CB25" s="132" t="str">
        <f>IF(CB4=0,"",-'Input Assumptions'!$C$55*_xlfn.XLOOKUP('Monthly Cashflow'!CB4,'Input Assumptions'!$C$41:$L$41,'Input Assumptions'!$C$43:$L$43)*CB8/12)</f>
        <v/>
      </c>
      <c r="CC25" s="132" t="str">
        <f>IF(CC4=0,"",-'Input Assumptions'!$C$55*_xlfn.XLOOKUP('Monthly Cashflow'!CC4,'Input Assumptions'!$C$41:$L$41,'Input Assumptions'!$C$43:$L$43)*CC8/12)</f>
        <v/>
      </c>
      <c r="CD25" s="132" t="str">
        <f>IF(CD4=0,"",-'Input Assumptions'!$C$55*_xlfn.XLOOKUP('Monthly Cashflow'!CD4,'Input Assumptions'!$C$41:$L$41,'Input Assumptions'!$C$43:$L$43)*CD8/12)</f>
        <v/>
      </c>
      <c r="CE25" s="132" t="str">
        <f>IF(CE4=0,"",-'Input Assumptions'!$C$55*_xlfn.XLOOKUP('Monthly Cashflow'!CE4,'Input Assumptions'!$C$41:$L$41,'Input Assumptions'!$C$43:$L$43)*CE8/12)</f>
        <v/>
      </c>
      <c r="CF25" s="132" t="str">
        <f>IF(CF4=0,"",-'Input Assumptions'!$C$55*_xlfn.XLOOKUP('Monthly Cashflow'!CF4,'Input Assumptions'!$C$41:$L$41,'Input Assumptions'!$C$43:$L$43)*CF8/12)</f>
        <v/>
      </c>
      <c r="CG25" s="132" t="str">
        <f>IF(CG4=0,"",-'Input Assumptions'!$C$55*_xlfn.XLOOKUP('Monthly Cashflow'!CG4,'Input Assumptions'!$C$41:$L$41,'Input Assumptions'!$C$43:$L$43)*CG8/12)</f>
        <v/>
      </c>
      <c r="CH25" s="132" t="str">
        <f>IF(CH4=0,"",-'Input Assumptions'!$C$55*_xlfn.XLOOKUP('Monthly Cashflow'!CH4,'Input Assumptions'!$C$41:$L$41,'Input Assumptions'!$C$43:$L$43)*CH8/12)</f>
        <v/>
      </c>
      <c r="CI25" s="132" t="str">
        <f>IF(CI4=0,"",-'Input Assumptions'!$C$55*_xlfn.XLOOKUP('Monthly Cashflow'!CI4,'Input Assumptions'!$C$41:$L$41,'Input Assumptions'!$C$43:$L$43)*CI8/12)</f>
        <v/>
      </c>
      <c r="CJ25" s="132" t="str">
        <f>IF(CJ4=0,"",-'Input Assumptions'!$C$55*_xlfn.XLOOKUP('Monthly Cashflow'!CJ4,'Input Assumptions'!$C$41:$L$41,'Input Assumptions'!$C$43:$L$43)*CJ8/12)</f>
        <v/>
      </c>
      <c r="CK25" s="132" t="str">
        <f>IF(CK4=0,"",-'Input Assumptions'!$C$55*_xlfn.XLOOKUP('Monthly Cashflow'!CK4,'Input Assumptions'!$C$41:$L$41,'Input Assumptions'!$C$43:$L$43)*CK8/12)</f>
        <v/>
      </c>
      <c r="CL25" s="132" t="str">
        <f>IF(CL4=0,"",-'Input Assumptions'!$C$55*_xlfn.XLOOKUP('Monthly Cashflow'!CL4,'Input Assumptions'!$C$41:$L$41,'Input Assumptions'!$C$43:$L$43)*CL8/12)</f>
        <v/>
      </c>
      <c r="CM25" s="132" t="str">
        <f>IF(CM4=0,"",-'Input Assumptions'!$C$55*_xlfn.XLOOKUP('Monthly Cashflow'!CM4,'Input Assumptions'!$C$41:$L$41,'Input Assumptions'!$C$43:$L$43)*CM8/12)</f>
        <v/>
      </c>
      <c r="CN25" s="132" t="str">
        <f>IF(CN4=0,"",-'Input Assumptions'!$C$55*_xlfn.XLOOKUP('Monthly Cashflow'!CN4,'Input Assumptions'!$C$41:$L$41,'Input Assumptions'!$C$43:$L$43)*CN8/12)</f>
        <v/>
      </c>
      <c r="CO25" s="132" t="str">
        <f>IF(CO4=0,"",-'Input Assumptions'!$C$55*_xlfn.XLOOKUP('Monthly Cashflow'!CO4,'Input Assumptions'!$C$41:$L$41,'Input Assumptions'!$C$43:$L$43)*CO8/12)</f>
        <v/>
      </c>
      <c r="CP25" s="132" t="str">
        <f>IF(CP4=0,"",-'Input Assumptions'!$C$55*_xlfn.XLOOKUP('Monthly Cashflow'!CP4,'Input Assumptions'!$C$41:$L$41,'Input Assumptions'!$C$43:$L$43)*CP8/12)</f>
        <v/>
      </c>
      <c r="CQ25" s="132" t="str">
        <f>IF(CQ4=0,"",-'Input Assumptions'!$C$55*_xlfn.XLOOKUP('Monthly Cashflow'!CQ4,'Input Assumptions'!$C$41:$L$41,'Input Assumptions'!$C$43:$L$43)*CQ8/12)</f>
        <v/>
      </c>
      <c r="CR25" s="132" t="str">
        <f>IF(CR4=0,"",-'Input Assumptions'!$C$55*_xlfn.XLOOKUP('Monthly Cashflow'!CR4,'Input Assumptions'!$C$41:$L$41,'Input Assumptions'!$C$43:$L$43)*CR8/12)</f>
        <v/>
      </c>
      <c r="CS25" s="132" t="str">
        <f>IF(CS4=0,"",-'Input Assumptions'!$C$55*_xlfn.XLOOKUP('Monthly Cashflow'!CS4,'Input Assumptions'!$C$41:$L$41,'Input Assumptions'!$C$43:$L$43)*CS8/12)</f>
        <v/>
      </c>
      <c r="CT25" s="132" t="str">
        <f>IF(CT4=0,"",-'Input Assumptions'!$C$55*_xlfn.XLOOKUP('Monthly Cashflow'!CT4,'Input Assumptions'!$C$41:$L$41,'Input Assumptions'!$C$43:$L$43)*CT8/12)</f>
        <v/>
      </c>
      <c r="CU25" s="132" t="str">
        <f>IF(CU4=0,"",-'Input Assumptions'!$C$55*_xlfn.XLOOKUP('Monthly Cashflow'!CU4,'Input Assumptions'!$C$41:$L$41,'Input Assumptions'!$C$43:$L$43)*CU8/12)</f>
        <v/>
      </c>
      <c r="CV25" s="132" t="str">
        <f>IF(CV4=0,"",-'Input Assumptions'!$C$55*_xlfn.XLOOKUP('Monthly Cashflow'!CV4,'Input Assumptions'!$C$41:$L$41,'Input Assumptions'!$C$43:$L$43)*CV8/12)</f>
        <v/>
      </c>
      <c r="CW25" s="132" t="str">
        <f>IF(CW4=0,"",-'Input Assumptions'!$C$55*_xlfn.XLOOKUP('Monthly Cashflow'!CW4,'Input Assumptions'!$C$41:$L$41,'Input Assumptions'!$C$43:$L$43)*CW8/12)</f>
        <v/>
      </c>
      <c r="CX25" s="132" t="str">
        <f>IF(CX4=0,"",-'Input Assumptions'!$C$55*_xlfn.XLOOKUP('Monthly Cashflow'!CX4,'Input Assumptions'!$C$41:$L$41,'Input Assumptions'!$C$43:$L$43)*CX8/12)</f>
        <v/>
      </c>
      <c r="CY25" s="132" t="str">
        <f>IF(CY4=0,"",-'Input Assumptions'!$C$55*_xlfn.XLOOKUP('Monthly Cashflow'!CY4,'Input Assumptions'!$C$41:$L$41,'Input Assumptions'!$C$43:$L$43)*CY8/12)</f>
        <v/>
      </c>
      <c r="CZ25" s="132" t="str">
        <f>IF(CZ4=0,"",-'Input Assumptions'!$C$55*_xlfn.XLOOKUP('Monthly Cashflow'!CZ4,'Input Assumptions'!$C$41:$L$41,'Input Assumptions'!$C$43:$L$43)*CZ8/12)</f>
        <v/>
      </c>
      <c r="DA25" s="132" t="str">
        <f>IF(DA4=0,"",-'Input Assumptions'!$C$55*_xlfn.XLOOKUP('Monthly Cashflow'!DA4,'Input Assumptions'!$C$41:$L$41,'Input Assumptions'!$C$43:$L$43)*DA8/12)</f>
        <v/>
      </c>
      <c r="DB25" s="132" t="str">
        <f>IF(DB4=0,"",-'Input Assumptions'!$C$55*_xlfn.XLOOKUP('Monthly Cashflow'!DB4,'Input Assumptions'!$C$41:$L$41,'Input Assumptions'!$C$43:$L$43)*DB8/12)</f>
        <v/>
      </c>
      <c r="DC25" s="132" t="str">
        <f>IF(DC4=0,"",-'Input Assumptions'!$C$55*_xlfn.XLOOKUP('Monthly Cashflow'!DC4,'Input Assumptions'!$C$41:$L$41,'Input Assumptions'!$C$43:$L$43)*DC8/12)</f>
        <v/>
      </c>
      <c r="DD25" s="132" t="str">
        <f>IF(DD4=0,"",-'Input Assumptions'!$C$55*_xlfn.XLOOKUP('Monthly Cashflow'!DD4,'Input Assumptions'!$C$41:$L$41,'Input Assumptions'!$C$43:$L$43)*DD8/12)</f>
        <v/>
      </c>
      <c r="DE25" s="132" t="str">
        <f>IF(DE4=0,"",-'Input Assumptions'!$C$55*_xlfn.XLOOKUP('Monthly Cashflow'!DE4,'Input Assumptions'!$C$41:$L$41,'Input Assumptions'!$C$43:$L$43)*DE8/12)</f>
        <v/>
      </c>
      <c r="DF25" s="132" t="str">
        <f>IF(DF4=0,"",-'Input Assumptions'!$C$55*_xlfn.XLOOKUP('Monthly Cashflow'!DF4,'Input Assumptions'!$C$41:$L$41,'Input Assumptions'!$C$43:$L$43)*DF8/12)</f>
        <v/>
      </c>
      <c r="DG25" s="132" t="str">
        <f>IF(DG4=0,"",-'Input Assumptions'!$C$55*_xlfn.XLOOKUP('Monthly Cashflow'!DG4,'Input Assumptions'!$C$41:$L$41,'Input Assumptions'!$C$43:$L$43)*DG8/12)</f>
        <v/>
      </c>
      <c r="DH25" s="132" t="str">
        <f>IF(DH4=0,"",-'Input Assumptions'!$C$55*_xlfn.XLOOKUP('Monthly Cashflow'!DH4,'Input Assumptions'!$C$41:$L$41,'Input Assumptions'!$C$43:$L$43)*DH8/12)</f>
        <v/>
      </c>
      <c r="DI25" s="132" t="str">
        <f>IF(DI4=0,"",-'Input Assumptions'!$C$55*_xlfn.XLOOKUP('Monthly Cashflow'!DI4,'Input Assumptions'!$C$41:$L$41,'Input Assumptions'!$C$43:$L$43)*DI8/12)</f>
        <v/>
      </c>
      <c r="DJ25" s="132" t="str">
        <f>IF(DJ4=0,"",-'Input Assumptions'!$C$55*_xlfn.XLOOKUP('Monthly Cashflow'!DJ4,'Input Assumptions'!$C$41:$L$41,'Input Assumptions'!$C$43:$L$43)*DJ8/12)</f>
        <v/>
      </c>
      <c r="DK25" s="132" t="str">
        <f>IF(DK4=0,"",-'Input Assumptions'!$C$55*_xlfn.XLOOKUP('Monthly Cashflow'!DK4,'Input Assumptions'!$C$41:$L$41,'Input Assumptions'!$C$43:$L$43)*DK8/12)</f>
        <v/>
      </c>
      <c r="DL25" s="132" t="str">
        <f>IF(DL4=0,"",-'Input Assumptions'!$C$55*_xlfn.XLOOKUP('Monthly Cashflow'!DL4,'Input Assumptions'!$C$41:$L$41,'Input Assumptions'!$C$43:$L$43)*DL8/12)</f>
        <v/>
      </c>
      <c r="DM25" s="132" t="str">
        <f>IF(DM4=0,"",-'Input Assumptions'!$C$55*_xlfn.XLOOKUP('Monthly Cashflow'!DM4,'Input Assumptions'!$C$41:$L$41,'Input Assumptions'!$C$43:$L$43)*DM8/12)</f>
        <v/>
      </c>
      <c r="DN25" s="132" t="str">
        <f>IF(DN4=0,"",-'Input Assumptions'!$C$55*_xlfn.XLOOKUP('Monthly Cashflow'!DN4,'Input Assumptions'!$C$41:$L$41,'Input Assumptions'!$C$43:$L$43)*DN8/12)</f>
        <v/>
      </c>
      <c r="DO25" s="132" t="str">
        <f>IF(DO4=0,"",-'Input Assumptions'!$C$55*_xlfn.XLOOKUP('Monthly Cashflow'!DO4,'Input Assumptions'!$C$41:$L$41,'Input Assumptions'!$C$43:$L$43)*DO8/12)</f>
        <v/>
      </c>
      <c r="DP25" s="132" t="str">
        <f>IF(DP4=0,"",-'Input Assumptions'!$C$55*_xlfn.XLOOKUP('Monthly Cashflow'!DP4,'Input Assumptions'!$C$41:$L$41,'Input Assumptions'!$C$43:$L$43)*DP8/12)</f>
        <v/>
      </c>
      <c r="DQ25" s="132" t="str">
        <f>IF(DQ4=0,"",-'Input Assumptions'!$C$55*_xlfn.XLOOKUP('Monthly Cashflow'!DQ4,'Input Assumptions'!$C$41:$L$41,'Input Assumptions'!$C$43:$L$43)*DQ8/12)</f>
        <v/>
      </c>
      <c r="DR25" s="132" t="str">
        <f>IF(DR4=0,"",-'Input Assumptions'!$C$55*_xlfn.XLOOKUP('Monthly Cashflow'!DR4,'Input Assumptions'!$C$41:$L$41,'Input Assumptions'!$C$43:$L$43)*DR8/12)</f>
        <v/>
      </c>
      <c r="DS25" s="132" t="str">
        <f>IF(DS4=0,"",-'Input Assumptions'!$C$55*_xlfn.XLOOKUP('Monthly Cashflow'!DS4,'Input Assumptions'!$C$41:$L$41,'Input Assumptions'!$C$43:$L$43)*DS8/12)</f>
        <v/>
      </c>
    </row>
    <row r="26" spans="1:123" x14ac:dyDescent="0.3">
      <c r="B26" s="111" t="s">
        <v>111</v>
      </c>
      <c r="D26" s="132">
        <f>IF(D4=0,"",-'Input Assumptions'!$E$60*_xlfn.XLOOKUP('Monthly Cashflow'!D4,'Input Assumptions'!$C$41:$L$41,'Input Assumptions'!$C$43:$L$43)/12)</f>
        <v>-4166.666666666667</v>
      </c>
      <c r="E26" s="132">
        <f>IF(E4=0,"",-'Input Assumptions'!$E$60*_xlfn.XLOOKUP('Monthly Cashflow'!E4,'Input Assumptions'!$C$41:$L$41,'Input Assumptions'!$C$43:$L$43)/12)</f>
        <v>-4166.666666666667</v>
      </c>
      <c r="F26" s="132">
        <f>IF(F4=0,"",-'Input Assumptions'!$E$60*_xlfn.XLOOKUP('Monthly Cashflow'!F4,'Input Assumptions'!$C$41:$L$41,'Input Assumptions'!$C$43:$L$43)/12)</f>
        <v>-4166.666666666667</v>
      </c>
      <c r="G26" s="132">
        <f>IF(G4=0,"",-'Input Assumptions'!$E$60*_xlfn.XLOOKUP('Monthly Cashflow'!G4,'Input Assumptions'!$C$41:$L$41,'Input Assumptions'!$C$43:$L$43)/12)</f>
        <v>-4166.666666666667</v>
      </c>
      <c r="H26" s="132">
        <f>IF(H4=0,"",-'Input Assumptions'!$E$60*_xlfn.XLOOKUP('Monthly Cashflow'!H4,'Input Assumptions'!$C$41:$L$41,'Input Assumptions'!$C$43:$L$43)/12)</f>
        <v>-4166.666666666667</v>
      </c>
      <c r="I26" s="132">
        <f>IF(I4=0,"",-'Input Assumptions'!$E$60*_xlfn.XLOOKUP('Monthly Cashflow'!I4,'Input Assumptions'!$C$41:$L$41,'Input Assumptions'!$C$43:$L$43)/12)</f>
        <v>-4166.666666666667</v>
      </c>
      <c r="J26" s="132">
        <f>IF(J4=0,"",-'Input Assumptions'!$E$60*_xlfn.XLOOKUP('Monthly Cashflow'!J4,'Input Assumptions'!$C$41:$L$41,'Input Assumptions'!$C$43:$L$43)/12)</f>
        <v>-4166.666666666667</v>
      </c>
      <c r="K26" s="132">
        <f>IF(K4=0,"",-'Input Assumptions'!$E$60*_xlfn.XLOOKUP('Monthly Cashflow'!K4,'Input Assumptions'!$C$41:$L$41,'Input Assumptions'!$C$43:$L$43)/12)</f>
        <v>-4166.666666666667</v>
      </c>
      <c r="L26" s="132">
        <f>IF(L4=0,"",-'Input Assumptions'!$E$60*_xlfn.XLOOKUP('Monthly Cashflow'!L4,'Input Assumptions'!$C$41:$L$41,'Input Assumptions'!$C$43:$L$43)/12)</f>
        <v>-4166.666666666667</v>
      </c>
      <c r="M26" s="132">
        <f>IF(M4=0,"",-'Input Assumptions'!$E$60*_xlfn.XLOOKUP('Monthly Cashflow'!M4,'Input Assumptions'!$C$41:$L$41,'Input Assumptions'!$C$43:$L$43)/12)</f>
        <v>-4166.666666666667</v>
      </c>
      <c r="N26" s="132">
        <f>IF(N4=0,"",-'Input Assumptions'!$E$60*_xlfn.XLOOKUP('Monthly Cashflow'!N4,'Input Assumptions'!$C$41:$L$41,'Input Assumptions'!$C$43:$L$43)/12)</f>
        <v>-4166.666666666667</v>
      </c>
      <c r="O26" s="132">
        <f>IF(O4=0,"",-'Input Assumptions'!$E$60*_xlfn.XLOOKUP('Monthly Cashflow'!O4,'Input Assumptions'!$C$41:$L$41,'Input Assumptions'!$C$43:$L$43)/12)</f>
        <v>-4166.666666666667</v>
      </c>
      <c r="P26" s="132">
        <f>IF(P4=0,"",-'Input Assumptions'!$E$60*_xlfn.XLOOKUP('Monthly Cashflow'!P4,'Input Assumptions'!$C$41:$L$41,'Input Assumptions'!$C$43:$L$43)/12)</f>
        <v>-4244.791666666667</v>
      </c>
      <c r="Q26" s="132">
        <f>IF(Q4=0,"",-'Input Assumptions'!$E$60*_xlfn.XLOOKUP('Monthly Cashflow'!Q4,'Input Assumptions'!$C$41:$L$41,'Input Assumptions'!$C$43:$L$43)/12)</f>
        <v>-4244.791666666667</v>
      </c>
      <c r="R26" s="132">
        <f>IF(R4=0,"",-'Input Assumptions'!$E$60*_xlfn.XLOOKUP('Monthly Cashflow'!R4,'Input Assumptions'!$C$41:$L$41,'Input Assumptions'!$C$43:$L$43)/12)</f>
        <v>-4244.791666666667</v>
      </c>
      <c r="S26" s="132">
        <f>IF(S4=0,"",-'Input Assumptions'!$E$60*_xlfn.XLOOKUP('Monthly Cashflow'!S4,'Input Assumptions'!$C$41:$L$41,'Input Assumptions'!$C$43:$L$43)/12)</f>
        <v>-4244.791666666667</v>
      </c>
      <c r="T26" s="132">
        <f>IF(T4=0,"",-'Input Assumptions'!$E$60*_xlfn.XLOOKUP('Monthly Cashflow'!T4,'Input Assumptions'!$C$41:$L$41,'Input Assumptions'!$C$43:$L$43)/12)</f>
        <v>-4244.791666666667</v>
      </c>
      <c r="U26" s="132">
        <f>IF(U4=0,"",-'Input Assumptions'!$E$60*_xlfn.XLOOKUP('Monthly Cashflow'!U4,'Input Assumptions'!$C$41:$L$41,'Input Assumptions'!$C$43:$L$43)/12)</f>
        <v>-4244.791666666667</v>
      </c>
      <c r="V26" s="132">
        <f>IF(V4=0,"",-'Input Assumptions'!$E$60*_xlfn.XLOOKUP('Monthly Cashflow'!V4,'Input Assumptions'!$C$41:$L$41,'Input Assumptions'!$C$43:$L$43)/12)</f>
        <v>-4244.791666666667</v>
      </c>
      <c r="W26" s="132">
        <f>IF(W4=0,"",-'Input Assumptions'!$E$60*_xlfn.XLOOKUP('Monthly Cashflow'!W4,'Input Assumptions'!$C$41:$L$41,'Input Assumptions'!$C$43:$L$43)/12)</f>
        <v>-4244.791666666667</v>
      </c>
      <c r="X26" s="132">
        <f>IF(X4=0,"",-'Input Assumptions'!$E$60*_xlfn.XLOOKUP('Monthly Cashflow'!X4,'Input Assumptions'!$C$41:$L$41,'Input Assumptions'!$C$43:$L$43)/12)</f>
        <v>-4244.791666666667</v>
      </c>
      <c r="Y26" s="132">
        <f>IF(Y4=0,"",-'Input Assumptions'!$E$60*_xlfn.XLOOKUP('Monthly Cashflow'!Y4,'Input Assumptions'!$C$41:$L$41,'Input Assumptions'!$C$43:$L$43)/12)</f>
        <v>-4244.791666666667</v>
      </c>
      <c r="Z26" s="132">
        <f>IF(Z4=0,"",-'Input Assumptions'!$E$60*_xlfn.XLOOKUP('Monthly Cashflow'!Z4,'Input Assumptions'!$C$41:$L$41,'Input Assumptions'!$C$43:$L$43)/12)</f>
        <v>-4244.791666666667</v>
      </c>
      <c r="AA26" s="132">
        <f>IF(AA4=0,"",-'Input Assumptions'!$E$60*_xlfn.XLOOKUP('Monthly Cashflow'!AA4,'Input Assumptions'!$C$41:$L$41,'Input Assumptions'!$C$43:$L$43)/12)</f>
        <v>-4244.791666666667</v>
      </c>
      <c r="AB26" s="132">
        <f>IF(AB4=0,"",-'Input Assumptions'!$E$60*_xlfn.XLOOKUP('Monthly Cashflow'!AB4,'Input Assumptions'!$C$41:$L$41,'Input Assumptions'!$C$43:$L$43)/12)</f>
        <v>-4324.381510416667</v>
      </c>
      <c r="AC26" s="132">
        <f>IF(AC4=0,"",-'Input Assumptions'!$E$60*_xlfn.XLOOKUP('Monthly Cashflow'!AC4,'Input Assumptions'!$C$41:$L$41,'Input Assumptions'!$C$43:$L$43)/12)</f>
        <v>-4324.381510416667</v>
      </c>
      <c r="AD26" s="132">
        <f>IF(AD4=0,"",-'Input Assumptions'!$E$60*_xlfn.XLOOKUP('Monthly Cashflow'!AD4,'Input Assumptions'!$C$41:$L$41,'Input Assumptions'!$C$43:$L$43)/12)</f>
        <v>-4324.381510416667</v>
      </c>
      <c r="AE26" s="132">
        <f>IF(AE4=0,"",-'Input Assumptions'!$E$60*_xlfn.XLOOKUP('Monthly Cashflow'!AE4,'Input Assumptions'!$C$41:$L$41,'Input Assumptions'!$C$43:$L$43)/12)</f>
        <v>-4324.381510416667</v>
      </c>
      <c r="AF26" s="132">
        <f>IF(AF4=0,"",-'Input Assumptions'!$E$60*_xlfn.XLOOKUP('Monthly Cashflow'!AF4,'Input Assumptions'!$C$41:$L$41,'Input Assumptions'!$C$43:$L$43)/12)</f>
        <v>-4324.381510416667</v>
      </c>
      <c r="AG26" s="132">
        <f>IF(AG4=0,"",-'Input Assumptions'!$E$60*_xlfn.XLOOKUP('Monthly Cashflow'!AG4,'Input Assumptions'!$C$41:$L$41,'Input Assumptions'!$C$43:$L$43)/12)</f>
        <v>-4324.381510416667</v>
      </c>
      <c r="AH26" s="132">
        <f>IF(AH4=0,"",-'Input Assumptions'!$E$60*_xlfn.XLOOKUP('Monthly Cashflow'!AH4,'Input Assumptions'!$C$41:$L$41,'Input Assumptions'!$C$43:$L$43)/12)</f>
        <v>-4324.381510416667</v>
      </c>
      <c r="AI26" s="132">
        <f>IF(AI4=0,"",-'Input Assumptions'!$E$60*_xlfn.XLOOKUP('Monthly Cashflow'!AI4,'Input Assumptions'!$C$41:$L$41,'Input Assumptions'!$C$43:$L$43)/12)</f>
        <v>-4324.381510416667</v>
      </c>
      <c r="AJ26" s="132">
        <f>IF(AJ4=0,"",-'Input Assumptions'!$E$60*_xlfn.XLOOKUP('Monthly Cashflow'!AJ4,'Input Assumptions'!$C$41:$L$41,'Input Assumptions'!$C$43:$L$43)/12)</f>
        <v>-4324.381510416667</v>
      </c>
      <c r="AK26" s="132">
        <f>IF(AK4=0,"",-'Input Assumptions'!$E$60*_xlfn.XLOOKUP('Monthly Cashflow'!AK4,'Input Assumptions'!$C$41:$L$41,'Input Assumptions'!$C$43:$L$43)/12)</f>
        <v>-4324.381510416667</v>
      </c>
      <c r="AL26" s="132">
        <f>IF(AL4=0,"",-'Input Assumptions'!$E$60*_xlfn.XLOOKUP('Monthly Cashflow'!AL4,'Input Assumptions'!$C$41:$L$41,'Input Assumptions'!$C$43:$L$43)/12)</f>
        <v>-4324.381510416667</v>
      </c>
      <c r="AM26" s="132">
        <f>IF(AM4=0,"",-'Input Assumptions'!$E$60*_xlfn.XLOOKUP('Monthly Cashflow'!AM4,'Input Assumptions'!$C$41:$L$41,'Input Assumptions'!$C$43:$L$43)/12)</f>
        <v>-4324.381510416667</v>
      </c>
      <c r="AN26" s="132">
        <f>IF(AN4=0,"",-'Input Assumptions'!$E$60*_xlfn.XLOOKUP('Monthly Cashflow'!AN4,'Input Assumptions'!$C$41:$L$41,'Input Assumptions'!$C$43:$L$43)/12)</f>
        <v>-4405.4636637369795</v>
      </c>
      <c r="AO26" s="132">
        <f>IF(AO4=0,"",-'Input Assumptions'!$E$60*_xlfn.XLOOKUP('Monthly Cashflow'!AO4,'Input Assumptions'!$C$41:$L$41,'Input Assumptions'!$C$43:$L$43)/12)</f>
        <v>-4405.4636637369795</v>
      </c>
      <c r="AP26" s="132">
        <f>IF(AP4=0,"",-'Input Assumptions'!$E$60*_xlfn.XLOOKUP('Monthly Cashflow'!AP4,'Input Assumptions'!$C$41:$L$41,'Input Assumptions'!$C$43:$L$43)/12)</f>
        <v>-4405.4636637369795</v>
      </c>
      <c r="AQ26" s="132">
        <f>IF(AQ4=0,"",-'Input Assumptions'!$E$60*_xlfn.XLOOKUP('Monthly Cashflow'!AQ4,'Input Assumptions'!$C$41:$L$41,'Input Assumptions'!$C$43:$L$43)/12)</f>
        <v>-4405.4636637369795</v>
      </c>
      <c r="AR26" s="132">
        <f>IF(AR4=0,"",-'Input Assumptions'!$E$60*_xlfn.XLOOKUP('Monthly Cashflow'!AR4,'Input Assumptions'!$C$41:$L$41,'Input Assumptions'!$C$43:$L$43)/12)</f>
        <v>-4405.4636637369795</v>
      </c>
      <c r="AS26" s="132">
        <f>IF(AS4=0,"",-'Input Assumptions'!$E$60*_xlfn.XLOOKUP('Monthly Cashflow'!AS4,'Input Assumptions'!$C$41:$L$41,'Input Assumptions'!$C$43:$L$43)/12)</f>
        <v>-4405.4636637369795</v>
      </c>
      <c r="AT26" s="132">
        <f>IF(AT4=0,"",-'Input Assumptions'!$E$60*_xlfn.XLOOKUP('Monthly Cashflow'!AT4,'Input Assumptions'!$C$41:$L$41,'Input Assumptions'!$C$43:$L$43)/12)</f>
        <v>-4405.4636637369795</v>
      </c>
      <c r="AU26" s="132">
        <f>IF(AU4=0,"",-'Input Assumptions'!$E$60*_xlfn.XLOOKUP('Monthly Cashflow'!AU4,'Input Assumptions'!$C$41:$L$41,'Input Assumptions'!$C$43:$L$43)/12)</f>
        <v>-4405.4636637369795</v>
      </c>
      <c r="AV26" s="132">
        <f>IF(AV4=0,"",-'Input Assumptions'!$E$60*_xlfn.XLOOKUP('Monthly Cashflow'!AV4,'Input Assumptions'!$C$41:$L$41,'Input Assumptions'!$C$43:$L$43)/12)</f>
        <v>-4405.4636637369795</v>
      </c>
      <c r="AW26" s="132">
        <f>IF(AW4=0,"",-'Input Assumptions'!$E$60*_xlfn.XLOOKUP('Monthly Cashflow'!AW4,'Input Assumptions'!$C$41:$L$41,'Input Assumptions'!$C$43:$L$43)/12)</f>
        <v>-4405.4636637369795</v>
      </c>
      <c r="AX26" s="132">
        <f>IF(AX4=0,"",-'Input Assumptions'!$E$60*_xlfn.XLOOKUP('Monthly Cashflow'!AX4,'Input Assumptions'!$C$41:$L$41,'Input Assumptions'!$C$43:$L$43)/12)</f>
        <v>-4405.4636637369795</v>
      </c>
      <c r="AY26" s="132">
        <f>IF(AY4=0,"",-'Input Assumptions'!$E$60*_xlfn.XLOOKUP('Monthly Cashflow'!AY4,'Input Assumptions'!$C$41:$L$41,'Input Assumptions'!$C$43:$L$43)/12)</f>
        <v>-4405.4636637369795</v>
      </c>
      <c r="AZ26" s="132">
        <f>IF(AZ4=0,"",-'Input Assumptions'!$E$60*_xlfn.XLOOKUP('Monthly Cashflow'!AZ4,'Input Assumptions'!$C$41:$L$41,'Input Assumptions'!$C$43:$L$43)/12)</f>
        <v>-4488.0661074320478</v>
      </c>
      <c r="BA26" s="132">
        <f>IF(BA4=0,"",-'Input Assumptions'!$E$60*_xlfn.XLOOKUP('Monthly Cashflow'!BA4,'Input Assumptions'!$C$41:$L$41,'Input Assumptions'!$C$43:$L$43)/12)</f>
        <v>-4488.0661074320478</v>
      </c>
      <c r="BB26" s="132">
        <f>IF(BB4=0,"",-'Input Assumptions'!$E$60*_xlfn.XLOOKUP('Monthly Cashflow'!BB4,'Input Assumptions'!$C$41:$L$41,'Input Assumptions'!$C$43:$L$43)/12)</f>
        <v>-4488.0661074320478</v>
      </c>
      <c r="BC26" s="132">
        <f>IF(BC4=0,"",-'Input Assumptions'!$E$60*_xlfn.XLOOKUP('Monthly Cashflow'!BC4,'Input Assumptions'!$C$41:$L$41,'Input Assumptions'!$C$43:$L$43)/12)</f>
        <v>-4488.0661074320478</v>
      </c>
      <c r="BD26" s="132">
        <f>IF(BD4=0,"",-'Input Assumptions'!$E$60*_xlfn.XLOOKUP('Monthly Cashflow'!BD4,'Input Assumptions'!$C$41:$L$41,'Input Assumptions'!$C$43:$L$43)/12)</f>
        <v>-4488.0661074320478</v>
      </c>
      <c r="BE26" s="132">
        <f>IF(BE4=0,"",-'Input Assumptions'!$E$60*_xlfn.XLOOKUP('Monthly Cashflow'!BE4,'Input Assumptions'!$C$41:$L$41,'Input Assumptions'!$C$43:$L$43)/12)</f>
        <v>-4488.0661074320478</v>
      </c>
      <c r="BF26" s="132">
        <f>IF(BF4=0,"",-'Input Assumptions'!$E$60*_xlfn.XLOOKUP('Monthly Cashflow'!BF4,'Input Assumptions'!$C$41:$L$41,'Input Assumptions'!$C$43:$L$43)/12)</f>
        <v>-4488.0661074320478</v>
      </c>
      <c r="BG26" s="132">
        <f>IF(BG4=0,"",-'Input Assumptions'!$E$60*_xlfn.XLOOKUP('Monthly Cashflow'!BG4,'Input Assumptions'!$C$41:$L$41,'Input Assumptions'!$C$43:$L$43)/12)</f>
        <v>-4488.0661074320478</v>
      </c>
      <c r="BH26" s="132">
        <f>IF(BH4=0,"",-'Input Assumptions'!$E$60*_xlfn.XLOOKUP('Monthly Cashflow'!BH4,'Input Assumptions'!$C$41:$L$41,'Input Assumptions'!$C$43:$L$43)/12)</f>
        <v>-4488.0661074320478</v>
      </c>
      <c r="BI26" s="132">
        <f>IF(BI4=0,"",-'Input Assumptions'!$E$60*_xlfn.XLOOKUP('Monthly Cashflow'!BI4,'Input Assumptions'!$C$41:$L$41,'Input Assumptions'!$C$43:$L$43)/12)</f>
        <v>-4488.0661074320478</v>
      </c>
      <c r="BJ26" s="132">
        <f>IF(BJ4=0,"",-'Input Assumptions'!$E$60*_xlfn.XLOOKUP('Monthly Cashflow'!BJ4,'Input Assumptions'!$C$41:$L$41,'Input Assumptions'!$C$43:$L$43)/12)</f>
        <v>-4488.0661074320478</v>
      </c>
      <c r="BK26" s="132">
        <f>IF(BK4=0,"",-'Input Assumptions'!$E$60*_xlfn.XLOOKUP('Monthly Cashflow'!BK4,'Input Assumptions'!$C$41:$L$41,'Input Assumptions'!$C$43:$L$43)/12)</f>
        <v>-4488.0661074320478</v>
      </c>
      <c r="BL26" s="132" t="str">
        <f>IF(BL4=0,"",-'Input Assumptions'!$E$60*_xlfn.XLOOKUP('Monthly Cashflow'!BL4,'Input Assumptions'!$C$41:$L$41,'Input Assumptions'!$C$43:$L$43)/12)</f>
        <v/>
      </c>
      <c r="BM26" s="132" t="str">
        <f>IF(BM4=0,"",-'Input Assumptions'!$E$60*_xlfn.XLOOKUP('Monthly Cashflow'!BM4,'Input Assumptions'!$C$41:$L$41,'Input Assumptions'!$C$43:$L$43)/12)</f>
        <v/>
      </c>
      <c r="BN26" s="132" t="str">
        <f>IF(BN4=0,"",-'Input Assumptions'!$E$60*_xlfn.XLOOKUP('Monthly Cashflow'!BN4,'Input Assumptions'!$C$41:$L$41,'Input Assumptions'!$C$43:$L$43)/12)</f>
        <v/>
      </c>
      <c r="BO26" s="132" t="str">
        <f>IF(BO4=0,"",-'Input Assumptions'!$E$60*_xlfn.XLOOKUP('Monthly Cashflow'!BO4,'Input Assumptions'!$C$41:$L$41,'Input Assumptions'!$C$43:$L$43)/12)</f>
        <v/>
      </c>
      <c r="BP26" s="132" t="str">
        <f>IF(BP4=0,"",-'Input Assumptions'!$E$60*_xlfn.XLOOKUP('Monthly Cashflow'!BP4,'Input Assumptions'!$C$41:$L$41,'Input Assumptions'!$C$43:$L$43)/12)</f>
        <v/>
      </c>
      <c r="BQ26" s="132" t="str">
        <f>IF(BQ4=0,"",-'Input Assumptions'!$E$60*_xlfn.XLOOKUP('Monthly Cashflow'!BQ4,'Input Assumptions'!$C$41:$L$41,'Input Assumptions'!$C$43:$L$43)/12)</f>
        <v/>
      </c>
      <c r="BR26" s="132" t="str">
        <f>IF(BR4=0,"",-'Input Assumptions'!$E$60*_xlfn.XLOOKUP('Monthly Cashflow'!BR4,'Input Assumptions'!$C$41:$L$41,'Input Assumptions'!$C$43:$L$43)/12)</f>
        <v/>
      </c>
      <c r="BS26" s="132" t="str">
        <f>IF(BS4=0,"",-'Input Assumptions'!$E$60*_xlfn.XLOOKUP('Monthly Cashflow'!BS4,'Input Assumptions'!$C$41:$L$41,'Input Assumptions'!$C$43:$L$43)/12)</f>
        <v/>
      </c>
      <c r="BT26" s="132" t="str">
        <f>IF(BT4=0,"",-'Input Assumptions'!$E$60*_xlfn.XLOOKUP('Monthly Cashflow'!BT4,'Input Assumptions'!$C$41:$L$41,'Input Assumptions'!$C$43:$L$43)/12)</f>
        <v/>
      </c>
      <c r="BU26" s="132" t="str">
        <f>IF(BU4=0,"",-'Input Assumptions'!$E$60*_xlfn.XLOOKUP('Monthly Cashflow'!BU4,'Input Assumptions'!$C$41:$L$41,'Input Assumptions'!$C$43:$L$43)/12)</f>
        <v/>
      </c>
      <c r="BV26" s="132" t="str">
        <f>IF(BV4=0,"",-'Input Assumptions'!$E$60*_xlfn.XLOOKUP('Monthly Cashflow'!BV4,'Input Assumptions'!$C$41:$L$41,'Input Assumptions'!$C$43:$L$43)/12)</f>
        <v/>
      </c>
      <c r="BW26" s="132" t="str">
        <f>IF(BW4=0,"",-'Input Assumptions'!$E$60*_xlfn.XLOOKUP('Monthly Cashflow'!BW4,'Input Assumptions'!$C$41:$L$41,'Input Assumptions'!$C$43:$L$43)/12)</f>
        <v/>
      </c>
      <c r="BX26" s="132" t="str">
        <f>IF(BX4=0,"",-'Input Assumptions'!$E$60*_xlfn.XLOOKUP('Monthly Cashflow'!BX4,'Input Assumptions'!$C$41:$L$41,'Input Assumptions'!$C$43:$L$43)/12)</f>
        <v/>
      </c>
      <c r="BY26" s="132" t="str">
        <f>IF(BY4=0,"",-'Input Assumptions'!$E$60*_xlfn.XLOOKUP('Monthly Cashflow'!BY4,'Input Assumptions'!$C$41:$L$41,'Input Assumptions'!$C$43:$L$43)/12)</f>
        <v/>
      </c>
      <c r="BZ26" s="132" t="str">
        <f>IF(BZ4=0,"",-'Input Assumptions'!$E$60*_xlfn.XLOOKUP('Monthly Cashflow'!BZ4,'Input Assumptions'!$C$41:$L$41,'Input Assumptions'!$C$43:$L$43)/12)</f>
        <v/>
      </c>
      <c r="CA26" s="132" t="str">
        <f>IF(CA4=0,"",-'Input Assumptions'!$E$60*_xlfn.XLOOKUP('Monthly Cashflow'!CA4,'Input Assumptions'!$C$41:$L$41,'Input Assumptions'!$C$43:$L$43)/12)</f>
        <v/>
      </c>
      <c r="CB26" s="132" t="str">
        <f>IF(CB4=0,"",-'Input Assumptions'!$E$60*_xlfn.XLOOKUP('Monthly Cashflow'!CB4,'Input Assumptions'!$C$41:$L$41,'Input Assumptions'!$C$43:$L$43)/12)</f>
        <v/>
      </c>
      <c r="CC26" s="132" t="str">
        <f>IF(CC4=0,"",-'Input Assumptions'!$E$60*_xlfn.XLOOKUP('Monthly Cashflow'!CC4,'Input Assumptions'!$C$41:$L$41,'Input Assumptions'!$C$43:$L$43)/12)</f>
        <v/>
      </c>
      <c r="CD26" s="132" t="str">
        <f>IF(CD4=0,"",-'Input Assumptions'!$E$60*_xlfn.XLOOKUP('Monthly Cashflow'!CD4,'Input Assumptions'!$C$41:$L$41,'Input Assumptions'!$C$43:$L$43)/12)</f>
        <v/>
      </c>
      <c r="CE26" s="132" t="str">
        <f>IF(CE4=0,"",-'Input Assumptions'!$E$60*_xlfn.XLOOKUP('Monthly Cashflow'!CE4,'Input Assumptions'!$C$41:$L$41,'Input Assumptions'!$C$43:$L$43)/12)</f>
        <v/>
      </c>
      <c r="CF26" s="132" t="str">
        <f>IF(CF4=0,"",-'Input Assumptions'!$E$60*_xlfn.XLOOKUP('Monthly Cashflow'!CF4,'Input Assumptions'!$C$41:$L$41,'Input Assumptions'!$C$43:$L$43)/12)</f>
        <v/>
      </c>
      <c r="CG26" s="132" t="str">
        <f>IF(CG4=0,"",-'Input Assumptions'!$E$60*_xlfn.XLOOKUP('Monthly Cashflow'!CG4,'Input Assumptions'!$C$41:$L$41,'Input Assumptions'!$C$43:$L$43)/12)</f>
        <v/>
      </c>
      <c r="CH26" s="132" t="str">
        <f>IF(CH4=0,"",-'Input Assumptions'!$E$60*_xlfn.XLOOKUP('Monthly Cashflow'!CH4,'Input Assumptions'!$C$41:$L$41,'Input Assumptions'!$C$43:$L$43)/12)</f>
        <v/>
      </c>
      <c r="CI26" s="132" t="str">
        <f>IF(CI4=0,"",-'Input Assumptions'!$E$60*_xlfn.XLOOKUP('Monthly Cashflow'!CI4,'Input Assumptions'!$C$41:$L$41,'Input Assumptions'!$C$43:$L$43)/12)</f>
        <v/>
      </c>
      <c r="CJ26" s="132" t="str">
        <f>IF(CJ4=0,"",-'Input Assumptions'!$E$60*_xlfn.XLOOKUP('Monthly Cashflow'!CJ4,'Input Assumptions'!$C$41:$L$41,'Input Assumptions'!$C$43:$L$43)/12)</f>
        <v/>
      </c>
      <c r="CK26" s="132" t="str">
        <f>IF(CK4=0,"",-'Input Assumptions'!$E$60*_xlfn.XLOOKUP('Monthly Cashflow'!CK4,'Input Assumptions'!$C$41:$L$41,'Input Assumptions'!$C$43:$L$43)/12)</f>
        <v/>
      </c>
      <c r="CL26" s="132" t="str">
        <f>IF(CL4=0,"",-'Input Assumptions'!$E$60*_xlfn.XLOOKUP('Monthly Cashflow'!CL4,'Input Assumptions'!$C$41:$L$41,'Input Assumptions'!$C$43:$L$43)/12)</f>
        <v/>
      </c>
      <c r="CM26" s="132" t="str">
        <f>IF(CM4=0,"",-'Input Assumptions'!$E$60*_xlfn.XLOOKUP('Monthly Cashflow'!CM4,'Input Assumptions'!$C$41:$L$41,'Input Assumptions'!$C$43:$L$43)/12)</f>
        <v/>
      </c>
      <c r="CN26" s="132" t="str">
        <f>IF(CN4=0,"",-'Input Assumptions'!$E$60*_xlfn.XLOOKUP('Monthly Cashflow'!CN4,'Input Assumptions'!$C$41:$L$41,'Input Assumptions'!$C$43:$L$43)/12)</f>
        <v/>
      </c>
      <c r="CO26" s="132" t="str">
        <f>IF(CO4=0,"",-'Input Assumptions'!$E$60*_xlfn.XLOOKUP('Monthly Cashflow'!CO4,'Input Assumptions'!$C$41:$L$41,'Input Assumptions'!$C$43:$L$43)/12)</f>
        <v/>
      </c>
      <c r="CP26" s="132" t="str">
        <f>IF(CP4=0,"",-'Input Assumptions'!$E$60*_xlfn.XLOOKUP('Monthly Cashflow'!CP4,'Input Assumptions'!$C$41:$L$41,'Input Assumptions'!$C$43:$L$43)/12)</f>
        <v/>
      </c>
      <c r="CQ26" s="132" t="str">
        <f>IF(CQ4=0,"",-'Input Assumptions'!$E$60*_xlfn.XLOOKUP('Monthly Cashflow'!CQ4,'Input Assumptions'!$C$41:$L$41,'Input Assumptions'!$C$43:$L$43)/12)</f>
        <v/>
      </c>
      <c r="CR26" s="132" t="str">
        <f>IF(CR4=0,"",-'Input Assumptions'!$E$60*_xlfn.XLOOKUP('Monthly Cashflow'!CR4,'Input Assumptions'!$C$41:$L$41,'Input Assumptions'!$C$43:$L$43)/12)</f>
        <v/>
      </c>
      <c r="CS26" s="132" t="str">
        <f>IF(CS4=0,"",-'Input Assumptions'!$E$60*_xlfn.XLOOKUP('Monthly Cashflow'!CS4,'Input Assumptions'!$C$41:$L$41,'Input Assumptions'!$C$43:$L$43)/12)</f>
        <v/>
      </c>
      <c r="CT26" s="132" t="str">
        <f>IF(CT4=0,"",-'Input Assumptions'!$E$60*_xlfn.XLOOKUP('Monthly Cashflow'!CT4,'Input Assumptions'!$C$41:$L$41,'Input Assumptions'!$C$43:$L$43)/12)</f>
        <v/>
      </c>
      <c r="CU26" s="132" t="str">
        <f>IF(CU4=0,"",-'Input Assumptions'!$E$60*_xlfn.XLOOKUP('Monthly Cashflow'!CU4,'Input Assumptions'!$C$41:$L$41,'Input Assumptions'!$C$43:$L$43)/12)</f>
        <v/>
      </c>
      <c r="CV26" s="132" t="str">
        <f>IF(CV4=0,"",-'Input Assumptions'!$E$60*_xlfn.XLOOKUP('Monthly Cashflow'!CV4,'Input Assumptions'!$C$41:$L$41,'Input Assumptions'!$C$43:$L$43)/12)</f>
        <v/>
      </c>
      <c r="CW26" s="132" t="str">
        <f>IF(CW4=0,"",-'Input Assumptions'!$E$60*_xlfn.XLOOKUP('Monthly Cashflow'!CW4,'Input Assumptions'!$C$41:$L$41,'Input Assumptions'!$C$43:$L$43)/12)</f>
        <v/>
      </c>
      <c r="CX26" s="132" t="str">
        <f>IF(CX4=0,"",-'Input Assumptions'!$E$60*_xlfn.XLOOKUP('Monthly Cashflow'!CX4,'Input Assumptions'!$C$41:$L$41,'Input Assumptions'!$C$43:$L$43)/12)</f>
        <v/>
      </c>
      <c r="CY26" s="132" t="str">
        <f>IF(CY4=0,"",-'Input Assumptions'!$E$60*_xlfn.XLOOKUP('Monthly Cashflow'!CY4,'Input Assumptions'!$C$41:$L$41,'Input Assumptions'!$C$43:$L$43)/12)</f>
        <v/>
      </c>
      <c r="CZ26" s="132" t="str">
        <f>IF(CZ4=0,"",-'Input Assumptions'!$E$60*_xlfn.XLOOKUP('Monthly Cashflow'!CZ4,'Input Assumptions'!$C$41:$L$41,'Input Assumptions'!$C$43:$L$43)/12)</f>
        <v/>
      </c>
      <c r="DA26" s="132" t="str">
        <f>IF(DA4=0,"",-'Input Assumptions'!$E$60*_xlfn.XLOOKUP('Monthly Cashflow'!DA4,'Input Assumptions'!$C$41:$L$41,'Input Assumptions'!$C$43:$L$43)/12)</f>
        <v/>
      </c>
      <c r="DB26" s="132" t="str">
        <f>IF(DB4=0,"",-'Input Assumptions'!$E$60*_xlfn.XLOOKUP('Monthly Cashflow'!DB4,'Input Assumptions'!$C$41:$L$41,'Input Assumptions'!$C$43:$L$43)/12)</f>
        <v/>
      </c>
      <c r="DC26" s="132" t="str">
        <f>IF(DC4=0,"",-'Input Assumptions'!$E$60*_xlfn.XLOOKUP('Monthly Cashflow'!DC4,'Input Assumptions'!$C$41:$L$41,'Input Assumptions'!$C$43:$L$43)/12)</f>
        <v/>
      </c>
      <c r="DD26" s="132" t="str">
        <f>IF(DD4=0,"",-'Input Assumptions'!$E$60*_xlfn.XLOOKUP('Monthly Cashflow'!DD4,'Input Assumptions'!$C$41:$L$41,'Input Assumptions'!$C$43:$L$43)/12)</f>
        <v/>
      </c>
      <c r="DE26" s="132" t="str">
        <f>IF(DE4=0,"",-'Input Assumptions'!$E$60*_xlfn.XLOOKUP('Monthly Cashflow'!DE4,'Input Assumptions'!$C$41:$L$41,'Input Assumptions'!$C$43:$L$43)/12)</f>
        <v/>
      </c>
      <c r="DF26" s="132" t="str">
        <f>IF(DF4=0,"",-'Input Assumptions'!$E$60*_xlfn.XLOOKUP('Monthly Cashflow'!DF4,'Input Assumptions'!$C$41:$L$41,'Input Assumptions'!$C$43:$L$43)/12)</f>
        <v/>
      </c>
      <c r="DG26" s="132" t="str">
        <f>IF(DG4=0,"",-'Input Assumptions'!$E$60*_xlfn.XLOOKUP('Monthly Cashflow'!DG4,'Input Assumptions'!$C$41:$L$41,'Input Assumptions'!$C$43:$L$43)/12)</f>
        <v/>
      </c>
      <c r="DH26" s="132" t="str">
        <f>IF(DH4=0,"",-'Input Assumptions'!$E$60*_xlfn.XLOOKUP('Monthly Cashflow'!DH4,'Input Assumptions'!$C$41:$L$41,'Input Assumptions'!$C$43:$L$43)/12)</f>
        <v/>
      </c>
      <c r="DI26" s="132" t="str">
        <f>IF(DI4=0,"",-'Input Assumptions'!$E$60*_xlfn.XLOOKUP('Monthly Cashflow'!DI4,'Input Assumptions'!$C$41:$L$41,'Input Assumptions'!$C$43:$L$43)/12)</f>
        <v/>
      </c>
      <c r="DJ26" s="132" t="str">
        <f>IF(DJ4=0,"",-'Input Assumptions'!$E$60*_xlfn.XLOOKUP('Monthly Cashflow'!DJ4,'Input Assumptions'!$C$41:$L$41,'Input Assumptions'!$C$43:$L$43)/12)</f>
        <v/>
      </c>
      <c r="DK26" s="132" t="str">
        <f>IF(DK4=0,"",-'Input Assumptions'!$E$60*_xlfn.XLOOKUP('Monthly Cashflow'!DK4,'Input Assumptions'!$C$41:$L$41,'Input Assumptions'!$C$43:$L$43)/12)</f>
        <v/>
      </c>
      <c r="DL26" s="132" t="str">
        <f>IF(DL4=0,"",-'Input Assumptions'!$E$60*_xlfn.XLOOKUP('Monthly Cashflow'!DL4,'Input Assumptions'!$C$41:$L$41,'Input Assumptions'!$C$43:$L$43)/12)</f>
        <v/>
      </c>
      <c r="DM26" s="132" t="str">
        <f>IF(DM4=0,"",-'Input Assumptions'!$E$60*_xlfn.XLOOKUP('Monthly Cashflow'!DM4,'Input Assumptions'!$C$41:$L$41,'Input Assumptions'!$C$43:$L$43)/12)</f>
        <v/>
      </c>
      <c r="DN26" s="132" t="str">
        <f>IF(DN4=0,"",-'Input Assumptions'!$E$60*_xlfn.XLOOKUP('Monthly Cashflow'!DN4,'Input Assumptions'!$C$41:$L$41,'Input Assumptions'!$C$43:$L$43)/12)</f>
        <v/>
      </c>
      <c r="DO26" s="132" t="str">
        <f>IF(DO4=0,"",-'Input Assumptions'!$E$60*_xlfn.XLOOKUP('Monthly Cashflow'!DO4,'Input Assumptions'!$C$41:$L$41,'Input Assumptions'!$C$43:$L$43)/12)</f>
        <v/>
      </c>
      <c r="DP26" s="132" t="str">
        <f>IF(DP4=0,"",-'Input Assumptions'!$E$60*_xlfn.XLOOKUP('Monthly Cashflow'!DP4,'Input Assumptions'!$C$41:$L$41,'Input Assumptions'!$C$43:$L$43)/12)</f>
        <v/>
      </c>
      <c r="DQ26" s="132" t="str">
        <f>IF(DQ4=0,"",-'Input Assumptions'!$E$60*_xlfn.XLOOKUP('Monthly Cashflow'!DQ4,'Input Assumptions'!$C$41:$L$41,'Input Assumptions'!$C$43:$L$43)/12)</f>
        <v/>
      </c>
      <c r="DR26" s="132" t="str">
        <f>IF(DR4=0,"",-'Input Assumptions'!$E$60*_xlfn.XLOOKUP('Monthly Cashflow'!DR4,'Input Assumptions'!$C$41:$L$41,'Input Assumptions'!$C$43:$L$43)/12)</f>
        <v/>
      </c>
      <c r="DS26" s="132" t="str">
        <f>IF(DS4=0,"",-'Input Assumptions'!$E$60*_xlfn.XLOOKUP('Monthly Cashflow'!DS4,'Input Assumptions'!$C$41:$L$41,'Input Assumptions'!$C$43:$L$43)/12)</f>
        <v/>
      </c>
    </row>
    <row r="27" spans="1:123" x14ac:dyDescent="0.3">
      <c r="B27" s="111" t="s">
        <v>112</v>
      </c>
      <c r="D27" s="132">
        <f>IF(D4=0,"",-'Input Assumptions'!$E$61*_xlfn.XLOOKUP('Monthly Cashflow'!D4,'Input Assumptions'!$C$41:$L$41,'Input Assumptions'!$C$43:$L$43)/12)</f>
        <v>-1916.6666666666667</v>
      </c>
      <c r="E27" s="132">
        <f>IF(E4=0,"",-'Input Assumptions'!$E$61*_xlfn.XLOOKUP('Monthly Cashflow'!E4,'Input Assumptions'!$C$41:$L$41,'Input Assumptions'!$C$43:$L$43)/12)</f>
        <v>-1916.6666666666667</v>
      </c>
      <c r="F27" s="132">
        <f>IF(F4=0,"",-'Input Assumptions'!$E$61*_xlfn.XLOOKUP('Monthly Cashflow'!F4,'Input Assumptions'!$C$41:$L$41,'Input Assumptions'!$C$43:$L$43)/12)</f>
        <v>-1916.6666666666667</v>
      </c>
      <c r="G27" s="132">
        <f>IF(G4=0,"",-'Input Assumptions'!$E$61*_xlfn.XLOOKUP('Monthly Cashflow'!G4,'Input Assumptions'!$C$41:$L$41,'Input Assumptions'!$C$43:$L$43)/12)</f>
        <v>-1916.6666666666667</v>
      </c>
      <c r="H27" s="132">
        <f>IF(H4=0,"",-'Input Assumptions'!$E$61*_xlfn.XLOOKUP('Monthly Cashflow'!H4,'Input Assumptions'!$C$41:$L$41,'Input Assumptions'!$C$43:$L$43)/12)</f>
        <v>-1916.6666666666667</v>
      </c>
      <c r="I27" s="132">
        <f>IF(I4=0,"",-'Input Assumptions'!$E$61*_xlfn.XLOOKUP('Monthly Cashflow'!I4,'Input Assumptions'!$C$41:$L$41,'Input Assumptions'!$C$43:$L$43)/12)</f>
        <v>-1916.6666666666667</v>
      </c>
      <c r="J27" s="132">
        <f>IF(J4=0,"",-'Input Assumptions'!$E$61*_xlfn.XLOOKUP('Monthly Cashflow'!J4,'Input Assumptions'!$C$41:$L$41,'Input Assumptions'!$C$43:$L$43)/12)</f>
        <v>-1916.6666666666667</v>
      </c>
      <c r="K27" s="132">
        <f>IF(K4=0,"",-'Input Assumptions'!$E$61*_xlfn.XLOOKUP('Monthly Cashflow'!K4,'Input Assumptions'!$C$41:$L$41,'Input Assumptions'!$C$43:$L$43)/12)</f>
        <v>-1916.6666666666667</v>
      </c>
      <c r="L27" s="132">
        <f>IF(L4=0,"",-'Input Assumptions'!$E$61*_xlfn.XLOOKUP('Monthly Cashflow'!L4,'Input Assumptions'!$C$41:$L$41,'Input Assumptions'!$C$43:$L$43)/12)</f>
        <v>-1916.6666666666667</v>
      </c>
      <c r="M27" s="132">
        <f>IF(M4=0,"",-'Input Assumptions'!$E$61*_xlfn.XLOOKUP('Monthly Cashflow'!M4,'Input Assumptions'!$C$41:$L$41,'Input Assumptions'!$C$43:$L$43)/12)</f>
        <v>-1916.6666666666667</v>
      </c>
      <c r="N27" s="132">
        <f>IF(N4=0,"",-'Input Assumptions'!$E$61*_xlfn.XLOOKUP('Monthly Cashflow'!N4,'Input Assumptions'!$C$41:$L$41,'Input Assumptions'!$C$43:$L$43)/12)</f>
        <v>-1916.6666666666667</v>
      </c>
      <c r="O27" s="132">
        <f>IF(O4=0,"",-'Input Assumptions'!$E$61*_xlfn.XLOOKUP('Monthly Cashflow'!O4,'Input Assumptions'!$C$41:$L$41,'Input Assumptions'!$C$43:$L$43)/12)</f>
        <v>-1916.6666666666667</v>
      </c>
      <c r="P27" s="132">
        <f>IF(P4=0,"",-'Input Assumptions'!$E$61*_xlfn.XLOOKUP('Monthly Cashflow'!P4,'Input Assumptions'!$C$41:$L$41,'Input Assumptions'!$C$43:$L$43)/12)</f>
        <v>-1952.6041666666667</v>
      </c>
      <c r="Q27" s="132">
        <f>IF(Q4=0,"",-'Input Assumptions'!$E$61*_xlfn.XLOOKUP('Monthly Cashflow'!Q4,'Input Assumptions'!$C$41:$L$41,'Input Assumptions'!$C$43:$L$43)/12)</f>
        <v>-1952.6041666666667</v>
      </c>
      <c r="R27" s="132">
        <f>IF(R4=0,"",-'Input Assumptions'!$E$61*_xlfn.XLOOKUP('Monthly Cashflow'!R4,'Input Assumptions'!$C$41:$L$41,'Input Assumptions'!$C$43:$L$43)/12)</f>
        <v>-1952.6041666666667</v>
      </c>
      <c r="S27" s="132">
        <f>IF(S4=0,"",-'Input Assumptions'!$E$61*_xlfn.XLOOKUP('Monthly Cashflow'!S4,'Input Assumptions'!$C$41:$L$41,'Input Assumptions'!$C$43:$L$43)/12)</f>
        <v>-1952.6041666666667</v>
      </c>
      <c r="T27" s="132">
        <f>IF(T4=0,"",-'Input Assumptions'!$E$61*_xlfn.XLOOKUP('Monthly Cashflow'!T4,'Input Assumptions'!$C$41:$L$41,'Input Assumptions'!$C$43:$L$43)/12)</f>
        <v>-1952.6041666666667</v>
      </c>
      <c r="U27" s="132">
        <f>IF(U4=0,"",-'Input Assumptions'!$E$61*_xlfn.XLOOKUP('Monthly Cashflow'!U4,'Input Assumptions'!$C$41:$L$41,'Input Assumptions'!$C$43:$L$43)/12)</f>
        <v>-1952.6041666666667</v>
      </c>
      <c r="V27" s="132">
        <f>IF(V4=0,"",-'Input Assumptions'!$E$61*_xlfn.XLOOKUP('Monthly Cashflow'!V4,'Input Assumptions'!$C$41:$L$41,'Input Assumptions'!$C$43:$L$43)/12)</f>
        <v>-1952.6041666666667</v>
      </c>
      <c r="W27" s="132">
        <f>IF(W4=0,"",-'Input Assumptions'!$E$61*_xlfn.XLOOKUP('Monthly Cashflow'!W4,'Input Assumptions'!$C$41:$L$41,'Input Assumptions'!$C$43:$L$43)/12)</f>
        <v>-1952.6041666666667</v>
      </c>
      <c r="X27" s="132">
        <f>IF(X4=0,"",-'Input Assumptions'!$E$61*_xlfn.XLOOKUP('Monthly Cashflow'!X4,'Input Assumptions'!$C$41:$L$41,'Input Assumptions'!$C$43:$L$43)/12)</f>
        <v>-1952.6041666666667</v>
      </c>
      <c r="Y27" s="132">
        <f>IF(Y4=0,"",-'Input Assumptions'!$E$61*_xlfn.XLOOKUP('Monthly Cashflow'!Y4,'Input Assumptions'!$C$41:$L$41,'Input Assumptions'!$C$43:$L$43)/12)</f>
        <v>-1952.6041666666667</v>
      </c>
      <c r="Z27" s="132">
        <f>IF(Z4=0,"",-'Input Assumptions'!$E$61*_xlfn.XLOOKUP('Monthly Cashflow'!Z4,'Input Assumptions'!$C$41:$L$41,'Input Assumptions'!$C$43:$L$43)/12)</f>
        <v>-1952.6041666666667</v>
      </c>
      <c r="AA27" s="132">
        <f>IF(AA4=0,"",-'Input Assumptions'!$E$61*_xlfn.XLOOKUP('Monthly Cashflow'!AA4,'Input Assumptions'!$C$41:$L$41,'Input Assumptions'!$C$43:$L$43)/12)</f>
        <v>-1952.6041666666667</v>
      </c>
      <c r="AB27" s="132">
        <f>IF(AB4=0,"",-'Input Assumptions'!$E$61*_xlfn.XLOOKUP('Monthly Cashflow'!AB4,'Input Assumptions'!$C$41:$L$41,'Input Assumptions'!$C$43:$L$43)/12)</f>
        <v>-1989.2154947916667</v>
      </c>
      <c r="AC27" s="132">
        <f>IF(AC4=0,"",-'Input Assumptions'!$E$61*_xlfn.XLOOKUP('Monthly Cashflow'!AC4,'Input Assumptions'!$C$41:$L$41,'Input Assumptions'!$C$43:$L$43)/12)</f>
        <v>-1989.2154947916667</v>
      </c>
      <c r="AD27" s="132">
        <f>IF(AD4=0,"",-'Input Assumptions'!$E$61*_xlfn.XLOOKUP('Monthly Cashflow'!AD4,'Input Assumptions'!$C$41:$L$41,'Input Assumptions'!$C$43:$L$43)/12)</f>
        <v>-1989.2154947916667</v>
      </c>
      <c r="AE27" s="132">
        <f>IF(AE4=0,"",-'Input Assumptions'!$E$61*_xlfn.XLOOKUP('Monthly Cashflow'!AE4,'Input Assumptions'!$C$41:$L$41,'Input Assumptions'!$C$43:$L$43)/12)</f>
        <v>-1989.2154947916667</v>
      </c>
      <c r="AF27" s="132">
        <f>IF(AF4=0,"",-'Input Assumptions'!$E$61*_xlfn.XLOOKUP('Monthly Cashflow'!AF4,'Input Assumptions'!$C$41:$L$41,'Input Assumptions'!$C$43:$L$43)/12)</f>
        <v>-1989.2154947916667</v>
      </c>
      <c r="AG27" s="132">
        <f>IF(AG4=0,"",-'Input Assumptions'!$E$61*_xlfn.XLOOKUP('Monthly Cashflow'!AG4,'Input Assumptions'!$C$41:$L$41,'Input Assumptions'!$C$43:$L$43)/12)</f>
        <v>-1989.2154947916667</v>
      </c>
      <c r="AH27" s="132">
        <f>IF(AH4=0,"",-'Input Assumptions'!$E$61*_xlfn.XLOOKUP('Monthly Cashflow'!AH4,'Input Assumptions'!$C$41:$L$41,'Input Assumptions'!$C$43:$L$43)/12)</f>
        <v>-1989.2154947916667</v>
      </c>
      <c r="AI27" s="132">
        <f>IF(AI4=0,"",-'Input Assumptions'!$E$61*_xlfn.XLOOKUP('Monthly Cashflow'!AI4,'Input Assumptions'!$C$41:$L$41,'Input Assumptions'!$C$43:$L$43)/12)</f>
        <v>-1989.2154947916667</v>
      </c>
      <c r="AJ27" s="132">
        <f>IF(AJ4=0,"",-'Input Assumptions'!$E$61*_xlfn.XLOOKUP('Monthly Cashflow'!AJ4,'Input Assumptions'!$C$41:$L$41,'Input Assumptions'!$C$43:$L$43)/12)</f>
        <v>-1989.2154947916667</v>
      </c>
      <c r="AK27" s="132">
        <f>IF(AK4=0,"",-'Input Assumptions'!$E$61*_xlfn.XLOOKUP('Monthly Cashflow'!AK4,'Input Assumptions'!$C$41:$L$41,'Input Assumptions'!$C$43:$L$43)/12)</f>
        <v>-1989.2154947916667</v>
      </c>
      <c r="AL27" s="132">
        <f>IF(AL4=0,"",-'Input Assumptions'!$E$61*_xlfn.XLOOKUP('Monthly Cashflow'!AL4,'Input Assumptions'!$C$41:$L$41,'Input Assumptions'!$C$43:$L$43)/12)</f>
        <v>-1989.2154947916667</v>
      </c>
      <c r="AM27" s="132">
        <f>IF(AM4=0,"",-'Input Assumptions'!$E$61*_xlfn.XLOOKUP('Monthly Cashflow'!AM4,'Input Assumptions'!$C$41:$L$41,'Input Assumptions'!$C$43:$L$43)/12)</f>
        <v>-1989.2154947916667</v>
      </c>
      <c r="AN27" s="132">
        <f>IF(AN4=0,"",-'Input Assumptions'!$E$61*_xlfn.XLOOKUP('Monthly Cashflow'!AN4,'Input Assumptions'!$C$41:$L$41,'Input Assumptions'!$C$43:$L$43)/12)</f>
        <v>-2026.5132853190105</v>
      </c>
      <c r="AO27" s="132">
        <f>IF(AO4=0,"",-'Input Assumptions'!$E$61*_xlfn.XLOOKUP('Monthly Cashflow'!AO4,'Input Assumptions'!$C$41:$L$41,'Input Assumptions'!$C$43:$L$43)/12)</f>
        <v>-2026.5132853190105</v>
      </c>
      <c r="AP27" s="132">
        <f>IF(AP4=0,"",-'Input Assumptions'!$E$61*_xlfn.XLOOKUP('Monthly Cashflow'!AP4,'Input Assumptions'!$C$41:$L$41,'Input Assumptions'!$C$43:$L$43)/12)</f>
        <v>-2026.5132853190105</v>
      </c>
      <c r="AQ27" s="132">
        <f>IF(AQ4=0,"",-'Input Assumptions'!$E$61*_xlfn.XLOOKUP('Monthly Cashflow'!AQ4,'Input Assumptions'!$C$41:$L$41,'Input Assumptions'!$C$43:$L$43)/12)</f>
        <v>-2026.5132853190105</v>
      </c>
      <c r="AR27" s="132">
        <f>IF(AR4=0,"",-'Input Assumptions'!$E$61*_xlfn.XLOOKUP('Monthly Cashflow'!AR4,'Input Assumptions'!$C$41:$L$41,'Input Assumptions'!$C$43:$L$43)/12)</f>
        <v>-2026.5132853190105</v>
      </c>
      <c r="AS27" s="132">
        <f>IF(AS4=0,"",-'Input Assumptions'!$E$61*_xlfn.XLOOKUP('Monthly Cashflow'!AS4,'Input Assumptions'!$C$41:$L$41,'Input Assumptions'!$C$43:$L$43)/12)</f>
        <v>-2026.5132853190105</v>
      </c>
      <c r="AT27" s="132">
        <f>IF(AT4=0,"",-'Input Assumptions'!$E$61*_xlfn.XLOOKUP('Monthly Cashflow'!AT4,'Input Assumptions'!$C$41:$L$41,'Input Assumptions'!$C$43:$L$43)/12)</f>
        <v>-2026.5132853190105</v>
      </c>
      <c r="AU27" s="132">
        <f>IF(AU4=0,"",-'Input Assumptions'!$E$61*_xlfn.XLOOKUP('Monthly Cashflow'!AU4,'Input Assumptions'!$C$41:$L$41,'Input Assumptions'!$C$43:$L$43)/12)</f>
        <v>-2026.5132853190105</v>
      </c>
      <c r="AV27" s="132">
        <f>IF(AV4=0,"",-'Input Assumptions'!$E$61*_xlfn.XLOOKUP('Monthly Cashflow'!AV4,'Input Assumptions'!$C$41:$L$41,'Input Assumptions'!$C$43:$L$43)/12)</f>
        <v>-2026.5132853190105</v>
      </c>
      <c r="AW27" s="132">
        <f>IF(AW4=0,"",-'Input Assumptions'!$E$61*_xlfn.XLOOKUP('Monthly Cashflow'!AW4,'Input Assumptions'!$C$41:$L$41,'Input Assumptions'!$C$43:$L$43)/12)</f>
        <v>-2026.5132853190105</v>
      </c>
      <c r="AX27" s="132">
        <f>IF(AX4=0,"",-'Input Assumptions'!$E$61*_xlfn.XLOOKUP('Monthly Cashflow'!AX4,'Input Assumptions'!$C$41:$L$41,'Input Assumptions'!$C$43:$L$43)/12)</f>
        <v>-2026.5132853190105</v>
      </c>
      <c r="AY27" s="132">
        <f>IF(AY4=0,"",-'Input Assumptions'!$E$61*_xlfn.XLOOKUP('Monthly Cashflow'!AY4,'Input Assumptions'!$C$41:$L$41,'Input Assumptions'!$C$43:$L$43)/12)</f>
        <v>-2026.5132853190105</v>
      </c>
      <c r="AZ27" s="132">
        <f>IF(AZ4=0,"",-'Input Assumptions'!$E$61*_xlfn.XLOOKUP('Monthly Cashflow'!AZ4,'Input Assumptions'!$C$41:$L$41,'Input Assumptions'!$C$43:$L$43)/12)</f>
        <v>-2064.5104094187423</v>
      </c>
      <c r="BA27" s="132">
        <f>IF(BA4=0,"",-'Input Assumptions'!$E$61*_xlfn.XLOOKUP('Monthly Cashflow'!BA4,'Input Assumptions'!$C$41:$L$41,'Input Assumptions'!$C$43:$L$43)/12)</f>
        <v>-2064.5104094187423</v>
      </c>
      <c r="BB27" s="132">
        <f>IF(BB4=0,"",-'Input Assumptions'!$E$61*_xlfn.XLOOKUP('Monthly Cashflow'!BB4,'Input Assumptions'!$C$41:$L$41,'Input Assumptions'!$C$43:$L$43)/12)</f>
        <v>-2064.5104094187423</v>
      </c>
      <c r="BC27" s="132">
        <f>IF(BC4=0,"",-'Input Assumptions'!$E$61*_xlfn.XLOOKUP('Monthly Cashflow'!BC4,'Input Assumptions'!$C$41:$L$41,'Input Assumptions'!$C$43:$L$43)/12)</f>
        <v>-2064.5104094187423</v>
      </c>
      <c r="BD27" s="132">
        <f>IF(BD4=0,"",-'Input Assumptions'!$E$61*_xlfn.XLOOKUP('Monthly Cashflow'!BD4,'Input Assumptions'!$C$41:$L$41,'Input Assumptions'!$C$43:$L$43)/12)</f>
        <v>-2064.5104094187423</v>
      </c>
      <c r="BE27" s="132">
        <f>IF(BE4=0,"",-'Input Assumptions'!$E$61*_xlfn.XLOOKUP('Monthly Cashflow'!BE4,'Input Assumptions'!$C$41:$L$41,'Input Assumptions'!$C$43:$L$43)/12)</f>
        <v>-2064.5104094187423</v>
      </c>
      <c r="BF27" s="132">
        <f>IF(BF4=0,"",-'Input Assumptions'!$E$61*_xlfn.XLOOKUP('Monthly Cashflow'!BF4,'Input Assumptions'!$C$41:$L$41,'Input Assumptions'!$C$43:$L$43)/12)</f>
        <v>-2064.5104094187423</v>
      </c>
      <c r="BG27" s="132">
        <f>IF(BG4=0,"",-'Input Assumptions'!$E$61*_xlfn.XLOOKUP('Monthly Cashflow'!BG4,'Input Assumptions'!$C$41:$L$41,'Input Assumptions'!$C$43:$L$43)/12)</f>
        <v>-2064.5104094187423</v>
      </c>
      <c r="BH27" s="132">
        <f>IF(BH4=0,"",-'Input Assumptions'!$E$61*_xlfn.XLOOKUP('Monthly Cashflow'!BH4,'Input Assumptions'!$C$41:$L$41,'Input Assumptions'!$C$43:$L$43)/12)</f>
        <v>-2064.5104094187423</v>
      </c>
      <c r="BI27" s="132">
        <f>IF(BI4=0,"",-'Input Assumptions'!$E$61*_xlfn.XLOOKUP('Monthly Cashflow'!BI4,'Input Assumptions'!$C$41:$L$41,'Input Assumptions'!$C$43:$L$43)/12)</f>
        <v>-2064.5104094187423</v>
      </c>
      <c r="BJ27" s="132">
        <f>IF(BJ4=0,"",-'Input Assumptions'!$E$61*_xlfn.XLOOKUP('Monthly Cashflow'!BJ4,'Input Assumptions'!$C$41:$L$41,'Input Assumptions'!$C$43:$L$43)/12)</f>
        <v>-2064.5104094187423</v>
      </c>
      <c r="BK27" s="132">
        <f>IF(BK4=0,"",-'Input Assumptions'!$E$61*_xlfn.XLOOKUP('Monthly Cashflow'!BK4,'Input Assumptions'!$C$41:$L$41,'Input Assumptions'!$C$43:$L$43)/12)</f>
        <v>-2064.5104094187423</v>
      </c>
      <c r="BL27" s="132" t="str">
        <f>IF(BL4=0,"",-'Input Assumptions'!$E$61*_xlfn.XLOOKUP('Monthly Cashflow'!BL4,'Input Assumptions'!$C$41:$L$41,'Input Assumptions'!$C$43:$L$43)/12)</f>
        <v/>
      </c>
      <c r="BM27" s="132" t="str">
        <f>IF(BM4=0,"",-'Input Assumptions'!$E$61*_xlfn.XLOOKUP('Monthly Cashflow'!BM4,'Input Assumptions'!$C$41:$L$41,'Input Assumptions'!$C$43:$L$43)/12)</f>
        <v/>
      </c>
      <c r="BN27" s="132" t="str">
        <f>IF(BN4=0,"",-'Input Assumptions'!$E$61*_xlfn.XLOOKUP('Monthly Cashflow'!BN4,'Input Assumptions'!$C$41:$L$41,'Input Assumptions'!$C$43:$L$43)/12)</f>
        <v/>
      </c>
      <c r="BO27" s="132" t="str">
        <f>IF(BO4=0,"",-'Input Assumptions'!$E$61*_xlfn.XLOOKUP('Monthly Cashflow'!BO4,'Input Assumptions'!$C$41:$L$41,'Input Assumptions'!$C$43:$L$43)/12)</f>
        <v/>
      </c>
      <c r="BP27" s="132" t="str">
        <f>IF(BP4=0,"",-'Input Assumptions'!$E$61*_xlfn.XLOOKUP('Monthly Cashflow'!BP4,'Input Assumptions'!$C$41:$L$41,'Input Assumptions'!$C$43:$L$43)/12)</f>
        <v/>
      </c>
      <c r="BQ27" s="132" t="str">
        <f>IF(BQ4=0,"",-'Input Assumptions'!$E$61*_xlfn.XLOOKUP('Monthly Cashflow'!BQ4,'Input Assumptions'!$C$41:$L$41,'Input Assumptions'!$C$43:$L$43)/12)</f>
        <v/>
      </c>
      <c r="BR27" s="132" t="str">
        <f>IF(BR4=0,"",-'Input Assumptions'!$E$61*_xlfn.XLOOKUP('Monthly Cashflow'!BR4,'Input Assumptions'!$C$41:$L$41,'Input Assumptions'!$C$43:$L$43)/12)</f>
        <v/>
      </c>
      <c r="BS27" s="132" t="str">
        <f>IF(BS4=0,"",-'Input Assumptions'!$E$61*_xlfn.XLOOKUP('Monthly Cashflow'!BS4,'Input Assumptions'!$C$41:$L$41,'Input Assumptions'!$C$43:$L$43)/12)</f>
        <v/>
      </c>
      <c r="BT27" s="132" t="str">
        <f>IF(BT4=0,"",-'Input Assumptions'!$E$61*_xlfn.XLOOKUP('Monthly Cashflow'!BT4,'Input Assumptions'!$C$41:$L$41,'Input Assumptions'!$C$43:$L$43)/12)</f>
        <v/>
      </c>
      <c r="BU27" s="132" t="str">
        <f>IF(BU4=0,"",-'Input Assumptions'!$E$61*_xlfn.XLOOKUP('Monthly Cashflow'!BU4,'Input Assumptions'!$C$41:$L$41,'Input Assumptions'!$C$43:$L$43)/12)</f>
        <v/>
      </c>
      <c r="BV27" s="132" t="str">
        <f>IF(BV4=0,"",-'Input Assumptions'!$E$61*_xlfn.XLOOKUP('Monthly Cashflow'!BV4,'Input Assumptions'!$C$41:$L$41,'Input Assumptions'!$C$43:$L$43)/12)</f>
        <v/>
      </c>
      <c r="BW27" s="132" t="str">
        <f>IF(BW4=0,"",-'Input Assumptions'!$E$61*_xlfn.XLOOKUP('Monthly Cashflow'!BW4,'Input Assumptions'!$C$41:$L$41,'Input Assumptions'!$C$43:$L$43)/12)</f>
        <v/>
      </c>
      <c r="BX27" s="132" t="str">
        <f>IF(BX4=0,"",-'Input Assumptions'!$E$61*_xlfn.XLOOKUP('Monthly Cashflow'!BX4,'Input Assumptions'!$C$41:$L$41,'Input Assumptions'!$C$43:$L$43)/12)</f>
        <v/>
      </c>
      <c r="BY27" s="132" t="str">
        <f>IF(BY4=0,"",-'Input Assumptions'!$E$61*_xlfn.XLOOKUP('Monthly Cashflow'!BY4,'Input Assumptions'!$C$41:$L$41,'Input Assumptions'!$C$43:$L$43)/12)</f>
        <v/>
      </c>
      <c r="BZ27" s="132" t="str">
        <f>IF(BZ4=0,"",-'Input Assumptions'!$E$61*_xlfn.XLOOKUP('Monthly Cashflow'!BZ4,'Input Assumptions'!$C$41:$L$41,'Input Assumptions'!$C$43:$L$43)/12)</f>
        <v/>
      </c>
      <c r="CA27" s="132" t="str">
        <f>IF(CA4=0,"",-'Input Assumptions'!$E$61*_xlfn.XLOOKUP('Monthly Cashflow'!CA4,'Input Assumptions'!$C$41:$L$41,'Input Assumptions'!$C$43:$L$43)/12)</f>
        <v/>
      </c>
      <c r="CB27" s="132" t="str">
        <f>IF(CB4=0,"",-'Input Assumptions'!$E$61*_xlfn.XLOOKUP('Monthly Cashflow'!CB4,'Input Assumptions'!$C$41:$L$41,'Input Assumptions'!$C$43:$L$43)/12)</f>
        <v/>
      </c>
      <c r="CC27" s="132" t="str">
        <f>IF(CC4=0,"",-'Input Assumptions'!$E$61*_xlfn.XLOOKUP('Monthly Cashflow'!CC4,'Input Assumptions'!$C$41:$L$41,'Input Assumptions'!$C$43:$L$43)/12)</f>
        <v/>
      </c>
      <c r="CD27" s="132" t="str">
        <f>IF(CD4=0,"",-'Input Assumptions'!$E$61*_xlfn.XLOOKUP('Monthly Cashflow'!CD4,'Input Assumptions'!$C$41:$L$41,'Input Assumptions'!$C$43:$L$43)/12)</f>
        <v/>
      </c>
      <c r="CE27" s="132" t="str">
        <f>IF(CE4=0,"",-'Input Assumptions'!$E$61*_xlfn.XLOOKUP('Monthly Cashflow'!CE4,'Input Assumptions'!$C$41:$L$41,'Input Assumptions'!$C$43:$L$43)/12)</f>
        <v/>
      </c>
      <c r="CF27" s="132" t="str">
        <f>IF(CF4=0,"",-'Input Assumptions'!$E$61*_xlfn.XLOOKUP('Monthly Cashflow'!CF4,'Input Assumptions'!$C$41:$L$41,'Input Assumptions'!$C$43:$L$43)/12)</f>
        <v/>
      </c>
      <c r="CG27" s="132" t="str">
        <f>IF(CG4=0,"",-'Input Assumptions'!$E$61*_xlfn.XLOOKUP('Monthly Cashflow'!CG4,'Input Assumptions'!$C$41:$L$41,'Input Assumptions'!$C$43:$L$43)/12)</f>
        <v/>
      </c>
      <c r="CH27" s="132" t="str">
        <f>IF(CH4=0,"",-'Input Assumptions'!$E$61*_xlfn.XLOOKUP('Monthly Cashflow'!CH4,'Input Assumptions'!$C$41:$L$41,'Input Assumptions'!$C$43:$L$43)/12)</f>
        <v/>
      </c>
      <c r="CI27" s="132" t="str">
        <f>IF(CI4=0,"",-'Input Assumptions'!$E$61*_xlfn.XLOOKUP('Monthly Cashflow'!CI4,'Input Assumptions'!$C$41:$L$41,'Input Assumptions'!$C$43:$L$43)/12)</f>
        <v/>
      </c>
      <c r="CJ27" s="132" t="str">
        <f>IF(CJ4=0,"",-'Input Assumptions'!$E$61*_xlfn.XLOOKUP('Monthly Cashflow'!CJ4,'Input Assumptions'!$C$41:$L$41,'Input Assumptions'!$C$43:$L$43)/12)</f>
        <v/>
      </c>
      <c r="CK27" s="132" t="str">
        <f>IF(CK4=0,"",-'Input Assumptions'!$E$61*_xlfn.XLOOKUP('Monthly Cashflow'!CK4,'Input Assumptions'!$C$41:$L$41,'Input Assumptions'!$C$43:$L$43)/12)</f>
        <v/>
      </c>
      <c r="CL27" s="132" t="str">
        <f>IF(CL4=0,"",-'Input Assumptions'!$E$61*_xlfn.XLOOKUP('Monthly Cashflow'!CL4,'Input Assumptions'!$C$41:$L$41,'Input Assumptions'!$C$43:$L$43)/12)</f>
        <v/>
      </c>
      <c r="CM27" s="132" t="str">
        <f>IF(CM4=0,"",-'Input Assumptions'!$E$61*_xlfn.XLOOKUP('Monthly Cashflow'!CM4,'Input Assumptions'!$C$41:$L$41,'Input Assumptions'!$C$43:$L$43)/12)</f>
        <v/>
      </c>
      <c r="CN27" s="132" t="str">
        <f>IF(CN4=0,"",-'Input Assumptions'!$E$61*_xlfn.XLOOKUP('Monthly Cashflow'!CN4,'Input Assumptions'!$C$41:$L$41,'Input Assumptions'!$C$43:$L$43)/12)</f>
        <v/>
      </c>
      <c r="CO27" s="132" t="str">
        <f>IF(CO4=0,"",-'Input Assumptions'!$E$61*_xlfn.XLOOKUP('Monthly Cashflow'!CO4,'Input Assumptions'!$C$41:$L$41,'Input Assumptions'!$C$43:$L$43)/12)</f>
        <v/>
      </c>
      <c r="CP27" s="132" t="str">
        <f>IF(CP4=0,"",-'Input Assumptions'!$E$61*_xlfn.XLOOKUP('Monthly Cashflow'!CP4,'Input Assumptions'!$C$41:$L$41,'Input Assumptions'!$C$43:$L$43)/12)</f>
        <v/>
      </c>
      <c r="CQ27" s="132" t="str">
        <f>IF(CQ4=0,"",-'Input Assumptions'!$E$61*_xlfn.XLOOKUP('Monthly Cashflow'!CQ4,'Input Assumptions'!$C$41:$L$41,'Input Assumptions'!$C$43:$L$43)/12)</f>
        <v/>
      </c>
      <c r="CR27" s="132" t="str">
        <f>IF(CR4=0,"",-'Input Assumptions'!$E$61*_xlfn.XLOOKUP('Monthly Cashflow'!CR4,'Input Assumptions'!$C$41:$L$41,'Input Assumptions'!$C$43:$L$43)/12)</f>
        <v/>
      </c>
      <c r="CS27" s="132" t="str">
        <f>IF(CS4=0,"",-'Input Assumptions'!$E$61*_xlfn.XLOOKUP('Monthly Cashflow'!CS4,'Input Assumptions'!$C$41:$L$41,'Input Assumptions'!$C$43:$L$43)/12)</f>
        <v/>
      </c>
      <c r="CT27" s="132" t="str">
        <f>IF(CT4=0,"",-'Input Assumptions'!$E$61*_xlfn.XLOOKUP('Monthly Cashflow'!CT4,'Input Assumptions'!$C$41:$L$41,'Input Assumptions'!$C$43:$L$43)/12)</f>
        <v/>
      </c>
      <c r="CU27" s="132" t="str">
        <f>IF(CU4=0,"",-'Input Assumptions'!$E$61*_xlfn.XLOOKUP('Monthly Cashflow'!CU4,'Input Assumptions'!$C$41:$L$41,'Input Assumptions'!$C$43:$L$43)/12)</f>
        <v/>
      </c>
      <c r="CV27" s="132" t="str">
        <f>IF(CV4=0,"",-'Input Assumptions'!$E$61*_xlfn.XLOOKUP('Monthly Cashflow'!CV4,'Input Assumptions'!$C$41:$L$41,'Input Assumptions'!$C$43:$L$43)/12)</f>
        <v/>
      </c>
      <c r="CW27" s="132" t="str">
        <f>IF(CW4=0,"",-'Input Assumptions'!$E$61*_xlfn.XLOOKUP('Monthly Cashflow'!CW4,'Input Assumptions'!$C$41:$L$41,'Input Assumptions'!$C$43:$L$43)/12)</f>
        <v/>
      </c>
      <c r="CX27" s="132" t="str">
        <f>IF(CX4=0,"",-'Input Assumptions'!$E$61*_xlfn.XLOOKUP('Monthly Cashflow'!CX4,'Input Assumptions'!$C$41:$L$41,'Input Assumptions'!$C$43:$L$43)/12)</f>
        <v/>
      </c>
      <c r="CY27" s="132" t="str">
        <f>IF(CY4=0,"",-'Input Assumptions'!$E$61*_xlfn.XLOOKUP('Monthly Cashflow'!CY4,'Input Assumptions'!$C$41:$L$41,'Input Assumptions'!$C$43:$L$43)/12)</f>
        <v/>
      </c>
      <c r="CZ27" s="132" t="str">
        <f>IF(CZ4=0,"",-'Input Assumptions'!$E$61*_xlfn.XLOOKUP('Monthly Cashflow'!CZ4,'Input Assumptions'!$C$41:$L$41,'Input Assumptions'!$C$43:$L$43)/12)</f>
        <v/>
      </c>
      <c r="DA27" s="132" t="str">
        <f>IF(DA4=0,"",-'Input Assumptions'!$E$61*_xlfn.XLOOKUP('Monthly Cashflow'!DA4,'Input Assumptions'!$C$41:$L$41,'Input Assumptions'!$C$43:$L$43)/12)</f>
        <v/>
      </c>
      <c r="DB27" s="132" t="str">
        <f>IF(DB4=0,"",-'Input Assumptions'!$E$61*_xlfn.XLOOKUP('Monthly Cashflow'!DB4,'Input Assumptions'!$C$41:$L$41,'Input Assumptions'!$C$43:$L$43)/12)</f>
        <v/>
      </c>
      <c r="DC27" s="132" t="str">
        <f>IF(DC4=0,"",-'Input Assumptions'!$E$61*_xlfn.XLOOKUP('Monthly Cashflow'!DC4,'Input Assumptions'!$C$41:$L$41,'Input Assumptions'!$C$43:$L$43)/12)</f>
        <v/>
      </c>
      <c r="DD27" s="132" t="str">
        <f>IF(DD4=0,"",-'Input Assumptions'!$E$61*_xlfn.XLOOKUP('Monthly Cashflow'!DD4,'Input Assumptions'!$C$41:$L$41,'Input Assumptions'!$C$43:$L$43)/12)</f>
        <v/>
      </c>
      <c r="DE27" s="132" t="str">
        <f>IF(DE4=0,"",-'Input Assumptions'!$E$61*_xlfn.XLOOKUP('Monthly Cashflow'!DE4,'Input Assumptions'!$C$41:$L$41,'Input Assumptions'!$C$43:$L$43)/12)</f>
        <v/>
      </c>
      <c r="DF27" s="132" t="str">
        <f>IF(DF4=0,"",-'Input Assumptions'!$E$61*_xlfn.XLOOKUP('Monthly Cashflow'!DF4,'Input Assumptions'!$C$41:$L$41,'Input Assumptions'!$C$43:$L$43)/12)</f>
        <v/>
      </c>
      <c r="DG27" s="132" t="str">
        <f>IF(DG4=0,"",-'Input Assumptions'!$E$61*_xlfn.XLOOKUP('Monthly Cashflow'!DG4,'Input Assumptions'!$C$41:$L$41,'Input Assumptions'!$C$43:$L$43)/12)</f>
        <v/>
      </c>
      <c r="DH27" s="132" t="str">
        <f>IF(DH4=0,"",-'Input Assumptions'!$E$61*_xlfn.XLOOKUP('Monthly Cashflow'!DH4,'Input Assumptions'!$C$41:$L$41,'Input Assumptions'!$C$43:$L$43)/12)</f>
        <v/>
      </c>
      <c r="DI27" s="132" t="str">
        <f>IF(DI4=0,"",-'Input Assumptions'!$E$61*_xlfn.XLOOKUP('Monthly Cashflow'!DI4,'Input Assumptions'!$C$41:$L$41,'Input Assumptions'!$C$43:$L$43)/12)</f>
        <v/>
      </c>
      <c r="DJ27" s="132" t="str">
        <f>IF(DJ4=0,"",-'Input Assumptions'!$E$61*_xlfn.XLOOKUP('Monthly Cashflow'!DJ4,'Input Assumptions'!$C$41:$L$41,'Input Assumptions'!$C$43:$L$43)/12)</f>
        <v/>
      </c>
      <c r="DK27" s="132" t="str">
        <f>IF(DK4=0,"",-'Input Assumptions'!$E$61*_xlfn.XLOOKUP('Monthly Cashflow'!DK4,'Input Assumptions'!$C$41:$L$41,'Input Assumptions'!$C$43:$L$43)/12)</f>
        <v/>
      </c>
      <c r="DL27" s="132" t="str">
        <f>IF(DL4=0,"",-'Input Assumptions'!$E$61*_xlfn.XLOOKUP('Monthly Cashflow'!DL4,'Input Assumptions'!$C$41:$L$41,'Input Assumptions'!$C$43:$L$43)/12)</f>
        <v/>
      </c>
      <c r="DM27" s="132" t="str">
        <f>IF(DM4=0,"",-'Input Assumptions'!$E$61*_xlfn.XLOOKUP('Monthly Cashflow'!DM4,'Input Assumptions'!$C$41:$L$41,'Input Assumptions'!$C$43:$L$43)/12)</f>
        <v/>
      </c>
      <c r="DN27" s="132" t="str">
        <f>IF(DN4=0,"",-'Input Assumptions'!$E$61*_xlfn.XLOOKUP('Monthly Cashflow'!DN4,'Input Assumptions'!$C$41:$L$41,'Input Assumptions'!$C$43:$L$43)/12)</f>
        <v/>
      </c>
      <c r="DO27" s="132" t="str">
        <f>IF(DO4=0,"",-'Input Assumptions'!$E$61*_xlfn.XLOOKUP('Monthly Cashflow'!DO4,'Input Assumptions'!$C$41:$L$41,'Input Assumptions'!$C$43:$L$43)/12)</f>
        <v/>
      </c>
      <c r="DP27" s="132" t="str">
        <f>IF(DP4=0,"",-'Input Assumptions'!$E$61*_xlfn.XLOOKUP('Monthly Cashflow'!DP4,'Input Assumptions'!$C$41:$L$41,'Input Assumptions'!$C$43:$L$43)/12)</f>
        <v/>
      </c>
      <c r="DQ27" s="132" t="str">
        <f>IF(DQ4=0,"",-'Input Assumptions'!$E$61*_xlfn.XLOOKUP('Monthly Cashflow'!DQ4,'Input Assumptions'!$C$41:$L$41,'Input Assumptions'!$C$43:$L$43)/12)</f>
        <v/>
      </c>
      <c r="DR27" s="132" t="str">
        <f>IF(DR4=0,"",-'Input Assumptions'!$E$61*_xlfn.XLOOKUP('Monthly Cashflow'!DR4,'Input Assumptions'!$C$41:$L$41,'Input Assumptions'!$C$43:$L$43)/12)</f>
        <v/>
      </c>
      <c r="DS27" s="132" t="str">
        <f>IF(DS4=0,"",-'Input Assumptions'!$E$61*_xlfn.XLOOKUP('Monthly Cashflow'!DS4,'Input Assumptions'!$C$41:$L$41,'Input Assumptions'!$C$43:$L$43)/12)</f>
        <v/>
      </c>
    </row>
    <row r="28" spans="1:123" x14ac:dyDescent="0.3">
      <c r="B28" s="111" t="s">
        <v>113</v>
      </c>
      <c r="D28" s="132">
        <f>IF(D4=0,"",-'Input Assumptions'!$E$58*_xlfn.XLOOKUP('Monthly Cashflow'!D4,'Input Assumptions'!$C$41:$L$41,'Input Assumptions'!$C$43:$L$43)/12)</f>
        <v>0</v>
      </c>
      <c r="E28" s="132">
        <f>IF(E4=0,"",-'Input Assumptions'!$E$58*_xlfn.XLOOKUP('Monthly Cashflow'!E4,'Input Assumptions'!$C$41:$L$41,'Input Assumptions'!$C$43:$L$43)/12)</f>
        <v>0</v>
      </c>
      <c r="F28" s="132">
        <f>IF(F4=0,"",-'Input Assumptions'!$E$58*_xlfn.XLOOKUP('Monthly Cashflow'!F4,'Input Assumptions'!$C$41:$L$41,'Input Assumptions'!$C$43:$L$43)/12)</f>
        <v>0</v>
      </c>
      <c r="G28" s="132">
        <f>IF(G4=0,"",-'Input Assumptions'!$E$58*_xlfn.XLOOKUP('Monthly Cashflow'!G4,'Input Assumptions'!$C$41:$L$41,'Input Assumptions'!$C$43:$L$43)/12)</f>
        <v>0</v>
      </c>
      <c r="H28" s="132">
        <f>IF(H4=0,"",-'Input Assumptions'!$E$58*_xlfn.XLOOKUP('Monthly Cashflow'!H4,'Input Assumptions'!$C$41:$L$41,'Input Assumptions'!$C$43:$L$43)/12)</f>
        <v>0</v>
      </c>
      <c r="I28" s="132">
        <f>IF(I4=0,"",-'Input Assumptions'!$E$58*_xlfn.XLOOKUP('Monthly Cashflow'!I4,'Input Assumptions'!$C$41:$L$41,'Input Assumptions'!$C$43:$L$43)/12)</f>
        <v>0</v>
      </c>
      <c r="J28" s="132">
        <f>IF(J4=0,"",-'Input Assumptions'!$E$58*_xlfn.XLOOKUP('Monthly Cashflow'!J4,'Input Assumptions'!$C$41:$L$41,'Input Assumptions'!$C$43:$L$43)/12)</f>
        <v>0</v>
      </c>
      <c r="K28" s="132">
        <f>IF(K4=0,"",-'Input Assumptions'!$E$58*_xlfn.XLOOKUP('Monthly Cashflow'!K4,'Input Assumptions'!$C$41:$L$41,'Input Assumptions'!$C$43:$L$43)/12)</f>
        <v>0</v>
      </c>
      <c r="L28" s="132">
        <f>IF(L4=0,"",-'Input Assumptions'!$E$58*_xlfn.XLOOKUP('Monthly Cashflow'!L4,'Input Assumptions'!$C$41:$L$41,'Input Assumptions'!$C$43:$L$43)/12)</f>
        <v>0</v>
      </c>
      <c r="M28" s="132">
        <f>IF(M4=0,"",-'Input Assumptions'!$E$58*_xlfn.XLOOKUP('Monthly Cashflow'!M4,'Input Assumptions'!$C$41:$L$41,'Input Assumptions'!$C$43:$L$43)/12)</f>
        <v>0</v>
      </c>
      <c r="N28" s="132">
        <f>IF(N4=0,"",-'Input Assumptions'!$E$58*_xlfn.XLOOKUP('Monthly Cashflow'!N4,'Input Assumptions'!$C$41:$L$41,'Input Assumptions'!$C$43:$L$43)/12)</f>
        <v>0</v>
      </c>
      <c r="O28" s="132">
        <f>IF(O4=0,"",-'Input Assumptions'!$E$58*_xlfn.XLOOKUP('Monthly Cashflow'!O4,'Input Assumptions'!$C$41:$L$41,'Input Assumptions'!$C$43:$L$43)/12)</f>
        <v>0</v>
      </c>
      <c r="P28" s="132">
        <f>IF(P4=0,"",-'Input Assumptions'!$E$58*_xlfn.XLOOKUP('Monthly Cashflow'!P4,'Input Assumptions'!$C$41:$L$41,'Input Assumptions'!$C$43:$L$43)/12)</f>
        <v>0</v>
      </c>
      <c r="Q28" s="132">
        <f>IF(Q4=0,"",-'Input Assumptions'!$E$58*_xlfn.XLOOKUP('Monthly Cashflow'!Q4,'Input Assumptions'!$C$41:$L$41,'Input Assumptions'!$C$43:$L$43)/12)</f>
        <v>0</v>
      </c>
      <c r="R28" s="132">
        <f>IF(R4=0,"",-'Input Assumptions'!$E$58*_xlfn.XLOOKUP('Monthly Cashflow'!R4,'Input Assumptions'!$C$41:$L$41,'Input Assumptions'!$C$43:$L$43)/12)</f>
        <v>0</v>
      </c>
      <c r="S28" s="132">
        <f>IF(S4=0,"",-'Input Assumptions'!$E$58*_xlfn.XLOOKUP('Monthly Cashflow'!S4,'Input Assumptions'!$C$41:$L$41,'Input Assumptions'!$C$43:$L$43)/12)</f>
        <v>0</v>
      </c>
      <c r="T28" s="132">
        <f>IF(T4=0,"",-'Input Assumptions'!$E$58*_xlfn.XLOOKUP('Monthly Cashflow'!T4,'Input Assumptions'!$C$41:$L$41,'Input Assumptions'!$C$43:$L$43)/12)</f>
        <v>0</v>
      </c>
      <c r="U28" s="132">
        <f>IF(U4=0,"",-'Input Assumptions'!$E$58*_xlfn.XLOOKUP('Monthly Cashflow'!U4,'Input Assumptions'!$C$41:$L$41,'Input Assumptions'!$C$43:$L$43)/12)</f>
        <v>0</v>
      </c>
      <c r="V28" s="132">
        <f>IF(V4=0,"",-'Input Assumptions'!$E$58*_xlfn.XLOOKUP('Monthly Cashflow'!V4,'Input Assumptions'!$C$41:$L$41,'Input Assumptions'!$C$43:$L$43)/12)</f>
        <v>0</v>
      </c>
      <c r="W28" s="132">
        <f>IF(W4=0,"",-'Input Assumptions'!$E$58*_xlfn.XLOOKUP('Monthly Cashflow'!W4,'Input Assumptions'!$C$41:$L$41,'Input Assumptions'!$C$43:$L$43)/12)</f>
        <v>0</v>
      </c>
      <c r="X28" s="132">
        <f>IF(X4=0,"",-'Input Assumptions'!$E$58*_xlfn.XLOOKUP('Monthly Cashflow'!X4,'Input Assumptions'!$C$41:$L$41,'Input Assumptions'!$C$43:$L$43)/12)</f>
        <v>0</v>
      </c>
      <c r="Y28" s="132">
        <f>IF(Y4=0,"",-'Input Assumptions'!$E$58*_xlfn.XLOOKUP('Monthly Cashflow'!Y4,'Input Assumptions'!$C$41:$L$41,'Input Assumptions'!$C$43:$L$43)/12)</f>
        <v>0</v>
      </c>
      <c r="Z28" s="132">
        <f>IF(Z4=0,"",-'Input Assumptions'!$E$58*_xlfn.XLOOKUP('Monthly Cashflow'!Z4,'Input Assumptions'!$C$41:$L$41,'Input Assumptions'!$C$43:$L$43)/12)</f>
        <v>0</v>
      </c>
      <c r="AA28" s="132">
        <f>IF(AA4=0,"",-'Input Assumptions'!$E$58*_xlfn.XLOOKUP('Monthly Cashflow'!AA4,'Input Assumptions'!$C$41:$L$41,'Input Assumptions'!$C$43:$L$43)/12)</f>
        <v>0</v>
      </c>
      <c r="AB28" s="132">
        <f>IF(AB4=0,"",-'Input Assumptions'!$E$58*_xlfn.XLOOKUP('Monthly Cashflow'!AB4,'Input Assumptions'!$C$41:$L$41,'Input Assumptions'!$C$43:$L$43)/12)</f>
        <v>0</v>
      </c>
      <c r="AC28" s="132">
        <f>IF(AC4=0,"",-'Input Assumptions'!$E$58*_xlfn.XLOOKUP('Monthly Cashflow'!AC4,'Input Assumptions'!$C$41:$L$41,'Input Assumptions'!$C$43:$L$43)/12)</f>
        <v>0</v>
      </c>
      <c r="AD28" s="132">
        <f>IF(AD4=0,"",-'Input Assumptions'!$E$58*_xlfn.XLOOKUP('Monthly Cashflow'!AD4,'Input Assumptions'!$C$41:$L$41,'Input Assumptions'!$C$43:$L$43)/12)</f>
        <v>0</v>
      </c>
      <c r="AE28" s="132">
        <f>IF(AE4=0,"",-'Input Assumptions'!$E$58*_xlfn.XLOOKUP('Monthly Cashflow'!AE4,'Input Assumptions'!$C$41:$L$41,'Input Assumptions'!$C$43:$L$43)/12)</f>
        <v>0</v>
      </c>
      <c r="AF28" s="132">
        <f>IF(AF4=0,"",-'Input Assumptions'!$E$58*_xlfn.XLOOKUP('Monthly Cashflow'!AF4,'Input Assumptions'!$C$41:$L$41,'Input Assumptions'!$C$43:$L$43)/12)</f>
        <v>0</v>
      </c>
      <c r="AG28" s="132">
        <f>IF(AG4=0,"",-'Input Assumptions'!$E$58*_xlfn.XLOOKUP('Monthly Cashflow'!AG4,'Input Assumptions'!$C$41:$L$41,'Input Assumptions'!$C$43:$L$43)/12)</f>
        <v>0</v>
      </c>
      <c r="AH28" s="132">
        <f>IF(AH4=0,"",-'Input Assumptions'!$E$58*_xlfn.XLOOKUP('Monthly Cashflow'!AH4,'Input Assumptions'!$C$41:$L$41,'Input Assumptions'!$C$43:$L$43)/12)</f>
        <v>0</v>
      </c>
      <c r="AI28" s="132">
        <f>IF(AI4=0,"",-'Input Assumptions'!$E$58*_xlfn.XLOOKUP('Monthly Cashflow'!AI4,'Input Assumptions'!$C$41:$L$41,'Input Assumptions'!$C$43:$L$43)/12)</f>
        <v>0</v>
      </c>
      <c r="AJ28" s="132">
        <f>IF(AJ4=0,"",-'Input Assumptions'!$E$58*_xlfn.XLOOKUP('Monthly Cashflow'!AJ4,'Input Assumptions'!$C$41:$L$41,'Input Assumptions'!$C$43:$L$43)/12)</f>
        <v>0</v>
      </c>
      <c r="AK28" s="132">
        <f>IF(AK4=0,"",-'Input Assumptions'!$E$58*_xlfn.XLOOKUP('Monthly Cashflow'!AK4,'Input Assumptions'!$C$41:$L$41,'Input Assumptions'!$C$43:$L$43)/12)</f>
        <v>0</v>
      </c>
      <c r="AL28" s="132">
        <f>IF(AL4=0,"",-'Input Assumptions'!$E$58*_xlfn.XLOOKUP('Monthly Cashflow'!AL4,'Input Assumptions'!$C$41:$L$41,'Input Assumptions'!$C$43:$L$43)/12)</f>
        <v>0</v>
      </c>
      <c r="AM28" s="132">
        <f>IF(AM4=0,"",-'Input Assumptions'!$E$58*_xlfn.XLOOKUP('Monthly Cashflow'!AM4,'Input Assumptions'!$C$41:$L$41,'Input Assumptions'!$C$43:$L$43)/12)</f>
        <v>0</v>
      </c>
      <c r="AN28" s="132">
        <f>IF(AN4=0,"",-'Input Assumptions'!$E$58*_xlfn.XLOOKUP('Monthly Cashflow'!AN4,'Input Assumptions'!$C$41:$L$41,'Input Assumptions'!$C$43:$L$43)/12)</f>
        <v>0</v>
      </c>
      <c r="AO28" s="132">
        <f>IF(AO4=0,"",-'Input Assumptions'!$E$58*_xlfn.XLOOKUP('Monthly Cashflow'!AO4,'Input Assumptions'!$C$41:$L$41,'Input Assumptions'!$C$43:$L$43)/12)</f>
        <v>0</v>
      </c>
      <c r="AP28" s="132">
        <f>IF(AP4=0,"",-'Input Assumptions'!$E$58*_xlfn.XLOOKUP('Monthly Cashflow'!AP4,'Input Assumptions'!$C$41:$L$41,'Input Assumptions'!$C$43:$L$43)/12)</f>
        <v>0</v>
      </c>
      <c r="AQ28" s="132">
        <f>IF(AQ4=0,"",-'Input Assumptions'!$E$58*_xlfn.XLOOKUP('Monthly Cashflow'!AQ4,'Input Assumptions'!$C$41:$L$41,'Input Assumptions'!$C$43:$L$43)/12)</f>
        <v>0</v>
      </c>
      <c r="AR28" s="132">
        <f>IF(AR4=0,"",-'Input Assumptions'!$E$58*_xlfn.XLOOKUP('Monthly Cashflow'!AR4,'Input Assumptions'!$C$41:$L$41,'Input Assumptions'!$C$43:$L$43)/12)</f>
        <v>0</v>
      </c>
      <c r="AS28" s="132">
        <f>IF(AS4=0,"",-'Input Assumptions'!$E$58*_xlfn.XLOOKUP('Monthly Cashflow'!AS4,'Input Assumptions'!$C$41:$L$41,'Input Assumptions'!$C$43:$L$43)/12)</f>
        <v>0</v>
      </c>
      <c r="AT28" s="132">
        <f>IF(AT4=0,"",-'Input Assumptions'!$E$58*_xlfn.XLOOKUP('Monthly Cashflow'!AT4,'Input Assumptions'!$C$41:$L$41,'Input Assumptions'!$C$43:$L$43)/12)</f>
        <v>0</v>
      </c>
      <c r="AU28" s="132">
        <f>IF(AU4=0,"",-'Input Assumptions'!$E$58*_xlfn.XLOOKUP('Monthly Cashflow'!AU4,'Input Assumptions'!$C$41:$L$41,'Input Assumptions'!$C$43:$L$43)/12)</f>
        <v>0</v>
      </c>
      <c r="AV28" s="132">
        <f>IF(AV4=0,"",-'Input Assumptions'!$E$58*_xlfn.XLOOKUP('Monthly Cashflow'!AV4,'Input Assumptions'!$C$41:$L$41,'Input Assumptions'!$C$43:$L$43)/12)</f>
        <v>0</v>
      </c>
      <c r="AW28" s="132">
        <f>IF(AW4=0,"",-'Input Assumptions'!$E$58*_xlfn.XLOOKUP('Monthly Cashflow'!AW4,'Input Assumptions'!$C$41:$L$41,'Input Assumptions'!$C$43:$L$43)/12)</f>
        <v>0</v>
      </c>
      <c r="AX28" s="132">
        <f>IF(AX4=0,"",-'Input Assumptions'!$E$58*_xlfn.XLOOKUP('Monthly Cashflow'!AX4,'Input Assumptions'!$C$41:$L$41,'Input Assumptions'!$C$43:$L$43)/12)</f>
        <v>0</v>
      </c>
      <c r="AY28" s="132">
        <f>IF(AY4=0,"",-'Input Assumptions'!$E$58*_xlfn.XLOOKUP('Monthly Cashflow'!AY4,'Input Assumptions'!$C$41:$L$41,'Input Assumptions'!$C$43:$L$43)/12)</f>
        <v>0</v>
      </c>
      <c r="AZ28" s="132">
        <f>IF(AZ4=0,"",-'Input Assumptions'!$E$58*_xlfn.XLOOKUP('Monthly Cashflow'!AZ4,'Input Assumptions'!$C$41:$L$41,'Input Assumptions'!$C$43:$L$43)/12)</f>
        <v>0</v>
      </c>
      <c r="BA28" s="132">
        <f>IF(BA4=0,"",-'Input Assumptions'!$E$58*_xlfn.XLOOKUP('Monthly Cashflow'!BA4,'Input Assumptions'!$C$41:$L$41,'Input Assumptions'!$C$43:$L$43)/12)</f>
        <v>0</v>
      </c>
      <c r="BB28" s="132">
        <f>IF(BB4=0,"",-'Input Assumptions'!$E$58*_xlfn.XLOOKUP('Monthly Cashflow'!BB4,'Input Assumptions'!$C$41:$L$41,'Input Assumptions'!$C$43:$L$43)/12)</f>
        <v>0</v>
      </c>
      <c r="BC28" s="132">
        <f>IF(BC4=0,"",-'Input Assumptions'!$E$58*_xlfn.XLOOKUP('Monthly Cashflow'!BC4,'Input Assumptions'!$C$41:$L$41,'Input Assumptions'!$C$43:$L$43)/12)</f>
        <v>0</v>
      </c>
      <c r="BD28" s="132">
        <f>IF(BD4=0,"",-'Input Assumptions'!$E$58*_xlfn.XLOOKUP('Monthly Cashflow'!BD4,'Input Assumptions'!$C$41:$L$41,'Input Assumptions'!$C$43:$L$43)/12)</f>
        <v>0</v>
      </c>
      <c r="BE28" s="132">
        <f>IF(BE4=0,"",-'Input Assumptions'!$E$58*_xlfn.XLOOKUP('Monthly Cashflow'!BE4,'Input Assumptions'!$C$41:$L$41,'Input Assumptions'!$C$43:$L$43)/12)</f>
        <v>0</v>
      </c>
      <c r="BF28" s="132">
        <f>IF(BF4=0,"",-'Input Assumptions'!$E$58*_xlfn.XLOOKUP('Monthly Cashflow'!BF4,'Input Assumptions'!$C$41:$L$41,'Input Assumptions'!$C$43:$L$43)/12)</f>
        <v>0</v>
      </c>
      <c r="BG28" s="132">
        <f>IF(BG4=0,"",-'Input Assumptions'!$E$58*_xlfn.XLOOKUP('Monthly Cashflow'!BG4,'Input Assumptions'!$C$41:$L$41,'Input Assumptions'!$C$43:$L$43)/12)</f>
        <v>0</v>
      </c>
      <c r="BH28" s="132">
        <f>IF(BH4=0,"",-'Input Assumptions'!$E$58*_xlfn.XLOOKUP('Monthly Cashflow'!BH4,'Input Assumptions'!$C$41:$L$41,'Input Assumptions'!$C$43:$L$43)/12)</f>
        <v>0</v>
      </c>
      <c r="BI28" s="132">
        <f>IF(BI4=0,"",-'Input Assumptions'!$E$58*_xlfn.XLOOKUP('Monthly Cashflow'!BI4,'Input Assumptions'!$C$41:$L$41,'Input Assumptions'!$C$43:$L$43)/12)</f>
        <v>0</v>
      </c>
      <c r="BJ28" s="132">
        <f>IF(BJ4=0,"",-'Input Assumptions'!$E$58*_xlfn.XLOOKUP('Monthly Cashflow'!BJ4,'Input Assumptions'!$C$41:$L$41,'Input Assumptions'!$C$43:$L$43)/12)</f>
        <v>0</v>
      </c>
      <c r="BK28" s="132">
        <f>IF(BK4=0,"",-'Input Assumptions'!$E$58*_xlfn.XLOOKUP('Monthly Cashflow'!BK4,'Input Assumptions'!$C$41:$L$41,'Input Assumptions'!$C$43:$L$43)/12)</f>
        <v>0</v>
      </c>
      <c r="BL28" s="132" t="str">
        <f>IF(BL4=0,"",-'Input Assumptions'!$E$58*_xlfn.XLOOKUP('Monthly Cashflow'!BL4,'Input Assumptions'!$C$41:$L$41,'Input Assumptions'!$C$43:$L$43)/12)</f>
        <v/>
      </c>
      <c r="BM28" s="132" t="str">
        <f>IF(BM4=0,"",-'Input Assumptions'!$E$58*_xlfn.XLOOKUP('Monthly Cashflow'!BM4,'Input Assumptions'!$C$41:$L$41,'Input Assumptions'!$C$43:$L$43)/12)</f>
        <v/>
      </c>
      <c r="BN28" s="132" t="str">
        <f>IF(BN4=0,"",-'Input Assumptions'!$E$58*_xlfn.XLOOKUP('Monthly Cashflow'!BN4,'Input Assumptions'!$C$41:$L$41,'Input Assumptions'!$C$43:$L$43)/12)</f>
        <v/>
      </c>
      <c r="BO28" s="132" t="str">
        <f>IF(BO4=0,"",-'Input Assumptions'!$E$58*_xlfn.XLOOKUP('Monthly Cashflow'!BO4,'Input Assumptions'!$C$41:$L$41,'Input Assumptions'!$C$43:$L$43)/12)</f>
        <v/>
      </c>
      <c r="BP28" s="132" t="str">
        <f>IF(BP4=0,"",-'Input Assumptions'!$E$58*_xlfn.XLOOKUP('Monthly Cashflow'!BP4,'Input Assumptions'!$C$41:$L$41,'Input Assumptions'!$C$43:$L$43)/12)</f>
        <v/>
      </c>
      <c r="BQ28" s="132" t="str">
        <f>IF(BQ4=0,"",-'Input Assumptions'!$E$58*_xlfn.XLOOKUP('Monthly Cashflow'!BQ4,'Input Assumptions'!$C$41:$L$41,'Input Assumptions'!$C$43:$L$43)/12)</f>
        <v/>
      </c>
      <c r="BR28" s="132" t="str">
        <f>IF(BR4=0,"",-'Input Assumptions'!$E$58*_xlfn.XLOOKUP('Monthly Cashflow'!BR4,'Input Assumptions'!$C$41:$L$41,'Input Assumptions'!$C$43:$L$43)/12)</f>
        <v/>
      </c>
      <c r="BS28" s="132" t="str">
        <f>IF(BS4=0,"",-'Input Assumptions'!$E$58*_xlfn.XLOOKUP('Monthly Cashflow'!BS4,'Input Assumptions'!$C$41:$L$41,'Input Assumptions'!$C$43:$L$43)/12)</f>
        <v/>
      </c>
      <c r="BT28" s="132" t="str">
        <f>IF(BT4=0,"",-'Input Assumptions'!$E$58*_xlfn.XLOOKUP('Monthly Cashflow'!BT4,'Input Assumptions'!$C$41:$L$41,'Input Assumptions'!$C$43:$L$43)/12)</f>
        <v/>
      </c>
      <c r="BU28" s="132" t="str">
        <f>IF(BU4=0,"",-'Input Assumptions'!$E$58*_xlfn.XLOOKUP('Monthly Cashflow'!BU4,'Input Assumptions'!$C$41:$L$41,'Input Assumptions'!$C$43:$L$43)/12)</f>
        <v/>
      </c>
      <c r="BV28" s="132" t="str">
        <f>IF(BV4=0,"",-'Input Assumptions'!$E$58*_xlfn.XLOOKUP('Monthly Cashflow'!BV4,'Input Assumptions'!$C$41:$L$41,'Input Assumptions'!$C$43:$L$43)/12)</f>
        <v/>
      </c>
      <c r="BW28" s="132" t="str">
        <f>IF(BW4=0,"",-'Input Assumptions'!$E$58*_xlfn.XLOOKUP('Monthly Cashflow'!BW4,'Input Assumptions'!$C$41:$L$41,'Input Assumptions'!$C$43:$L$43)/12)</f>
        <v/>
      </c>
      <c r="BX28" s="132" t="str">
        <f>IF(BX4=0,"",-'Input Assumptions'!$E$58*_xlfn.XLOOKUP('Monthly Cashflow'!BX4,'Input Assumptions'!$C$41:$L$41,'Input Assumptions'!$C$43:$L$43)/12)</f>
        <v/>
      </c>
      <c r="BY28" s="132" t="str">
        <f>IF(BY4=0,"",-'Input Assumptions'!$E$58*_xlfn.XLOOKUP('Monthly Cashflow'!BY4,'Input Assumptions'!$C$41:$L$41,'Input Assumptions'!$C$43:$L$43)/12)</f>
        <v/>
      </c>
      <c r="BZ28" s="132" t="str">
        <f>IF(BZ4=0,"",-'Input Assumptions'!$E$58*_xlfn.XLOOKUP('Monthly Cashflow'!BZ4,'Input Assumptions'!$C$41:$L$41,'Input Assumptions'!$C$43:$L$43)/12)</f>
        <v/>
      </c>
      <c r="CA28" s="132" t="str">
        <f>IF(CA4=0,"",-'Input Assumptions'!$E$58*_xlfn.XLOOKUP('Monthly Cashflow'!CA4,'Input Assumptions'!$C$41:$L$41,'Input Assumptions'!$C$43:$L$43)/12)</f>
        <v/>
      </c>
      <c r="CB28" s="132" t="str">
        <f>IF(CB4=0,"",-'Input Assumptions'!$E$58*_xlfn.XLOOKUP('Monthly Cashflow'!CB4,'Input Assumptions'!$C$41:$L$41,'Input Assumptions'!$C$43:$L$43)/12)</f>
        <v/>
      </c>
      <c r="CC28" s="132" t="str">
        <f>IF(CC4=0,"",-'Input Assumptions'!$E$58*_xlfn.XLOOKUP('Monthly Cashflow'!CC4,'Input Assumptions'!$C$41:$L$41,'Input Assumptions'!$C$43:$L$43)/12)</f>
        <v/>
      </c>
      <c r="CD28" s="132" t="str">
        <f>IF(CD4=0,"",-'Input Assumptions'!$E$58*_xlfn.XLOOKUP('Monthly Cashflow'!CD4,'Input Assumptions'!$C$41:$L$41,'Input Assumptions'!$C$43:$L$43)/12)</f>
        <v/>
      </c>
      <c r="CE28" s="132" t="str">
        <f>IF(CE4=0,"",-'Input Assumptions'!$E$58*_xlfn.XLOOKUP('Monthly Cashflow'!CE4,'Input Assumptions'!$C$41:$L$41,'Input Assumptions'!$C$43:$L$43)/12)</f>
        <v/>
      </c>
      <c r="CF28" s="132" t="str">
        <f>IF(CF4=0,"",-'Input Assumptions'!$E$58*_xlfn.XLOOKUP('Monthly Cashflow'!CF4,'Input Assumptions'!$C$41:$L$41,'Input Assumptions'!$C$43:$L$43)/12)</f>
        <v/>
      </c>
      <c r="CG28" s="132" t="str">
        <f>IF(CG4=0,"",-'Input Assumptions'!$E$58*_xlfn.XLOOKUP('Monthly Cashflow'!CG4,'Input Assumptions'!$C$41:$L$41,'Input Assumptions'!$C$43:$L$43)/12)</f>
        <v/>
      </c>
      <c r="CH28" s="132" t="str">
        <f>IF(CH4=0,"",-'Input Assumptions'!$E$58*_xlfn.XLOOKUP('Monthly Cashflow'!CH4,'Input Assumptions'!$C$41:$L$41,'Input Assumptions'!$C$43:$L$43)/12)</f>
        <v/>
      </c>
      <c r="CI28" s="132" t="str">
        <f>IF(CI4=0,"",-'Input Assumptions'!$E$58*_xlfn.XLOOKUP('Monthly Cashflow'!CI4,'Input Assumptions'!$C$41:$L$41,'Input Assumptions'!$C$43:$L$43)/12)</f>
        <v/>
      </c>
      <c r="CJ28" s="132" t="str">
        <f>IF(CJ4=0,"",-'Input Assumptions'!$E$58*_xlfn.XLOOKUP('Monthly Cashflow'!CJ4,'Input Assumptions'!$C$41:$L$41,'Input Assumptions'!$C$43:$L$43)/12)</f>
        <v/>
      </c>
      <c r="CK28" s="132" t="str">
        <f>IF(CK4=0,"",-'Input Assumptions'!$E$58*_xlfn.XLOOKUP('Monthly Cashflow'!CK4,'Input Assumptions'!$C$41:$L$41,'Input Assumptions'!$C$43:$L$43)/12)</f>
        <v/>
      </c>
      <c r="CL28" s="132" t="str">
        <f>IF(CL4=0,"",-'Input Assumptions'!$E$58*_xlfn.XLOOKUP('Monthly Cashflow'!CL4,'Input Assumptions'!$C$41:$L$41,'Input Assumptions'!$C$43:$L$43)/12)</f>
        <v/>
      </c>
      <c r="CM28" s="132" t="str">
        <f>IF(CM4=0,"",-'Input Assumptions'!$E$58*_xlfn.XLOOKUP('Monthly Cashflow'!CM4,'Input Assumptions'!$C$41:$L$41,'Input Assumptions'!$C$43:$L$43)/12)</f>
        <v/>
      </c>
      <c r="CN28" s="132" t="str">
        <f>IF(CN4=0,"",-'Input Assumptions'!$E$58*_xlfn.XLOOKUP('Monthly Cashflow'!CN4,'Input Assumptions'!$C$41:$L$41,'Input Assumptions'!$C$43:$L$43)/12)</f>
        <v/>
      </c>
      <c r="CO28" s="132" t="str">
        <f>IF(CO4=0,"",-'Input Assumptions'!$E$58*_xlfn.XLOOKUP('Monthly Cashflow'!CO4,'Input Assumptions'!$C$41:$L$41,'Input Assumptions'!$C$43:$L$43)/12)</f>
        <v/>
      </c>
      <c r="CP28" s="132" t="str">
        <f>IF(CP4=0,"",-'Input Assumptions'!$E$58*_xlfn.XLOOKUP('Monthly Cashflow'!CP4,'Input Assumptions'!$C$41:$L$41,'Input Assumptions'!$C$43:$L$43)/12)</f>
        <v/>
      </c>
      <c r="CQ28" s="132" t="str">
        <f>IF(CQ4=0,"",-'Input Assumptions'!$E$58*_xlfn.XLOOKUP('Monthly Cashflow'!CQ4,'Input Assumptions'!$C$41:$L$41,'Input Assumptions'!$C$43:$L$43)/12)</f>
        <v/>
      </c>
      <c r="CR28" s="132" t="str">
        <f>IF(CR4=0,"",-'Input Assumptions'!$E$58*_xlfn.XLOOKUP('Monthly Cashflow'!CR4,'Input Assumptions'!$C$41:$L$41,'Input Assumptions'!$C$43:$L$43)/12)</f>
        <v/>
      </c>
      <c r="CS28" s="132" t="str">
        <f>IF(CS4=0,"",-'Input Assumptions'!$E$58*_xlfn.XLOOKUP('Monthly Cashflow'!CS4,'Input Assumptions'!$C$41:$L$41,'Input Assumptions'!$C$43:$L$43)/12)</f>
        <v/>
      </c>
      <c r="CT28" s="132" t="str">
        <f>IF(CT4=0,"",-'Input Assumptions'!$E$58*_xlfn.XLOOKUP('Monthly Cashflow'!CT4,'Input Assumptions'!$C$41:$L$41,'Input Assumptions'!$C$43:$L$43)/12)</f>
        <v/>
      </c>
      <c r="CU28" s="132" t="str">
        <f>IF(CU4=0,"",-'Input Assumptions'!$E$58*_xlfn.XLOOKUP('Monthly Cashflow'!CU4,'Input Assumptions'!$C$41:$L$41,'Input Assumptions'!$C$43:$L$43)/12)</f>
        <v/>
      </c>
      <c r="CV28" s="132" t="str">
        <f>IF(CV4=0,"",-'Input Assumptions'!$E$58*_xlfn.XLOOKUP('Monthly Cashflow'!CV4,'Input Assumptions'!$C$41:$L$41,'Input Assumptions'!$C$43:$L$43)/12)</f>
        <v/>
      </c>
      <c r="CW28" s="132" t="str">
        <f>IF(CW4=0,"",-'Input Assumptions'!$E$58*_xlfn.XLOOKUP('Monthly Cashflow'!CW4,'Input Assumptions'!$C$41:$L$41,'Input Assumptions'!$C$43:$L$43)/12)</f>
        <v/>
      </c>
      <c r="CX28" s="132" t="str">
        <f>IF(CX4=0,"",-'Input Assumptions'!$E$58*_xlfn.XLOOKUP('Monthly Cashflow'!CX4,'Input Assumptions'!$C$41:$L$41,'Input Assumptions'!$C$43:$L$43)/12)</f>
        <v/>
      </c>
      <c r="CY28" s="132" t="str">
        <f>IF(CY4=0,"",-'Input Assumptions'!$E$58*_xlfn.XLOOKUP('Monthly Cashflow'!CY4,'Input Assumptions'!$C$41:$L$41,'Input Assumptions'!$C$43:$L$43)/12)</f>
        <v/>
      </c>
      <c r="CZ28" s="132" t="str">
        <f>IF(CZ4=0,"",-'Input Assumptions'!$E$58*_xlfn.XLOOKUP('Monthly Cashflow'!CZ4,'Input Assumptions'!$C$41:$L$41,'Input Assumptions'!$C$43:$L$43)/12)</f>
        <v/>
      </c>
      <c r="DA28" s="132" t="str">
        <f>IF(DA4=0,"",-'Input Assumptions'!$E$58*_xlfn.XLOOKUP('Monthly Cashflow'!DA4,'Input Assumptions'!$C$41:$L$41,'Input Assumptions'!$C$43:$L$43)/12)</f>
        <v/>
      </c>
      <c r="DB28" s="132" t="str">
        <f>IF(DB4=0,"",-'Input Assumptions'!$E$58*_xlfn.XLOOKUP('Monthly Cashflow'!DB4,'Input Assumptions'!$C$41:$L$41,'Input Assumptions'!$C$43:$L$43)/12)</f>
        <v/>
      </c>
      <c r="DC28" s="132" t="str">
        <f>IF(DC4=0,"",-'Input Assumptions'!$E$58*_xlfn.XLOOKUP('Monthly Cashflow'!DC4,'Input Assumptions'!$C$41:$L$41,'Input Assumptions'!$C$43:$L$43)/12)</f>
        <v/>
      </c>
      <c r="DD28" s="132" t="str">
        <f>IF(DD4=0,"",-'Input Assumptions'!$E$58*_xlfn.XLOOKUP('Monthly Cashflow'!DD4,'Input Assumptions'!$C$41:$L$41,'Input Assumptions'!$C$43:$L$43)/12)</f>
        <v/>
      </c>
      <c r="DE28" s="132" t="str">
        <f>IF(DE4=0,"",-'Input Assumptions'!$E$58*_xlfn.XLOOKUP('Monthly Cashflow'!DE4,'Input Assumptions'!$C$41:$L$41,'Input Assumptions'!$C$43:$L$43)/12)</f>
        <v/>
      </c>
      <c r="DF28" s="132" t="str">
        <f>IF(DF4=0,"",-'Input Assumptions'!$E$58*_xlfn.XLOOKUP('Monthly Cashflow'!DF4,'Input Assumptions'!$C$41:$L$41,'Input Assumptions'!$C$43:$L$43)/12)</f>
        <v/>
      </c>
      <c r="DG28" s="132" t="str">
        <f>IF(DG4=0,"",-'Input Assumptions'!$E$58*_xlfn.XLOOKUP('Monthly Cashflow'!DG4,'Input Assumptions'!$C$41:$L$41,'Input Assumptions'!$C$43:$L$43)/12)</f>
        <v/>
      </c>
      <c r="DH28" s="132" t="str">
        <f>IF(DH4=0,"",-'Input Assumptions'!$E$58*_xlfn.XLOOKUP('Monthly Cashflow'!DH4,'Input Assumptions'!$C$41:$L$41,'Input Assumptions'!$C$43:$L$43)/12)</f>
        <v/>
      </c>
      <c r="DI28" s="132" t="str">
        <f>IF(DI4=0,"",-'Input Assumptions'!$E$58*_xlfn.XLOOKUP('Monthly Cashflow'!DI4,'Input Assumptions'!$C$41:$L$41,'Input Assumptions'!$C$43:$L$43)/12)</f>
        <v/>
      </c>
      <c r="DJ28" s="132" t="str">
        <f>IF(DJ4=0,"",-'Input Assumptions'!$E$58*_xlfn.XLOOKUP('Monthly Cashflow'!DJ4,'Input Assumptions'!$C$41:$L$41,'Input Assumptions'!$C$43:$L$43)/12)</f>
        <v/>
      </c>
      <c r="DK28" s="132" t="str">
        <f>IF(DK4=0,"",-'Input Assumptions'!$E$58*_xlfn.XLOOKUP('Monthly Cashflow'!DK4,'Input Assumptions'!$C$41:$L$41,'Input Assumptions'!$C$43:$L$43)/12)</f>
        <v/>
      </c>
      <c r="DL28" s="132" t="str">
        <f>IF(DL4=0,"",-'Input Assumptions'!$E$58*_xlfn.XLOOKUP('Monthly Cashflow'!DL4,'Input Assumptions'!$C$41:$L$41,'Input Assumptions'!$C$43:$L$43)/12)</f>
        <v/>
      </c>
      <c r="DM28" s="132" t="str">
        <f>IF(DM4=0,"",-'Input Assumptions'!$E$58*_xlfn.XLOOKUP('Monthly Cashflow'!DM4,'Input Assumptions'!$C$41:$L$41,'Input Assumptions'!$C$43:$L$43)/12)</f>
        <v/>
      </c>
      <c r="DN28" s="132" t="str">
        <f>IF(DN4=0,"",-'Input Assumptions'!$E$58*_xlfn.XLOOKUP('Monthly Cashflow'!DN4,'Input Assumptions'!$C$41:$L$41,'Input Assumptions'!$C$43:$L$43)/12)</f>
        <v/>
      </c>
      <c r="DO28" s="132" t="str">
        <f>IF(DO4=0,"",-'Input Assumptions'!$E$58*_xlfn.XLOOKUP('Monthly Cashflow'!DO4,'Input Assumptions'!$C$41:$L$41,'Input Assumptions'!$C$43:$L$43)/12)</f>
        <v/>
      </c>
      <c r="DP28" s="132" t="str">
        <f>IF(DP4=0,"",-'Input Assumptions'!$E$58*_xlfn.XLOOKUP('Monthly Cashflow'!DP4,'Input Assumptions'!$C$41:$L$41,'Input Assumptions'!$C$43:$L$43)/12)</f>
        <v/>
      </c>
      <c r="DQ28" s="132" t="str">
        <f>IF(DQ4=0,"",-'Input Assumptions'!$E$58*_xlfn.XLOOKUP('Monthly Cashflow'!DQ4,'Input Assumptions'!$C$41:$L$41,'Input Assumptions'!$C$43:$L$43)/12)</f>
        <v/>
      </c>
      <c r="DR28" s="132" t="str">
        <f>IF(DR4=0,"",-'Input Assumptions'!$E$58*_xlfn.XLOOKUP('Monthly Cashflow'!DR4,'Input Assumptions'!$C$41:$L$41,'Input Assumptions'!$C$43:$L$43)/12)</f>
        <v/>
      </c>
      <c r="DS28" s="132" t="str">
        <f>IF(DS4=0,"",-'Input Assumptions'!$E$58*_xlfn.XLOOKUP('Monthly Cashflow'!DS4,'Input Assumptions'!$C$41:$L$41,'Input Assumptions'!$C$43:$L$43)/12)</f>
        <v/>
      </c>
    </row>
    <row r="29" spans="1:123" x14ac:dyDescent="0.3">
      <c r="B29" s="111" t="s">
        <v>114</v>
      </c>
      <c r="D29" s="132">
        <f>IF(D4=0,"",-(D16+D20)*_xlfn.XLOOKUP('Monthly Cashflow'!D4,'Input Assumptions'!$C$66:$L$66,'Input Assumptions'!$C$67:$L$67))</f>
        <v>-571.97368421052636</v>
      </c>
      <c r="E29" s="132">
        <f>IF(E4=0,"",-(E16+E20)*_xlfn.XLOOKUP('Monthly Cashflow'!E4,'Input Assumptions'!$C$66:$L$66,'Input Assumptions'!$C$67:$L$67))</f>
        <v>-1143.9473684210527</v>
      </c>
      <c r="F29" s="132">
        <f>IF(F4=0,"",-(F16+F20)*_xlfn.XLOOKUP('Monthly Cashflow'!F4,'Input Assumptions'!$C$66:$L$66,'Input Assumptions'!$C$67:$L$67))</f>
        <v>-1715.9210526315787</v>
      </c>
      <c r="G29" s="132">
        <f>IF(G4=0,"",-(G16+G20)*_xlfn.XLOOKUP('Monthly Cashflow'!G4,'Input Assumptions'!$C$66:$L$66,'Input Assumptions'!$C$67:$L$67))</f>
        <v>-2287.8947368421054</v>
      </c>
      <c r="H29" s="132">
        <f>IF(H4=0,"",-(H16+H20)*_xlfn.XLOOKUP('Monthly Cashflow'!H4,'Input Assumptions'!$C$66:$L$66,'Input Assumptions'!$C$67:$L$67))</f>
        <v>-2859.8684210526317</v>
      </c>
      <c r="I29" s="132">
        <f>IF(I4=0,"",-(I16+I20)*_xlfn.XLOOKUP('Monthly Cashflow'!I4,'Input Assumptions'!$C$66:$L$66,'Input Assumptions'!$C$67:$L$67))</f>
        <v>-3431.8421052631584</v>
      </c>
      <c r="J29" s="132">
        <f>IF(J4=0,"",-(J16+J20)*_xlfn.XLOOKUP('Monthly Cashflow'!J4,'Input Assumptions'!$C$66:$L$66,'Input Assumptions'!$C$67:$L$67))</f>
        <v>-3431.8421052631584</v>
      </c>
      <c r="K29" s="132">
        <f>IF(K4=0,"",-(K16+K20)*_xlfn.XLOOKUP('Monthly Cashflow'!K4,'Input Assumptions'!$C$66:$L$66,'Input Assumptions'!$C$67:$L$67))</f>
        <v>-3431.8421052631584</v>
      </c>
      <c r="L29" s="132">
        <f>IF(L4=0,"",-(L16+L20)*_xlfn.XLOOKUP('Monthly Cashflow'!L4,'Input Assumptions'!$C$66:$L$66,'Input Assumptions'!$C$67:$L$67))</f>
        <v>-3431.8421052631584</v>
      </c>
      <c r="M29" s="132">
        <f>IF(M4=0,"",-(M16+M20)*_xlfn.XLOOKUP('Monthly Cashflow'!M4,'Input Assumptions'!$C$66:$L$66,'Input Assumptions'!$C$67:$L$67))</f>
        <v>-3431.8421052631584</v>
      </c>
      <c r="N29" s="132">
        <f>IF(N4=0,"",-(N16+N20)*_xlfn.XLOOKUP('Monthly Cashflow'!N4,'Input Assumptions'!$C$66:$L$66,'Input Assumptions'!$C$67:$L$67))</f>
        <v>-3431.8421052631584</v>
      </c>
      <c r="O29" s="132">
        <f>IF(O4=0,"",-(O16+O20)*_xlfn.XLOOKUP('Monthly Cashflow'!O4,'Input Assumptions'!$C$66:$L$66,'Input Assumptions'!$C$67:$L$67))</f>
        <v>-3431.8421052631584</v>
      </c>
      <c r="P29" s="132">
        <f>IF(P4=0,"",-(P16+P20)*_xlfn.XLOOKUP('Monthly Cashflow'!P4,'Input Assumptions'!$C$66:$L$66,'Input Assumptions'!$C$67:$L$67))</f>
        <v>-3560.314144736843</v>
      </c>
      <c r="Q29" s="132">
        <f>IF(Q4=0,"",-(Q16+Q20)*_xlfn.XLOOKUP('Monthly Cashflow'!Q4,'Input Assumptions'!$C$66:$L$66,'Input Assumptions'!$C$67:$L$67))</f>
        <v>-3560.314144736843</v>
      </c>
      <c r="R29" s="132">
        <f>IF(R4=0,"",-(R16+R20)*_xlfn.XLOOKUP('Monthly Cashflow'!R4,'Input Assumptions'!$C$66:$L$66,'Input Assumptions'!$C$67:$L$67))</f>
        <v>-3560.314144736843</v>
      </c>
      <c r="S29" s="132">
        <f>IF(S4=0,"",-(S16+S20)*_xlfn.XLOOKUP('Monthly Cashflow'!S4,'Input Assumptions'!$C$66:$L$66,'Input Assumptions'!$C$67:$L$67))</f>
        <v>-3560.314144736843</v>
      </c>
      <c r="T29" s="132">
        <f>IF(T4=0,"",-(T16+T20)*_xlfn.XLOOKUP('Monthly Cashflow'!T4,'Input Assumptions'!$C$66:$L$66,'Input Assumptions'!$C$67:$L$67))</f>
        <v>-3560.314144736843</v>
      </c>
      <c r="U29" s="132">
        <f>IF(U4=0,"",-(U16+U20)*_xlfn.XLOOKUP('Monthly Cashflow'!U4,'Input Assumptions'!$C$66:$L$66,'Input Assumptions'!$C$67:$L$67))</f>
        <v>-3560.314144736843</v>
      </c>
      <c r="V29" s="132">
        <f>IF(V4=0,"",-(V16+V20)*_xlfn.XLOOKUP('Monthly Cashflow'!V4,'Input Assumptions'!$C$66:$L$66,'Input Assumptions'!$C$67:$L$67))</f>
        <v>-3560.314144736843</v>
      </c>
      <c r="W29" s="132">
        <f>IF(W4=0,"",-(W16+W20)*_xlfn.XLOOKUP('Monthly Cashflow'!W4,'Input Assumptions'!$C$66:$L$66,'Input Assumptions'!$C$67:$L$67))</f>
        <v>-3560.314144736843</v>
      </c>
      <c r="X29" s="132">
        <f>IF(X4=0,"",-(X16+X20)*_xlfn.XLOOKUP('Monthly Cashflow'!X4,'Input Assumptions'!$C$66:$L$66,'Input Assumptions'!$C$67:$L$67))</f>
        <v>-3560.314144736843</v>
      </c>
      <c r="Y29" s="132">
        <f>IF(Y4=0,"",-(Y16+Y20)*_xlfn.XLOOKUP('Monthly Cashflow'!Y4,'Input Assumptions'!$C$66:$L$66,'Input Assumptions'!$C$67:$L$67))</f>
        <v>-3560.314144736843</v>
      </c>
      <c r="Z29" s="132">
        <f>IF(Z4=0,"",-(Z16+Z20)*_xlfn.XLOOKUP('Monthly Cashflow'!Z4,'Input Assumptions'!$C$66:$L$66,'Input Assumptions'!$C$67:$L$67))</f>
        <v>-3560.314144736843</v>
      </c>
      <c r="AA29" s="132">
        <f>IF(AA4=0,"",-(AA16+AA20)*_xlfn.XLOOKUP('Monthly Cashflow'!AA4,'Input Assumptions'!$C$66:$L$66,'Input Assumptions'!$C$67:$L$67))</f>
        <v>-3560.314144736843</v>
      </c>
      <c r="AB29" s="132">
        <f>IF(AB4=0,"",-(AB16+AB20)*_xlfn.XLOOKUP('Monthly Cashflow'!AB4,'Input Assumptions'!$C$66:$L$66,'Input Assumptions'!$C$67:$L$67))</f>
        <v>-3693.5997224506591</v>
      </c>
      <c r="AC29" s="132">
        <f>IF(AC4=0,"",-(AC16+AC20)*_xlfn.XLOOKUP('Monthly Cashflow'!AC4,'Input Assumptions'!$C$66:$L$66,'Input Assumptions'!$C$67:$L$67))</f>
        <v>-3693.5997224506591</v>
      </c>
      <c r="AD29" s="132">
        <f>IF(AD4=0,"",-(AD16+AD20)*_xlfn.XLOOKUP('Monthly Cashflow'!AD4,'Input Assumptions'!$C$66:$L$66,'Input Assumptions'!$C$67:$L$67))</f>
        <v>-3693.5997224506591</v>
      </c>
      <c r="AE29" s="132">
        <f>IF(AE4=0,"",-(AE16+AE20)*_xlfn.XLOOKUP('Monthly Cashflow'!AE4,'Input Assumptions'!$C$66:$L$66,'Input Assumptions'!$C$67:$L$67))</f>
        <v>-3693.5997224506591</v>
      </c>
      <c r="AF29" s="132">
        <f>IF(AF4=0,"",-(AF16+AF20)*_xlfn.XLOOKUP('Monthly Cashflow'!AF4,'Input Assumptions'!$C$66:$L$66,'Input Assumptions'!$C$67:$L$67))</f>
        <v>-3693.5997224506591</v>
      </c>
      <c r="AG29" s="132">
        <f>IF(AG4=0,"",-(AG16+AG20)*_xlfn.XLOOKUP('Monthly Cashflow'!AG4,'Input Assumptions'!$C$66:$L$66,'Input Assumptions'!$C$67:$L$67))</f>
        <v>-3693.5997224506591</v>
      </c>
      <c r="AH29" s="132">
        <f>IF(AH4=0,"",-(AH16+AH20)*_xlfn.XLOOKUP('Monthly Cashflow'!AH4,'Input Assumptions'!$C$66:$L$66,'Input Assumptions'!$C$67:$L$67))</f>
        <v>-3693.5997224506591</v>
      </c>
      <c r="AI29" s="132">
        <f>IF(AI4=0,"",-(AI16+AI20)*_xlfn.XLOOKUP('Monthly Cashflow'!AI4,'Input Assumptions'!$C$66:$L$66,'Input Assumptions'!$C$67:$L$67))</f>
        <v>-3693.5997224506591</v>
      </c>
      <c r="AJ29" s="132">
        <f>IF(AJ4=0,"",-(AJ16+AJ20)*_xlfn.XLOOKUP('Monthly Cashflow'!AJ4,'Input Assumptions'!$C$66:$L$66,'Input Assumptions'!$C$67:$L$67))</f>
        <v>-3693.5997224506591</v>
      </c>
      <c r="AK29" s="132">
        <f>IF(AK4=0,"",-(AK16+AK20)*_xlfn.XLOOKUP('Monthly Cashflow'!AK4,'Input Assumptions'!$C$66:$L$66,'Input Assumptions'!$C$67:$L$67))</f>
        <v>-3693.5997224506591</v>
      </c>
      <c r="AL29" s="132">
        <f>IF(AL4=0,"",-(AL16+AL20)*_xlfn.XLOOKUP('Monthly Cashflow'!AL4,'Input Assumptions'!$C$66:$L$66,'Input Assumptions'!$C$67:$L$67))</f>
        <v>-3693.5997224506591</v>
      </c>
      <c r="AM29" s="132">
        <f>IF(AM4=0,"",-(AM16+AM20)*_xlfn.XLOOKUP('Monthly Cashflow'!AM4,'Input Assumptions'!$C$66:$L$66,'Input Assumptions'!$C$67:$L$67))</f>
        <v>-3693.5997224506591</v>
      </c>
      <c r="AN29" s="132">
        <f>IF(AN4=0,"",-(AN16+AN20)*_xlfn.XLOOKUP('Monthly Cashflow'!AN4,'Input Assumptions'!$C$66:$L$66,'Input Assumptions'!$C$67:$L$67))</f>
        <v>-3831.8792680278575</v>
      </c>
      <c r="AO29" s="132">
        <f>IF(AO4=0,"",-(AO16+AO20)*_xlfn.XLOOKUP('Monthly Cashflow'!AO4,'Input Assumptions'!$C$66:$L$66,'Input Assumptions'!$C$67:$L$67))</f>
        <v>-3831.8792680278575</v>
      </c>
      <c r="AP29" s="132">
        <f>IF(AP4=0,"",-(AP16+AP20)*_xlfn.XLOOKUP('Monthly Cashflow'!AP4,'Input Assumptions'!$C$66:$L$66,'Input Assumptions'!$C$67:$L$67))</f>
        <v>-3831.8792680278575</v>
      </c>
      <c r="AQ29" s="132">
        <f>IF(AQ4=0,"",-(AQ16+AQ20)*_xlfn.XLOOKUP('Monthly Cashflow'!AQ4,'Input Assumptions'!$C$66:$L$66,'Input Assumptions'!$C$67:$L$67))</f>
        <v>-3831.8792680278575</v>
      </c>
      <c r="AR29" s="132">
        <f>IF(AR4=0,"",-(AR16+AR20)*_xlfn.XLOOKUP('Monthly Cashflow'!AR4,'Input Assumptions'!$C$66:$L$66,'Input Assumptions'!$C$67:$L$67))</f>
        <v>-3831.8792680278575</v>
      </c>
      <c r="AS29" s="132">
        <f>IF(AS4=0,"",-(AS16+AS20)*_xlfn.XLOOKUP('Monthly Cashflow'!AS4,'Input Assumptions'!$C$66:$L$66,'Input Assumptions'!$C$67:$L$67))</f>
        <v>-3831.8792680278575</v>
      </c>
      <c r="AT29" s="132">
        <f>IF(AT4=0,"",-(AT16+AT20)*_xlfn.XLOOKUP('Monthly Cashflow'!AT4,'Input Assumptions'!$C$66:$L$66,'Input Assumptions'!$C$67:$L$67))</f>
        <v>-3831.8792680278575</v>
      </c>
      <c r="AU29" s="132">
        <f>IF(AU4=0,"",-(AU16+AU20)*_xlfn.XLOOKUP('Monthly Cashflow'!AU4,'Input Assumptions'!$C$66:$L$66,'Input Assumptions'!$C$67:$L$67))</f>
        <v>-3831.8792680278575</v>
      </c>
      <c r="AV29" s="132">
        <f>IF(AV4=0,"",-(AV16+AV20)*_xlfn.XLOOKUP('Monthly Cashflow'!AV4,'Input Assumptions'!$C$66:$L$66,'Input Assumptions'!$C$67:$L$67))</f>
        <v>-3831.8792680278575</v>
      </c>
      <c r="AW29" s="132">
        <f>IF(AW4=0,"",-(AW16+AW20)*_xlfn.XLOOKUP('Monthly Cashflow'!AW4,'Input Assumptions'!$C$66:$L$66,'Input Assumptions'!$C$67:$L$67))</f>
        <v>-3831.8792680278575</v>
      </c>
      <c r="AX29" s="132">
        <f>IF(AX4=0,"",-(AX16+AX20)*_xlfn.XLOOKUP('Monthly Cashflow'!AX4,'Input Assumptions'!$C$66:$L$66,'Input Assumptions'!$C$67:$L$67))</f>
        <v>-3831.8792680278575</v>
      </c>
      <c r="AY29" s="132">
        <f>IF(AY4=0,"",-(AY16+AY20)*_xlfn.XLOOKUP('Monthly Cashflow'!AY4,'Input Assumptions'!$C$66:$L$66,'Input Assumptions'!$C$67:$L$67))</f>
        <v>-3831.8792680278575</v>
      </c>
      <c r="AZ29" s="132">
        <f>IF(AZ4=0,"",-(AZ16+AZ20)*_xlfn.XLOOKUP('Monthly Cashflow'!AZ4,'Input Assumptions'!$C$66:$L$66,'Input Assumptions'!$C$67:$L$67))</f>
        <v>-3975.3399757389302</v>
      </c>
      <c r="BA29" s="132">
        <f>IF(BA4=0,"",-(BA16+BA20)*_xlfn.XLOOKUP('Monthly Cashflow'!BA4,'Input Assumptions'!$C$66:$L$66,'Input Assumptions'!$C$67:$L$67))</f>
        <v>-3975.3399757389302</v>
      </c>
      <c r="BB29" s="132">
        <f>IF(BB4=0,"",-(BB16+BB20)*_xlfn.XLOOKUP('Monthly Cashflow'!BB4,'Input Assumptions'!$C$66:$L$66,'Input Assumptions'!$C$67:$L$67))</f>
        <v>-3975.3399757389302</v>
      </c>
      <c r="BC29" s="132">
        <f>IF(BC4=0,"",-(BC16+BC20)*_xlfn.XLOOKUP('Monthly Cashflow'!BC4,'Input Assumptions'!$C$66:$L$66,'Input Assumptions'!$C$67:$L$67))</f>
        <v>-3975.3399757389302</v>
      </c>
      <c r="BD29" s="132">
        <f>IF(BD4=0,"",-(BD16+BD20)*_xlfn.XLOOKUP('Monthly Cashflow'!BD4,'Input Assumptions'!$C$66:$L$66,'Input Assumptions'!$C$67:$L$67))</f>
        <v>-3975.3399757389302</v>
      </c>
      <c r="BE29" s="132">
        <f>IF(BE4=0,"",-(BE16+BE20)*_xlfn.XLOOKUP('Monthly Cashflow'!BE4,'Input Assumptions'!$C$66:$L$66,'Input Assumptions'!$C$67:$L$67))</f>
        <v>-3975.3399757389302</v>
      </c>
      <c r="BF29" s="132">
        <f>IF(BF4=0,"",-(BF16+BF20)*_xlfn.XLOOKUP('Monthly Cashflow'!BF4,'Input Assumptions'!$C$66:$L$66,'Input Assumptions'!$C$67:$L$67))</f>
        <v>-3975.3399757389302</v>
      </c>
      <c r="BG29" s="132">
        <f>IF(BG4=0,"",-(BG16+BG20)*_xlfn.XLOOKUP('Monthly Cashflow'!BG4,'Input Assumptions'!$C$66:$L$66,'Input Assumptions'!$C$67:$L$67))</f>
        <v>-3975.3399757389302</v>
      </c>
      <c r="BH29" s="132">
        <f>IF(BH4=0,"",-(BH16+BH20)*_xlfn.XLOOKUP('Monthly Cashflow'!BH4,'Input Assumptions'!$C$66:$L$66,'Input Assumptions'!$C$67:$L$67))</f>
        <v>-3975.3399757389302</v>
      </c>
      <c r="BI29" s="132">
        <f>IF(BI4=0,"",-(BI16+BI20)*_xlfn.XLOOKUP('Monthly Cashflow'!BI4,'Input Assumptions'!$C$66:$L$66,'Input Assumptions'!$C$67:$L$67))</f>
        <v>-3975.3399757389302</v>
      </c>
      <c r="BJ29" s="132">
        <f>IF(BJ4=0,"",-(BJ16+BJ20)*_xlfn.XLOOKUP('Monthly Cashflow'!BJ4,'Input Assumptions'!$C$66:$L$66,'Input Assumptions'!$C$67:$L$67))</f>
        <v>-3975.3399757389302</v>
      </c>
      <c r="BK29" s="132">
        <f>IF(BK4=0,"",-(BK16+BK20)*_xlfn.XLOOKUP('Monthly Cashflow'!BK4,'Input Assumptions'!$C$66:$L$66,'Input Assumptions'!$C$67:$L$67))</f>
        <v>-3975.3399757389302</v>
      </c>
      <c r="BL29" s="132" t="str">
        <f>IF(BL4=0,"",-(BL16+BL20)*_xlfn.XLOOKUP('Monthly Cashflow'!BL4,'Input Assumptions'!$C$66:$L$66,'Input Assumptions'!$C$67:$L$67))</f>
        <v/>
      </c>
      <c r="BM29" s="132" t="str">
        <f>IF(BM4=0,"",-(BM16+BM20)*_xlfn.XLOOKUP('Monthly Cashflow'!BM4,'Input Assumptions'!$C$66:$L$66,'Input Assumptions'!$C$67:$L$67))</f>
        <v/>
      </c>
      <c r="BN29" s="132" t="str">
        <f>IF(BN4=0,"",-(BN16+BN20)*_xlfn.XLOOKUP('Monthly Cashflow'!BN4,'Input Assumptions'!$C$66:$L$66,'Input Assumptions'!$C$67:$L$67))</f>
        <v/>
      </c>
      <c r="BO29" s="132" t="str">
        <f>IF(BO4=0,"",-(BO16+BO20)*_xlfn.XLOOKUP('Monthly Cashflow'!BO4,'Input Assumptions'!$C$66:$L$66,'Input Assumptions'!$C$67:$L$67))</f>
        <v/>
      </c>
      <c r="BP29" s="132" t="str">
        <f>IF(BP4=0,"",-(BP16+BP20)*_xlfn.XLOOKUP('Monthly Cashflow'!BP4,'Input Assumptions'!$C$66:$L$66,'Input Assumptions'!$C$67:$L$67))</f>
        <v/>
      </c>
      <c r="BQ29" s="132" t="str">
        <f>IF(BQ4=0,"",-(BQ16+BQ20)*_xlfn.XLOOKUP('Monthly Cashflow'!BQ4,'Input Assumptions'!$C$66:$L$66,'Input Assumptions'!$C$67:$L$67))</f>
        <v/>
      </c>
      <c r="BR29" s="132" t="str">
        <f>IF(BR4=0,"",-(BR16+BR20)*_xlfn.XLOOKUP('Monthly Cashflow'!BR4,'Input Assumptions'!$C$66:$L$66,'Input Assumptions'!$C$67:$L$67))</f>
        <v/>
      </c>
      <c r="BS29" s="132" t="str">
        <f>IF(BS4=0,"",-(BS16+BS20)*_xlfn.XLOOKUP('Monthly Cashflow'!BS4,'Input Assumptions'!$C$66:$L$66,'Input Assumptions'!$C$67:$L$67))</f>
        <v/>
      </c>
      <c r="BT29" s="132" t="str">
        <f>IF(BT4=0,"",-(BT16+BT20)*_xlfn.XLOOKUP('Monthly Cashflow'!BT4,'Input Assumptions'!$C$66:$L$66,'Input Assumptions'!$C$67:$L$67))</f>
        <v/>
      </c>
      <c r="BU29" s="132" t="str">
        <f>IF(BU4=0,"",-(BU16+BU20)*_xlfn.XLOOKUP('Monthly Cashflow'!BU4,'Input Assumptions'!$C$66:$L$66,'Input Assumptions'!$C$67:$L$67))</f>
        <v/>
      </c>
      <c r="BV29" s="132" t="str">
        <f>IF(BV4=0,"",-(BV16+BV20)*_xlfn.XLOOKUP('Monthly Cashflow'!BV4,'Input Assumptions'!$C$66:$L$66,'Input Assumptions'!$C$67:$L$67))</f>
        <v/>
      </c>
      <c r="BW29" s="132" t="str">
        <f>IF(BW4=0,"",-(BW16+BW20)*_xlfn.XLOOKUP('Monthly Cashflow'!BW4,'Input Assumptions'!$C$66:$L$66,'Input Assumptions'!$C$67:$L$67))</f>
        <v/>
      </c>
      <c r="BX29" s="132" t="str">
        <f>IF(BX4=0,"",-(BX16+BX20)*_xlfn.XLOOKUP('Monthly Cashflow'!BX4,'Input Assumptions'!$C$66:$L$66,'Input Assumptions'!$C$67:$L$67))</f>
        <v/>
      </c>
      <c r="BY29" s="132" t="str">
        <f>IF(BY4=0,"",-(BY16+BY20)*_xlfn.XLOOKUP('Monthly Cashflow'!BY4,'Input Assumptions'!$C$66:$L$66,'Input Assumptions'!$C$67:$L$67))</f>
        <v/>
      </c>
      <c r="BZ29" s="132" t="str">
        <f>IF(BZ4=0,"",-(BZ16+BZ20)*_xlfn.XLOOKUP('Monthly Cashflow'!BZ4,'Input Assumptions'!$C$66:$L$66,'Input Assumptions'!$C$67:$L$67))</f>
        <v/>
      </c>
      <c r="CA29" s="132" t="str">
        <f>IF(CA4=0,"",-(CA16+CA20)*_xlfn.XLOOKUP('Monthly Cashflow'!CA4,'Input Assumptions'!$C$66:$L$66,'Input Assumptions'!$C$67:$L$67))</f>
        <v/>
      </c>
      <c r="CB29" s="132" t="str">
        <f>IF(CB4=0,"",-(CB16+CB20)*_xlfn.XLOOKUP('Monthly Cashflow'!CB4,'Input Assumptions'!$C$66:$L$66,'Input Assumptions'!$C$67:$L$67))</f>
        <v/>
      </c>
      <c r="CC29" s="132" t="str">
        <f>IF(CC4=0,"",-(CC16+CC20)*_xlfn.XLOOKUP('Monthly Cashflow'!CC4,'Input Assumptions'!$C$66:$L$66,'Input Assumptions'!$C$67:$L$67))</f>
        <v/>
      </c>
      <c r="CD29" s="132" t="str">
        <f>IF(CD4=0,"",-(CD16+CD20)*_xlfn.XLOOKUP('Monthly Cashflow'!CD4,'Input Assumptions'!$C$66:$L$66,'Input Assumptions'!$C$67:$L$67))</f>
        <v/>
      </c>
      <c r="CE29" s="132" t="str">
        <f>IF(CE4=0,"",-(CE16+CE20)*_xlfn.XLOOKUP('Monthly Cashflow'!CE4,'Input Assumptions'!$C$66:$L$66,'Input Assumptions'!$C$67:$L$67))</f>
        <v/>
      </c>
      <c r="CF29" s="132" t="str">
        <f>IF(CF4=0,"",-(CF16+CF20)*_xlfn.XLOOKUP('Monthly Cashflow'!CF4,'Input Assumptions'!$C$66:$L$66,'Input Assumptions'!$C$67:$L$67))</f>
        <v/>
      </c>
      <c r="CG29" s="132" t="str">
        <f>IF(CG4=0,"",-(CG16+CG20)*_xlfn.XLOOKUP('Monthly Cashflow'!CG4,'Input Assumptions'!$C$66:$L$66,'Input Assumptions'!$C$67:$L$67))</f>
        <v/>
      </c>
      <c r="CH29" s="132" t="str">
        <f>IF(CH4=0,"",-(CH16+CH20)*_xlfn.XLOOKUP('Monthly Cashflow'!CH4,'Input Assumptions'!$C$66:$L$66,'Input Assumptions'!$C$67:$L$67))</f>
        <v/>
      </c>
      <c r="CI29" s="132" t="str">
        <f>IF(CI4=0,"",-(CI16+CI20)*_xlfn.XLOOKUP('Monthly Cashflow'!CI4,'Input Assumptions'!$C$66:$L$66,'Input Assumptions'!$C$67:$L$67))</f>
        <v/>
      </c>
      <c r="CJ29" s="132" t="str">
        <f>IF(CJ4=0,"",-(CJ16+CJ20)*_xlfn.XLOOKUP('Monthly Cashflow'!CJ4,'Input Assumptions'!$C$66:$L$66,'Input Assumptions'!$C$67:$L$67))</f>
        <v/>
      </c>
      <c r="CK29" s="132" t="str">
        <f>IF(CK4=0,"",-(CK16+CK20)*_xlfn.XLOOKUP('Monthly Cashflow'!CK4,'Input Assumptions'!$C$66:$L$66,'Input Assumptions'!$C$67:$L$67))</f>
        <v/>
      </c>
      <c r="CL29" s="132" t="str">
        <f>IF(CL4=0,"",-(CL16+CL20)*_xlfn.XLOOKUP('Monthly Cashflow'!CL4,'Input Assumptions'!$C$66:$L$66,'Input Assumptions'!$C$67:$L$67))</f>
        <v/>
      </c>
      <c r="CM29" s="132" t="str">
        <f>IF(CM4=0,"",-(CM16+CM20)*_xlfn.XLOOKUP('Monthly Cashflow'!CM4,'Input Assumptions'!$C$66:$L$66,'Input Assumptions'!$C$67:$L$67))</f>
        <v/>
      </c>
      <c r="CN29" s="132" t="str">
        <f>IF(CN4=0,"",-(CN16+CN20)*_xlfn.XLOOKUP('Monthly Cashflow'!CN4,'Input Assumptions'!$C$66:$L$66,'Input Assumptions'!$C$67:$L$67))</f>
        <v/>
      </c>
      <c r="CO29" s="132" t="str">
        <f>IF(CO4=0,"",-(CO16+CO20)*_xlfn.XLOOKUP('Monthly Cashflow'!CO4,'Input Assumptions'!$C$66:$L$66,'Input Assumptions'!$C$67:$L$67))</f>
        <v/>
      </c>
      <c r="CP29" s="132" t="str">
        <f>IF(CP4=0,"",-(CP16+CP20)*_xlfn.XLOOKUP('Monthly Cashflow'!CP4,'Input Assumptions'!$C$66:$L$66,'Input Assumptions'!$C$67:$L$67))</f>
        <v/>
      </c>
      <c r="CQ29" s="132" t="str">
        <f>IF(CQ4=0,"",-(CQ16+CQ20)*_xlfn.XLOOKUP('Monthly Cashflow'!CQ4,'Input Assumptions'!$C$66:$L$66,'Input Assumptions'!$C$67:$L$67))</f>
        <v/>
      </c>
      <c r="CR29" s="132" t="str">
        <f>IF(CR4=0,"",-(CR16+CR20)*_xlfn.XLOOKUP('Monthly Cashflow'!CR4,'Input Assumptions'!$C$66:$L$66,'Input Assumptions'!$C$67:$L$67))</f>
        <v/>
      </c>
      <c r="CS29" s="132" t="str">
        <f>IF(CS4=0,"",-(CS16+CS20)*_xlfn.XLOOKUP('Monthly Cashflow'!CS4,'Input Assumptions'!$C$66:$L$66,'Input Assumptions'!$C$67:$L$67))</f>
        <v/>
      </c>
      <c r="CT29" s="132" t="str">
        <f>IF(CT4=0,"",-(CT16+CT20)*_xlfn.XLOOKUP('Monthly Cashflow'!CT4,'Input Assumptions'!$C$66:$L$66,'Input Assumptions'!$C$67:$L$67))</f>
        <v/>
      </c>
      <c r="CU29" s="132" t="str">
        <f>IF(CU4=0,"",-(CU16+CU20)*_xlfn.XLOOKUP('Monthly Cashflow'!CU4,'Input Assumptions'!$C$66:$L$66,'Input Assumptions'!$C$67:$L$67))</f>
        <v/>
      </c>
      <c r="CV29" s="132" t="str">
        <f>IF(CV4=0,"",-(CV16+CV20)*_xlfn.XLOOKUP('Monthly Cashflow'!CV4,'Input Assumptions'!$C$66:$L$66,'Input Assumptions'!$C$67:$L$67))</f>
        <v/>
      </c>
      <c r="CW29" s="132" t="str">
        <f>IF(CW4=0,"",-(CW16+CW20)*_xlfn.XLOOKUP('Monthly Cashflow'!CW4,'Input Assumptions'!$C$66:$L$66,'Input Assumptions'!$C$67:$L$67))</f>
        <v/>
      </c>
      <c r="CX29" s="132" t="str">
        <f>IF(CX4=0,"",-(CX16+CX20)*_xlfn.XLOOKUP('Monthly Cashflow'!CX4,'Input Assumptions'!$C$66:$L$66,'Input Assumptions'!$C$67:$L$67))</f>
        <v/>
      </c>
      <c r="CY29" s="132" t="str">
        <f>IF(CY4=0,"",-(CY16+CY20)*_xlfn.XLOOKUP('Monthly Cashflow'!CY4,'Input Assumptions'!$C$66:$L$66,'Input Assumptions'!$C$67:$L$67))</f>
        <v/>
      </c>
      <c r="CZ29" s="132" t="str">
        <f>IF(CZ4=0,"",-(CZ16+CZ20)*_xlfn.XLOOKUP('Monthly Cashflow'!CZ4,'Input Assumptions'!$C$66:$L$66,'Input Assumptions'!$C$67:$L$67))</f>
        <v/>
      </c>
      <c r="DA29" s="132" t="str">
        <f>IF(DA4=0,"",-(DA16+DA20)*_xlfn.XLOOKUP('Monthly Cashflow'!DA4,'Input Assumptions'!$C$66:$L$66,'Input Assumptions'!$C$67:$L$67))</f>
        <v/>
      </c>
      <c r="DB29" s="132" t="str">
        <f>IF(DB4=0,"",-(DB16+DB20)*_xlfn.XLOOKUP('Monthly Cashflow'!DB4,'Input Assumptions'!$C$66:$L$66,'Input Assumptions'!$C$67:$L$67))</f>
        <v/>
      </c>
      <c r="DC29" s="132" t="str">
        <f>IF(DC4=0,"",-(DC16+DC20)*_xlfn.XLOOKUP('Monthly Cashflow'!DC4,'Input Assumptions'!$C$66:$L$66,'Input Assumptions'!$C$67:$L$67))</f>
        <v/>
      </c>
      <c r="DD29" s="132" t="str">
        <f>IF(DD4=0,"",-(DD16+DD20)*_xlfn.XLOOKUP('Monthly Cashflow'!DD4,'Input Assumptions'!$C$66:$L$66,'Input Assumptions'!$C$67:$L$67))</f>
        <v/>
      </c>
      <c r="DE29" s="132" t="str">
        <f>IF(DE4=0,"",-(DE16+DE20)*_xlfn.XLOOKUP('Monthly Cashflow'!DE4,'Input Assumptions'!$C$66:$L$66,'Input Assumptions'!$C$67:$L$67))</f>
        <v/>
      </c>
      <c r="DF29" s="132" t="str">
        <f>IF(DF4=0,"",-(DF16+DF20)*_xlfn.XLOOKUP('Monthly Cashflow'!DF4,'Input Assumptions'!$C$66:$L$66,'Input Assumptions'!$C$67:$L$67))</f>
        <v/>
      </c>
      <c r="DG29" s="132" t="str">
        <f>IF(DG4=0,"",-(DG16+DG20)*_xlfn.XLOOKUP('Monthly Cashflow'!DG4,'Input Assumptions'!$C$66:$L$66,'Input Assumptions'!$C$67:$L$67))</f>
        <v/>
      </c>
      <c r="DH29" s="132" t="str">
        <f>IF(DH4=0,"",-(DH16+DH20)*_xlfn.XLOOKUP('Monthly Cashflow'!DH4,'Input Assumptions'!$C$66:$L$66,'Input Assumptions'!$C$67:$L$67))</f>
        <v/>
      </c>
      <c r="DI29" s="132" t="str">
        <f>IF(DI4=0,"",-(DI16+DI20)*_xlfn.XLOOKUP('Monthly Cashflow'!DI4,'Input Assumptions'!$C$66:$L$66,'Input Assumptions'!$C$67:$L$67))</f>
        <v/>
      </c>
      <c r="DJ29" s="132" t="str">
        <f>IF(DJ4=0,"",-(DJ16+DJ20)*_xlfn.XLOOKUP('Monthly Cashflow'!DJ4,'Input Assumptions'!$C$66:$L$66,'Input Assumptions'!$C$67:$L$67))</f>
        <v/>
      </c>
      <c r="DK29" s="132" t="str">
        <f>IF(DK4=0,"",-(DK16+DK20)*_xlfn.XLOOKUP('Monthly Cashflow'!DK4,'Input Assumptions'!$C$66:$L$66,'Input Assumptions'!$C$67:$L$67))</f>
        <v/>
      </c>
      <c r="DL29" s="132" t="str">
        <f>IF(DL4=0,"",-(DL16+DL20)*_xlfn.XLOOKUP('Monthly Cashflow'!DL4,'Input Assumptions'!$C$66:$L$66,'Input Assumptions'!$C$67:$L$67))</f>
        <v/>
      </c>
      <c r="DM29" s="132" t="str">
        <f>IF(DM4=0,"",-(DM16+DM20)*_xlfn.XLOOKUP('Monthly Cashflow'!DM4,'Input Assumptions'!$C$66:$L$66,'Input Assumptions'!$C$67:$L$67))</f>
        <v/>
      </c>
      <c r="DN29" s="132" t="str">
        <f>IF(DN4=0,"",-(DN16+DN20)*_xlfn.XLOOKUP('Monthly Cashflow'!DN4,'Input Assumptions'!$C$66:$L$66,'Input Assumptions'!$C$67:$L$67))</f>
        <v/>
      </c>
      <c r="DO29" s="132" t="str">
        <f>IF(DO4=0,"",-(DO16+DO20)*_xlfn.XLOOKUP('Monthly Cashflow'!DO4,'Input Assumptions'!$C$66:$L$66,'Input Assumptions'!$C$67:$L$67))</f>
        <v/>
      </c>
      <c r="DP29" s="132" t="str">
        <f>IF(DP4=0,"",-(DP16+DP20)*_xlfn.XLOOKUP('Monthly Cashflow'!DP4,'Input Assumptions'!$C$66:$L$66,'Input Assumptions'!$C$67:$L$67))</f>
        <v/>
      </c>
      <c r="DQ29" s="132" t="str">
        <f>IF(DQ4=0,"",-(DQ16+DQ20)*_xlfn.XLOOKUP('Monthly Cashflow'!DQ4,'Input Assumptions'!$C$66:$L$66,'Input Assumptions'!$C$67:$L$67))</f>
        <v/>
      </c>
      <c r="DR29" s="132" t="str">
        <f>IF(DR4=0,"",-(DR16+DR20)*_xlfn.XLOOKUP('Monthly Cashflow'!DR4,'Input Assumptions'!$C$66:$L$66,'Input Assumptions'!$C$67:$L$67))</f>
        <v/>
      </c>
      <c r="DS29" s="132" t="str">
        <f>IF(DS4=0,"",-(DS16+DS20)*_xlfn.XLOOKUP('Monthly Cashflow'!DS4,'Input Assumptions'!$C$66:$L$66,'Input Assumptions'!$C$67:$L$67))</f>
        <v/>
      </c>
    </row>
    <row r="30" spans="1:123" x14ac:dyDescent="0.3">
      <c r="B30" s="111" t="s">
        <v>115</v>
      </c>
      <c r="D30" s="132">
        <f>IF(D4=0,"",-'Input Assumptions'!$C$84*_xlfn.XLOOKUP('Monthly Cashflow'!D4,'Input Assumptions'!$C$41:$L$41,'Input Assumptions'!$C$43:$L$43)/12)</f>
        <v>-83.333333333333329</v>
      </c>
      <c r="E30" s="132">
        <f>IF(E4=0,"",-'Input Assumptions'!$C$84*_xlfn.XLOOKUP('Monthly Cashflow'!E4,'Input Assumptions'!$C$41:$L$41,'Input Assumptions'!$C$43:$L$43)/12)</f>
        <v>-83.333333333333329</v>
      </c>
      <c r="F30" s="132">
        <f>IF(F4=0,"",-'Input Assumptions'!$C$84*_xlfn.XLOOKUP('Monthly Cashflow'!F4,'Input Assumptions'!$C$41:$L$41,'Input Assumptions'!$C$43:$L$43)/12)</f>
        <v>-83.333333333333329</v>
      </c>
      <c r="G30" s="132">
        <f>IF(G4=0,"",-'Input Assumptions'!$C$84*_xlfn.XLOOKUP('Monthly Cashflow'!G4,'Input Assumptions'!$C$41:$L$41,'Input Assumptions'!$C$43:$L$43)/12)</f>
        <v>-83.333333333333329</v>
      </c>
      <c r="H30" s="132">
        <f>IF(H4=0,"",-'Input Assumptions'!$C$84*_xlfn.XLOOKUP('Monthly Cashflow'!H4,'Input Assumptions'!$C$41:$L$41,'Input Assumptions'!$C$43:$L$43)/12)</f>
        <v>-83.333333333333329</v>
      </c>
      <c r="I30" s="132">
        <f>IF(I4=0,"",-'Input Assumptions'!$C$84*_xlfn.XLOOKUP('Monthly Cashflow'!I4,'Input Assumptions'!$C$41:$L$41,'Input Assumptions'!$C$43:$L$43)/12)</f>
        <v>-83.333333333333329</v>
      </c>
      <c r="J30" s="132">
        <f>IF(J4=0,"",-'Input Assumptions'!$C$84*_xlfn.XLOOKUP('Monthly Cashflow'!J4,'Input Assumptions'!$C$41:$L$41,'Input Assumptions'!$C$43:$L$43)/12)</f>
        <v>-83.333333333333329</v>
      </c>
      <c r="K30" s="132">
        <f>IF(K4=0,"",-'Input Assumptions'!$C$84*_xlfn.XLOOKUP('Monthly Cashflow'!K4,'Input Assumptions'!$C$41:$L$41,'Input Assumptions'!$C$43:$L$43)/12)</f>
        <v>-83.333333333333329</v>
      </c>
      <c r="L30" s="132">
        <f>IF(L4=0,"",-'Input Assumptions'!$C$84*_xlfn.XLOOKUP('Monthly Cashflow'!L4,'Input Assumptions'!$C$41:$L$41,'Input Assumptions'!$C$43:$L$43)/12)</f>
        <v>-83.333333333333329</v>
      </c>
      <c r="M30" s="132">
        <f>IF(M4=0,"",-'Input Assumptions'!$C$84*_xlfn.XLOOKUP('Monthly Cashflow'!M4,'Input Assumptions'!$C$41:$L$41,'Input Assumptions'!$C$43:$L$43)/12)</f>
        <v>-83.333333333333329</v>
      </c>
      <c r="N30" s="132">
        <f>IF(N4=0,"",-'Input Assumptions'!$C$84*_xlfn.XLOOKUP('Monthly Cashflow'!N4,'Input Assumptions'!$C$41:$L$41,'Input Assumptions'!$C$43:$L$43)/12)</f>
        <v>-83.333333333333329</v>
      </c>
      <c r="O30" s="132">
        <f>IF(O4=0,"",-'Input Assumptions'!$C$84*_xlfn.XLOOKUP('Monthly Cashflow'!O4,'Input Assumptions'!$C$41:$L$41,'Input Assumptions'!$C$43:$L$43)/12)</f>
        <v>-83.333333333333329</v>
      </c>
      <c r="P30" s="132">
        <f>IF(P4=0,"",-'Input Assumptions'!$C$84*_xlfn.XLOOKUP('Monthly Cashflow'!P4,'Input Assumptions'!$C$41:$L$41,'Input Assumptions'!$C$43:$L$43)/12)</f>
        <v>-84.895833333333329</v>
      </c>
      <c r="Q30" s="132">
        <f>IF(Q4=0,"",-'Input Assumptions'!$C$84*_xlfn.XLOOKUP('Monthly Cashflow'!Q4,'Input Assumptions'!$C$41:$L$41,'Input Assumptions'!$C$43:$L$43)/12)</f>
        <v>-84.895833333333329</v>
      </c>
      <c r="R30" s="132">
        <f>IF(R4=0,"",-'Input Assumptions'!$C$84*_xlfn.XLOOKUP('Monthly Cashflow'!R4,'Input Assumptions'!$C$41:$L$41,'Input Assumptions'!$C$43:$L$43)/12)</f>
        <v>-84.895833333333329</v>
      </c>
      <c r="S30" s="132">
        <f>IF(S4=0,"",-'Input Assumptions'!$C$84*_xlfn.XLOOKUP('Monthly Cashflow'!S4,'Input Assumptions'!$C$41:$L$41,'Input Assumptions'!$C$43:$L$43)/12)</f>
        <v>-84.895833333333329</v>
      </c>
      <c r="T30" s="132">
        <f>IF(T4=0,"",-'Input Assumptions'!$C$84*_xlfn.XLOOKUP('Monthly Cashflow'!T4,'Input Assumptions'!$C$41:$L$41,'Input Assumptions'!$C$43:$L$43)/12)</f>
        <v>-84.895833333333329</v>
      </c>
      <c r="U30" s="132">
        <f>IF(U4=0,"",-'Input Assumptions'!$C$84*_xlfn.XLOOKUP('Monthly Cashflow'!U4,'Input Assumptions'!$C$41:$L$41,'Input Assumptions'!$C$43:$L$43)/12)</f>
        <v>-84.895833333333329</v>
      </c>
      <c r="V30" s="132">
        <f>IF(V4=0,"",-'Input Assumptions'!$C$84*_xlfn.XLOOKUP('Monthly Cashflow'!V4,'Input Assumptions'!$C$41:$L$41,'Input Assumptions'!$C$43:$L$43)/12)</f>
        <v>-84.895833333333329</v>
      </c>
      <c r="W30" s="132">
        <f>IF(W4=0,"",-'Input Assumptions'!$C$84*_xlfn.XLOOKUP('Monthly Cashflow'!W4,'Input Assumptions'!$C$41:$L$41,'Input Assumptions'!$C$43:$L$43)/12)</f>
        <v>-84.895833333333329</v>
      </c>
      <c r="X30" s="132">
        <f>IF(X4=0,"",-'Input Assumptions'!$C$84*_xlfn.XLOOKUP('Monthly Cashflow'!X4,'Input Assumptions'!$C$41:$L$41,'Input Assumptions'!$C$43:$L$43)/12)</f>
        <v>-84.895833333333329</v>
      </c>
      <c r="Y30" s="132">
        <f>IF(Y4=0,"",-'Input Assumptions'!$C$84*_xlfn.XLOOKUP('Monthly Cashflow'!Y4,'Input Assumptions'!$C$41:$L$41,'Input Assumptions'!$C$43:$L$43)/12)</f>
        <v>-84.895833333333329</v>
      </c>
      <c r="Z30" s="132">
        <f>IF(Z4=0,"",-'Input Assumptions'!$C$84*_xlfn.XLOOKUP('Monthly Cashflow'!Z4,'Input Assumptions'!$C$41:$L$41,'Input Assumptions'!$C$43:$L$43)/12)</f>
        <v>-84.895833333333329</v>
      </c>
      <c r="AA30" s="132">
        <f>IF(AA4=0,"",-'Input Assumptions'!$C$84*_xlfn.XLOOKUP('Monthly Cashflow'!AA4,'Input Assumptions'!$C$41:$L$41,'Input Assumptions'!$C$43:$L$43)/12)</f>
        <v>-84.895833333333329</v>
      </c>
      <c r="AB30" s="132">
        <f>IF(AB4=0,"",-'Input Assumptions'!$C$84*_xlfn.XLOOKUP('Monthly Cashflow'!AB4,'Input Assumptions'!$C$41:$L$41,'Input Assumptions'!$C$43:$L$43)/12)</f>
        <v>-86.487630208333329</v>
      </c>
      <c r="AC30" s="132">
        <f>IF(AC4=0,"",-'Input Assumptions'!$C$84*_xlfn.XLOOKUP('Monthly Cashflow'!AC4,'Input Assumptions'!$C$41:$L$41,'Input Assumptions'!$C$43:$L$43)/12)</f>
        <v>-86.487630208333329</v>
      </c>
      <c r="AD30" s="132">
        <f>IF(AD4=0,"",-'Input Assumptions'!$C$84*_xlfn.XLOOKUP('Monthly Cashflow'!AD4,'Input Assumptions'!$C$41:$L$41,'Input Assumptions'!$C$43:$L$43)/12)</f>
        <v>-86.487630208333329</v>
      </c>
      <c r="AE30" s="132">
        <f>IF(AE4=0,"",-'Input Assumptions'!$C$84*_xlfn.XLOOKUP('Monthly Cashflow'!AE4,'Input Assumptions'!$C$41:$L$41,'Input Assumptions'!$C$43:$L$43)/12)</f>
        <v>-86.487630208333329</v>
      </c>
      <c r="AF30" s="132">
        <f>IF(AF4=0,"",-'Input Assumptions'!$C$84*_xlfn.XLOOKUP('Monthly Cashflow'!AF4,'Input Assumptions'!$C$41:$L$41,'Input Assumptions'!$C$43:$L$43)/12)</f>
        <v>-86.487630208333329</v>
      </c>
      <c r="AG30" s="132">
        <f>IF(AG4=0,"",-'Input Assumptions'!$C$84*_xlfn.XLOOKUP('Monthly Cashflow'!AG4,'Input Assumptions'!$C$41:$L$41,'Input Assumptions'!$C$43:$L$43)/12)</f>
        <v>-86.487630208333329</v>
      </c>
      <c r="AH30" s="132">
        <f>IF(AH4=0,"",-'Input Assumptions'!$C$84*_xlfn.XLOOKUP('Monthly Cashflow'!AH4,'Input Assumptions'!$C$41:$L$41,'Input Assumptions'!$C$43:$L$43)/12)</f>
        <v>-86.487630208333329</v>
      </c>
      <c r="AI30" s="132">
        <f>IF(AI4=0,"",-'Input Assumptions'!$C$84*_xlfn.XLOOKUP('Monthly Cashflow'!AI4,'Input Assumptions'!$C$41:$L$41,'Input Assumptions'!$C$43:$L$43)/12)</f>
        <v>-86.487630208333329</v>
      </c>
      <c r="AJ30" s="132">
        <f>IF(AJ4=0,"",-'Input Assumptions'!$C$84*_xlfn.XLOOKUP('Monthly Cashflow'!AJ4,'Input Assumptions'!$C$41:$L$41,'Input Assumptions'!$C$43:$L$43)/12)</f>
        <v>-86.487630208333329</v>
      </c>
      <c r="AK30" s="132">
        <f>IF(AK4=0,"",-'Input Assumptions'!$C$84*_xlfn.XLOOKUP('Monthly Cashflow'!AK4,'Input Assumptions'!$C$41:$L$41,'Input Assumptions'!$C$43:$L$43)/12)</f>
        <v>-86.487630208333329</v>
      </c>
      <c r="AL30" s="132">
        <f>IF(AL4=0,"",-'Input Assumptions'!$C$84*_xlfn.XLOOKUP('Monthly Cashflow'!AL4,'Input Assumptions'!$C$41:$L$41,'Input Assumptions'!$C$43:$L$43)/12)</f>
        <v>-86.487630208333329</v>
      </c>
      <c r="AM30" s="132">
        <f>IF(AM4=0,"",-'Input Assumptions'!$C$84*_xlfn.XLOOKUP('Monthly Cashflow'!AM4,'Input Assumptions'!$C$41:$L$41,'Input Assumptions'!$C$43:$L$43)/12)</f>
        <v>-86.487630208333329</v>
      </c>
      <c r="AN30" s="132">
        <f>IF(AN4=0,"",-'Input Assumptions'!$C$84*_xlfn.XLOOKUP('Monthly Cashflow'!AN4,'Input Assumptions'!$C$41:$L$41,'Input Assumptions'!$C$43:$L$43)/12)</f>
        <v>-88.109273274739579</v>
      </c>
      <c r="AO30" s="132">
        <f>IF(AO4=0,"",-'Input Assumptions'!$C$84*_xlfn.XLOOKUP('Monthly Cashflow'!AO4,'Input Assumptions'!$C$41:$L$41,'Input Assumptions'!$C$43:$L$43)/12)</f>
        <v>-88.109273274739579</v>
      </c>
      <c r="AP30" s="132">
        <f>IF(AP4=0,"",-'Input Assumptions'!$C$84*_xlfn.XLOOKUP('Monthly Cashflow'!AP4,'Input Assumptions'!$C$41:$L$41,'Input Assumptions'!$C$43:$L$43)/12)</f>
        <v>-88.109273274739579</v>
      </c>
      <c r="AQ30" s="132">
        <f>IF(AQ4=0,"",-'Input Assumptions'!$C$84*_xlfn.XLOOKUP('Monthly Cashflow'!AQ4,'Input Assumptions'!$C$41:$L$41,'Input Assumptions'!$C$43:$L$43)/12)</f>
        <v>-88.109273274739579</v>
      </c>
      <c r="AR30" s="132">
        <f>IF(AR4=0,"",-'Input Assumptions'!$C$84*_xlfn.XLOOKUP('Monthly Cashflow'!AR4,'Input Assumptions'!$C$41:$L$41,'Input Assumptions'!$C$43:$L$43)/12)</f>
        <v>-88.109273274739579</v>
      </c>
      <c r="AS30" s="132">
        <f>IF(AS4=0,"",-'Input Assumptions'!$C$84*_xlfn.XLOOKUP('Monthly Cashflow'!AS4,'Input Assumptions'!$C$41:$L$41,'Input Assumptions'!$C$43:$L$43)/12)</f>
        <v>-88.109273274739579</v>
      </c>
      <c r="AT30" s="132">
        <f>IF(AT4=0,"",-'Input Assumptions'!$C$84*_xlfn.XLOOKUP('Monthly Cashflow'!AT4,'Input Assumptions'!$C$41:$L$41,'Input Assumptions'!$C$43:$L$43)/12)</f>
        <v>-88.109273274739579</v>
      </c>
      <c r="AU30" s="132">
        <f>IF(AU4=0,"",-'Input Assumptions'!$C$84*_xlfn.XLOOKUP('Monthly Cashflow'!AU4,'Input Assumptions'!$C$41:$L$41,'Input Assumptions'!$C$43:$L$43)/12)</f>
        <v>-88.109273274739579</v>
      </c>
      <c r="AV30" s="132">
        <f>IF(AV4=0,"",-'Input Assumptions'!$C$84*_xlfn.XLOOKUP('Monthly Cashflow'!AV4,'Input Assumptions'!$C$41:$L$41,'Input Assumptions'!$C$43:$L$43)/12)</f>
        <v>-88.109273274739579</v>
      </c>
      <c r="AW30" s="132">
        <f>IF(AW4=0,"",-'Input Assumptions'!$C$84*_xlfn.XLOOKUP('Monthly Cashflow'!AW4,'Input Assumptions'!$C$41:$L$41,'Input Assumptions'!$C$43:$L$43)/12)</f>
        <v>-88.109273274739579</v>
      </c>
      <c r="AX30" s="132">
        <f>IF(AX4=0,"",-'Input Assumptions'!$C$84*_xlfn.XLOOKUP('Monthly Cashflow'!AX4,'Input Assumptions'!$C$41:$L$41,'Input Assumptions'!$C$43:$L$43)/12)</f>
        <v>-88.109273274739579</v>
      </c>
      <c r="AY30" s="132">
        <f>IF(AY4=0,"",-'Input Assumptions'!$C$84*_xlfn.XLOOKUP('Monthly Cashflow'!AY4,'Input Assumptions'!$C$41:$L$41,'Input Assumptions'!$C$43:$L$43)/12)</f>
        <v>-88.109273274739579</v>
      </c>
      <c r="AZ30" s="132">
        <f>IF(AZ4=0,"",-'Input Assumptions'!$C$84*_xlfn.XLOOKUP('Monthly Cashflow'!AZ4,'Input Assumptions'!$C$41:$L$41,'Input Assumptions'!$C$43:$L$43)/12)</f>
        <v>-89.761322148640957</v>
      </c>
      <c r="BA30" s="132">
        <f>IF(BA4=0,"",-'Input Assumptions'!$C$84*_xlfn.XLOOKUP('Monthly Cashflow'!BA4,'Input Assumptions'!$C$41:$L$41,'Input Assumptions'!$C$43:$L$43)/12)</f>
        <v>-89.761322148640957</v>
      </c>
      <c r="BB30" s="132">
        <f>IF(BB4=0,"",-'Input Assumptions'!$C$84*_xlfn.XLOOKUP('Monthly Cashflow'!BB4,'Input Assumptions'!$C$41:$L$41,'Input Assumptions'!$C$43:$L$43)/12)</f>
        <v>-89.761322148640957</v>
      </c>
      <c r="BC30" s="132">
        <f>IF(BC4=0,"",-'Input Assumptions'!$C$84*_xlfn.XLOOKUP('Monthly Cashflow'!BC4,'Input Assumptions'!$C$41:$L$41,'Input Assumptions'!$C$43:$L$43)/12)</f>
        <v>-89.761322148640957</v>
      </c>
      <c r="BD30" s="132">
        <f>IF(BD4=0,"",-'Input Assumptions'!$C$84*_xlfn.XLOOKUP('Monthly Cashflow'!BD4,'Input Assumptions'!$C$41:$L$41,'Input Assumptions'!$C$43:$L$43)/12)</f>
        <v>-89.761322148640957</v>
      </c>
      <c r="BE30" s="132">
        <f>IF(BE4=0,"",-'Input Assumptions'!$C$84*_xlfn.XLOOKUP('Monthly Cashflow'!BE4,'Input Assumptions'!$C$41:$L$41,'Input Assumptions'!$C$43:$L$43)/12)</f>
        <v>-89.761322148640957</v>
      </c>
      <c r="BF30" s="132">
        <f>IF(BF4=0,"",-'Input Assumptions'!$C$84*_xlfn.XLOOKUP('Monthly Cashflow'!BF4,'Input Assumptions'!$C$41:$L$41,'Input Assumptions'!$C$43:$L$43)/12)</f>
        <v>-89.761322148640957</v>
      </c>
      <c r="BG30" s="132">
        <f>IF(BG4=0,"",-'Input Assumptions'!$C$84*_xlfn.XLOOKUP('Monthly Cashflow'!BG4,'Input Assumptions'!$C$41:$L$41,'Input Assumptions'!$C$43:$L$43)/12)</f>
        <v>-89.761322148640957</v>
      </c>
      <c r="BH30" s="132">
        <f>IF(BH4=0,"",-'Input Assumptions'!$C$84*_xlfn.XLOOKUP('Monthly Cashflow'!BH4,'Input Assumptions'!$C$41:$L$41,'Input Assumptions'!$C$43:$L$43)/12)</f>
        <v>-89.761322148640957</v>
      </c>
      <c r="BI30" s="132">
        <f>IF(BI4=0,"",-'Input Assumptions'!$C$84*_xlfn.XLOOKUP('Monthly Cashflow'!BI4,'Input Assumptions'!$C$41:$L$41,'Input Assumptions'!$C$43:$L$43)/12)</f>
        <v>-89.761322148640957</v>
      </c>
      <c r="BJ30" s="132">
        <f>IF(BJ4=0,"",-'Input Assumptions'!$C$84*_xlfn.XLOOKUP('Monthly Cashflow'!BJ4,'Input Assumptions'!$C$41:$L$41,'Input Assumptions'!$C$43:$L$43)/12)</f>
        <v>-89.761322148640957</v>
      </c>
      <c r="BK30" s="132">
        <f>IF(BK4=0,"",-'Input Assumptions'!$C$84*_xlfn.XLOOKUP('Monthly Cashflow'!BK4,'Input Assumptions'!$C$41:$L$41,'Input Assumptions'!$C$43:$L$43)/12)</f>
        <v>-89.761322148640957</v>
      </c>
      <c r="BL30" s="132" t="str">
        <f>IF(BL4=0,"",-'Input Assumptions'!$C$84*_xlfn.XLOOKUP('Monthly Cashflow'!BL4,'Input Assumptions'!$C$41:$L$41,'Input Assumptions'!$C$43:$L$43)/12)</f>
        <v/>
      </c>
      <c r="BM30" s="132" t="str">
        <f>IF(BM4=0,"",-'Input Assumptions'!$C$84*_xlfn.XLOOKUP('Monthly Cashflow'!BM4,'Input Assumptions'!$C$41:$L$41,'Input Assumptions'!$C$43:$L$43)/12)</f>
        <v/>
      </c>
      <c r="BN30" s="132" t="str">
        <f>IF(BN4=0,"",-'Input Assumptions'!$C$84*_xlfn.XLOOKUP('Monthly Cashflow'!BN4,'Input Assumptions'!$C$41:$L$41,'Input Assumptions'!$C$43:$L$43)/12)</f>
        <v/>
      </c>
      <c r="BO30" s="132" t="str">
        <f>IF(BO4=0,"",-'Input Assumptions'!$C$84*_xlfn.XLOOKUP('Monthly Cashflow'!BO4,'Input Assumptions'!$C$41:$L$41,'Input Assumptions'!$C$43:$L$43)/12)</f>
        <v/>
      </c>
      <c r="BP30" s="132" t="str">
        <f>IF(BP4=0,"",-'Input Assumptions'!$C$84*_xlfn.XLOOKUP('Monthly Cashflow'!BP4,'Input Assumptions'!$C$41:$L$41,'Input Assumptions'!$C$43:$L$43)/12)</f>
        <v/>
      </c>
      <c r="BQ30" s="132" t="str">
        <f>IF(BQ4=0,"",-'Input Assumptions'!$C$84*_xlfn.XLOOKUP('Monthly Cashflow'!BQ4,'Input Assumptions'!$C$41:$L$41,'Input Assumptions'!$C$43:$L$43)/12)</f>
        <v/>
      </c>
      <c r="BR30" s="132" t="str">
        <f>IF(BR4=0,"",-'Input Assumptions'!$C$84*_xlfn.XLOOKUP('Monthly Cashflow'!BR4,'Input Assumptions'!$C$41:$L$41,'Input Assumptions'!$C$43:$L$43)/12)</f>
        <v/>
      </c>
      <c r="BS30" s="132" t="str">
        <f>IF(BS4=0,"",-'Input Assumptions'!$C$84*_xlfn.XLOOKUP('Monthly Cashflow'!BS4,'Input Assumptions'!$C$41:$L$41,'Input Assumptions'!$C$43:$L$43)/12)</f>
        <v/>
      </c>
      <c r="BT30" s="132" t="str">
        <f>IF(BT4=0,"",-'Input Assumptions'!$C$84*_xlfn.XLOOKUP('Monthly Cashflow'!BT4,'Input Assumptions'!$C$41:$L$41,'Input Assumptions'!$C$43:$L$43)/12)</f>
        <v/>
      </c>
      <c r="BU30" s="132" t="str">
        <f>IF(BU4=0,"",-'Input Assumptions'!$C$84*_xlfn.XLOOKUP('Monthly Cashflow'!BU4,'Input Assumptions'!$C$41:$L$41,'Input Assumptions'!$C$43:$L$43)/12)</f>
        <v/>
      </c>
      <c r="BV30" s="132" t="str">
        <f>IF(BV4=0,"",-'Input Assumptions'!$C$84*_xlfn.XLOOKUP('Monthly Cashflow'!BV4,'Input Assumptions'!$C$41:$L$41,'Input Assumptions'!$C$43:$L$43)/12)</f>
        <v/>
      </c>
      <c r="BW30" s="132" t="str">
        <f>IF(BW4=0,"",-'Input Assumptions'!$C$84*_xlfn.XLOOKUP('Monthly Cashflow'!BW4,'Input Assumptions'!$C$41:$L$41,'Input Assumptions'!$C$43:$L$43)/12)</f>
        <v/>
      </c>
      <c r="BX30" s="132" t="str">
        <f>IF(BX4=0,"",-'Input Assumptions'!$C$84*_xlfn.XLOOKUP('Monthly Cashflow'!BX4,'Input Assumptions'!$C$41:$L$41,'Input Assumptions'!$C$43:$L$43)/12)</f>
        <v/>
      </c>
      <c r="BY30" s="132" t="str">
        <f>IF(BY4=0,"",-'Input Assumptions'!$C$84*_xlfn.XLOOKUP('Monthly Cashflow'!BY4,'Input Assumptions'!$C$41:$L$41,'Input Assumptions'!$C$43:$L$43)/12)</f>
        <v/>
      </c>
      <c r="BZ30" s="132" t="str">
        <f>IF(BZ4=0,"",-'Input Assumptions'!$C$84*_xlfn.XLOOKUP('Monthly Cashflow'!BZ4,'Input Assumptions'!$C$41:$L$41,'Input Assumptions'!$C$43:$L$43)/12)</f>
        <v/>
      </c>
      <c r="CA30" s="132" t="str">
        <f>IF(CA4=0,"",-'Input Assumptions'!$C$84*_xlfn.XLOOKUP('Monthly Cashflow'!CA4,'Input Assumptions'!$C$41:$L$41,'Input Assumptions'!$C$43:$L$43)/12)</f>
        <v/>
      </c>
      <c r="CB30" s="132" t="str">
        <f>IF(CB4=0,"",-'Input Assumptions'!$C$84*_xlfn.XLOOKUP('Monthly Cashflow'!CB4,'Input Assumptions'!$C$41:$L$41,'Input Assumptions'!$C$43:$L$43)/12)</f>
        <v/>
      </c>
      <c r="CC30" s="132" t="str">
        <f>IF(CC4=0,"",-'Input Assumptions'!$C$84*_xlfn.XLOOKUP('Monthly Cashflow'!CC4,'Input Assumptions'!$C$41:$L$41,'Input Assumptions'!$C$43:$L$43)/12)</f>
        <v/>
      </c>
      <c r="CD30" s="132" t="str">
        <f>IF(CD4=0,"",-'Input Assumptions'!$C$84*_xlfn.XLOOKUP('Monthly Cashflow'!CD4,'Input Assumptions'!$C$41:$L$41,'Input Assumptions'!$C$43:$L$43)/12)</f>
        <v/>
      </c>
      <c r="CE30" s="132" t="str">
        <f>IF(CE4=0,"",-'Input Assumptions'!$C$84*_xlfn.XLOOKUP('Monthly Cashflow'!CE4,'Input Assumptions'!$C$41:$L$41,'Input Assumptions'!$C$43:$L$43)/12)</f>
        <v/>
      </c>
      <c r="CF30" s="132" t="str">
        <f>IF(CF4=0,"",-'Input Assumptions'!$C$84*_xlfn.XLOOKUP('Monthly Cashflow'!CF4,'Input Assumptions'!$C$41:$L$41,'Input Assumptions'!$C$43:$L$43)/12)</f>
        <v/>
      </c>
      <c r="CG30" s="132" t="str">
        <f>IF(CG4=0,"",-'Input Assumptions'!$C$84*_xlfn.XLOOKUP('Monthly Cashflow'!CG4,'Input Assumptions'!$C$41:$L$41,'Input Assumptions'!$C$43:$L$43)/12)</f>
        <v/>
      </c>
      <c r="CH30" s="132" t="str">
        <f>IF(CH4=0,"",-'Input Assumptions'!$C$84*_xlfn.XLOOKUP('Monthly Cashflow'!CH4,'Input Assumptions'!$C$41:$L$41,'Input Assumptions'!$C$43:$L$43)/12)</f>
        <v/>
      </c>
      <c r="CI30" s="132" t="str">
        <f>IF(CI4=0,"",-'Input Assumptions'!$C$84*_xlfn.XLOOKUP('Monthly Cashflow'!CI4,'Input Assumptions'!$C$41:$L$41,'Input Assumptions'!$C$43:$L$43)/12)</f>
        <v/>
      </c>
      <c r="CJ30" s="132" t="str">
        <f>IF(CJ4=0,"",-'Input Assumptions'!$C$84*_xlfn.XLOOKUP('Monthly Cashflow'!CJ4,'Input Assumptions'!$C$41:$L$41,'Input Assumptions'!$C$43:$L$43)/12)</f>
        <v/>
      </c>
      <c r="CK30" s="132" t="str">
        <f>IF(CK4=0,"",-'Input Assumptions'!$C$84*_xlfn.XLOOKUP('Monthly Cashflow'!CK4,'Input Assumptions'!$C$41:$L$41,'Input Assumptions'!$C$43:$L$43)/12)</f>
        <v/>
      </c>
      <c r="CL30" s="132" t="str">
        <f>IF(CL4=0,"",-'Input Assumptions'!$C$84*_xlfn.XLOOKUP('Monthly Cashflow'!CL4,'Input Assumptions'!$C$41:$L$41,'Input Assumptions'!$C$43:$L$43)/12)</f>
        <v/>
      </c>
      <c r="CM30" s="132" t="str">
        <f>IF(CM4=0,"",-'Input Assumptions'!$C$84*_xlfn.XLOOKUP('Monthly Cashflow'!CM4,'Input Assumptions'!$C$41:$L$41,'Input Assumptions'!$C$43:$L$43)/12)</f>
        <v/>
      </c>
      <c r="CN30" s="132" t="str">
        <f>IF(CN4=0,"",-'Input Assumptions'!$C$84*_xlfn.XLOOKUP('Monthly Cashflow'!CN4,'Input Assumptions'!$C$41:$L$41,'Input Assumptions'!$C$43:$L$43)/12)</f>
        <v/>
      </c>
      <c r="CO30" s="132" t="str">
        <f>IF(CO4=0,"",-'Input Assumptions'!$C$84*_xlfn.XLOOKUP('Monthly Cashflow'!CO4,'Input Assumptions'!$C$41:$L$41,'Input Assumptions'!$C$43:$L$43)/12)</f>
        <v/>
      </c>
      <c r="CP30" s="132" t="str">
        <f>IF(CP4=0,"",-'Input Assumptions'!$C$84*_xlfn.XLOOKUP('Monthly Cashflow'!CP4,'Input Assumptions'!$C$41:$L$41,'Input Assumptions'!$C$43:$L$43)/12)</f>
        <v/>
      </c>
      <c r="CQ30" s="132" t="str">
        <f>IF(CQ4=0,"",-'Input Assumptions'!$C$84*_xlfn.XLOOKUP('Monthly Cashflow'!CQ4,'Input Assumptions'!$C$41:$L$41,'Input Assumptions'!$C$43:$L$43)/12)</f>
        <v/>
      </c>
      <c r="CR30" s="132" t="str">
        <f>IF(CR4=0,"",-'Input Assumptions'!$C$84*_xlfn.XLOOKUP('Monthly Cashflow'!CR4,'Input Assumptions'!$C$41:$L$41,'Input Assumptions'!$C$43:$L$43)/12)</f>
        <v/>
      </c>
      <c r="CS30" s="132" t="str">
        <f>IF(CS4=0,"",-'Input Assumptions'!$C$84*_xlfn.XLOOKUP('Monthly Cashflow'!CS4,'Input Assumptions'!$C$41:$L$41,'Input Assumptions'!$C$43:$L$43)/12)</f>
        <v/>
      </c>
      <c r="CT30" s="132" t="str">
        <f>IF(CT4=0,"",-'Input Assumptions'!$C$84*_xlfn.XLOOKUP('Monthly Cashflow'!CT4,'Input Assumptions'!$C$41:$L$41,'Input Assumptions'!$C$43:$L$43)/12)</f>
        <v/>
      </c>
      <c r="CU30" s="132" t="str">
        <f>IF(CU4=0,"",-'Input Assumptions'!$C$84*_xlfn.XLOOKUP('Monthly Cashflow'!CU4,'Input Assumptions'!$C$41:$L$41,'Input Assumptions'!$C$43:$L$43)/12)</f>
        <v/>
      </c>
      <c r="CV30" s="132" t="str">
        <f>IF(CV4=0,"",-'Input Assumptions'!$C$84*_xlfn.XLOOKUP('Monthly Cashflow'!CV4,'Input Assumptions'!$C$41:$L$41,'Input Assumptions'!$C$43:$L$43)/12)</f>
        <v/>
      </c>
      <c r="CW30" s="132" t="str">
        <f>IF(CW4=0,"",-'Input Assumptions'!$C$84*_xlfn.XLOOKUP('Monthly Cashflow'!CW4,'Input Assumptions'!$C$41:$L$41,'Input Assumptions'!$C$43:$L$43)/12)</f>
        <v/>
      </c>
      <c r="CX30" s="132" t="str">
        <f>IF(CX4=0,"",-'Input Assumptions'!$C$84*_xlfn.XLOOKUP('Monthly Cashflow'!CX4,'Input Assumptions'!$C$41:$L$41,'Input Assumptions'!$C$43:$L$43)/12)</f>
        <v/>
      </c>
      <c r="CY30" s="132" t="str">
        <f>IF(CY4=0,"",-'Input Assumptions'!$C$84*_xlfn.XLOOKUP('Monthly Cashflow'!CY4,'Input Assumptions'!$C$41:$L$41,'Input Assumptions'!$C$43:$L$43)/12)</f>
        <v/>
      </c>
      <c r="CZ30" s="132" t="str">
        <f>IF(CZ4=0,"",-'Input Assumptions'!$C$84*_xlfn.XLOOKUP('Monthly Cashflow'!CZ4,'Input Assumptions'!$C$41:$L$41,'Input Assumptions'!$C$43:$L$43)/12)</f>
        <v/>
      </c>
      <c r="DA30" s="132" t="str">
        <f>IF(DA4=0,"",-'Input Assumptions'!$C$84*_xlfn.XLOOKUP('Monthly Cashflow'!DA4,'Input Assumptions'!$C$41:$L$41,'Input Assumptions'!$C$43:$L$43)/12)</f>
        <v/>
      </c>
      <c r="DB30" s="132" t="str">
        <f>IF(DB4=0,"",-'Input Assumptions'!$C$84*_xlfn.XLOOKUP('Monthly Cashflow'!DB4,'Input Assumptions'!$C$41:$L$41,'Input Assumptions'!$C$43:$L$43)/12)</f>
        <v/>
      </c>
      <c r="DC30" s="132" t="str">
        <f>IF(DC4=0,"",-'Input Assumptions'!$C$84*_xlfn.XLOOKUP('Monthly Cashflow'!DC4,'Input Assumptions'!$C$41:$L$41,'Input Assumptions'!$C$43:$L$43)/12)</f>
        <v/>
      </c>
      <c r="DD30" s="132" t="str">
        <f>IF(DD4=0,"",-'Input Assumptions'!$C$84*_xlfn.XLOOKUP('Monthly Cashflow'!DD4,'Input Assumptions'!$C$41:$L$41,'Input Assumptions'!$C$43:$L$43)/12)</f>
        <v/>
      </c>
      <c r="DE30" s="132" t="str">
        <f>IF(DE4=0,"",-'Input Assumptions'!$C$84*_xlfn.XLOOKUP('Monthly Cashflow'!DE4,'Input Assumptions'!$C$41:$L$41,'Input Assumptions'!$C$43:$L$43)/12)</f>
        <v/>
      </c>
      <c r="DF30" s="132" t="str">
        <f>IF(DF4=0,"",-'Input Assumptions'!$C$84*_xlfn.XLOOKUP('Monthly Cashflow'!DF4,'Input Assumptions'!$C$41:$L$41,'Input Assumptions'!$C$43:$L$43)/12)</f>
        <v/>
      </c>
      <c r="DG30" s="132" t="str">
        <f>IF(DG4=0,"",-'Input Assumptions'!$C$84*_xlfn.XLOOKUP('Monthly Cashflow'!DG4,'Input Assumptions'!$C$41:$L$41,'Input Assumptions'!$C$43:$L$43)/12)</f>
        <v/>
      </c>
      <c r="DH30" s="132" t="str">
        <f>IF(DH4=0,"",-'Input Assumptions'!$C$84*_xlfn.XLOOKUP('Monthly Cashflow'!DH4,'Input Assumptions'!$C$41:$L$41,'Input Assumptions'!$C$43:$L$43)/12)</f>
        <v/>
      </c>
      <c r="DI30" s="132" t="str">
        <f>IF(DI4=0,"",-'Input Assumptions'!$C$84*_xlfn.XLOOKUP('Monthly Cashflow'!DI4,'Input Assumptions'!$C$41:$L$41,'Input Assumptions'!$C$43:$L$43)/12)</f>
        <v/>
      </c>
      <c r="DJ30" s="132" t="str">
        <f>IF(DJ4=0,"",-'Input Assumptions'!$C$84*_xlfn.XLOOKUP('Monthly Cashflow'!DJ4,'Input Assumptions'!$C$41:$L$41,'Input Assumptions'!$C$43:$L$43)/12)</f>
        <v/>
      </c>
      <c r="DK30" s="132" t="str">
        <f>IF(DK4=0,"",-'Input Assumptions'!$C$84*_xlfn.XLOOKUP('Monthly Cashflow'!DK4,'Input Assumptions'!$C$41:$L$41,'Input Assumptions'!$C$43:$L$43)/12)</f>
        <v/>
      </c>
      <c r="DL30" s="132" t="str">
        <f>IF(DL4=0,"",-'Input Assumptions'!$C$84*_xlfn.XLOOKUP('Monthly Cashflow'!DL4,'Input Assumptions'!$C$41:$L$41,'Input Assumptions'!$C$43:$L$43)/12)</f>
        <v/>
      </c>
      <c r="DM30" s="132" t="str">
        <f>IF(DM4=0,"",-'Input Assumptions'!$C$84*_xlfn.XLOOKUP('Monthly Cashflow'!DM4,'Input Assumptions'!$C$41:$L$41,'Input Assumptions'!$C$43:$L$43)/12)</f>
        <v/>
      </c>
      <c r="DN30" s="132" t="str">
        <f>IF(DN4=0,"",-'Input Assumptions'!$C$84*_xlfn.XLOOKUP('Monthly Cashflow'!DN4,'Input Assumptions'!$C$41:$L$41,'Input Assumptions'!$C$43:$L$43)/12)</f>
        <v/>
      </c>
      <c r="DO30" s="132" t="str">
        <f>IF(DO4=0,"",-'Input Assumptions'!$C$84*_xlfn.XLOOKUP('Monthly Cashflow'!DO4,'Input Assumptions'!$C$41:$L$41,'Input Assumptions'!$C$43:$L$43)/12)</f>
        <v/>
      </c>
      <c r="DP30" s="132" t="str">
        <f>IF(DP4=0,"",-'Input Assumptions'!$C$84*_xlfn.XLOOKUP('Monthly Cashflow'!DP4,'Input Assumptions'!$C$41:$L$41,'Input Assumptions'!$C$43:$L$43)/12)</f>
        <v/>
      </c>
      <c r="DQ30" s="132" t="str">
        <f>IF(DQ4=0,"",-'Input Assumptions'!$C$84*_xlfn.XLOOKUP('Monthly Cashflow'!DQ4,'Input Assumptions'!$C$41:$L$41,'Input Assumptions'!$C$43:$L$43)/12)</f>
        <v/>
      </c>
      <c r="DR30" s="132" t="str">
        <f>IF(DR4=0,"",-'Input Assumptions'!$C$84*_xlfn.XLOOKUP('Monthly Cashflow'!DR4,'Input Assumptions'!$C$41:$L$41,'Input Assumptions'!$C$43:$L$43)/12)</f>
        <v/>
      </c>
      <c r="DS30" s="132" t="str">
        <f>IF(DS4=0,"",-'Input Assumptions'!$C$84*_xlfn.XLOOKUP('Monthly Cashflow'!DS4,'Input Assumptions'!$C$41:$L$41,'Input Assumptions'!$C$43:$L$43)/12)</f>
        <v/>
      </c>
    </row>
    <row r="31" spans="1:123" x14ac:dyDescent="0.3">
      <c r="B31" s="111" t="s">
        <v>116</v>
      </c>
      <c r="D31" s="132">
        <f>IF(D4=0,"",-'Input Assumptions'!$C$85*_xlfn.XLOOKUP('Monthly Cashflow'!D4,'Input Assumptions'!$C$41:$L$41,'Input Assumptions'!$C$43:$L$43)/12)</f>
        <v>-166.66666666666666</v>
      </c>
      <c r="E31" s="132">
        <f>IF(E4=0,"",-'Input Assumptions'!$C$85*_xlfn.XLOOKUP('Monthly Cashflow'!E4,'Input Assumptions'!$C$41:$L$41,'Input Assumptions'!$C$43:$L$43)/12)</f>
        <v>-166.66666666666666</v>
      </c>
      <c r="F31" s="132">
        <f>IF(F4=0,"",-'Input Assumptions'!$C$85*_xlfn.XLOOKUP('Monthly Cashflow'!F4,'Input Assumptions'!$C$41:$L$41,'Input Assumptions'!$C$43:$L$43)/12)</f>
        <v>-166.66666666666666</v>
      </c>
      <c r="G31" s="132">
        <f>IF(G4=0,"",-'Input Assumptions'!$C$85*_xlfn.XLOOKUP('Monthly Cashflow'!G4,'Input Assumptions'!$C$41:$L$41,'Input Assumptions'!$C$43:$L$43)/12)</f>
        <v>-166.66666666666666</v>
      </c>
      <c r="H31" s="132">
        <f>IF(H4=0,"",-'Input Assumptions'!$C$85*_xlfn.XLOOKUP('Monthly Cashflow'!H4,'Input Assumptions'!$C$41:$L$41,'Input Assumptions'!$C$43:$L$43)/12)</f>
        <v>-166.66666666666666</v>
      </c>
      <c r="I31" s="132">
        <f>IF(I4=0,"",-'Input Assumptions'!$C$85*_xlfn.XLOOKUP('Monthly Cashflow'!I4,'Input Assumptions'!$C$41:$L$41,'Input Assumptions'!$C$43:$L$43)/12)</f>
        <v>-166.66666666666666</v>
      </c>
      <c r="J31" s="132">
        <f>IF(J4=0,"",-'Input Assumptions'!$C$85*_xlfn.XLOOKUP('Monthly Cashflow'!J4,'Input Assumptions'!$C$41:$L$41,'Input Assumptions'!$C$43:$L$43)/12)</f>
        <v>-166.66666666666666</v>
      </c>
      <c r="K31" s="132">
        <f>IF(K4=0,"",-'Input Assumptions'!$C$85*_xlfn.XLOOKUP('Monthly Cashflow'!K4,'Input Assumptions'!$C$41:$L$41,'Input Assumptions'!$C$43:$L$43)/12)</f>
        <v>-166.66666666666666</v>
      </c>
      <c r="L31" s="132">
        <f>IF(L4=0,"",-'Input Assumptions'!$C$85*_xlfn.XLOOKUP('Monthly Cashflow'!L4,'Input Assumptions'!$C$41:$L$41,'Input Assumptions'!$C$43:$L$43)/12)</f>
        <v>-166.66666666666666</v>
      </c>
      <c r="M31" s="132">
        <f>IF(M4=0,"",-'Input Assumptions'!$C$85*_xlfn.XLOOKUP('Monthly Cashflow'!M4,'Input Assumptions'!$C$41:$L$41,'Input Assumptions'!$C$43:$L$43)/12)</f>
        <v>-166.66666666666666</v>
      </c>
      <c r="N31" s="132">
        <f>IF(N4=0,"",-'Input Assumptions'!$C$85*_xlfn.XLOOKUP('Monthly Cashflow'!N4,'Input Assumptions'!$C$41:$L$41,'Input Assumptions'!$C$43:$L$43)/12)</f>
        <v>-166.66666666666666</v>
      </c>
      <c r="O31" s="132">
        <f>IF(O4=0,"",-'Input Assumptions'!$C$85*_xlfn.XLOOKUP('Monthly Cashflow'!O4,'Input Assumptions'!$C$41:$L$41,'Input Assumptions'!$C$43:$L$43)/12)</f>
        <v>-166.66666666666666</v>
      </c>
      <c r="P31" s="132">
        <f>IF(P4=0,"",-'Input Assumptions'!$C$85*_xlfn.XLOOKUP('Monthly Cashflow'!P4,'Input Assumptions'!$C$41:$L$41,'Input Assumptions'!$C$43:$L$43)/12)</f>
        <v>-169.79166666666666</v>
      </c>
      <c r="Q31" s="132">
        <f>IF(Q4=0,"",-'Input Assumptions'!$C$85*_xlfn.XLOOKUP('Monthly Cashflow'!Q4,'Input Assumptions'!$C$41:$L$41,'Input Assumptions'!$C$43:$L$43)/12)</f>
        <v>-169.79166666666666</v>
      </c>
      <c r="R31" s="132">
        <f>IF(R4=0,"",-'Input Assumptions'!$C$85*_xlfn.XLOOKUP('Monthly Cashflow'!R4,'Input Assumptions'!$C$41:$L$41,'Input Assumptions'!$C$43:$L$43)/12)</f>
        <v>-169.79166666666666</v>
      </c>
      <c r="S31" s="132">
        <f>IF(S4=0,"",-'Input Assumptions'!$C$85*_xlfn.XLOOKUP('Monthly Cashflow'!S4,'Input Assumptions'!$C$41:$L$41,'Input Assumptions'!$C$43:$L$43)/12)</f>
        <v>-169.79166666666666</v>
      </c>
      <c r="T31" s="132">
        <f>IF(T4=0,"",-'Input Assumptions'!$C$85*_xlfn.XLOOKUP('Monthly Cashflow'!T4,'Input Assumptions'!$C$41:$L$41,'Input Assumptions'!$C$43:$L$43)/12)</f>
        <v>-169.79166666666666</v>
      </c>
      <c r="U31" s="132">
        <f>IF(U4=0,"",-'Input Assumptions'!$C$85*_xlfn.XLOOKUP('Monthly Cashflow'!U4,'Input Assumptions'!$C$41:$L$41,'Input Assumptions'!$C$43:$L$43)/12)</f>
        <v>-169.79166666666666</v>
      </c>
      <c r="V31" s="132">
        <f>IF(V4=0,"",-'Input Assumptions'!$C$85*_xlfn.XLOOKUP('Monthly Cashflow'!V4,'Input Assumptions'!$C$41:$L$41,'Input Assumptions'!$C$43:$L$43)/12)</f>
        <v>-169.79166666666666</v>
      </c>
      <c r="W31" s="132">
        <f>IF(W4=0,"",-'Input Assumptions'!$C$85*_xlfn.XLOOKUP('Monthly Cashflow'!W4,'Input Assumptions'!$C$41:$L$41,'Input Assumptions'!$C$43:$L$43)/12)</f>
        <v>-169.79166666666666</v>
      </c>
      <c r="X31" s="132">
        <f>IF(X4=0,"",-'Input Assumptions'!$C$85*_xlfn.XLOOKUP('Monthly Cashflow'!X4,'Input Assumptions'!$C$41:$L$41,'Input Assumptions'!$C$43:$L$43)/12)</f>
        <v>-169.79166666666666</v>
      </c>
      <c r="Y31" s="132">
        <f>IF(Y4=0,"",-'Input Assumptions'!$C$85*_xlfn.XLOOKUP('Monthly Cashflow'!Y4,'Input Assumptions'!$C$41:$L$41,'Input Assumptions'!$C$43:$L$43)/12)</f>
        <v>-169.79166666666666</v>
      </c>
      <c r="Z31" s="132">
        <f>IF(Z4=0,"",-'Input Assumptions'!$C$85*_xlfn.XLOOKUP('Monthly Cashflow'!Z4,'Input Assumptions'!$C$41:$L$41,'Input Assumptions'!$C$43:$L$43)/12)</f>
        <v>-169.79166666666666</v>
      </c>
      <c r="AA31" s="132">
        <f>IF(AA4=0,"",-'Input Assumptions'!$C$85*_xlfn.XLOOKUP('Monthly Cashflow'!AA4,'Input Assumptions'!$C$41:$L$41,'Input Assumptions'!$C$43:$L$43)/12)</f>
        <v>-169.79166666666666</v>
      </c>
      <c r="AB31" s="132">
        <f>IF(AB4=0,"",-'Input Assumptions'!$C$85*_xlfn.XLOOKUP('Monthly Cashflow'!AB4,'Input Assumptions'!$C$41:$L$41,'Input Assumptions'!$C$43:$L$43)/12)</f>
        <v>-172.97526041666666</v>
      </c>
      <c r="AC31" s="132">
        <f>IF(AC4=0,"",-'Input Assumptions'!$C$85*_xlfn.XLOOKUP('Monthly Cashflow'!AC4,'Input Assumptions'!$C$41:$L$41,'Input Assumptions'!$C$43:$L$43)/12)</f>
        <v>-172.97526041666666</v>
      </c>
      <c r="AD31" s="132">
        <f>IF(AD4=0,"",-'Input Assumptions'!$C$85*_xlfn.XLOOKUP('Monthly Cashflow'!AD4,'Input Assumptions'!$C$41:$L$41,'Input Assumptions'!$C$43:$L$43)/12)</f>
        <v>-172.97526041666666</v>
      </c>
      <c r="AE31" s="132">
        <f>IF(AE4=0,"",-'Input Assumptions'!$C$85*_xlfn.XLOOKUP('Monthly Cashflow'!AE4,'Input Assumptions'!$C$41:$L$41,'Input Assumptions'!$C$43:$L$43)/12)</f>
        <v>-172.97526041666666</v>
      </c>
      <c r="AF31" s="132">
        <f>IF(AF4=0,"",-'Input Assumptions'!$C$85*_xlfn.XLOOKUP('Monthly Cashflow'!AF4,'Input Assumptions'!$C$41:$L$41,'Input Assumptions'!$C$43:$L$43)/12)</f>
        <v>-172.97526041666666</v>
      </c>
      <c r="AG31" s="132">
        <f>IF(AG4=0,"",-'Input Assumptions'!$C$85*_xlfn.XLOOKUP('Monthly Cashflow'!AG4,'Input Assumptions'!$C$41:$L$41,'Input Assumptions'!$C$43:$L$43)/12)</f>
        <v>-172.97526041666666</v>
      </c>
      <c r="AH31" s="132">
        <f>IF(AH4=0,"",-'Input Assumptions'!$C$85*_xlfn.XLOOKUP('Monthly Cashflow'!AH4,'Input Assumptions'!$C$41:$L$41,'Input Assumptions'!$C$43:$L$43)/12)</f>
        <v>-172.97526041666666</v>
      </c>
      <c r="AI31" s="132">
        <f>IF(AI4=0,"",-'Input Assumptions'!$C$85*_xlfn.XLOOKUP('Monthly Cashflow'!AI4,'Input Assumptions'!$C$41:$L$41,'Input Assumptions'!$C$43:$L$43)/12)</f>
        <v>-172.97526041666666</v>
      </c>
      <c r="AJ31" s="132">
        <f>IF(AJ4=0,"",-'Input Assumptions'!$C$85*_xlfn.XLOOKUP('Monthly Cashflow'!AJ4,'Input Assumptions'!$C$41:$L$41,'Input Assumptions'!$C$43:$L$43)/12)</f>
        <v>-172.97526041666666</v>
      </c>
      <c r="AK31" s="132">
        <f>IF(AK4=0,"",-'Input Assumptions'!$C$85*_xlfn.XLOOKUP('Monthly Cashflow'!AK4,'Input Assumptions'!$C$41:$L$41,'Input Assumptions'!$C$43:$L$43)/12)</f>
        <v>-172.97526041666666</v>
      </c>
      <c r="AL31" s="132">
        <f>IF(AL4=0,"",-'Input Assumptions'!$C$85*_xlfn.XLOOKUP('Monthly Cashflow'!AL4,'Input Assumptions'!$C$41:$L$41,'Input Assumptions'!$C$43:$L$43)/12)</f>
        <v>-172.97526041666666</v>
      </c>
      <c r="AM31" s="132">
        <f>IF(AM4=0,"",-'Input Assumptions'!$C$85*_xlfn.XLOOKUP('Monthly Cashflow'!AM4,'Input Assumptions'!$C$41:$L$41,'Input Assumptions'!$C$43:$L$43)/12)</f>
        <v>-172.97526041666666</v>
      </c>
      <c r="AN31" s="132">
        <f>IF(AN4=0,"",-'Input Assumptions'!$C$85*_xlfn.XLOOKUP('Monthly Cashflow'!AN4,'Input Assumptions'!$C$41:$L$41,'Input Assumptions'!$C$43:$L$43)/12)</f>
        <v>-176.21854654947916</v>
      </c>
      <c r="AO31" s="132">
        <f>IF(AO4=0,"",-'Input Assumptions'!$C$85*_xlfn.XLOOKUP('Monthly Cashflow'!AO4,'Input Assumptions'!$C$41:$L$41,'Input Assumptions'!$C$43:$L$43)/12)</f>
        <v>-176.21854654947916</v>
      </c>
      <c r="AP31" s="132">
        <f>IF(AP4=0,"",-'Input Assumptions'!$C$85*_xlfn.XLOOKUP('Monthly Cashflow'!AP4,'Input Assumptions'!$C$41:$L$41,'Input Assumptions'!$C$43:$L$43)/12)</f>
        <v>-176.21854654947916</v>
      </c>
      <c r="AQ31" s="132">
        <f>IF(AQ4=0,"",-'Input Assumptions'!$C$85*_xlfn.XLOOKUP('Monthly Cashflow'!AQ4,'Input Assumptions'!$C$41:$L$41,'Input Assumptions'!$C$43:$L$43)/12)</f>
        <v>-176.21854654947916</v>
      </c>
      <c r="AR31" s="132">
        <f>IF(AR4=0,"",-'Input Assumptions'!$C$85*_xlfn.XLOOKUP('Monthly Cashflow'!AR4,'Input Assumptions'!$C$41:$L$41,'Input Assumptions'!$C$43:$L$43)/12)</f>
        <v>-176.21854654947916</v>
      </c>
      <c r="AS31" s="132">
        <f>IF(AS4=0,"",-'Input Assumptions'!$C$85*_xlfn.XLOOKUP('Monthly Cashflow'!AS4,'Input Assumptions'!$C$41:$L$41,'Input Assumptions'!$C$43:$L$43)/12)</f>
        <v>-176.21854654947916</v>
      </c>
      <c r="AT31" s="132">
        <f>IF(AT4=0,"",-'Input Assumptions'!$C$85*_xlfn.XLOOKUP('Monthly Cashflow'!AT4,'Input Assumptions'!$C$41:$L$41,'Input Assumptions'!$C$43:$L$43)/12)</f>
        <v>-176.21854654947916</v>
      </c>
      <c r="AU31" s="132">
        <f>IF(AU4=0,"",-'Input Assumptions'!$C$85*_xlfn.XLOOKUP('Monthly Cashflow'!AU4,'Input Assumptions'!$C$41:$L$41,'Input Assumptions'!$C$43:$L$43)/12)</f>
        <v>-176.21854654947916</v>
      </c>
      <c r="AV31" s="132">
        <f>IF(AV4=0,"",-'Input Assumptions'!$C$85*_xlfn.XLOOKUP('Monthly Cashflow'!AV4,'Input Assumptions'!$C$41:$L$41,'Input Assumptions'!$C$43:$L$43)/12)</f>
        <v>-176.21854654947916</v>
      </c>
      <c r="AW31" s="132">
        <f>IF(AW4=0,"",-'Input Assumptions'!$C$85*_xlfn.XLOOKUP('Monthly Cashflow'!AW4,'Input Assumptions'!$C$41:$L$41,'Input Assumptions'!$C$43:$L$43)/12)</f>
        <v>-176.21854654947916</v>
      </c>
      <c r="AX31" s="132">
        <f>IF(AX4=0,"",-'Input Assumptions'!$C$85*_xlfn.XLOOKUP('Monthly Cashflow'!AX4,'Input Assumptions'!$C$41:$L$41,'Input Assumptions'!$C$43:$L$43)/12)</f>
        <v>-176.21854654947916</v>
      </c>
      <c r="AY31" s="132">
        <f>IF(AY4=0,"",-'Input Assumptions'!$C$85*_xlfn.XLOOKUP('Monthly Cashflow'!AY4,'Input Assumptions'!$C$41:$L$41,'Input Assumptions'!$C$43:$L$43)/12)</f>
        <v>-176.21854654947916</v>
      </c>
      <c r="AZ31" s="132">
        <f>IF(AZ4=0,"",-'Input Assumptions'!$C$85*_xlfn.XLOOKUP('Monthly Cashflow'!AZ4,'Input Assumptions'!$C$41:$L$41,'Input Assumptions'!$C$43:$L$43)/12)</f>
        <v>-179.52264429728191</v>
      </c>
      <c r="BA31" s="132">
        <f>IF(BA4=0,"",-'Input Assumptions'!$C$85*_xlfn.XLOOKUP('Monthly Cashflow'!BA4,'Input Assumptions'!$C$41:$L$41,'Input Assumptions'!$C$43:$L$43)/12)</f>
        <v>-179.52264429728191</v>
      </c>
      <c r="BB31" s="132">
        <f>IF(BB4=0,"",-'Input Assumptions'!$C$85*_xlfn.XLOOKUP('Monthly Cashflow'!BB4,'Input Assumptions'!$C$41:$L$41,'Input Assumptions'!$C$43:$L$43)/12)</f>
        <v>-179.52264429728191</v>
      </c>
      <c r="BC31" s="132">
        <f>IF(BC4=0,"",-'Input Assumptions'!$C$85*_xlfn.XLOOKUP('Monthly Cashflow'!BC4,'Input Assumptions'!$C$41:$L$41,'Input Assumptions'!$C$43:$L$43)/12)</f>
        <v>-179.52264429728191</v>
      </c>
      <c r="BD31" s="132">
        <f>IF(BD4=0,"",-'Input Assumptions'!$C$85*_xlfn.XLOOKUP('Monthly Cashflow'!BD4,'Input Assumptions'!$C$41:$L$41,'Input Assumptions'!$C$43:$L$43)/12)</f>
        <v>-179.52264429728191</v>
      </c>
      <c r="BE31" s="132">
        <f>IF(BE4=0,"",-'Input Assumptions'!$C$85*_xlfn.XLOOKUP('Monthly Cashflow'!BE4,'Input Assumptions'!$C$41:$L$41,'Input Assumptions'!$C$43:$L$43)/12)</f>
        <v>-179.52264429728191</v>
      </c>
      <c r="BF31" s="132">
        <f>IF(BF4=0,"",-'Input Assumptions'!$C$85*_xlfn.XLOOKUP('Monthly Cashflow'!BF4,'Input Assumptions'!$C$41:$L$41,'Input Assumptions'!$C$43:$L$43)/12)</f>
        <v>-179.52264429728191</v>
      </c>
      <c r="BG31" s="132">
        <f>IF(BG4=0,"",-'Input Assumptions'!$C$85*_xlfn.XLOOKUP('Monthly Cashflow'!BG4,'Input Assumptions'!$C$41:$L$41,'Input Assumptions'!$C$43:$L$43)/12)</f>
        <v>-179.52264429728191</v>
      </c>
      <c r="BH31" s="132">
        <f>IF(BH4=0,"",-'Input Assumptions'!$C$85*_xlfn.XLOOKUP('Monthly Cashflow'!BH4,'Input Assumptions'!$C$41:$L$41,'Input Assumptions'!$C$43:$L$43)/12)</f>
        <v>-179.52264429728191</v>
      </c>
      <c r="BI31" s="132">
        <f>IF(BI4=0,"",-'Input Assumptions'!$C$85*_xlfn.XLOOKUP('Monthly Cashflow'!BI4,'Input Assumptions'!$C$41:$L$41,'Input Assumptions'!$C$43:$L$43)/12)</f>
        <v>-179.52264429728191</v>
      </c>
      <c r="BJ31" s="132">
        <f>IF(BJ4=0,"",-'Input Assumptions'!$C$85*_xlfn.XLOOKUP('Monthly Cashflow'!BJ4,'Input Assumptions'!$C$41:$L$41,'Input Assumptions'!$C$43:$L$43)/12)</f>
        <v>-179.52264429728191</v>
      </c>
      <c r="BK31" s="132">
        <f>IF(BK4=0,"",-'Input Assumptions'!$C$85*_xlfn.XLOOKUP('Monthly Cashflow'!BK4,'Input Assumptions'!$C$41:$L$41,'Input Assumptions'!$C$43:$L$43)/12)</f>
        <v>-179.52264429728191</v>
      </c>
      <c r="BL31" s="132" t="str">
        <f>IF(BL4=0,"",-'Input Assumptions'!$C$85*_xlfn.XLOOKUP('Monthly Cashflow'!BL4,'Input Assumptions'!$C$41:$L$41,'Input Assumptions'!$C$43:$L$43)/12)</f>
        <v/>
      </c>
      <c r="BM31" s="132" t="str">
        <f>IF(BM4=0,"",-'Input Assumptions'!$C$85*_xlfn.XLOOKUP('Monthly Cashflow'!BM4,'Input Assumptions'!$C$41:$L$41,'Input Assumptions'!$C$43:$L$43)/12)</f>
        <v/>
      </c>
      <c r="BN31" s="132" t="str">
        <f>IF(BN4=0,"",-'Input Assumptions'!$C$85*_xlfn.XLOOKUP('Monthly Cashflow'!BN4,'Input Assumptions'!$C$41:$L$41,'Input Assumptions'!$C$43:$L$43)/12)</f>
        <v/>
      </c>
      <c r="BO31" s="132" t="str">
        <f>IF(BO4=0,"",-'Input Assumptions'!$C$85*_xlfn.XLOOKUP('Monthly Cashflow'!BO4,'Input Assumptions'!$C$41:$L$41,'Input Assumptions'!$C$43:$L$43)/12)</f>
        <v/>
      </c>
      <c r="BP31" s="132" t="str">
        <f>IF(BP4=0,"",-'Input Assumptions'!$C$85*_xlfn.XLOOKUP('Monthly Cashflow'!BP4,'Input Assumptions'!$C$41:$L$41,'Input Assumptions'!$C$43:$L$43)/12)</f>
        <v/>
      </c>
      <c r="BQ31" s="132" t="str">
        <f>IF(BQ4=0,"",-'Input Assumptions'!$C$85*_xlfn.XLOOKUP('Monthly Cashflow'!BQ4,'Input Assumptions'!$C$41:$L$41,'Input Assumptions'!$C$43:$L$43)/12)</f>
        <v/>
      </c>
      <c r="BR31" s="132" t="str">
        <f>IF(BR4=0,"",-'Input Assumptions'!$C$85*_xlfn.XLOOKUP('Monthly Cashflow'!BR4,'Input Assumptions'!$C$41:$L$41,'Input Assumptions'!$C$43:$L$43)/12)</f>
        <v/>
      </c>
      <c r="BS31" s="132" t="str">
        <f>IF(BS4=0,"",-'Input Assumptions'!$C$85*_xlfn.XLOOKUP('Monthly Cashflow'!BS4,'Input Assumptions'!$C$41:$L$41,'Input Assumptions'!$C$43:$L$43)/12)</f>
        <v/>
      </c>
      <c r="BT31" s="132" t="str">
        <f>IF(BT4=0,"",-'Input Assumptions'!$C$85*_xlfn.XLOOKUP('Monthly Cashflow'!BT4,'Input Assumptions'!$C$41:$L$41,'Input Assumptions'!$C$43:$L$43)/12)</f>
        <v/>
      </c>
      <c r="BU31" s="132" t="str">
        <f>IF(BU4=0,"",-'Input Assumptions'!$C$85*_xlfn.XLOOKUP('Monthly Cashflow'!BU4,'Input Assumptions'!$C$41:$L$41,'Input Assumptions'!$C$43:$L$43)/12)</f>
        <v/>
      </c>
      <c r="BV31" s="132" t="str">
        <f>IF(BV4=0,"",-'Input Assumptions'!$C$85*_xlfn.XLOOKUP('Monthly Cashflow'!BV4,'Input Assumptions'!$C$41:$L$41,'Input Assumptions'!$C$43:$L$43)/12)</f>
        <v/>
      </c>
      <c r="BW31" s="132" t="str">
        <f>IF(BW4=0,"",-'Input Assumptions'!$C$85*_xlfn.XLOOKUP('Monthly Cashflow'!BW4,'Input Assumptions'!$C$41:$L$41,'Input Assumptions'!$C$43:$L$43)/12)</f>
        <v/>
      </c>
      <c r="BX31" s="132" t="str">
        <f>IF(BX4=0,"",-'Input Assumptions'!$C$85*_xlfn.XLOOKUP('Monthly Cashflow'!BX4,'Input Assumptions'!$C$41:$L$41,'Input Assumptions'!$C$43:$L$43)/12)</f>
        <v/>
      </c>
      <c r="BY31" s="132" t="str">
        <f>IF(BY4=0,"",-'Input Assumptions'!$C$85*_xlfn.XLOOKUP('Monthly Cashflow'!BY4,'Input Assumptions'!$C$41:$L$41,'Input Assumptions'!$C$43:$L$43)/12)</f>
        <v/>
      </c>
      <c r="BZ31" s="132" t="str">
        <f>IF(BZ4=0,"",-'Input Assumptions'!$C$85*_xlfn.XLOOKUP('Monthly Cashflow'!BZ4,'Input Assumptions'!$C$41:$L$41,'Input Assumptions'!$C$43:$L$43)/12)</f>
        <v/>
      </c>
      <c r="CA31" s="132" t="str">
        <f>IF(CA4=0,"",-'Input Assumptions'!$C$85*_xlfn.XLOOKUP('Monthly Cashflow'!CA4,'Input Assumptions'!$C$41:$L$41,'Input Assumptions'!$C$43:$L$43)/12)</f>
        <v/>
      </c>
      <c r="CB31" s="132" t="str">
        <f>IF(CB4=0,"",-'Input Assumptions'!$C$85*_xlfn.XLOOKUP('Monthly Cashflow'!CB4,'Input Assumptions'!$C$41:$L$41,'Input Assumptions'!$C$43:$L$43)/12)</f>
        <v/>
      </c>
      <c r="CC31" s="132" t="str">
        <f>IF(CC4=0,"",-'Input Assumptions'!$C$85*_xlfn.XLOOKUP('Monthly Cashflow'!CC4,'Input Assumptions'!$C$41:$L$41,'Input Assumptions'!$C$43:$L$43)/12)</f>
        <v/>
      </c>
      <c r="CD31" s="132" t="str">
        <f>IF(CD4=0,"",-'Input Assumptions'!$C$85*_xlfn.XLOOKUP('Monthly Cashflow'!CD4,'Input Assumptions'!$C$41:$L$41,'Input Assumptions'!$C$43:$L$43)/12)</f>
        <v/>
      </c>
      <c r="CE31" s="132" t="str">
        <f>IF(CE4=0,"",-'Input Assumptions'!$C$85*_xlfn.XLOOKUP('Monthly Cashflow'!CE4,'Input Assumptions'!$C$41:$L$41,'Input Assumptions'!$C$43:$L$43)/12)</f>
        <v/>
      </c>
      <c r="CF31" s="132" t="str">
        <f>IF(CF4=0,"",-'Input Assumptions'!$C$85*_xlfn.XLOOKUP('Monthly Cashflow'!CF4,'Input Assumptions'!$C$41:$L$41,'Input Assumptions'!$C$43:$L$43)/12)</f>
        <v/>
      </c>
      <c r="CG31" s="132" t="str">
        <f>IF(CG4=0,"",-'Input Assumptions'!$C$85*_xlfn.XLOOKUP('Monthly Cashflow'!CG4,'Input Assumptions'!$C$41:$L$41,'Input Assumptions'!$C$43:$L$43)/12)</f>
        <v/>
      </c>
      <c r="CH31" s="132" t="str">
        <f>IF(CH4=0,"",-'Input Assumptions'!$C$85*_xlfn.XLOOKUP('Monthly Cashflow'!CH4,'Input Assumptions'!$C$41:$L$41,'Input Assumptions'!$C$43:$L$43)/12)</f>
        <v/>
      </c>
      <c r="CI31" s="132" t="str">
        <f>IF(CI4=0,"",-'Input Assumptions'!$C$85*_xlfn.XLOOKUP('Monthly Cashflow'!CI4,'Input Assumptions'!$C$41:$L$41,'Input Assumptions'!$C$43:$L$43)/12)</f>
        <v/>
      </c>
      <c r="CJ31" s="132" t="str">
        <f>IF(CJ4=0,"",-'Input Assumptions'!$C$85*_xlfn.XLOOKUP('Monthly Cashflow'!CJ4,'Input Assumptions'!$C$41:$L$41,'Input Assumptions'!$C$43:$L$43)/12)</f>
        <v/>
      </c>
      <c r="CK31" s="132" t="str">
        <f>IF(CK4=0,"",-'Input Assumptions'!$C$85*_xlfn.XLOOKUP('Monthly Cashflow'!CK4,'Input Assumptions'!$C$41:$L$41,'Input Assumptions'!$C$43:$L$43)/12)</f>
        <v/>
      </c>
      <c r="CL31" s="132" t="str">
        <f>IF(CL4=0,"",-'Input Assumptions'!$C$85*_xlfn.XLOOKUP('Monthly Cashflow'!CL4,'Input Assumptions'!$C$41:$L$41,'Input Assumptions'!$C$43:$L$43)/12)</f>
        <v/>
      </c>
      <c r="CM31" s="132" t="str">
        <f>IF(CM4=0,"",-'Input Assumptions'!$C$85*_xlfn.XLOOKUP('Monthly Cashflow'!CM4,'Input Assumptions'!$C$41:$L$41,'Input Assumptions'!$C$43:$L$43)/12)</f>
        <v/>
      </c>
      <c r="CN31" s="132" t="str">
        <f>IF(CN4=0,"",-'Input Assumptions'!$C$85*_xlfn.XLOOKUP('Monthly Cashflow'!CN4,'Input Assumptions'!$C$41:$L$41,'Input Assumptions'!$C$43:$L$43)/12)</f>
        <v/>
      </c>
      <c r="CO31" s="132" t="str">
        <f>IF(CO4=0,"",-'Input Assumptions'!$C$85*_xlfn.XLOOKUP('Monthly Cashflow'!CO4,'Input Assumptions'!$C$41:$L$41,'Input Assumptions'!$C$43:$L$43)/12)</f>
        <v/>
      </c>
      <c r="CP31" s="132" t="str">
        <f>IF(CP4=0,"",-'Input Assumptions'!$C$85*_xlfn.XLOOKUP('Monthly Cashflow'!CP4,'Input Assumptions'!$C$41:$L$41,'Input Assumptions'!$C$43:$L$43)/12)</f>
        <v/>
      </c>
      <c r="CQ31" s="132" t="str">
        <f>IF(CQ4=0,"",-'Input Assumptions'!$C$85*_xlfn.XLOOKUP('Monthly Cashflow'!CQ4,'Input Assumptions'!$C$41:$L$41,'Input Assumptions'!$C$43:$L$43)/12)</f>
        <v/>
      </c>
      <c r="CR31" s="132" t="str">
        <f>IF(CR4=0,"",-'Input Assumptions'!$C$85*_xlfn.XLOOKUP('Monthly Cashflow'!CR4,'Input Assumptions'!$C$41:$L$41,'Input Assumptions'!$C$43:$L$43)/12)</f>
        <v/>
      </c>
      <c r="CS31" s="132" t="str">
        <f>IF(CS4=0,"",-'Input Assumptions'!$C$85*_xlfn.XLOOKUP('Monthly Cashflow'!CS4,'Input Assumptions'!$C$41:$L$41,'Input Assumptions'!$C$43:$L$43)/12)</f>
        <v/>
      </c>
      <c r="CT31" s="132" t="str">
        <f>IF(CT4=0,"",-'Input Assumptions'!$C$85*_xlfn.XLOOKUP('Monthly Cashflow'!CT4,'Input Assumptions'!$C$41:$L$41,'Input Assumptions'!$C$43:$L$43)/12)</f>
        <v/>
      </c>
      <c r="CU31" s="132" t="str">
        <f>IF(CU4=0,"",-'Input Assumptions'!$C$85*_xlfn.XLOOKUP('Monthly Cashflow'!CU4,'Input Assumptions'!$C$41:$L$41,'Input Assumptions'!$C$43:$L$43)/12)</f>
        <v/>
      </c>
      <c r="CV31" s="132" t="str">
        <f>IF(CV4=0,"",-'Input Assumptions'!$C$85*_xlfn.XLOOKUP('Monthly Cashflow'!CV4,'Input Assumptions'!$C$41:$L$41,'Input Assumptions'!$C$43:$L$43)/12)</f>
        <v/>
      </c>
      <c r="CW31" s="132" t="str">
        <f>IF(CW4=0,"",-'Input Assumptions'!$C$85*_xlfn.XLOOKUP('Monthly Cashflow'!CW4,'Input Assumptions'!$C$41:$L$41,'Input Assumptions'!$C$43:$L$43)/12)</f>
        <v/>
      </c>
      <c r="CX31" s="132" t="str">
        <f>IF(CX4=0,"",-'Input Assumptions'!$C$85*_xlfn.XLOOKUP('Monthly Cashflow'!CX4,'Input Assumptions'!$C$41:$L$41,'Input Assumptions'!$C$43:$L$43)/12)</f>
        <v/>
      </c>
      <c r="CY31" s="132" t="str">
        <f>IF(CY4=0,"",-'Input Assumptions'!$C$85*_xlfn.XLOOKUP('Monthly Cashflow'!CY4,'Input Assumptions'!$C$41:$L$41,'Input Assumptions'!$C$43:$L$43)/12)</f>
        <v/>
      </c>
      <c r="CZ31" s="132" t="str">
        <f>IF(CZ4=0,"",-'Input Assumptions'!$C$85*_xlfn.XLOOKUP('Monthly Cashflow'!CZ4,'Input Assumptions'!$C$41:$L$41,'Input Assumptions'!$C$43:$L$43)/12)</f>
        <v/>
      </c>
      <c r="DA31" s="132" t="str">
        <f>IF(DA4=0,"",-'Input Assumptions'!$C$85*_xlfn.XLOOKUP('Monthly Cashflow'!DA4,'Input Assumptions'!$C$41:$L$41,'Input Assumptions'!$C$43:$L$43)/12)</f>
        <v/>
      </c>
      <c r="DB31" s="132" t="str">
        <f>IF(DB4=0,"",-'Input Assumptions'!$C$85*_xlfn.XLOOKUP('Monthly Cashflow'!DB4,'Input Assumptions'!$C$41:$L$41,'Input Assumptions'!$C$43:$L$43)/12)</f>
        <v/>
      </c>
      <c r="DC31" s="132" t="str">
        <f>IF(DC4=0,"",-'Input Assumptions'!$C$85*_xlfn.XLOOKUP('Monthly Cashflow'!DC4,'Input Assumptions'!$C$41:$L$41,'Input Assumptions'!$C$43:$L$43)/12)</f>
        <v/>
      </c>
      <c r="DD31" s="132" t="str">
        <f>IF(DD4=0,"",-'Input Assumptions'!$C$85*_xlfn.XLOOKUP('Monthly Cashflow'!DD4,'Input Assumptions'!$C$41:$L$41,'Input Assumptions'!$C$43:$L$43)/12)</f>
        <v/>
      </c>
      <c r="DE31" s="132" t="str">
        <f>IF(DE4=0,"",-'Input Assumptions'!$C$85*_xlfn.XLOOKUP('Monthly Cashflow'!DE4,'Input Assumptions'!$C$41:$L$41,'Input Assumptions'!$C$43:$L$43)/12)</f>
        <v/>
      </c>
      <c r="DF31" s="132" t="str">
        <f>IF(DF4=0,"",-'Input Assumptions'!$C$85*_xlfn.XLOOKUP('Monthly Cashflow'!DF4,'Input Assumptions'!$C$41:$L$41,'Input Assumptions'!$C$43:$L$43)/12)</f>
        <v/>
      </c>
      <c r="DG31" s="132" t="str">
        <f>IF(DG4=0,"",-'Input Assumptions'!$C$85*_xlfn.XLOOKUP('Monthly Cashflow'!DG4,'Input Assumptions'!$C$41:$L$41,'Input Assumptions'!$C$43:$L$43)/12)</f>
        <v/>
      </c>
      <c r="DH31" s="132" t="str">
        <f>IF(DH4=0,"",-'Input Assumptions'!$C$85*_xlfn.XLOOKUP('Monthly Cashflow'!DH4,'Input Assumptions'!$C$41:$L$41,'Input Assumptions'!$C$43:$L$43)/12)</f>
        <v/>
      </c>
      <c r="DI31" s="132" t="str">
        <f>IF(DI4=0,"",-'Input Assumptions'!$C$85*_xlfn.XLOOKUP('Monthly Cashflow'!DI4,'Input Assumptions'!$C$41:$L$41,'Input Assumptions'!$C$43:$L$43)/12)</f>
        <v/>
      </c>
      <c r="DJ31" s="132" t="str">
        <f>IF(DJ4=0,"",-'Input Assumptions'!$C$85*_xlfn.XLOOKUP('Monthly Cashflow'!DJ4,'Input Assumptions'!$C$41:$L$41,'Input Assumptions'!$C$43:$L$43)/12)</f>
        <v/>
      </c>
      <c r="DK31" s="132" t="str">
        <f>IF(DK4=0,"",-'Input Assumptions'!$C$85*_xlfn.XLOOKUP('Monthly Cashflow'!DK4,'Input Assumptions'!$C$41:$L$41,'Input Assumptions'!$C$43:$L$43)/12)</f>
        <v/>
      </c>
      <c r="DL31" s="132" t="str">
        <f>IF(DL4=0,"",-'Input Assumptions'!$C$85*_xlfn.XLOOKUP('Monthly Cashflow'!DL4,'Input Assumptions'!$C$41:$L$41,'Input Assumptions'!$C$43:$L$43)/12)</f>
        <v/>
      </c>
      <c r="DM31" s="132" t="str">
        <f>IF(DM4=0,"",-'Input Assumptions'!$C$85*_xlfn.XLOOKUP('Monthly Cashflow'!DM4,'Input Assumptions'!$C$41:$L$41,'Input Assumptions'!$C$43:$L$43)/12)</f>
        <v/>
      </c>
      <c r="DN31" s="132" t="str">
        <f>IF(DN4=0,"",-'Input Assumptions'!$C$85*_xlfn.XLOOKUP('Monthly Cashflow'!DN4,'Input Assumptions'!$C$41:$L$41,'Input Assumptions'!$C$43:$L$43)/12)</f>
        <v/>
      </c>
      <c r="DO31" s="132" t="str">
        <f>IF(DO4=0,"",-'Input Assumptions'!$C$85*_xlfn.XLOOKUP('Monthly Cashflow'!DO4,'Input Assumptions'!$C$41:$L$41,'Input Assumptions'!$C$43:$L$43)/12)</f>
        <v/>
      </c>
      <c r="DP31" s="132" t="str">
        <f>IF(DP4=0,"",-'Input Assumptions'!$C$85*_xlfn.XLOOKUP('Monthly Cashflow'!DP4,'Input Assumptions'!$C$41:$L$41,'Input Assumptions'!$C$43:$L$43)/12)</f>
        <v/>
      </c>
      <c r="DQ31" s="132" t="str">
        <f>IF(DQ4=0,"",-'Input Assumptions'!$C$85*_xlfn.XLOOKUP('Monthly Cashflow'!DQ4,'Input Assumptions'!$C$41:$L$41,'Input Assumptions'!$C$43:$L$43)/12)</f>
        <v/>
      </c>
      <c r="DR31" s="132" t="str">
        <f>IF(DR4=0,"",-'Input Assumptions'!$C$85*_xlfn.XLOOKUP('Monthly Cashflow'!DR4,'Input Assumptions'!$C$41:$L$41,'Input Assumptions'!$C$43:$L$43)/12)</f>
        <v/>
      </c>
      <c r="DS31" s="132" t="str">
        <f>IF(DS4=0,"",-'Input Assumptions'!$C$85*_xlfn.XLOOKUP('Monthly Cashflow'!DS4,'Input Assumptions'!$C$41:$L$41,'Input Assumptions'!$C$43:$L$43)/12)</f>
        <v/>
      </c>
    </row>
    <row r="32" spans="1:123" x14ac:dyDescent="0.3">
      <c r="B32" s="107" t="s">
        <v>124</v>
      </c>
      <c r="C32" s="108"/>
      <c r="D32" s="108">
        <f>IF(D4=0,"",SUM(D24:D31))</f>
        <v>-9905.3070175438606</v>
      </c>
      <c r="E32" s="108">
        <f t="shared" ref="E32:BP32" si="116">IF(E4=0,"",SUM(E24:E31))</f>
        <v>-10727.280701754387</v>
      </c>
      <c r="F32" s="108">
        <f t="shared" si="116"/>
        <v>-11549.254385964912</v>
      </c>
      <c r="G32" s="108">
        <f t="shared" si="116"/>
        <v>-12371.228070175439</v>
      </c>
      <c r="H32" s="108">
        <f t="shared" si="116"/>
        <v>-13193.201754385966</v>
      </c>
      <c r="I32" s="108">
        <f t="shared" si="116"/>
        <v>-14015.175438596492</v>
      </c>
      <c r="J32" s="108">
        <f t="shared" si="116"/>
        <v>-14015.175438596492</v>
      </c>
      <c r="K32" s="108">
        <f t="shared" si="116"/>
        <v>-14015.175438596492</v>
      </c>
      <c r="L32" s="108">
        <f t="shared" si="116"/>
        <v>-14015.175438596492</v>
      </c>
      <c r="M32" s="108">
        <f t="shared" si="116"/>
        <v>-14015.175438596492</v>
      </c>
      <c r="N32" s="108">
        <f t="shared" si="116"/>
        <v>-14015.175438596492</v>
      </c>
      <c r="O32" s="108">
        <f t="shared" si="116"/>
        <v>-14015.175438596492</v>
      </c>
      <c r="P32" s="108">
        <f t="shared" si="116"/>
        <v>-14342.084978070177</v>
      </c>
      <c r="Q32" s="108">
        <f t="shared" si="116"/>
        <v>-14342.084978070177</v>
      </c>
      <c r="R32" s="108">
        <f t="shared" si="116"/>
        <v>-14342.084978070177</v>
      </c>
      <c r="S32" s="108">
        <f t="shared" si="116"/>
        <v>-14342.084978070177</v>
      </c>
      <c r="T32" s="108">
        <f t="shared" si="116"/>
        <v>-14342.084978070177</v>
      </c>
      <c r="U32" s="108">
        <f t="shared" si="116"/>
        <v>-14342.084978070177</v>
      </c>
      <c r="V32" s="108">
        <f t="shared" si="116"/>
        <v>-14342.084978070177</v>
      </c>
      <c r="W32" s="108">
        <f t="shared" si="116"/>
        <v>-14342.084978070177</v>
      </c>
      <c r="X32" s="108">
        <f t="shared" si="116"/>
        <v>-14342.084978070177</v>
      </c>
      <c r="Y32" s="108">
        <f t="shared" si="116"/>
        <v>-14342.084978070177</v>
      </c>
      <c r="Z32" s="108">
        <f t="shared" si="116"/>
        <v>-14342.084978070177</v>
      </c>
      <c r="AA32" s="108">
        <f t="shared" si="116"/>
        <v>-14342.084978070177</v>
      </c>
      <c r="AB32" s="108">
        <f t="shared" si="116"/>
        <v>-14677.528758908993</v>
      </c>
      <c r="AC32" s="108">
        <f t="shared" si="116"/>
        <v>-14677.528758908993</v>
      </c>
      <c r="AD32" s="108">
        <f t="shared" si="116"/>
        <v>-14677.528758908993</v>
      </c>
      <c r="AE32" s="108">
        <f t="shared" si="116"/>
        <v>-14677.528758908993</v>
      </c>
      <c r="AF32" s="108">
        <f t="shared" si="116"/>
        <v>-14677.528758908993</v>
      </c>
      <c r="AG32" s="108">
        <f t="shared" si="116"/>
        <v>-14677.528758908993</v>
      </c>
      <c r="AH32" s="108">
        <f t="shared" si="116"/>
        <v>-14677.528758908993</v>
      </c>
      <c r="AI32" s="108">
        <f t="shared" si="116"/>
        <v>-14677.528758908993</v>
      </c>
      <c r="AJ32" s="108">
        <f t="shared" si="116"/>
        <v>-14677.528758908993</v>
      </c>
      <c r="AK32" s="108">
        <f t="shared" si="116"/>
        <v>-14677.528758908993</v>
      </c>
      <c r="AL32" s="108">
        <f t="shared" si="116"/>
        <v>-14677.528758908993</v>
      </c>
      <c r="AM32" s="108">
        <f t="shared" si="116"/>
        <v>-14677.528758908993</v>
      </c>
      <c r="AN32" s="108">
        <f t="shared" si="116"/>
        <v>-15021.756973919786</v>
      </c>
      <c r="AO32" s="108">
        <f t="shared" si="116"/>
        <v>-15021.756973919786</v>
      </c>
      <c r="AP32" s="108">
        <f t="shared" si="116"/>
        <v>-15021.756973919786</v>
      </c>
      <c r="AQ32" s="108">
        <f t="shared" si="116"/>
        <v>-15021.756973919786</v>
      </c>
      <c r="AR32" s="108">
        <f t="shared" si="116"/>
        <v>-15021.756973919786</v>
      </c>
      <c r="AS32" s="108">
        <f t="shared" si="116"/>
        <v>-15021.756973919786</v>
      </c>
      <c r="AT32" s="108">
        <f t="shared" si="116"/>
        <v>-15021.756973919786</v>
      </c>
      <c r="AU32" s="108">
        <f t="shared" si="116"/>
        <v>-15021.756973919786</v>
      </c>
      <c r="AV32" s="108">
        <f t="shared" si="116"/>
        <v>-15021.756973919786</v>
      </c>
      <c r="AW32" s="108">
        <f t="shared" si="116"/>
        <v>-15021.756973919786</v>
      </c>
      <c r="AX32" s="108">
        <f t="shared" si="116"/>
        <v>-15021.756973919786</v>
      </c>
      <c r="AY32" s="108">
        <f t="shared" si="116"/>
        <v>-15021.756973919786</v>
      </c>
      <c r="AZ32" s="108">
        <f t="shared" si="116"/>
        <v>-15375.027888616332</v>
      </c>
      <c r="BA32" s="108">
        <f t="shared" si="116"/>
        <v>-15375.027888616332</v>
      </c>
      <c r="BB32" s="108">
        <f t="shared" si="116"/>
        <v>-15375.027888616332</v>
      </c>
      <c r="BC32" s="108">
        <f t="shared" si="116"/>
        <v>-15375.027888616332</v>
      </c>
      <c r="BD32" s="108">
        <f t="shared" si="116"/>
        <v>-15375.027888616332</v>
      </c>
      <c r="BE32" s="108">
        <f t="shared" si="116"/>
        <v>-15375.027888616332</v>
      </c>
      <c r="BF32" s="108">
        <f t="shared" si="116"/>
        <v>-15375.027888616332</v>
      </c>
      <c r="BG32" s="108">
        <f t="shared" si="116"/>
        <v>-15375.027888616332</v>
      </c>
      <c r="BH32" s="108">
        <f t="shared" si="116"/>
        <v>-15375.027888616332</v>
      </c>
      <c r="BI32" s="108">
        <f t="shared" si="116"/>
        <v>-15375.027888616332</v>
      </c>
      <c r="BJ32" s="108">
        <f t="shared" si="116"/>
        <v>-15375.027888616332</v>
      </c>
      <c r="BK32" s="108">
        <f t="shared" si="116"/>
        <v>-15375.027888616332</v>
      </c>
      <c r="BL32" s="108" t="str">
        <f t="shared" si="116"/>
        <v/>
      </c>
      <c r="BM32" s="108" t="str">
        <f t="shared" si="116"/>
        <v/>
      </c>
      <c r="BN32" s="108" t="str">
        <f t="shared" si="116"/>
        <v/>
      </c>
      <c r="BO32" s="108" t="str">
        <f t="shared" si="116"/>
        <v/>
      </c>
      <c r="BP32" s="108" t="str">
        <f t="shared" si="116"/>
        <v/>
      </c>
      <c r="BQ32" s="108" t="str">
        <f t="shared" ref="BQ32:DS32" si="117">IF(BQ4=0,"",SUM(BQ24:BQ31))</f>
        <v/>
      </c>
      <c r="BR32" s="108" t="str">
        <f t="shared" si="117"/>
        <v/>
      </c>
      <c r="BS32" s="108" t="str">
        <f t="shared" si="117"/>
        <v/>
      </c>
      <c r="BT32" s="108" t="str">
        <f t="shared" si="117"/>
        <v/>
      </c>
      <c r="BU32" s="108" t="str">
        <f t="shared" si="117"/>
        <v/>
      </c>
      <c r="BV32" s="108" t="str">
        <f t="shared" si="117"/>
        <v/>
      </c>
      <c r="BW32" s="108" t="str">
        <f t="shared" si="117"/>
        <v/>
      </c>
      <c r="BX32" s="108" t="str">
        <f t="shared" si="117"/>
        <v/>
      </c>
      <c r="BY32" s="108" t="str">
        <f t="shared" si="117"/>
        <v/>
      </c>
      <c r="BZ32" s="108" t="str">
        <f t="shared" si="117"/>
        <v/>
      </c>
      <c r="CA32" s="108" t="str">
        <f t="shared" si="117"/>
        <v/>
      </c>
      <c r="CB32" s="108" t="str">
        <f t="shared" si="117"/>
        <v/>
      </c>
      <c r="CC32" s="108" t="str">
        <f t="shared" si="117"/>
        <v/>
      </c>
      <c r="CD32" s="108" t="str">
        <f t="shared" si="117"/>
        <v/>
      </c>
      <c r="CE32" s="108" t="str">
        <f t="shared" si="117"/>
        <v/>
      </c>
      <c r="CF32" s="108" t="str">
        <f t="shared" si="117"/>
        <v/>
      </c>
      <c r="CG32" s="108" t="str">
        <f t="shared" si="117"/>
        <v/>
      </c>
      <c r="CH32" s="108" t="str">
        <f t="shared" si="117"/>
        <v/>
      </c>
      <c r="CI32" s="108" t="str">
        <f t="shared" si="117"/>
        <v/>
      </c>
      <c r="CJ32" s="108" t="str">
        <f t="shared" si="117"/>
        <v/>
      </c>
      <c r="CK32" s="108" t="str">
        <f t="shared" si="117"/>
        <v/>
      </c>
      <c r="CL32" s="108" t="str">
        <f t="shared" si="117"/>
        <v/>
      </c>
      <c r="CM32" s="108" t="str">
        <f t="shared" si="117"/>
        <v/>
      </c>
      <c r="CN32" s="108" t="str">
        <f t="shared" si="117"/>
        <v/>
      </c>
      <c r="CO32" s="108" t="str">
        <f t="shared" si="117"/>
        <v/>
      </c>
      <c r="CP32" s="108" t="str">
        <f t="shared" si="117"/>
        <v/>
      </c>
      <c r="CQ32" s="108" t="str">
        <f t="shared" si="117"/>
        <v/>
      </c>
      <c r="CR32" s="108" t="str">
        <f t="shared" si="117"/>
        <v/>
      </c>
      <c r="CS32" s="108" t="str">
        <f t="shared" si="117"/>
        <v/>
      </c>
      <c r="CT32" s="108" t="str">
        <f t="shared" si="117"/>
        <v/>
      </c>
      <c r="CU32" s="108" t="str">
        <f t="shared" si="117"/>
        <v/>
      </c>
      <c r="CV32" s="108" t="str">
        <f t="shared" si="117"/>
        <v/>
      </c>
      <c r="CW32" s="108" t="str">
        <f t="shared" si="117"/>
        <v/>
      </c>
      <c r="CX32" s="108" t="str">
        <f t="shared" si="117"/>
        <v/>
      </c>
      <c r="CY32" s="108" t="str">
        <f t="shared" si="117"/>
        <v/>
      </c>
      <c r="CZ32" s="108" t="str">
        <f t="shared" si="117"/>
        <v/>
      </c>
      <c r="DA32" s="108" t="str">
        <f t="shared" si="117"/>
        <v/>
      </c>
      <c r="DB32" s="108" t="str">
        <f t="shared" si="117"/>
        <v/>
      </c>
      <c r="DC32" s="108" t="str">
        <f t="shared" si="117"/>
        <v/>
      </c>
      <c r="DD32" s="108" t="str">
        <f t="shared" si="117"/>
        <v/>
      </c>
      <c r="DE32" s="108" t="str">
        <f t="shared" si="117"/>
        <v/>
      </c>
      <c r="DF32" s="108" t="str">
        <f t="shared" si="117"/>
        <v/>
      </c>
      <c r="DG32" s="108" t="str">
        <f t="shared" si="117"/>
        <v/>
      </c>
      <c r="DH32" s="108" t="str">
        <f t="shared" si="117"/>
        <v/>
      </c>
      <c r="DI32" s="108" t="str">
        <f t="shared" si="117"/>
        <v/>
      </c>
      <c r="DJ32" s="108" t="str">
        <f t="shared" si="117"/>
        <v/>
      </c>
      <c r="DK32" s="108" t="str">
        <f t="shared" si="117"/>
        <v/>
      </c>
      <c r="DL32" s="108" t="str">
        <f t="shared" si="117"/>
        <v/>
      </c>
      <c r="DM32" s="108" t="str">
        <f t="shared" si="117"/>
        <v/>
      </c>
      <c r="DN32" s="108" t="str">
        <f t="shared" si="117"/>
        <v/>
      </c>
      <c r="DO32" s="108" t="str">
        <f t="shared" si="117"/>
        <v/>
      </c>
      <c r="DP32" s="108" t="str">
        <f t="shared" si="117"/>
        <v/>
      </c>
      <c r="DQ32" s="108" t="str">
        <f t="shared" si="117"/>
        <v/>
      </c>
      <c r="DR32" s="108" t="str">
        <f t="shared" si="117"/>
        <v/>
      </c>
      <c r="DS32" s="108" t="str">
        <f t="shared" si="117"/>
        <v/>
      </c>
    </row>
    <row r="33" spans="2:123" x14ac:dyDescent="0.3">
      <c r="D33" s="59"/>
    </row>
    <row r="34" spans="2:123" x14ac:dyDescent="0.3">
      <c r="B34" s="107" t="s">
        <v>117</v>
      </c>
      <c r="C34" s="108"/>
      <c r="D34" s="108">
        <f>IF(D4=0,"",D21+D32)</f>
        <v>874.16666666666606</v>
      </c>
      <c r="E34" s="108">
        <f t="shared" ref="E34:BP34" si="118">IF(E4=0,"",E21+E32)</f>
        <v>10831.666666666666</v>
      </c>
      <c r="F34" s="108">
        <f t="shared" si="118"/>
        <v>20789.166666666661</v>
      </c>
      <c r="G34" s="108">
        <f t="shared" si="118"/>
        <v>30746.666666666668</v>
      </c>
      <c r="H34" s="108">
        <f t="shared" si="118"/>
        <v>40704.166666666672</v>
      </c>
      <c r="I34" s="108">
        <f t="shared" si="118"/>
        <v>50661.666666666657</v>
      </c>
      <c r="J34" s="108">
        <f t="shared" si="118"/>
        <v>50661.666666666657</v>
      </c>
      <c r="K34" s="108">
        <f t="shared" si="118"/>
        <v>50661.666666666657</v>
      </c>
      <c r="L34" s="108">
        <f t="shared" si="118"/>
        <v>50661.666666666657</v>
      </c>
      <c r="M34" s="108">
        <f t="shared" si="118"/>
        <v>50661.666666666657</v>
      </c>
      <c r="N34" s="108">
        <f t="shared" si="118"/>
        <v>50661.666666666657</v>
      </c>
      <c r="O34" s="108">
        <f t="shared" si="118"/>
        <v>50661.666666666657</v>
      </c>
      <c r="P34" s="108">
        <f t="shared" si="118"/>
        <v>52829.947916666679</v>
      </c>
      <c r="Q34" s="108">
        <f t="shared" si="118"/>
        <v>52829.947916666679</v>
      </c>
      <c r="R34" s="108">
        <f t="shared" si="118"/>
        <v>52829.947916666679</v>
      </c>
      <c r="S34" s="108">
        <f t="shared" si="118"/>
        <v>52829.947916666679</v>
      </c>
      <c r="T34" s="108">
        <f t="shared" si="118"/>
        <v>52829.947916666679</v>
      </c>
      <c r="U34" s="108">
        <f t="shared" si="118"/>
        <v>52829.947916666679</v>
      </c>
      <c r="V34" s="108">
        <f t="shared" si="118"/>
        <v>52829.947916666679</v>
      </c>
      <c r="W34" s="108">
        <f t="shared" si="118"/>
        <v>52829.947916666679</v>
      </c>
      <c r="X34" s="108">
        <f t="shared" si="118"/>
        <v>52829.947916666679</v>
      </c>
      <c r="Y34" s="108">
        <f t="shared" si="118"/>
        <v>52829.947916666679</v>
      </c>
      <c r="Z34" s="108">
        <f t="shared" si="118"/>
        <v>52829.947916666679</v>
      </c>
      <c r="AA34" s="108">
        <f t="shared" si="118"/>
        <v>52829.947916666679</v>
      </c>
      <c r="AB34" s="108">
        <f t="shared" si="118"/>
        <v>55084.573502604188</v>
      </c>
      <c r="AC34" s="108">
        <f t="shared" si="118"/>
        <v>55084.573502604188</v>
      </c>
      <c r="AD34" s="108">
        <f t="shared" si="118"/>
        <v>55084.573502604188</v>
      </c>
      <c r="AE34" s="108">
        <f t="shared" si="118"/>
        <v>55084.573502604188</v>
      </c>
      <c r="AF34" s="108">
        <f t="shared" si="118"/>
        <v>55084.573502604188</v>
      </c>
      <c r="AG34" s="108">
        <f t="shared" si="118"/>
        <v>55084.573502604188</v>
      </c>
      <c r="AH34" s="108">
        <f t="shared" si="118"/>
        <v>55084.573502604188</v>
      </c>
      <c r="AI34" s="108">
        <f t="shared" si="118"/>
        <v>55084.573502604188</v>
      </c>
      <c r="AJ34" s="108">
        <f t="shared" si="118"/>
        <v>55084.573502604188</v>
      </c>
      <c r="AK34" s="108">
        <f t="shared" si="118"/>
        <v>55084.573502604188</v>
      </c>
      <c r="AL34" s="108">
        <f t="shared" si="118"/>
        <v>55084.573502604188</v>
      </c>
      <c r="AM34" s="108">
        <f t="shared" si="118"/>
        <v>55084.573502604188</v>
      </c>
      <c r="AN34" s="108">
        <f t="shared" si="118"/>
        <v>57428.875720621734</v>
      </c>
      <c r="AO34" s="108">
        <f t="shared" si="118"/>
        <v>57428.875720621734</v>
      </c>
      <c r="AP34" s="108">
        <f t="shared" si="118"/>
        <v>57428.875720621734</v>
      </c>
      <c r="AQ34" s="108">
        <f t="shared" si="118"/>
        <v>57428.875720621734</v>
      </c>
      <c r="AR34" s="108">
        <f t="shared" si="118"/>
        <v>57428.875720621734</v>
      </c>
      <c r="AS34" s="108">
        <f t="shared" si="118"/>
        <v>57428.875720621734</v>
      </c>
      <c r="AT34" s="108">
        <f t="shared" si="118"/>
        <v>57428.875720621734</v>
      </c>
      <c r="AU34" s="108">
        <f t="shared" si="118"/>
        <v>57428.875720621734</v>
      </c>
      <c r="AV34" s="108">
        <f t="shared" si="118"/>
        <v>57428.875720621734</v>
      </c>
      <c r="AW34" s="108">
        <f t="shared" si="118"/>
        <v>57428.875720621734</v>
      </c>
      <c r="AX34" s="108">
        <f t="shared" si="118"/>
        <v>57428.875720621734</v>
      </c>
      <c r="AY34" s="108">
        <f t="shared" si="118"/>
        <v>57428.875720621734</v>
      </c>
      <c r="AZ34" s="108">
        <f t="shared" si="118"/>
        <v>59866.313597658853</v>
      </c>
      <c r="BA34" s="108">
        <f t="shared" si="118"/>
        <v>59866.313597658853</v>
      </c>
      <c r="BB34" s="108">
        <f t="shared" si="118"/>
        <v>59866.313597658853</v>
      </c>
      <c r="BC34" s="108">
        <f t="shared" si="118"/>
        <v>59866.313597658853</v>
      </c>
      <c r="BD34" s="108">
        <f t="shared" si="118"/>
        <v>59866.313597658853</v>
      </c>
      <c r="BE34" s="108">
        <f t="shared" si="118"/>
        <v>59866.313597658853</v>
      </c>
      <c r="BF34" s="108">
        <f t="shared" si="118"/>
        <v>59866.313597658853</v>
      </c>
      <c r="BG34" s="108">
        <f t="shared" si="118"/>
        <v>59866.313597658853</v>
      </c>
      <c r="BH34" s="108">
        <f t="shared" si="118"/>
        <v>59866.313597658853</v>
      </c>
      <c r="BI34" s="108">
        <f t="shared" si="118"/>
        <v>59866.313597658853</v>
      </c>
      <c r="BJ34" s="108">
        <f t="shared" si="118"/>
        <v>59866.313597658853</v>
      </c>
      <c r="BK34" s="108">
        <f t="shared" si="118"/>
        <v>59866.313597658853</v>
      </c>
      <c r="BL34" s="108" t="str">
        <f t="shared" si="118"/>
        <v/>
      </c>
      <c r="BM34" s="108" t="str">
        <f t="shared" si="118"/>
        <v/>
      </c>
      <c r="BN34" s="108" t="str">
        <f t="shared" si="118"/>
        <v/>
      </c>
      <c r="BO34" s="108" t="str">
        <f t="shared" si="118"/>
        <v/>
      </c>
      <c r="BP34" s="108" t="str">
        <f t="shared" si="118"/>
        <v/>
      </c>
      <c r="BQ34" s="108" t="str">
        <f t="shared" ref="BQ34:DS34" si="119">IF(BQ4=0,"",BQ21+BQ32)</f>
        <v/>
      </c>
      <c r="BR34" s="108" t="str">
        <f t="shared" si="119"/>
        <v/>
      </c>
      <c r="BS34" s="108" t="str">
        <f t="shared" si="119"/>
        <v/>
      </c>
      <c r="BT34" s="108" t="str">
        <f t="shared" si="119"/>
        <v/>
      </c>
      <c r="BU34" s="108" t="str">
        <f t="shared" si="119"/>
        <v/>
      </c>
      <c r="BV34" s="108" t="str">
        <f t="shared" si="119"/>
        <v/>
      </c>
      <c r="BW34" s="108" t="str">
        <f t="shared" si="119"/>
        <v/>
      </c>
      <c r="BX34" s="108" t="str">
        <f t="shared" si="119"/>
        <v/>
      </c>
      <c r="BY34" s="108" t="str">
        <f t="shared" si="119"/>
        <v/>
      </c>
      <c r="BZ34" s="108" t="str">
        <f t="shared" si="119"/>
        <v/>
      </c>
      <c r="CA34" s="108" t="str">
        <f t="shared" si="119"/>
        <v/>
      </c>
      <c r="CB34" s="108" t="str">
        <f t="shared" si="119"/>
        <v/>
      </c>
      <c r="CC34" s="108" t="str">
        <f t="shared" si="119"/>
        <v/>
      </c>
      <c r="CD34" s="108" t="str">
        <f t="shared" si="119"/>
        <v/>
      </c>
      <c r="CE34" s="108" t="str">
        <f t="shared" si="119"/>
        <v/>
      </c>
      <c r="CF34" s="108" t="str">
        <f t="shared" si="119"/>
        <v/>
      </c>
      <c r="CG34" s="108" t="str">
        <f t="shared" si="119"/>
        <v/>
      </c>
      <c r="CH34" s="108" t="str">
        <f t="shared" si="119"/>
        <v/>
      </c>
      <c r="CI34" s="108" t="str">
        <f t="shared" si="119"/>
        <v/>
      </c>
      <c r="CJ34" s="108" t="str">
        <f t="shared" si="119"/>
        <v/>
      </c>
      <c r="CK34" s="108" t="str">
        <f t="shared" si="119"/>
        <v/>
      </c>
      <c r="CL34" s="108" t="str">
        <f t="shared" si="119"/>
        <v/>
      </c>
      <c r="CM34" s="108" t="str">
        <f t="shared" si="119"/>
        <v/>
      </c>
      <c r="CN34" s="108" t="str">
        <f t="shared" si="119"/>
        <v/>
      </c>
      <c r="CO34" s="108" t="str">
        <f t="shared" si="119"/>
        <v/>
      </c>
      <c r="CP34" s="108" t="str">
        <f t="shared" si="119"/>
        <v/>
      </c>
      <c r="CQ34" s="108" t="str">
        <f t="shared" si="119"/>
        <v/>
      </c>
      <c r="CR34" s="108" t="str">
        <f t="shared" si="119"/>
        <v/>
      </c>
      <c r="CS34" s="108" t="str">
        <f t="shared" si="119"/>
        <v/>
      </c>
      <c r="CT34" s="108" t="str">
        <f t="shared" si="119"/>
        <v/>
      </c>
      <c r="CU34" s="108" t="str">
        <f t="shared" si="119"/>
        <v/>
      </c>
      <c r="CV34" s="108" t="str">
        <f t="shared" si="119"/>
        <v/>
      </c>
      <c r="CW34" s="108" t="str">
        <f t="shared" si="119"/>
        <v/>
      </c>
      <c r="CX34" s="108" t="str">
        <f t="shared" si="119"/>
        <v/>
      </c>
      <c r="CY34" s="108" t="str">
        <f t="shared" si="119"/>
        <v/>
      </c>
      <c r="CZ34" s="108" t="str">
        <f t="shared" si="119"/>
        <v/>
      </c>
      <c r="DA34" s="108" t="str">
        <f t="shared" si="119"/>
        <v/>
      </c>
      <c r="DB34" s="108" t="str">
        <f t="shared" si="119"/>
        <v/>
      </c>
      <c r="DC34" s="108" t="str">
        <f t="shared" si="119"/>
        <v/>
      </c>
      <c r="DD34" s="108" t="str">
        <f t="shared" si="119"/>
        <v/>
      </c>
      <c r="DE34" s="108" t="str">
        <f t="shared" si="119"/>
        <v/>
      </c>
      <c r="DF34" s="108" t="str">
        <f t="shared" si="119"/>
        <v/>
      </c>
      <c r="DG34" s="108" t="str">
        <f t="shared" si="119"/>
        <v/>
      </c>
      <c r="DH34" s="108" t="str">
        <f t="shared" si="119"/>
        <v/>
      </c>
      <c r="DI34" s="108" t="str">
        <f t="shared" si="119"/>
        <v/>
      </c>
      <c r="DJ34" s="108" t="str">
        <f t="shared" si="119"/>
        <v/>
      </c>
      <c r="DK34" s="108" t="str">
        <f t="shared" si="119"/>
        <v/>
      </c>
      <c r="DL34" s="108" t="str">
        <f t="shared" si="119"/>
        <v/>
      </c>
      <c r="DM34" s="108" t="str">
        <f t="shared" si="119"/>
        <v/>
      </c>
      <c r="DN34" s="108" t="str">
        <f t="shared" si="119"/>
        <v/>
      </c>
      <c r="DO34" s="108" t="str">
        <f t="shared" si="119"/>
        <v/>
      </c>
      <c r="DP34" s="108" t="str">
        <f t="shared" si="119"/>
        <v/>
      </c>
      <c r="DQ34" s="108" t="str">
        <f t="shared" si="119"/>
        <v/>
      </c>
      <c r="DR34" s="108" t="str">
        <f t="shared" si="119"/>
        <v/>
      </c>
      <c r="DS34" s="108" t="str">
        <f t="shared" si="119"/>
        <v/>
      </c>
    </row>
    <row r="35" spans="2:123" x14ac:dyDescent="0.3"/>
    <row r="36" spans="2:123" x14ac:dyDescent="0.3">
      <c r="B36" s="111" t="s">
        <v>118</v>
      </c>
      <c r="D36" s="132" cm="1">
        <f t="array" ref="D36">IF(D4=0,"",-_xlfn.XLOOKUP(D4,'Input Assumptions'!$C$88:$L$88,'Input Assumptions'!$C$91:$L$91/12))</f>
        <v>0</v>
      </c>
      <c r="E36" s="132" cm="1">
        <f t="array" ref="E36">IF(E4=0,"",-_xlfn.XLOOKUP(E4,'Input Assumptions'!$C$88:$L$88,'Input Assumptions'!$C$91:$L$91/12))</f>
        <v>0</v>
      </c>
      <c r="F36" s="132" cm="1">
        <f t="array" ref="F36">IF(F4=0,"",-_xlfn.XLOOKUP(F4,'Input Assumptions'!$C$88:$L$88,'Input Assumptions'!$C$91:$L$91/12))</f>
        <v>0</v>
      </c>
      <c r="G36" s="132" cm="1">
        <f t="array" ref="G36">IF(G4=0,"",-_xlfn.XLOOKUP(G4,'Input Assumptions'!$C$88:$L$88,'Input Assumptions'!$C$91:$L$91/12))</f>
        <v>0</v>
      </c>
      <c r="H36" s="132" cm="1">
        <f t="array" ref="H36">IF(H4=0,"",-_xlfn.XLOOKUP(H4,'Input Assumptions'!$C$88:$L$88,'Input Assumptions'!$C$91:$L$91/12))</f>
        <v>0</v>
      </c>
      <c r="I36" s="132" cm="1">
        <f t="array" ref="I36">IF(I4=0,"",-_xlfn.XLOOKUP(I4,'Input Assumptions'!$C$88:$L$88,'Input Assumptions'!$C$91:$L$91/12))</f>
        <v>0</v>
      </c>
      <c r="J36" s="132" cm="1">
        <f t="array" ref="J36">IF(J4=0,"",-_xlfn.XLOOKUP(J4,'Input Assumptions'!$C$88:$L$88,'Input Assumptions'!$C$91:$L$91/12))</f>
        <v>0</v>
      </c>
      <c r="K36" s="132" cm="1">
        <f t="array" ref="K36">IF(K4=0,"",-_xlfn.XLOOKUP(K4,'Input Assumptions'!$C$88:$L$88,'Input Assumptions'!$C$91:$L$91/12))</f>
        <v>0</v>
      </c>
      <c r="L36" s="132" cm="1">
        <f t="array" ref="L36">IF(L4=0,"",-_xlfn.XLOOKUP(L4,'Input Assumptions'!$C$88:$L$88,'Input Assumptions'!$C$91:$L$91/12))</f>
        <v>0</v>
      </c>
      <c r="M36" s="132" cm="1">
        <f t="array" ref="M36">IF(M4=0,"",-_xlfn.XLOOKUP(M4,'Input Assumptions'!$C$88:$L$88,'Input Assumptions'!$C$91:$L$91/12))</f>
        <v>0</v>
      </c>
      <c r="N36" s="132" cm="1">
        <f t="array" ref="N36">IF(N4=0,"",-_xlfn.XLOOKUP(N4,'Input Assumptions'!$C$88:$L$88,'Input Assumptions'!$C$91:$L$91/12))</f>
        <v>0</v>
      </c>
      <c r="O36" s="132" cm="1">
        <f t="array" ref="O36">IF(O4=0,"",-_xlfn.XLOOKUP(O4,'Input Assumptions'!$C$88:$L$88,'Input Assumptions'!$C$91:$L$91/12))</f>
        <v>0</v>
      </c>
      <c r="P36" s="132" cm="1">
        <f t="array" ref="P36">IF(P4=0,"",-_xlfn.XLOOKUP(P4,'Input Assumptions'!$C$88:$L$88,'Input Assumptions'!$C$91:$L$91/12))</f>
        <v>0</v>
      </c>
      <c r="Q36" s="132" cm="1">
        <f t="array" ref="Q36">IF(Q4=0,"",-_xlfn.XLOOKUP(Q4,'Input Assumptions'!$C$88:$L$88,'Input Assumptions'!$C$91:$L$91/12))</f>
        <v>0</v>
      </c>
      <c r="R36" s="132" cm="1">
        <f t="array" ref="R36">IF(R4=0,"",-_xlfn.XLOOKUP(R4,'Input Assumptions'!$C$88:$L$88,'Input Assumptions'!$C$91:$L$91/12))</f>
        <v>0</v>
      </c>
      <c r="S36" s="132" cm="1">
        <f t="array" ref="S36">IF(S4=0,"",-_xlfn.XLOOKUP(S4,'Input Assumptions'!$C$88:$L$88,'Input Assumptions'!$C$91:$L$91/12))</f>
        <v>0</v>
      </c>
      <c r="T36" s="132" cm="1">
        <f t="array" ref="T36">IF(T4=0,"",-_xlfn.XLOOKUP(T4,'Input Assumptions'!$C$88:$L$88,'Input Assumptions'!$C$91:$L$91/12))</f>
        <v>0</v>
      </c>
      <c r="U36" s="132" cm="1">
        <f t="array" ref="U36">IF(U4=0,"",-_xlfn.XLOOKUP(U4,'Input Assumptions'!$C$88:$L$88,'Input Assumptions'!$C$91:$L$91/12))</f>
        <v>0</v>
      </c>
      <c r="V36" s="132" cm="1">
        <f t="array" ref="V36">IF(V4=0,"",-_xlfn.XLOOKUP(V4,'Input Assumptions'!$C$88:$L$88,'Input Assumptions'!$C$91:$L$91/12))</f>
        <v>0</v>
      </c>
      <c r="W36" s="132" cm="1">
        <f t="array" ref="W36">IF(W4=0,"",-_xlfn.XLOOKUP(W4,'Input Assumptions'!$C$88:$L$88,'Input Assumptions'!$C$91:$L$91/12))</f>
        <v>0</v>
      </c>
      <c r="X36" s="132" cm="1">
        <f t="array" ref="X36">IF(X4=0,"",-_xlfn.XLOOKUP(X4,'Input Assumptions'!$C$88:$L$88,'Input Assumptions'!$C$91:$L$91/12))</f>
        <v>0</v>
      </c>
      <c r="Y36" s="132" cm="1">
        <f t="array" ref="Y36">IF(Y4=0,"",-_xlfn.XLOOKUP(Y4,'Input Assumptions'!$C$88:$L$88,'Input Assumptions'!$C$91:$L$91/12))</f>
        <v>0</v>
      </c>
      <c r="Z36" s="132" cm="1">
        <f t="array" ref="Z36">IF(Z4=0,"",-_xlfn.XLOOKUP(Z4,'Input Assumptions'!$C$88:$L$88,'Input Assumptions'!$C$91:$L$91/12))</f>
        <v>0</v>
      </c>
      <c r="AA36" s="132" cm="1">
        <f t="array" ref="AA36">IF(AA4=0,"",-_xlfn.XLOOKUP(AA4,'Input Assumptions'!$C$88:$L$88,'Input Assumptions'!$C$91:$L$91/12))</f>
        <v>0</v>
      </c>
      <c r="AB36" s="132" cm="1">
        <f t="array" ref="AB36">IF(AB4=0,"",-_xlfn.XLOOKUP(AB4,'Input Assumptions'!$C$88:$L$88,'Input Assumptions'!$C$91:$L$91/12))</f>
        <v>0</v>
      </c>
      <c r="AC36" s="132" cm="1">
        <f t="array" ref="AC36">IF(AC4=0,"",-_xlfn.XLOOKUP(AC4,'Input Assumptions'!$C$88:$L$88,'Input Assumptions'!$C$91:$L$91/12))</f>
        <v>0</v>
      </c>
      <c r="AD36" s="132" cm="1">
        <f t="array" ref="AD36">IF(AD4=0,"",-_xlfn.XLOOKUP(AD4,'Input Assumptions'!$C$88:$L$88,'Input Assumptions'!$C$91:$L$91/12))</f>
        <v>0</v>
      </c>
      <c r="AE36" s="132" cm="1">
        <f t="array" ref="AE36">IF(AE4=0,"",-_xlfn.XLOOKUP(AE4,'Input Assumptions'!$C$88:$L$88,'Input Assumptions'!$C$91:$L$91/12))</f>
        <v>0</v>
      </c>
      <c r="AF36" s="132" cm="1">
        <f t="array" ref="AF36">IF(AF4=0,"",-_xlfn.XLOOKUP(AF4,'Input Assumptions'!$C$88:$L$88,'Input Assumptions'!$C$91:$L$91/12))</f>
        <v>0</v>
      </c>
      <c r="AG36" s="132" cm="1">
        <f t="array" ref="AG36">IF(AG4=0,"",-_xlfn.XLOOKUP(AG4,'Input Assumptions'!$C$88:$L$88,'Input Assumptions'!$C$91:$L$91/12))</f>
        <v>0</v>
      </c>
      <c r="AH36" s="132" cm="1">
        <f t="array" ref="AH36">IF(AH4=0,"",-_xlfn.XLOOKUP(AH4,'Input Assumptions'!$C$88:$L$88,'Input Assumptions'!$C$91:$L$91/12))</f>
        <v>0</v>
      </c>
      <c r="AI36" s="132" cm="1">
        <f t="array" ref="AI36">IF(AI4=0,"",-_xlfn.XLOOKUP(AI4,'Input Assumptions'!$C$88:$L$88,'Input Assumptions'!$C$91:$L$91/12))</f>
        <v>0</v>
      </c>
      <c r="AJ36" s="132" cm="1">
        <f t="array" ref="AJ36">IF(AJ4=0,"",-_xlfn.XLOOKUP(AJ4,'Input Assumptions'!$C$88:$L$88,'Input Assumptions'!$C$91:$L$91/12))</f>
        <v>0</v>
      </c>
      <c r="AK36" s="132" cm="1">
        <f t="array" ref="AK36">IF(AK4=0,"",-_xlfn.XLOOKUP(AK4,'Input Assumptions'!$C$88:$L$88,'Input Assumptions'!$C$91:$L$91/12))</f>
        <v>0</v>
      </c>
      <c r="AL36" s="132" cm="1">
        <f t="array" ref="AL36">IF(AL4=0,"",-_xlfn.XLOOKUP(AL4,'Input Assumptions'!$C$88:$L$88,'Input Assumptions'!$C$91:$L$91/12))</f>
        <v>0</v>
      </c>
      <c r="AM36" s="132" cm="1">
        <f t="array" ref="AM36">IF(AM4=0,"",-_xlfn.XLOOKUP(AM4,'Input Assumptions'!$C$88:$L$88,'Input Assumptions'!$C$91:$L$91/12))</f>
        <v>0</v>
      </c>
      <c r="AN36" s="132" cm="1">
        <f t="array" ref="AN36">IF(AN4=0,"",-_xlfn.XLOOKUP(AN4,'Input Assumptions'!$C$88:$L$88,'Input Assumptions'!$C$91:$L$91/12))</f>
        <v>0</v>
      </c>
      <c r="AO36" s="132" cm="1">
        <f t="array" ref="AO36">IF(AO4=0,"",-_xlfn.XLOOKUP(AO4,'Input Assumptions'!$C$88:$L$88,'Input Assumptions'!$C$91:$L$91/12))</f>
        <v>0</v>
      </c>
      <c r="AP36" s="132" cm="1">
        <f t="array" ref="AP36">IF(AP4=0,"",-_xlfn.XLOOKUP(AP4,'Input Assumptions'!$C$88:$L$88,'Input Assumptions'!$C$91:$L$91/12))</f>
        <v>0</v>
      </c>
      <c r="AQ36" s="132" cm="1">
        <f t="array" ref="AQ36">IF(AQ4=0,"",-_xlfn.XLOOKUP(AQ4,'Input Assumptions'!$C$88:$L$88,'Input Assumptions'!$C$91:$L$91/12))</f>
        <v>0</v>
      </c>
      <c r="AR36" s="132" cm="1">
        <f t="array" ref="AR36">IF(AR4=0,"",-_xlfn.XLOOKUP(AR4,'Input Assumptions'!$C$88:$L$88,'Input Assumptions'!$C$91:$L$91/12))</f>
        <v>0</v>
      </c>
      <c r="AS36" s="132" cm="1">
        <f t="array" ref="AS36">IF(AS4=0,"",-_xlfn.XLOOKUP(AS4,'Input Assumptions'!$C$88:$L$88,'Input Assumptions'!$C$91:$L$91/12))</f>
        <v>0</v>
      </c>
      <c r="AT36" s="132" cm="1">
        <f t="array" ref="AT36">IF(AT4=0,"",-_xlfn.XLOOKUP(AT4,'Input Assumptions'!$C$88:$L$88,'Input Assumptions'!$C$91:$L$91/12))</f>
        <v>0</v>
      </c>
      <c r="AU36" s="132" cm="1">
        <f t="array" ref="AU36">IF(AU4=0,"",-_xlfn.XLOOKUP(AU4,'Input Assumptions'!$C$88:$L$88,'Input Assumptions'!$C$91:$L$91/12))</f>
        <v>0</v>
      </c>
      <c r="AV36" s="132" cm="1">
        <f t="array" ref="AV36">IF(AV4=0,"",-_xlfn.XLOOKUP(AV4,'Input Assumptions'!$C$88:$L$88,'Input Assumptions'!$C$91:$L$91/12))</f>
        <v>0</v>
      </c>
      <c r="AW36" s="132" cm="1">
        <f t="array" ref="AW36">IF(AW4=0,"",-_xlfn.XLOOKUP(AW4,'Input Assumptions'!$C$88:$L$88,'Input Assumptions'!$C$91:$L$91/12))</f>
        <v>0</v>
      </c>
      <c r="AX36" s="132" cm="1">
        <f t="array" ref="AX36">IF(AX4=0,"",-_xlfn.XLOOKUP(AX4,'Input Assumptions'!$C$88:$L$88,'Input Assumptions'!$C$91:$L$91/12))</f>
        <v>0</v>
      </c>
      <c r="AY36" s="132" cm="1">
        <f t="array" ref="AY36">IF(AY4=0,"",-_xlfn.XLOOKUP(AY4,'Input Assumptions'!$C$88:$L$88,'Input Assumptions'!$C$91:$L$91/12))</f>
        <v>0</v>
      </c>
      <c r="AZ36" s="132" cm="1">
        <f t="array" ref="AZ36">IF(AZ4=0,"",-_xlfn.XLOOKUP(AZ4,'Input Assumptions'!$C$88:$L$88,'Input Assumptions'!$C$91:$L$91/12))</f>
        <v>0</v>
      </c>
      <c r="BA36" s="132" cm="1">
        <f t="array" ref="BA36">IF(BA4=0,"",-_xlfn.XLOOKUP(BA4,'Input Assumptions'!$C$88:$L$88,'Input Assumptions'!$C$91:$L$91/12))</f>
        <v>0</v>
      </c>
      <c r="BB36" s="132" cm="1">
        <f t="array" ref="BB36">IF(BB4=0,"",-_xlfn.XLOOKUP(BB4,'Input Assumptions'!$C$88:$L$88,'Input Assumptions'!$C$91:$L$91/12))</f>
        <v>0</v>
      </c>
      <c r="BC36" s="132" cm="1">
        <f t="array" ref="BC36">IF(BC4=0,"",-_xlfn.XLOOKUP(BC4,'Input Assumptions'!$C$88:$L$88,'Input Assumptions'!$C$91:$L$91/12))</f>
        <v>0</v>
      </c>
      <c r="BD36" s="132" cm="1">
        <f t="array" ref="BD36">IF(BD4=0,"",-_xlfn.XLOOKUP(BD4,'Input Assumptions'!$C$88:$L$88,'Input Assumptions'!$C$91:$L$91/12))</f>
        <v>0</v>
      </c>
      <c r="BE36" s="132" cm="1">
        <f t="array" ref="BE36">IF(BE4=0,"",-_xlfn.XLOOKUP(BE4,'Input Assumptions'!$C$88:$L$88,'Input Assumptions'!$C$91:$L$91/12))</f>
        <v>0</v>
      </c>
      <c r="BF36" s="132" cm="1">
        <f t="array" ref="BF36">IF(BF4=0,"",-_xlfn.XLOOKUP(BF4,'Input Assumptions'!$C$88:$L$88,'Input Assumptions'!$C$91:$L$91/12))</f>
        <v>0</v>
      </c>
      <c r="BG36" s="132" cm="1">
        <f t="array" ref="BG36">IF(BG4=0,"",-_xlfn.XLOOKUP(BG4,'Input Assumptions'!$C$88:$L$88,'Input Assumptions'!$C$91:$L$91/12))</f>
        <v>0</v>
      </c>
      <c r="BH36" s="132" cm="1">
        <f t="array" ref="BH36">IF(BH4=0,"",-_xlfn.XLOOKUP(BH4,'Input Assumptions'!$C$88:$L$88,'Input Assumptions'!$C$91:$L$91/12))</f>
        <v>0</v>
      </c>
      <c r="BI36" s="132" cm="1">
        <f t="array" ref="BI36">IF(BI4=0,"",-_xlfn.XLOOKUP(BI4,'Input Assumptions'!$C$88:$L$88,'Input Assumptions'!$C$91:$L$91/12))</f>
        <v>0</v>
      </c>
      <c r="BJ36" s="132" cm="1">
        <f t="array" ref="BJ36">IF(BJ4=0,"",-_xlfn.XLOOKUP(BJ4,'Input Assumptions'!$C$88:$L$88,'Input Assumptions'!$C$91:$L$91/12))</f>
        <v>0</v>
      </c>
      <c r="BK36" s="132" cm="1">
        <f t="array" ref="BK36">IF(BK4=0,"",-_xlfn.XLOOKUP(BK4,'Input Assumptions'!$C$88:$L$88,'Input Assumptions'!$C$91:$L$91/12))</f>
        <v>0</v>
      </c>
      <c r="BL36" s="132" t="str" cm="1">
        <f t="array" ref="BL36">IF(BL4=0,"",-_xlfn.XLOOKUP(BL4,'Input Assumptions'!$C$88:$L$88,'Input Assumptions'!$C$91:$L$91/12))</f>
        <v/>
      </c>
      <c r="BM36" s="132" t="str" cm="1">
        <f t="array" ref="BM36">IF(BM4=0,"",-_xlfn.XLOOKUP(BM4,'Input Assumptions'!$C$88:$L$88,'Input Assumptions'!$C$91:$L$91/12))</f>
        <v/>
      </c>
      <c r="BN36" s="132" t="str" cm="1">
        <f t="array" ref="BN36">IF(BN4=0,"",-_xlfn.XLOOKUP(BN4,'Input Assumptions'!$C$88:$L$88,'Input Assumptions'!$C$91:$L$91/12))</f>
        <v/>
      </c>
      <c r="BO36" s="132" t="str" cm="1">
        <f t="array" ref="BO36">IF(BO4=0,"",-_xlfn.XLOOKUP(BO4,'Input Assumptions'!$C$88:$L$88,'Input Assumptions'!$C$91:$L$91/12))</f>
        <v/>
      </c>
      <c r="BP36" s="132" t="str" cm="1">
        <f t="array" ref="BP36">IF(BP4=0,"",-_xlfn.XLOOKUP(BP4,'Input Assumptions'!$C$88:$L$88,'Input Assumptions'!$C$91:$L$91/12))</f>
        <v/>
      </c>
      <c r="BQ36" s="132" t="str" cm="1">
        <f t="array" ref="BQ36">IF(BQ4=0,"",-_xlfn.XLOOKUP(BQ4,'Input Assumptions'!$C$88:$L$88,'Input Assumptions'!$C$91:$L$91/12))</f>
        <v/>
      </c>
      <c r="BR36" s="132" t="str" cm="1">
        <f t="array" ref="BR36">IF(BR4=0,"",-_xlfn.XLOOKUP(BR4,'Input Assumptions'!$C$88:$L$88,'Input Assumptions'!$C$91:$L$91/12))</f>
        <v/>
      </c>
      <c r="BS36" s="132" t="str" cm="1">
        <f t="array" ref="BS36">IF(BS4=0,"",-_xlfn.XLOOKUP(BS4,'Input Assumptions'!$C$88:$L$88,'Input Assumptions'!$C$91:$L$91/12))</f>
        <v/>
      </c>
      <c r="BT36" s="132" t="str" cm="1">
        <f t="array" ref="BT36">IF(BT4=0,"",-_xlfn.XLOOKUP(BT4,'Input Assumptions'!$C$88:$L$88,'Input Assumptions'!$C$91:$L$91/12))</f>
        <v/>
      </c>
      <c r="BU36" s="132" t="str" cm="1">
        <f t="array" ref="BU36">IF(BU4=0,"",-_xlfn.XLOOKUP(BU4,'Input Assumptions'!$C$88:$L$88,'Input Assumptions'!$C$91:$L$91/12))</f>
        <v/>
      </c>
      <c r="BV36" s="132" t="str" cm="1">
        <f t="array" ref="BV36">IF(BV4=0,"",-_xlfn.XLOOKUP(BV4,'Input Assumptions'!$C$88:$L$88,'Input Assumptions'!$C$91:$L$91/12))</f>
        <v/>
      </c>
      <c r="BW36" s="132" t="str" cm="1">
        <f t="array" ref="BW36">IF(BW4=0,"",-_xlfn.XLOOKUP(BW4,'Input Assumptions'!$C$88:$L$88,'Input Assumptions'!$C$91:$L$91/12))</f>
        <v/>
      </c>
      <c r="BX36" s="132" t="str" cm="1">
        <f t="array" ref="BX36">IF(BX4=0,"",-_xlfn.XLOOKUP(BX4,'Input Assumptions'!$C$88:$L$88,'Input Assumptions'!$C$91:$L$91/12))</f>
        <v/>
      </c>
      <c r="BY36" s="132" t="str" cm="1">
        <f t="array" ref="BY36">IF(BY4=0,"",-_xlfn.XLOOKUP(BY4,'Input Assumptions'!$C$88:$L$88,'Input Assumptions'!$C$91:$L$91/12))</f>
        <v/>
      </c>
      <c r="BZ36" s="132" t="str" cm="1">
        <f t="array" ref="BZ36">IF(BZ4=0,"",-_xlfn.XLOOKUP(BZ4,'Input Assumptions'!$C$88:$L$88,'Input Assumptions'!$C$91:$L$91/12))</f>
        <v/>
      </c>
      <c r="CA36" s="132" t="str" cm="1">
        <f t="array" ref="CA36">IF(CA4=0,"",-_xlfn.XLOOKUP(CA4,'Input Assumptions'!$C$88:$L$88,'Input Assumptions'!$C$91:$L$91/12))</f>
        <v/>
      </c>
      <c r="CB36" s="132" t="str" cm="1">
        <f t="array" ref="CB36">IF(CB4=0,"",-_xlfn.XLOOKUP(CB4,'Input Assumptions'!$C$88:$L$88,'Input Assumptions'!$C$91:$L$91/12))</f>
        <v/>
      </c>
      <c r="CC36" s="132" t="str" cm="1">
        <f t="array" ref="CC36">IF(CC4=0,"",-_xlfn.XLOOKUP(CC4,'Input Assumptions'!$C$88:$L$88,'Input Assumptions'!$C$91:$L$91/12))</f>
        <v/>
      </c>
      <c r="CD36" s="132" t="str" cm="1">
        <f t="array" ref="CD36">IF(CD4=0,"",-_xlfn.XLOOKUP(CD4,'Input Assumptions'!$C$88:$L$88,'Input Assumptions'!$C$91:$L$91/12))</f>
        <v/>
      </c>
      <c r="CE36" s="132" t="str" cm="1">
        <f t="array" ref="CE36">IF(CE4=0,"",-_xlfn.XLOOKUP(CE4,'Input Assumptions'!$C$88:$L$88,'Input Assumptions'!$C$91:$L$91/12))</f>
        <v/>
      </c>
      <c r="CF36" s="132" t="str" cm="1">
        <f t="array" ref="CF36">IF(CF4=0,"",-_xlfn.XLOOKUP(CF4,'Input Assumptions'!$C$88:$L$88,'Input Assumptions'!$C$91:$L$91/12))</f>
        <v/>
      </c>
      <c r="CG36" s="132" t="str" cm="1">
        <f t="array" ref="CG36">IF(CG4=0,"",-_xlfn.XLOOKUP(CG4,'Input Assumptions'!$C$88:$L$88,'Input Assumptions'!$C$91:$L$91/12))</f>
        <v/>
      </c>
      <c r="CH36" s="132" t="str" cm="1">
        <f t="array" ref="CH36">IF(CH4=0,"",-_xlfn.XLOOKUP(CH4,'Input Assumptions'!$C$88:$L$88,'Input Assumptions'!$C$91:$L$91/12))</f>
        <v/>
      </c>
      <c r="CI36" s="132" t="str" cm="1">
        <f t="array" ref="CI36">IF(CI4=0,"",-_xlfn.XLOOKUP(CI4,'Input Assumptions'!$C$88:$L$88,'Input Assumptions'!$C$91:$L$91/12))</f>
        <v/>
      </c>
      <c r="CJ36" s="132" t="str" cm="1">
        <f t="array" ref="CJ36">IF(CJ4=0,"",-_xlfn.XLOOKUP(CJ4,'Input Assumptions'!$C$88:$L$88,'Input Assumptions'!$C$91:$L$91/12))</f>
        <v/>
      </c>
      <c r="CK36" s="132" t="str" cm="1">
        <f t="array" ref="CK36">IF(CK4=0,"",-_xlfn.XLOOKUP(CK4,'Input Assumptions'!$C$88:$L$88,'Input Assumptions'!$C$91:$L$91/12))</f>
        <v/>
      </c>
      <c r="CL36" s="132" t="str" cm="1">
        <f t="array" ref="CL36">IF(CL4=0,"",-_xlfn.XLOOKUP(CL4,'Input Assumptions'!$C$88:$L$88,'Input Assumptions'!$C$91:$L$91/12))</f>
        <v/>
      </c>
      <c r="CM36" s="132" t="str" cm="1">
        <f t="array" ref="CM36">IF(CM4=0,"",-_xlfn.XLOOKUP(CM4,'Input Assumptions'!$C$88:$L$88,'Input Assumptions'!$C$91:$L$91/12))</f>
        <v/>
      </c>
      <c r="CN36" s="132" t="str" cm="1">
        <f t="array" ref="CN36">IF(CN4=0,"",-_xlfn.XLOOKUP(CN4,'Input Assumptions'!$C$88:$L$88,'Input Assumptions'!$C$91:$L$91/12))</f>
        <v/>
      </c>
      <c r="CO36" s="132" t="str" cm="1">
        <f t="array" ref="CO36">IF(CO4=0,"",-_xlfn.XLOOKUP(CO4,'Input Assumptions'!$C$88:$L$88,'Input Assumptions'!$C$91:$L$91/12))</f>
        <v/>
      </c>
      <c r="CP36" s="132" t="str" cm="1">
        <f t="array" ref="CP36">IF(CP4=0,"",-_xlfn.XLOOKUP(CP4,'Input Assumptions'!$C$88:$L$88,'Input Assumptions'!$C$91:$L$91/12))</f>
        <v/>
      </c>
      <c r="CQ36" s="132" t="str" cm="1">
        <f t="array" ref="CQ36">IF(CQ4=0,"",-_xlfn.XLOOKUP(CQ4,'Input Assumptions'!$C$88:$L$88,'Input Assumptions'!$C$91:$L$91/12))</f>
        <v/>
      </c>
      <c r="CR36" s="132" t="str" cm="1">
        <f t="array" ref="CR36">IF(CR4=0,"",-_xlfn.XLOOKUP(CR4,'Input Assumptions'!$C$88:$L$88,'Input Assumptions'!$C$91:$L$91/12))</f>
        <v/>
      </c>
      <c r="CS36" s="132" t="str" cm="1">
        <f t="array" ref="CS36">IF(CS4=0,"",-_xlfn.XLOOKUP(CS4,'Input Assumptions'!$C$88:$L$88,'Input Assumptions'!$C$91:$L$91/12))</f>
        <v/>
      </c>
      <c r="CT36" s="132" t="str" cm="1">
        <f t="array" ref="CT36">IF(CT4=0,"",-_xlfn.XLOOKUP(CT4,'Input Assumptions'!$C$88:$L$88,'Input Assumptions'!$C$91:$L$91/12))</f>
        <v/>
      </c>
      <c r="CU36" s="132" t="str" cm="1">
        <f t="array" ref="CU36">IF(CU4=0,"",-_xlfn.XLOOKUP(CU4,'Input Assumptions'!$C$88:$L$88,'Input Assumptions'!$C$91:$L$91/12))</f>
        <v/>
      </c>
      <c r="CV36" s="132" t="str" cm="1">
        <f t="array" ref="CV36">IF(CV4=0,"",-_xlfn.XLOOKUP(CV4,'Input Assumptions'!$C$88:$L$88,'Input Assumptions'!$C$91:$L$91/12))</f>
        <v/>
      </c>
      <c r="CW36" s="132" t="str" cm="1">
        <f t="array" ref="CW36">IF(CW4=0,"",-_xlfn.XLOOKUP(CW4,'Input Assumptions'!$C$88:$L$88,'Input Assumptions'!$C$91:$L$91/12))</f>
        <v/>
      </c>
      <c r="CX36" s="132" t="str" cm="1">
        <f t="array" ref="CX36">IF(CX4=0,"",-_xlfn.XLOOKUP(CX4,'Input Assumptions'!$C$88:$L$88,'Input Assumptions'!$C$91:$L$91/12))</f>
        <v/>
      </c>
      <c r="CY36" s="132" t="str" cm="1">
        <f t="array" ref="CY36">IF(CY4=0,"",-_xlfn.XLOOKUP(CY4,'Input Assumptions'!$C$88:$L$88,'Input Assumptions'!$C$91:$L$91/12))</f>
        <v/>
      </c>
      <c r="CZ36" s="132" t="str" cm="1">
        <f t="array" ref="CZ36">IF(CZ4=0,"",-_xlfn.XLOOKUP(CZ4,'Input Assumptions'!$C$88:$L$88,'Input Assumptions'!$C$91:$L$91/12))</f>
        <v/>
      </c>
      <c r="DA36" s="132" t="str" cm="1">
        <f t="array" ref="DA36">IF(DA4=0,"",-_xlfn.XLOOKUP(DA4,'Input Assumptions'!$C$88:$L$88,'Input Assumptions'!$C$91:$L$91/12))</f>
        <v/>
      </c>
      <c r="DB36" s="132" t="str" cm="1">
        <f t="array" ref="DB36">IF(DB4=0,"",-_xlfn.XLOOKUP(DB4,'Input Assumptions'!$C$88:$L$88,'Input Assumptions'!$C$91:$L$91/12))</f>
        <v/>
      </c>
      <c r="DC36" s="132" t="str" cm="1">
        <f t="array" ref="DC36">IF(DC4=0,"",-_xlfn.XLOOKUP(DC4,'Input Assumptions'!$C$88:$L$88,'Input Assumptions'!$C$91:$L$91/12))</f>
        <v/>
      </c>
      <c r="DD36" s="132" t="str" cm="1">
        <f t="array" ref="DD36">IF(DD4=0,"",-_xlfn.XLOOKUP(DD4,'Input Assumptions'!$C$88:$L$88,'Input Assumptions'!$C$91:$L$91/12))</f>
        <v/>
      </c>
      <c r="DE36" s="132" t="str" cm="1">
        <f t="array" ref="DE36">IF(DE4=0,"",-_xlfn.XLOOKUP(DE4,'Input Assumptions'!$C$88:$L$88,'Input Assumptions'!$C$91:$L$91/12))</f>
        <v/>
      </c>
      <c r="DF36" s="132" t="str" cm="1">
        <f t="array" ref="DF36">IF(DF4=0,"",-_xlfn.XLOOKUP(DF4,'Input Assumptions'!$C$88:$L$88,'Input Assumptions'!$C$91:$L$91/12))</f>
        <v/>
      </c>
      <c r="DG36" s="132" t="str" cm="1">
        <f t="array" ref="DG36">IF(DG4=0,"",-_xlfn.XLOOKUP(DG4,'Input Assumptions'!$C$88:$L$88,'Input Assumptions'!$C$91:$L$91/12))</f>
        <v/>
      </c>
      <c r="DH36" s="132" t="str" cm="1">
        <f t="array" ref="DH36">IF(DH4=0,"",-_xlfn.XLOOKUP(DH4,'Input Assumptions'!$C$88:$L$88,'Input Assumptions'!$C$91:$L$91/12))</f>
        <v/>
      </c>
      <c r="DI36" s="132" t="str" cm="1">
        <f t="array" ref="DI36">IF(DI4=0,"",-_xlfn.XLOOKUP(DI4,'Input Assumptions'!$C$88:$L$88,'Input Assumptions'!$C$91:$L$91/12))</f>
        <v/>
      </c>
      <c r="DJ36" s="132" t="str" cm="1">
        <f t="array" ref="DJ36">IF(DJ4=0,"",-_xlfn.XLOOKUP(DJ4,'Input Assumptions'!$C$88:$L$88,'Input Assumptions'!$C$91:$L$91/12))</f>
        <v/>
      </c>
      <c r="DK36" s="132" t="str" cm="1">
        <f t="array" ref="DK36">IF(DK4=0,"",-_xlfn.XLOOKUP(DK4,'Input Assumptions'!$C$88:$L$88,'Input Assumptions'!$C$91:$L$91/12))</f>
        <v/>
      </c>
      <c r="DL36" s="132" t="str" cm="1">
        <f t="array" ref="DL36">IF(DL4=0,"",-_xlfn.XLOOKUP(DL4,'Input Assumptions'!$C$88:$L$88,'Input Assumptions'!$C$91:$L$91/12))</f>
        <v/>
      </c>
      <c r="DM36" s="132" t="str" cm="1">
        <f t="array" ref="DM36">IF(DM4=0,"",-_xlfn.XLOOKUP(DM4,'Input Assumptions'!$C$88:$L$88,'Input Assumptions'!$C$91:$L$91/12))</f>
        <v/>
      </c>
      <c r="DN36" s="132" t="str" cm="1">
        <f t="array" ref="DN36">IF(DN4=0,"",-_xlfn.XLOOKUP(DN4,'Input Assumptions'!$C$88:$L$88,'Input Assumptions'!$C$91:$L$91/12))</f>
        <v/>
      </c>
      <c r="DO36" s="132" t="str" cm="1">
        <f t="array" ref="DO36">IF(DO4=0,"",-_xlfn.XLOOKUP(DO4,'Input Assumptions'!$C$88:$L$88,'Input Assumptions'!$C$91:$L$91/12))</f>
        <v/>
      </c>
      <c r="DP36" s="132" t="str" cm="1">
        <f t="array" ref="DP36">IF(DP4=0,"",-_xlfn.XLOOKUP(DP4,'Input Assumptions'!$C$88:$L$88,'Input Assumptions'!$C$91:$L$91/12))</f>
        <v/>
      </c>
      <c r="DQ36" s="132" t="str" cm="1">
        <f t="array" ref="DQ36">IF(DQ4=0,"",-_xlfn.XLOOKUP(DQ4,'Input Assumptions'!$C$88:$L$88,'Input Assumptions'!$C$91:$L$91/12))</f>
        <v/>
      </c>
      <c r="DR36" s="132" t="str" cm="1">
        <f t="array" ref="DR36">IF(DR4=0,"",-_xlfn.XLOOKUP(DR4,'Input Assumptions'!$C$88:$L$88,'Input Assumptions'!$C$91:$L$91/12))</f>
        <v/>
      </c>
      <c r="DS36" s="132" t="str" cm="1">
        <f t="array" ref="DS36">IF(DS4=0,"",-_xlfn.XLOOKUP(DS4,'Input Assumptions'!$C$88:$L$88,'Input Assumptions'!$C$91:$L$91/12))</f>
        <v/>
      </c>
    </row>
    <row r="37" spans="2:123" x14ac:dyDescent="0.3">
      <c r="B37" s="107" t="s">
        <v>125</v>
      </c>
      <c r="C37" s="108"/>
      <c r="D37" s="108">
        <f>IF(D4=0,"",D36+D34)</f>
        <v>874.16666666666606</v>
      </c>
      <c r="E37" s="108">
        <f t="shared" ref="E37:BP37" si="120">IF(E4=0,"",E36+E34)</f>
        <v>10831.666666666666</v>
      </c>
      <c r="F37" s="108">
        <f t="shared" si="120"/>
        <v>20789.166666666661</v>
      </c>
      <c r="G37" s="108">
        <f t="shared" si="120"/>
        <v>30746.666666666668</v>
      </c>
      <c r="H37" s="108">
        <f t="shared" si="120"/>
        <v>40704.166666666672</v>
      </c>
      <c r="I37" s="108">
        <f t="shared" si="120"/>
        <v>50661.666666666657</v>
      </c>
      <c r="J37" s="108">
        <f t="shared" si="120"/>
        <v>50661.666666666657</v>
      </c>
      <c r="K37" s="108">
        <f t="shared" si="120"/>
        <v>50661.666666666657</v>
      </c>
      <c r="L37" s="108">
        <f t="shared" si="120"/>
        <v>50661.666666666657</v>
      </c>
      <c r="M37" s="108">
        <f t="shared" si="120"/>
        <v>50661.666666666657</v>
      </c>
      <c r="N37" s="108">
        <f t="shared" si="120"/>
        <v>50661.666666666657</v>
      </c>
      <c r="O37" s="108">
        <f t="shared" si="120"/>
        <v>50661.666666666657</v>
      </c>
      <c r="P37" s="108">
        <f t="shared" si="120"/>
        <v>52829.947916666679</v>
      </c>
      <c r="Q37" s="108">
        <f t="shared" si="120"/>
        <v>52829.947916666679</v>
      </c>
      <c r="R37" s="108">
        <f t="shared" si="120"/>
        <v>52829.947916666679</v>
      </c>
      <c r="S37" s="108">
        <f t="shared" si="120"/>
        <v>52829.947916666679</v>
      </c>
      <c r="T37" s="108">
        <f t="shared" si="120"/>
        <v>52829.947916666679</v>
      </c>
      <c r="U37" s="108">
        <f t="shared" si="120"/>
        <v>52829.947916666679</v>
      </c>
      <c r="V37" s="108">
        <f t="shared" si="120"/>
        <v>52829.947916666679</v>
      </c>
      <c r="W37" s="108">
        <f t="shared" si="120"/>
        <v>52829.947916666679</v>
      </c>
      <c r="X37" s="108">
        <f t="shared" si="120"/>
        <v>52829.947916666679</v>
      </c>
      <c r="Y37" s="108">
        <f t="shared" si="120"/>
        <v>52829.947916666679</v>
      </c>
      <c r="Z37" s="108">
        <f t="shared" si="120"/>
        <v>52829.947916666679</v>
      </c>
      <c r="AA37" s="108">
        <f t="shared" si="120"/>
        <v>52829.947916666679</v>
      </c>
      <c r="AB37" s="108">
        <f t="shared" si="120"/>
        <v>55084.573502604188</v>
      </c>
      <c r="AC37" s="108">
        <f t="shared" si="120"/>
        <v>55084.573502604188</v>
      </c>
      <c r="AD37" s="108">
        <f t="shared" si="120"/>
        <v>55084.573502604188</v>
      </c>
      <c r="AE37" s="108">
        <f t="shared" si="120"/>
        <v>55084.573502604188</v>
      </c>
      <c r="AF37" s="108">
        <f t="shared" si="120"/>
        <v>55084.573502604188</v>
      </c>
      <c r="AG37" s="108">
        <f t="shared" si="120"/>
        <v>55084.573502604188</v>
      </c>
      <c r="AH37" s="108">
        <f t="shared" si="120"/>
        <v>55084.573502604188</v>
      </c>
      <c r="AI37" s="108">
        <f t="shared" si="120"/>
        <v>55084.573502604188</v>
      </c>
      <c r="AJ37" s="108">
        <f t="shared" si="120"/>
        <v>55084.573502604188</v>
      </c>
      <c r="AK37" s="108">
        <f t="shared" si="120"/>
        <v>55084.573502604188</v>
      </c>
      <c r="AL37" s="108">
        <f t="shared" si="120"/>
        <v>55084.573502604188</v>
      </c>
      <c r="AM37" s="108">
        <f t="shared" si="120"/>
        <v>55084.573502604188</v>
      </c>
      <c r="AN37" s="108">
        <f t="shared" si="120"/>
        <v>57428.875720621734</v>
      </c>
      <c r="AO37" s="108">
        <f t="shared" si="120"/>
        <v>57428.875720621734</v>
      </c>
      <c r="AP37" s="108">
        <f t="shared" si="120"/>
        <v>57428.875720621734</v>
      </c>
      <c r="AQ37" s="108">
        <f t="shared" si="120"/>
        <v>57428.875720621734</v>
      </c>
      <c r="AR37" s="108">
        <f t="shared" si="120"/>
        <v>57428.875720621734</v>
      </c>
      <c r="AS37" s="108">
        <f t="shared" si="120"/>
        <v>57428.875720621734</v>
      </c>
      <c r="AT37" s="108">
        <f t="shared" si="120"/>
        <v>57428.875720621734</v>
      </c>
      <c r="AU37" s="108">
        <f t="shared" si="120"/>
        <v>57428.875720621734</v>
      </c>
      <c r="AV37" s="108">
        <f t="shared" si="120"/>
        <v>57428.875720621734</v>
      </c>
      <c r="AW37" s="108">
        <f t="shared" si="120"/>
        <v>57428.875720621734</v>
      </c>
      <c r="AX37" s="108">
        <f t="shared" si="120"/>
        <v>57428.875720621734</v>
      </c>
      <c r="AY37" s="108">
        <f t="shared" si="120"/>
        <v>57428.875720621734</v>
      </c>
      <c r="AZ37" s="108">
        <f t="shared" si="120"/>
        <v>59866.313597658853</v>
      </c>
      <c r="BA37" s="108">
        <f t="shared" si="120"/>
        <v>59866.313597658853</v>
      </c>
      <c r="BB37" s="108">
        <f t="shared" si="120"/>
        <v>59866.313597658853</v>
      </c>
      <c r="BC37" s="108">
        <f t="shared" si="120"/>
        <v>59866.313597658853</v>
      </c>
      <c r="BD37" s="108">
        <f t="shared" si="120"/>
        <v>59866.313597658853</v>
      </c>
      <c r="BE37" s="108">
        <f t="shared" si="120"/>
        <v>59866.313597658853</v>
      </c>
      <c r="BF37" s="108">
        <f t="shared" si="120"/>
        <v>59866.313597658853</v>
      </c>
      <c r="BG37" s="108">
        <f t="shared" si="120"/>
        <v>59866.313597658853</v>
      </c>
      <c r="BH37" s="108">
        <f t="shared" si="120"/>
        <v>59866.313597658853</v>
      </c>
      <c r="BI37" s="108">
        <f t="shared" si="120"/>
        <v>59866.313597658853</v>
      </c>
      <c r="BJ37" s="108">
        <f t="shared" si="120"/>
        <v>59866.313597658853</v>
      </c>
      <c r="BK37" s="108">
        <f t="shared" si="120"/>
        <v>59866.313597658853</v>
      </c>
      <c r="BL37" s="108" t="str">
        <f t="shared" si="120"/>
        <v/>
      </c>
      <c r="BM37" s="108" t="str">
        <f t="shared" si="120"/>
        <v/>
      </c>
      <c r="BN37" s="108" t="str">
        <f t="shared" si="120"/>
        <v/>
      </c>
      <c r="BO37" s="108" t="str">
        <f t="shared" si="120"/>
        <v/>
      </c>
      <c r="BP37" s="108" t="str">
        <f t="shared" si="120"/>
        <v/>
      </c>
      <c r="BQ37" s="108" t="str">
        <f t="shared" ref="BQ37:DS37" si="121">IF(BQ4=0,"",BQ36+BQ34)</f>
        <v/>
      </c>
      <c r="BR37" s="108" t="str">
        <f t="shared" si="121"/>
        <v/>
      </c>
      <c r="BS37" s="108" t="str">
        <f t="shared" si="121"/>
        <v/>
      </c>
      <c r="BT37" s="108" t="str">
        <f t="shared" si="121"/>
        <v/>
      </c>
      <c r="BU37" s="108" t="str">
        <f t="shared" si="121"/>
        <v/>
      </c>
      <c r="BV37" s="108" t="str">
        <f t="shared" si="121"/>
        <v/>
      </c>
      <c r="BW37" s="108" t="str">
        <f t="shared" si="121"/>
        <v/>
      </c>
      <c r="BX37" s="108" t="str">
        <f t="shared" si="121"/>
        <v/>
      </c>
      <c r="BY37" s="108" t="str">
        <f t="shared" si="121"/>
        <v/>
      </c>
      <c r="BZ37" s="108" t="str">
        <f t="shared" si="121"/>
        <v/>
      </c>
      <c r="CA37" s="108" t="str">
        <f t="shared" si="121"/>
        <v/>
      </c>
      <c r="CB37" s="108" t="str">
        <f t="shared" si="121"/>
        <v/>
      </c>
      <c r="CC37" s="108" t="str">
        <f t="shared" si="121"/>
        <v/>
      </c>
      <c r="CD37" s="108" t="str">
        <f t="shared" si="121"/>
        <v/>
      </c>
      <c r="CE37" s="108" t="str">
        <f t="shared" si="121"/>
        <v/>
      </c>
      <c r="CF37" s="108" t="str">
        <f t="shared" si="121"/>
        <v/>
      </c>
      <c r="CG37" s="108" t="str">
        <f t="shared" si="121"/>
        <v/>
      </c>
      <c r="CH37" s="108" t="str">
        <f t="shared" si="121"/>
        <v/>
      </c>
      <c r="CI37" s="108" t="str">
        <f t="shared" si="121"/>
        <v/>
      </c>
      <c r="CJ37" s="108" t="str">
        <f t="shared" si="121"/>
        <v/>
      </c>
      <c r="CK37" s="108" t="str">
        <f t="shared" si="121"/>
        <v/>
      </c>
      <c r="CL37" s="108" t="str">
        <f t="shared" si="121"/>
        <v/>
      </c>
      <c r="CM37" s="108" t="str">
        <f t="shared" si="121"/>
        <v/>
      </c>
      <c r="CN37" s="108" t="str">
        <f t="shared" si="121"/>
        <v/>
      </c>
      <c r="CO37" s="108" t="str">
        <f t="shared" si="121"/>
        <v/>
      </c>
      <c r="CP37" s="108" t="str">
        <f t="shared" si="121"/>
        <v/>
      </c>
      <c r="CQ37" s="108" t="str">
        <f t="shared" si="121"/>
        <v/>
      </c>
      <c r="CR37" s="108" t="str">
        <f t="shared" si="121"/>
        <v/>
      </c>
      <c r="CS37" s="108" t="str">
        <f t="shared" si="121"/>
        <v/>
      </c>
      <c r="CT37" s="108" t="str">
        <f t="shared" si="121"/>
        <v/>
      </c>
      <c r="CU37" s="108" t="str">
        <f t="shared" si="121"/>
        <v/>
      </c>
      <c r="CV37" s="108" t="str">
        <f t="shared" si="121"/>
        <v/>
      </c>
      <c r="CW37" s="108" t="str">
        <f t="shared" si="121"/>
        <v/>
      </c>
      <c r="CX37" s="108" t="str">
        <f t="shared" si="121"/>
        <v/>
      </c>
      <c r="CY37" s="108" t="str">
        <f t="shared" si="121"/>
        <v/>
      </c>
      <c r="CZ37" s="108" t="str">
        <f t="shared" si="121"/>
        <v/>
      </c>
      <c r="DA37" s="108" t="str">
        <f t="shared" si="121"/>
        <v/>
      </c>
      <c r="DB37" s="108" t="str">
        <f t="shared" si="121"/>
        <v/>
      </c>
      <c r="DC37" s="108" t="str">
        <f t="shared" si="121"/>
        <v/>
      </c>
      <c r="DD37" s="108" t="str">
        <f t="shared" si="121"/>
        <v/>
      </c>
      <c r="DE37" s="108" t="str">
        <f t="shared" si="121"/>
        <v/>
      </c>
      <c r="DF37" s="108" t="str">
        <f t="shared" si="121"/>
        <v/>
      </c>
      <c r="DG37" s="108" t="str">
        <f t="shared" si="121"/>
        <v/>
      </c>
      <c r="DH37" s="108" t="str">
        <f t="shared" si="121"/>
        <v/>
      </c>
      <c r="DI37" s="108" t="str">
        <f t="shared" si="121"/>
        <v/>
      </c>
      <c r="DJ37" s="108" t="str">
        <f t="shared" si="121"/>
        <v/>
      </c>
      <c r="DK37" s="108" t="str">
        <f t="shared" si="121"/>
        <v/>
      </c>
      <c r="DL37" s="108" t="str">
        <f t="shared" si="121"/>
        <v/>
      </c>
      <c r="DM37" s="108" t="str">
        <f t="shared" si="121"/>
        <v/>
      </c>
      <c r="DN37" s="108" t="str">
        <f t="shared" si="121"/>
        <v/>
      </c>
      <c r="DO37" s="108" t="str">
        <f t="shared" si="121"/>
        <v/>
      </c>
      <c r="DP37" s="108" t="str">
        <f t="shared" si="121"/>
        <v/>
      </c>
      <c r="DQ37" s="108" t="str">
        <f t="shared" si="121"/>
        <v/>
      </c>
      <c r="DR37" s="108" t="str">
        <f t="shared" si="121"/>
        <v/>
      </c>
      <c r="DS37" s="108" t="str">
        <f t="shared" si="121"/>
        <v/>
      </c>
    </row>
    <row r="38" spans="2:123" x14ac:dyDescent="0.3"/>
    <row r="39" spans="2:123" ht="15" thickBot="1" x14ac:dyDescent="0.35">
      <c r="B39" s="114" t="s">
        <v>131</v>
      </c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3"/>
      <c r="DN39" s="63"/>
      <c r="DO39" s="63"/>
      <c r="DP39" s="63"/>
      <c r="DQ39" s="63"/>
      <c r="DR39" s="63"/>
      <c r="DS39" s="63"/>
    </row>
    <row r="40" spans="2:123" x14ac:dyDescent="0.3">
      <c r="B40" t="s">
        <v>119</v>
      </c>
      <c r="D40" s="132">
        <f>IF(D4=0,"",IF(D$6='Input Assumptions'!$C$6,'Reversion Proforma'!$D26,0))</f>
        <v>0</v>
      </c>
      <c r="E40" s="132">
        <f>IF(E4=0,"",IF(E$6='Input Assumptions'!$C$6,'Reversion Proforma'!$D26,0))</f>
        <v>0</v>
      </c>
      <c r="F40" s="132">
        <f>IF(F4=0,"",IF(F$6='Input Assumptions'!$C$6,'Reversion Proforma'!$D26,0))</f>
        <v>0</v>
      </c>
      <c r="G40" s="132">
        <f>IF(G4=0,"",IF(G$6='Input Assumptions'!$C$6,'Reversion Proforma'!$D26,0))</f>
        <v>0</v>
      </c>
      <c r="H40" s="132">
        <f>IF(H4=0,"",IF(H$6='Input Assumptions'!$C$6,'Reversion Proforma'!$D26,0))</f>
        <v>0</v>
      </c>
      <c r="I40" s="132">
        <f>IF(I4=0,"",IF(I$6='Input Assumptions'!$C$6,'Reversion Proforma'!$D26,0))</f>
        <v>0</v>
      </c>
      <c r="J40" s="132">
        <f>IF(J4=0,"",IF(J$6='Input Assumptions'!$C$6,'Reversion Proforma'!$D26,0))</f>
        <v>0</v>
      </c>
      <c r="K40" s="132">
        <f>IF(K4=0,"",IF(K$6='Input Assumptions'!$C$6,'Reversion Proforma'!$D26,0))</f>
        <v>0</v>
      </c>
      <c r="L40" s="132">
        <f>IF(L4=0,"",IF(L$6='Input Assumptions'!$C$6,'Reversion Proforma'!$D26,0))</f>
        <v>0</v>
      </c>
      <c r="M40" s="132">
        <f>IF(M4=0,"",IF(M$6='Input Assumptions'!$C$6,'Reversion Proforma'!$D26,0))</f>
        <v>0</v>
      </c>
      <c r="N40" s="132">
        <f>IF(N4=0,"",IF(N$6='Input Assumptions'!$C$6,'Reversion Proforma'!$D26,0))</f>
        <v>0</v>
      </c>
      <c r="O40" s="132">
        <f>IF(O4=0,"",IF(O$6='Input Assumptions'!$C$6,'Reversion Proforma'!$D26,0))</f>
        <v>0</v>
      </c>
      <c r="P40" s="132">
        <f>IF(P4=0,"",IF(P$6='Input Assumptions'!$C$6,'Reversion Proforma'!$D26,0))</f>
        <v>0</v>
      </c>
      <c r="Q40" s="132">
        <f>IF(Q4=0,"",IF(Q$6='Input Assumptions'!$C$6,'Reversion Proforma'!$D26,0))</f>
        <v>0</v>
      </c>
      <c r="R40" s="132">
        <f>IF(R4=0,"",IF(R$6='Input Assumptions'!$C$6,'Reversion Proforma'!$D26,0))</f>
        <v>0</v>
      </c>
      <c r="S40" s="132">
        <f>IF(S4=0,"",IF(S$6='Input Assumptions'!$C$6,'Reversion Proforma'!$D26,0))</f>
        <v>0</v>
      </c>
      <c r="T40" s="132">
        <f>IF(T4=0,"",IF(T$6='Input Assumptions'!$C$6,'Reversion Proforma'!$D26,0))</f>
        <v>0</v>
      </c>
      <c r="U40" s="132">
        <f>IF(U4=0,"",IF(U$6='Input Assumptions'!$C$6,'Reversion Proforma'!$D26,0))</f>
        <v>0</v>
      </c>
      <c r="V40" s="132">
        <f>IF(V4=0,"",IF(V$6='Input Assumptions'!$C$6,'Reversion Proforma'!$D26,0))</f>
        <v>0</v>
      </c>
      <c r="W40" s="132">
        <f>IF(W4=0,"",IF(W$6='Input Assumptions'!$C$6,'Reversion Proforma'!$D26,0))</f>
        <v>0</v>
      </c>
      <c r="X40" s="132">
        <f>IF(X4=0,"",IF(X$6='Input Assumptions'!$C$6,'Reversion Proforma'!$D26,0))</f>
        <v>0</v>
      </c>
      <c r="Y40" s="132">
        <f>IF(Y4=0,"",IF(Y$6='Input Assumptions'!$C$6,'Reversion Proforma'!$D26,0))</f>
        <v>0</v>
      </c>
      <c r="Z40" s="132">
        <f>IF(Z4=0,"",IF(Z$6='Input Assumptions'!$C$6,'Reversion Proforma'!$D26,0))</f>
        <v>0</v>
      </c>
      <c r="AA40" s="132">
        <f>IF(AA4=0,"",IF(AA$6='Input Assumptions'!$C$6,'Reversion Proforma'!$D26,0))</f>
        <v>0</v>
      </c>
      <c r="AB40" s="132">
        <f>IF(AB4=0,"",IF(AB$6='Input Assumptions'!$C$6,'Reversion Proforma'!$D26,0))</f>
        <v>0</v>
      </c>
      <c r="AC40" s="132">
        <f>IF(AC4=0,"",IF(AC$6='Input Assumptions'!$C$6,'Reversion Proforma'!$D26,0))</f>
        <v>0</v>
      </c>
      <c r="AD40" s="132">
        <f>IF(AD4=0,"",IF(AD$6='Input Assumptions'!$C$6,'Reversion Proforma'!$D26,0))</f>
        <v>0</v>
      </c>
      <c r="AE40" s="132">
        <f>IF(AE4=0,"",IF(AE$6='Input Assumptions'!$C$6,'Reversion Proforma'!$D26,0))</f>
        <v>0</v>
      </c>
      <c r="AF40" s="132">
        <f>IF(AF4=0,"",IF(AF$6='Input Assumptions'!$C$6,'Reversion Proforma'!$D26,0))</f>
        <v>0</v>
      </c>
      <c r="AG40" s="132">
        <f>IF(AG4=0,"",IF(AG$6='Input Assumptions'!$C$6,'Reversion Proforma'!$D26,0))</f>
        <v>0</v>
      </c>
      <c r="AH40" s="132">
        <f>IF(AH4=0,"",IF(AH$6='Input Assumptions'!$C$6,'Reversion Proforma'!$D26,0))</f>
        <v>0</v>
      </c>
      <c r="AI40" s="132">
        <f>IF(AI4=0,"",IF(AI$6='Input Assumptions'!$C$6,'Reversion Proforma'!$D26,0))</f>
        <v>0</v>
      </c>
      <c r="AJ40" s="132">
        <f>IF(AJ4=0,"",IF(AJ$6='Input Assumptions'!$C$6,'Reversion Proforma'!$D26,0))</f>
        <v>0</v>
      </c>
      <c r="AK40" s="132">
        <f>IF(AK4=0,"",IF(AK$6='Input Assumptions'!$C$6,'Reversion Proforma'!$D26,0))</f>
        <v>0</v>
      </c>
      <c r="AL40" s="132">
        <f>IF(AL4=0,"",IF(AL$6='Input Assumptions'!$C$6,'Reversion Proforma'!$D26,0))</f>
        <v>0</v>
      </c>
      <c r="AM40" s="132">
        <f>IF(AM4=0,"",IF(AM$6='Input Assumptions'!$C$6,'Reversion Proforma'!$D26,0))</f>
        <v>0</v>
      </c>
      <c r="AN40" s="132">
        <f>IF(AN4=0,"",IF(AN$6='Input Assumptions'!$C$6,'Reversion Proforma'!$D26,0))</f>
        <v>0</v>
      </c>
      <c r="AO40" s="132">
        <f>IF(AO4=0,"",IF(AO$6='Input Assumptions'!$C$6,'Reversion Proforma'!$D26,0))</f>
        <v>0</v>
      </c>
      <c r="AP40" s="132">
        <f>IF(AP4=0,"",IF(AP$6='Input Assumptions'!$C$6,'Reversion Proforma'!$D26,0))</f>
        <v>0</v>
      </c>
      <c r="AQ40" s="132">
        <f>IF(AQ4=0,"",IF(AQ$6='Input Assumptions'!$C$6,'Reversion Proforma'!$D26,0))</f>
        <v>0</v>
      </c>
      <c r="AR40" s="132">
        <f>IF(AR4=0,"",IF(AR$6='Input Assumptions'!$C$6,'Reversion Proforma'!$D26,0))</f>
        <v>0</v>
      </c>
      <c r="AS40" s="132">
        <f>IF(AS4=0,"",IF(AS$6='Input Assumptions'!$C$6,'Reversion Proforma'!$D26,0))</f>
        <v>0</v>
      </c>
      <c r="AT40" s="132">
        <f>IF(AT4=0,"",IF(AT$6='Input Assumptions'!$C$6,'Reversion Proforma'!$D26,0))</f>
        <v>0</v>
      </c>
      <c r="AU40" s="132">
        <f>IF(AU4=0,"",IF(AU$6='Input Assumptions'!$C$6,'Reversion Proforma'!$D26,0))</f>
        <v>0</v>
      </c>
      <c r="AV40" s="132">
        <f>IF(AV4=0,"",IF(AV$6='Input Assumptions'!$C$6,'Reversion Proforma'!$D26,0))</f>
        <v>0</v>
      </c>
      <c r="AW40" s="132">
        <f>IF(AW4=0,"",IF(AW$6='Input Assumptions'!$C$6,'Reversion Proforma'!$D26,0))</f>
        <v>0</v>
      </c>
      <c r="AX40" s="132">
        <f>IF(AX4=0,"",IF(AX$6='Input Assumptions'!$C$6,'Reversion Proforma'!$D26,0))</f>
        <v>0</v>
      </c>
      <c r="AY40" s="132">
        <f>IF(AY4=0,"",IF(AY$6='Input Assumptions'!$C$6,'Reversion Proforma'!$D26,0))</f>
        <v>0</v>
      </c>
      <c r="AZ40" s="132">
        <f>IF(AZ4=0,"",IF(AZ$6='Input Assumptions'!$C$6,'Reversion Proforma'!$D26,0))</f>
        <v>0</v>
      </c>
      <c r="BA40" s="132">
        <f>IF(BA4=0,"",IF(BA$6='Input Assumptions'!$C$6,'Reversion Proforma'!$D26,0))</f>
        <v>0</v>
      </c>
      <c r="BB40" s="132">
        <f>IF(BB4=0,"",IF(BB$6='Input Assumptions'!$C$6,'Reversion Proforma'!$D26,0))</f>
        <v>0</v>
      </c>
      <c r="BC40" s="132">
        <f>IF(BC4=0,"",IF(BC$6='Input Assumptions'!$C$6,'Reversion Proforma'!$D26,0))</f>
        <v>0</v>
      </c>
      <c r="BD40" s="132">
        <f>IF(BD4=0,"",IF(BD$6='Input Assumptions'!$C$6,'Reversion Proforma'!$D26,0))</f>
        <v>0</v>
      </c>
      <c r="BE40" s="132">
        <f>IF(BE4=0,"",IF(BE$6='Input Assumptions'!$C$6,'Reversion Proforma'!$D26,0))</f>
        <v>0</v>
      </c>
      <c r="BF40" s="132">
        <f>IF(BF4=0,"",IF(BF$6='Input Assumptions'!$C$6,'Reversion Proforma'!$D26,0))</f>
        <v>0</v>
      </c>
      <c r="BG40" s="132">
        <f>IF(BG4=0,"",IF(BG$6='Input Assumptions'!$C$6,'Reversion Proforma'!$D26,0))</f>
        <v>0</v>
      </c>
      <c r="BH40" s="132">
        <f>IF(BH4=0,"",IF(BH$6='Input Assumptions'!$C$6,'Reversion Proforma'!$D26,0))</f>
        <v>0</v>
      </c>
      <c r="BI40" s="132">
        <f>IF(BI4=0,"",IF(BI$6='Input Assumptions'!$C$6,'Reversion Proforma'!$D26,0))</f>
        <v>0</v>
      </c>
      <c r="BJ40" s="132">
        <f>IF(BJ4=0,"",IF(BJ$6='Input Assumptions'!$C$6,'Reversion Proforma'!$D26,0))</f>
        <v>0</v>
      </c>
      <c r="BK40" s="132">
        <f>IF(BK4=0,"",IF(BK$6='Input Assumptions'!$C$6,'Reversion Proforma'!$D26,0))</f>
        <v>19782694.305528276</v>
      </c>
      <c r="BL40" s="132" t="str">
        <f>IF(BL4=0,"",IF(BL$6='Input Assumptions'!$C$6,'Reversion Proforma'!$D26,0))</f>
        <v/>
      </c>
      <c r="BM40" s="132" t="str">
        <f>IF(BM4=0,"",IF(BM$6='Input Assumptions'!$C$6,'Reversion Proforma'!$D26,0))</f>
        <v/>
      </c>
      <c r="BN40" s="132" t="str">
        <f>IF(BN4=0,"",IF(BN$6='Input Assumptions'!$C$6,'Reversion Proforma'!$D26,0))</f>
        <v/>
      </c>
      <c r="BO40" s="132" t="str">
        <f>IF(BO4=0,"",IF(BO$6='Input Assumptions'!$C$6,'Reversion Proforma'!$D26,0))</f>
        <v/>
      </c>
      <c r="BP40" s="132" t="str">
        <f>IF(BP4=0,"",IF(BP$6='Input Assumptions'!$C$6,'Reversion Proforma'!$D26,0))</f>
        <v/>
      </c>
      <c r="BQ40" s="132" t="str">
        <f>IF(BQ4=0,"",IF(BQ$6='Input Assumptions'!$C$6,'Reversion Proforma'!$D26,0))</f>
        <v/>
      </c>
      <c r="BR40" s="132" t="str">
        <f>IF(BR4=0,"",IF(BR$6='Input Assumptions'!$C$6,'Reversion Proforma'!$D26,0))</f>
        <v/>
      </c>
      <c r="BS40" s="132" t="str">
        <f>IF(BS4=0,"",IF(BS$6='Input Assumptions'!$C$6,'Reversion Proforma'!$D26,0))</f>
        <v/>
      </c>
      <c r="BT40" s="132" t="str">
        <f>IF(BT4=0,"",IF(BT$6='Input Assumptions'!$C$6,'Reversion Proforma'!$D26,0))</f>
        <v/>
      </c>
      <c r="BU40" s="132" t="str">
        <f>IF(BU4=0,"",IF(BU$6='Input Assumptions'!$C$6,'Reversion Proforma'!$D26,0))</f>
        <v/>
      </c>
      <c r="BV40" s="132" t="str">
        <f>IF(BV4=0,"",IF(BV$6='Input Assumptions'!$C$6,'Reversion Proforma'!$D26,0))</f>
        <v/>
      </c>
      <c r="BW40" s="132" t="str">
        <f>IF(BW4=0,"",IF(BW$6='Input Assumptions'!$C$6,'Reversion Proforma'!$D26,0))</f>
        <v/>
      </c>
      <c r="BX40" s="132" t="str">
        <f>IF(BX4=0,"",IF(BX$6='Input Assumptions'!$C$6,'Reversion Proforma'!$D26,0))</f>
        <v/>
      </c>
      <c r="BY40" s="132" t="str">
        <f>IF(BY4=0,"",IF(BY$6='Input Assumptions'!$C$6,'Reversion Proforma'!$D26,0))</f>
        <v/>
      </c>
      <c r="BZ40" s="132" t="str">
        <f>IF(BZ4=0,"",IF(BZ$6='Input Assumptions'!$C$6,'Reversion Proforma'!$D26,0))</f>
        <v/>
      </c>
      <c r="CA40" s="132" t="str">
        <f>IF(CA4=0,"",IF(CA$6='Input Assumptions'!$C$6,'Reversion Proforma'!$D26,0))</f>
        <v/>
      </c>
      <c r="CB40" s="132" t="str">
        <f>IF(CB4=0,"",IF(CB$6='Input Assumptions'!$C$6,'Reversion Proforma'!$D26,0))</f>
        <v/>
      </c>
      <c r="CC40" s="132" t="str">
        <f>IF(CC4=0,"",IF(CC$6='Input Assumptions'!$C$6,'Reversion Proforma'!$D26,0))</f>
        <v/>
      </c>
      <c r="CD40" s="132" t="str">
        <f>IF(CD4=0,"",IF(CD$6='Input Assumptions'!$C$6,'Reversion Proforma'!$D26,0))</f>
        <v/>
      </c>
      <c r="CE40" s="132" t="str">
        <f>IF(CE4=0,"",IF(CE$6='Input Assumptions'!$C$6,'Reversion Proforma'!$D26,0))</f>
        <v/>
      </c>
      <c r="CF40" s="132" t="str">
        <f>IF(CF4=0,"",IF(CF$6='Input Assumptions'!$C$6,'Reversion Proforma'!$D26,0))</f>
        <v/>
      </c>
      <c r="CG40" s="132" t="str">
        <f>IF(CG4=0,"",IF(CG$6='Input Assumptions'!$C$6,'Reversion Proforma'!$D26,0))</f>
        <v/>
      </c>
      <c r="CH40" s="132" t="str">
        <f>IF(CH4=0,"",IF(CH$6='Input Assumptions'!$C$6,'Reversion Proforma'!$D26,0))</f>
        <v/>
      </c>
      <c r="CI40" s="132" t="str">
        <f>IF(CI4=0,"",IF(CI$6='Input Assumptions'!$C$6,'Reversion Proforma'!$D26,0))</f>
        <v/>
      </c>
      <c r="CJ40" s="132" t="str">
        <f>IF(CJ4=0,"",IF(CJ$6='Input Assumptions'!$C$6,'Reversion Proforma'!$D26,0))</f>
        <v/>
      </c>
      <c r="CK40" s="132" t="str">
        <f>IF(CK4=0,"",IF(CK$6='Input Assumptions'!$C$6,'Reversion Proforma'!$D26,0))</f>
        <v/>
      </c>
      <c r="CL40" s="132" t="str">
        <f>IF(CL4=0,"",IF(CL$6='Input Assumptions'!$C$6,'Reversion Proforma'!$D26,0))</f>
        <v/>
      </c>
      <c r="CM40" s="132" t="str">
        <f>IF(CM4=0,"",IF(CM$6='Input Assumptions'!$C$6,'Reversion Proforma'!$D26,0))</f>
        <v/>
      </c>
      <c r="CN40" s="132" t="str">
        <f>IF(CN4=0,"",IF(CN$6='Input Assumptions'!$C$6,'Reversion Proforma'!$D26,0))</f>
        <v/>
      </c>
      <c r="CO40" s="132" t="str">
        <f>IF(CO4=0,"",IF(CO$6='Input Assumptions'!$C$6,'Reversion Proforma'!$D26,0))</f>
        <v/>
      </c>
      <c r="CP40" s="132" t="str">
        <f>IF(CP4=0,"",IF(CP$6='Input Assumptions'!$C$6,'Reversion Proforma'!$D26,0))</f>
        <v/>
      </c>
      <c r="CQ40" s="132" t="str">
        <f>IF(CQ4=0,"",IF(CQ$6='Input Assumptions'!$C$6,'Reversion Proforma'!$D26,0))</f>
        <v/>
      </c>
      <c r="CR40" s="132" t="str">
        <f>IF(CR4=0,"",IF(CR$6='Input Assumptions'!$C$6,'Reversion Proforma'!$D26,0))</f>
        <v/>
      </c>
      <c r="CS40" s="132" t="str">
        <f>IF(CS4=0,"",IF(CS$6='Input Assumptions'!$C$6,'Reversion Proforma'!$D26,0))</f>
        <v/>
      </c>
      <c r="CT40" s="132" t="str">
        <f>IF(CT4=0,"",IF(CT$6='Input Assumptions'!$C$6,'Reversion Proforma'!$D26,0))</f>
        <v/>
      </c>
      <c r="CU40" s="132" t="str">
        <f>IF(CU4=0,"",IF(CU$6='Input Assumptions'!$C$6,'Reversion Proforma'!$D26,0))</f>
        <v/>
      </c>
      <c r="CV40" s="132" t="str">
        <f>IF(CV4=0,"",IF(CV$6='Input Assumptions'!$C$6,'Reversion Proforma'!$D26,0))</f>
        <v/>
      </c>
      <c r="CW40" s="132" t="str">
        <f>IF(CW4=0,"",IF(CW$6='Input Assumptions'!$C$6,'Reversion Proforma'!$D26,0))</f>
        <v/>
      </c>
      <c r="CX40" s="132" t="str">
        <f>IF(CX4=0,"",IF(CX$6='Input Assumptions'!$C$6,'Reversion Proforma'!$D26,0))</f>
        <v/>
      </c>
      <c r="CY40" s="132" t="str">
        <f>IF(CY4=0,"",IF(CY$6='Input Assumptions'!$C$6,'Reversion Proforma'!$D26,0))</f>
        <v/>
      </c>
      <c r="CZ40" s="132" t="str">
        <f>IF(CZ4=0,"",IF(CZ$6='Input Assumptions'!$C$6,'Reversion Proforma'!$D26,0))</f>
        <v/>
      </c>
      <c r="DA40" s="132" t="str">
        <f>IF(DA4=0,"",IF(DA$6='Input Assumptions'!$C$6,'Reversion Proforma'!$D26,0))</f>
        <v/>
      </c>
      <c r="DB40" s="132" t="str">
        <f>IF(DB4=0,"",IF(DB$6='Input Assumptions'!$C$6,'Reversion Proforma'!$D26,0))</f>
        <v/>
      </c>
      <c r="DC40" s="132" t="str">
        <f>IF(DC4=0,"",IF(DC$6='Input Assumptions'!$C$6,'Reversion Proforma'!$D26,0))</f>
        <v/>
      </c>
      <c r="DD40" s="132" t="str">
        <f>IF(DD4=0,"",IF(DD$6='Input Assumptions'!$C$6,'Reversion Proforma'!$D26,0))</f>
        <v/>
      </c>
      <c r="DE40" s="132" t="str">
        <f>IF(DE4=0,"",IF(DE$6='Input Assumptions'!$C$6,'Reversion Proforma'!$D26,0))</f>
        <v/>
      </c>
      <c r="DF40" s="132" t="str">
        <f>IF(DF4=0,"",IF(DF$6='Input Assumptions'!$C$6,'Reversion Proforma'!$D26,0))</f>
        <v/>
      </c>
      <c r="DG40" s="132" t="str">
        <f>IF(DG4=0,"",IF(DG$6='Input Assumptions'!$C$6,'Reversion Proforma'!$D26,0))</f>
        <v/>
      </c>
      <c r="DH40" s="132" t="str">
        <f>IF(DH4=0,"",IF(DH$6='Input Assumptions'!$C$6,'Reversion Proforma'!$D26,0))</f>
        <v/>
      </c>
      <c r="DI40" s="132" t="str">
        <f>IF(DI4=0,"",IF(DI$6='Input Assumptions'!$C$6,'Reversion Proforma'!$D26,0))</f>
        <v/>
      </c>
      <c r="DJ40" s="132" t="str">
        <f>IF(DJ4=0,"",IF(DJ$6='Input Assumptions'!$C$6,'Reversion Proforma'!$D26,0))</f>
        <v/>
      </c>
      <c r="DK40" s="132" t="str">
        <f>IF(DK4=0,"",IF(DK$6='Input Assumptions'!$C$6,'Reversion Proforma'!$D26,0))</f>
        <v/>
      </c>
      <c r="DL40" s="132" t="str">
        <f>IF(DL4=0,"",IF(DL$6='Input Assumptions'!$C$6,'Reversion Proforma'!$D26,0))</f>
        <v/>
      </c>
      <c r="DM40" s="132" t="str">
        <f>IF(DM4=0,"",IF(DM$6='Input Assumptions'!$C$6,'Reversion Proforma'!$D26,0))</f>
        <v/>
      </c>
      <c r="DN40" s="132" t="str">
        <f>IF(DN4=0,"",IF(DN$6='Input Assumptions'!$C$6,'Reversion Proforma'!$D26,0))</f>
        <v/>
      </c>
      <c r="DO40" s="132" t="str">
        <f>IF(DO4=0,"",IF(DO$6='Input Assumptions'!$C$6,'Reversion Proforma'!$D26,0))</f>
        <v/>
      </c>
      <c r="DP40" s="132" t="str">
        <f>IF(DP4=0,"",IF(DP$6='Input Assumptions'!$C$6,'Reversion Proforma'!$D26,0))</f>
        <v/>
      </c>
      <c r="DQ40" s="132" t="str">
        <f>IF(DQ4=0,"",IF(DQ$6='Input Assumptions'!$C$6,'Reversion Proforma'!$D26,0))</f>
        <v/>
      </c>
      <c r="DR40" s="132" t="str">
        <f>IF(DR4=0,"",IF(DR$6='Input Assumptions'!$C$6,'Reversion Proforma'!$D26,0))</f>
        <v/>
      </c>
      <c r="DS40" s="132" t="str">
        <f>IF(DS4=0,"",IF(DS$6='Input Assumptions'!$C$6,'Reversion Proforma'!$D26,0))</f>
        <v/>
      </c>
    </row>
    <row r="41" spans="2:123" x14ac:dyDescent="0.3">
      <c r="B41" t="str">
        <f>'Input Assumptions'!B17</f>
        <v>Disposal Cost</v>
      </c>
      <c r="D41" s="132">
        <f>IF(D4=0,"",IF(D$6='Input Assumptions'!$C$6,'Reversion Proforma'!$D27,0))</f>
        <v>0</v>
      </c>
      <c r="E41" s="132">
        <f>IF(E4=0,"",IF(E$6='Input Assumptions'!$C$6,'Reversion Proforma'!$D27,0))</f>
        <v>0</v>
      </c>
      <c r="F41" s="132">
        <f>IF(F4=0,"",IF(F$6='Input Assumptions'!$C$6,'Reversion Proforma'!$D27,0))</f>
        <v>0</v>
      </c>
      <c r="G41" s="132">
        <f>IF(G4=0,"",IF(G$6='Input Assumptions'!$C$6,'Reversion Proforma'!$D27,0))</f>
        <v>0</v>
      </c>
      <c r="H41" s="132">
        <f>IF(H4=0,"",IF(H$6='Input Assumptions'!$C$6,'Reversion Proforma'!$D27,0))</f>
        <v>0</v>
      </c>
      <c r="I41" s="132">
        <f>IF(I4=0,"",IF(I$6='Input Assumptions'!$C$6,'Reversion Proforma'!$D27,0))</f>
        <v>0</v>
      </c>
      <c r="J41" s="132">
        <f>IF(J4=0,"",IF(J$6='Input Assumptions'!$C$6,'Reversion Proforma'!$D27,0))</f>
        <v>0</v>
      </c>
      <c r="K41" s="132">
        <f>IF(K4=0,"",IF(K$6='Input Assumptions'!$C$6,'Reversion Proforma'!$D27,0))</f>
        <v>0</v>
      </c>
      <c r="L41" s="132">
        <f>IF(L4=0,"",IF(L$6='Input Assumptions'!$C$6,'Reversion Proforma'!$D27,0))</f>
        <v>0</v>
      </c>
      <c r="M41" s="132">
        <f>IF(M4=0,"",IF(M$6='Input Assumptions'!$C$6,'Reversion Proforma'!$D27,0))</f>
        <v>0</v>
      </c>
      <c r="N41" s="132">
        <f>IF(N4=0,"",IF(N$6='Input Assumptions'!$C$6,'Reversion Proforma'!$D27,0))</f>
        <v>0</v>
      </c>
      <c r="O41" s="132">
        <f>IF(O4=0,"",IF(O$6='Input Assumptions'!$C$6,'Reversion Proforma'!$D27,0))</f>
        <v>0</v>
      </c>
      <c r="P41" s="132">
        <f>IF(P4=0,"",IF(P$6='Input Assumptions'!$C$6,'Reversion Proforma'!$D27,0))</f>
        <v>0</v>
      </c>
      <c r="Q41" s="132">
        <f>IF(Q4=0,"",IF(Q$6='Input Assumptions'!$C$6,'Reversion Proforma'!$D27,0))</f>
        <v>0</v>
      </c>
      <c r="R41" s="132">
        <f>IF(R4=0,"",IF(R$6='Input Assumptions'!$C$6,'Reversion Proforma'!$D27,0))</f>
        <v>0</v>
      </c>
      <c r="S41" s="132">
        <f>IF(S4=0,"",IF(S$6='Input Assumptions'!$C$6,'Reversion Proforma'!$D27,0))</f>
        <v>0</v>
      </c>
      <c r="T41" s="132">
        <f>IF(T4=0,"",IF(T$6='Input Assumptions'!$C$6,'Reversion Proforma'!$D27,0))</f>
        <v>0</v>
      </c>
      <c r="U41" s="132">
        <f>IF(U4=0,"",IF(U$6='Input Assumptions'!$C$6,'Reversion Proforma'!$D27,0))</f>
        <v>0</v>
      </c>
      <c r="V41" s="132">
        <f>IF(V4=0,"",IF(V$6='Input Assumptions'!$C$6,'Reversion Proforma'!$D27,0))</f>
        <v>0</v>
      </c>
      <c r="W41" s="132">
        <f>IF(W4=0,"",IF(W$6='Input Assumptions'!$C$6,'Reversion Proforma'!$D27,0))</f>
        <v>0</v>
      </c>
      <c r="X41" s="132">
        <f>IF(X4=0,"",IF(X$6='Input Assumptions'!$C$6,'Reversion Proforma'!$D27,0))</f>
        <v>0</v>
      </c>
      <c r="Y41" s="132">
        <f>IF(Y4=0,"",IF(Y$6='Input Assumptions'!$C$6,'Reversion Proforma'!$D27,0))</f>
        <v>0</v>
      </c>
      <c r="Z41" s="132">
        <f>IF(Z4=0,"",IF(Z$6='Input Assumptions'!$C$6,'Reversion Proforma'!$D27,0))</f>
        <v>0</v>
      </c>
      <c r="AA41" s="132">
        <f>IF(AA4=0,"",IF(AA$6='Input Assumptions'!$C$6,'Reversion Proforma'!$D27,0))</f>
        <v>0</v>
      </c>
      <c r="AB41" s="132">
        <f>IF(AB4=0,"",IF(AB$6='Input Assumptions'!$C$6,'Reversion Proforma'!$D27,0))</f>
        <v>0</v>
      </c>
      <c r="AC41" s="132">
        <f>IF(AC4=0,"",IF(AC$6='Input Assumptions'!$C$6,'Reversion Proforma'!$D27,0))</f>
        <v>0</v>
      </c>
      <c r="AD41" s="132">
        <f>IF(AD4=0,"",IF(AD$6='Input Assumptions'!$C$6,'Reversion Proforma'!$D27,0))</f>
        <v>0</v>
      </c>
      <c r="AE41" s="132">
        <f>IF(AE4=0,"",IF(AE$6='Input Assumptions'!$C$6,'Reversion Proforma'!$D27,0))</f>
        <v>0</v>
      </c>
      <c r="AF41" s="132">
        <f>IF(AF4=0,"",IF(AF$6='Input Assumptions'!$C$6,'Reversion Proforma'!$D27,0))</f>
        <v>0</v>
      </c>
      <c r="AG41" s="132">
        <f>IF(AG4=0,"",IF(AG$6='Input Assumptions'!$C$6,'Reversion Proforma'!$D27,0))</f>
        <v>0</v>
      </c>
      <c r="AH41" s="132">
        <f>IF(AH4=0,"",IF(AH$6='Input Assumptions'!$C$6,'Reversion Proforma'!$D27,0))</f>
        <v>0</v>
      </c>
      <c r="AI41" s="132">
        <f>IF(AI4=0,"",IF(AI$6='Input Assumptions'!$C$6,'Reversion Proforma'!$D27,0))</f>
        <v>0</v>
      </c>
      <c r="AJ41" s="132">
        <f>IF(AJ4=0,"",IF(AJ$6='Input Assumptions'!$C$6,'Reversion Proforma'!$D27,0))</f>
        <v>0</v>
      </c>
      <c r="AK41" s="132">
        <f>IF(AK4=0,"",IF(AK$6='Input Assumptions'!$C$6,'Reversion Proforma'!$D27,0))</f>
        <v>0</v>
      </c>
      <c r="AL41" s="132">
        <f>IF(AL4=0,"",IF(AL$6='Input Assumptions'!$C$6,'Reversion Proforma'!$D27,0))</f>
        <v>0</v>
      </c>
      <c r="AM41" s="132">
        <f>IF(AM4=0,"",IF(AM$6='Input Assumptions'!$C$6,'Reversion Proforma'!$D27,0))</f>
        <v>0</v>
      </c>
      <c r="AN41" s="132">
        <f>IF(AN4=0,"",IF(AN$6='Input Assumptions'!$C$6,'Reversion Proforma'!$D27,0))</f>
        <v>0</v>
      </c>
      <c r="AO41" s="132">
        <f>IF(AO4=0,"",IF(AO$6='Input Assumptions'!$C$6,'Reversion Proforma'!$D27,0))</f>
        <v>0</v>
      </c>
      <c r="AP41" s="132">
        <f>IF(AP4=0,"",IF(AP$6='Input Assumptions'!$C$6,'Reversion Proforma'!$D27,0))</f>
        <v>0</v>
      </c>
      <c r="AQ41" s="132">
        <f>IF(AQ4=0,"",IF(AQ$6='Input Assumptions'!$C$6,'Reversion Proforma'!$D27,0))</f>
        <v>0</v>
      </c>
      <c r="AR41" s="132">
        <f>IF(AR4=0,"",IF(AR$6='Input Assumptions'!$C$6,'Reversion Proforma'!$D27,0))</f>
        <v>0</v>
      </c>
      <c r="AS41" s="132">
        <f>IF(AS4=0,"",IF(AS$6='Input Assumptions'!$C$6,'Reversion Proforma'!$D27,0))</f>
        <v>0</v>
      </c>
      <c r="AT41" s="132">
        <f>IF(AT4=0,"",IF(AT$6='Input Assumptions'!$C$6,'Reversion Proforma'!$D27,0))</f>
        <v>0</v>
      </c>
      <c r="AU41" s="132">
        <f>IF(AU4=0,"",IF(AU$6='Input Assumptions'!$C$6,'Reversion Proforma'!$D27,0))</f>
        <v>0</v>
      </c>
      <c r="AV41" s="132">
        <f>IF(AV4=0,"",IF(AV$6='Input Assumptions'!$C$6,'Reversion Proforma'!$D27,0))</f>
        <v>0</v>
      </c>
      <c r="AW41" s="132">
        <f>IF(AW4=0,"",IF(AW$6='Input Assumptions'!$C$6,'Reversion Proforma'!$D27,0))</f>
        <v>0</v>
      </c>
      <c r="AX41" s="132">
        <f>IF(AX4=0,"",IF(AX$6='Input Assumptions'!$C$6,'Reversion Proforma'!$D27,0))</f>
        <v>0</v>
      </c>
      <c r="AY41" s="132">
        <f>IF(AY4=0,"",IF(AY$6='Input Assumptions'!$C$6,'Reversion Proforma'!$D27,0))</f>
        <v>0</v>
      </c>
      <c r="AZ41" s="132">
        <f>IF(AZ4=0,"",IF(AZ$6='Input Assumptions'!$C$6,'Reversion Proforma'!$D27,0))</f>
        <v>0</v>
      </c>
      <c r="BA41" s="132">
        <f>IF(BA4=0,"",IF(BA$6='Input Assumptions'!$C$6,'Reversion Proforma'!$D27,0))</f>
        <v>0</v>
      </c>
      <c r="BB41" s="132">
        <f>IF(BB4=0,"",IF(BB$6='Input Assumptions'!$C$6,'Reversion Proforma'!$D27,0))</f>
        <v>0</v>
      </c>
      <c r="BC41" s="132">
        <f>IF(BC4=0,"",IF(BC$6='Input Assumptions'!$C$6,'Reversion Proforma'!$D27,0))</f>
        <v>0</v>
      </c>
      <c r="BD41" s="132">
        <f>IF(BD4=0,"",IF(BD$6='Input Assumptions'!$C$6,'Reversion Proforma'!$D27,0))</f>
        <v>0</v>
      </c>
      <c r="BE41" s="132">
        <f>IF(BE4=0,"",IF(BE$6='Input Assumptions'!$C$6,'Reversion Proforma'!$D27,0))</f>
        <v>0</v>
      </c>
      <c r="BF41" s="132">
        <f>IF(BF4=0,"",IF(BF$6='Input Assumptions'!$C$6,'Reversion Proforma'!$D27,0))</f>
        <v>0</v>
      </c>
      <c r="BG41" s="132">
        <f>IF(BG4=0,"",IF(BG$6='Input Assumptions'!$C$6,'Reversion Proforma'!$D27,0))</f>
        <v>0</v>
      </c>
      <c r="BH41" s="132">
        <f>IF(BH4=0,"",IF(BH$6='Input Assumptions'!$C$6,'Reversion Proforma'!$D27,0))</f>
        <v>0</v>
      </c>
      <c r="BI41" s="132">
        <f>IF(BI4=0,"",IF(BI$6='Input Assumptions'!$C$6,'Reversion Proforma'!$D27,0))</f>
        <v>0</v>
      </c>
      <c r="BJ41" s="132">
        <f>IF(BJ4=0,"",IF(BJ$6='Input Assumptions'!$C$6,'Reversion Proforma'!$D27,0))</f>
        <v>0</v>
      </c>
      <c r="BK41" s="132">
        <f>IF(BK4=0,"",IF(BK$6='Input Assumptions'!$C$6,'Reversion Proforma'!$D27,0))</f>
        <v>-1345223.2127759228</v>
      </c>
      <c r="BL41" s="132" t="str">
        <f>IF(BL4=0,"",IF(BL$6='Input Assumptions'!$C$6,'Reversion Proforma'!$D27,0))</f>
        <v/>
      </c>
      <c r="BM41" s="132" t="str">
        <f>IF(BM4=0,"",IF(BM$6='Input Assumptions'!$C$6,'Reversion Proforma'!$D27,0))</f>
        <v/>
      </c>
      <c r="BN41" s="132" t="str">
        <f>IF(BN4=0,"",IF(BN$6='Input Assumptions'!$C$6,'Reversion Proforma'!$D27,0))</f>
        <v/>
      </c>
      <c r="BO41" s="132" t="str">
        <f>IF(BO4=0,"",IF(BO$6='Input Assumptions'!$C$6,'Reversion Proforma'!$D27,0))</f>
        <v/>
      </c>
      <c r="BP41" s="132" t="str">
        <f>IF(BP4=0,"",IF(BP$6='Input Assumptions'!$C$6,'Reversion Proforma'!$D27,0))</f>
        <v/>
      </c>
      <c r="BQ41" s="132" t="str">
        <f>IF(BQ4=0,"",IF(BQ$6='Input Assumptions'!$C$6,'Reversion Proforma'!$D27,0))</f>
        <v/>
      </c>
      <c r="BR41" s="132" t="str">
        <f>IF(BR4=0,"",IF(BR$6='Input Assumptions'!$C$6,'Reversion Proforma'!$D27,0))</f>
        <v/>
      </c>
      <c r="BS41" s="132" t="str">
        <f>IF(BS4=0,"",IF(BS$6='Input Assumptions'!$C$6,'Reversion Proforma'!$D27,0))</f>
        <v/>
      </c>
      <c r="BT41" s="132" t="str">
        <f>IF(BT4=0,"",IF(BT$6='Input Assumptions'!$C$6,'Reversion Proforma'!$D27,0))</f>
        <v/>
      </c>
      <c r="BU41" s="132" t="str">
        <f>IF(BU4=0,"",IF(BU$6='Input Assumptions'!$C$6,'Reversion Proforma'!$D27,0))</f>
        <v/>
      </c>
      <c r="BV41" s="132" t="str">
        <f>IF(BV4=0,"",IF(BV$6='Input Assumptions'!$C$6,'Reversion Proforma'!$D27,0))</f>
        <v/>
      </c>
      <c r="BW41" s="132" t="str">
        <f>IF(BW4=0,"",IF(BW$6='Input Assumptions'!$C$6,'Reversion Proforma'!$D27,0))</f>
        <v/>
      </c>
      <c r="BX41" s="132" t="str">
        <f>IF(BX4=0,"",IF(BX$6='Input Assumptions'!$C$6,'Reversion Proforma'!$D27,0))</f>
        <v/>
      </c>
      <c r="BY41" s="132" t="str">
        <f>IF(BY4=0,"",IF(BY$6='Input Assumptions'!$C$6,'Reversion Proforma'!$D27,0))</f>
        <v/>
      </c>
      <c r="BZ41" s="132" t="str">
        <f>IF(BZ4=0,"",IF(BZ$6='Input Assumptions'!$C$6,'Reversion Proforma'!$D27,0))</f>
        <v/>
      </c>
      <c r="CA41" s="132" t="str">
        <f>IF(CA4=0,"",IF(CA$6='Input Assumptions'!$C$6,'Reversion Proforma'!$D27,0))</f>
        <v/>
      </c>
      <c r="CB41" s="132" t="str">
        <f>IF(CB4=0,"",IF(CB$6='Input Assumptions'!$C$6,'Reversion Proforma'!$D27,0))</f>
        <v/>
      </c>
      <c r="CC41" s="132" t="str">
        <f>IF(CC4=0,"",IF(CC$6='Input Assumptions'!$C$6,'Reversion Proforma'!$D27,0))</f>
        <v/>
      </c>
      <c r="CD41" s="132" t="str">
        <f>IF(CD4=0,"",IF(CD$6='Input Assumptions'!$C$6,'Reversion Proforma'!$D27,0))</f>
        <v/>
      </c>
      <c r="CE41" s="132" t="str">
        <f>IF(CE4=0,"",IF(CE$6='Input Assumptions'!$C$6,'Reversion Proforma'!$D27,0))</f>
        <v/>
      </c>
      <c r="CF41" s="132" t="str">
        <f>IF(CF4=0,"",IF(CF$6='Input Assumptions'!$C$6,'Reversion Proforma'!$D27,0))</f>
        <v/>
      </c>
      <c r="CG41" s="132" t="str">
        <f>IF(CG4=0,"",IF(CG$6='Input Assumptions'!$C$6,'Reversion Proforma'!$D27,0))</f>
        <v/>
      </c>
      <c r="CH41" s="132" t="str">
        <f>IF(CH4=0,"",IF(CH$6='Input Assumptions'!$C$6,'Reversion Proforma'!$D27,0))</f>
        <v/>
      </c>
      <c r="CI41" s="132" t="str">
        <f>IF(CI4=0,"",IF(CI$6='Input Assumptions'!$C$6,'Reversion Proforma'!$D27,0))</f>
        <v/>
      </c>
      <c r="CJ41" s="132" t="str">
        <f>IF(CJ4=0,"",IF(CJ$6='Input Assumptions'!$C$6,'Reversion Proforma'!$D27,0))</f>
        <v/>
      </c>
      <c r="CK41" s="132" t="str">
        <f>IF(CK4=0,"",IF(CK$6='Input Assumptions'!$C$6,'Reversion Proforma'!$D27,0))</f>
        <v/>
      </c>
      <c r="CL41" s="132" t="str">
        <f>IF(CL4=0,"",IF(CL$6='Input Assumptions'!$C$6,'Reversion Proforma'!$D27,0))</f>
        <v/>
      </c>
      <c r="CM41" s="132" t="str">
        <f>IF(CM4=0,"",IF(CM$6='Input Assumptions'!$C$6,'Reversion Proforma'!$D27,0))</f>
        <v/>
      </c>
      <c r="CN41" s="132" t="str">
        <f>IF(CN4=0,"",IF(CN$6='Input Assumptions'!$C$6,'Reversion Proforma'!$D27,0))</f>
        <v/>
      </c>
      <c r="CO41" s="132" t="str">
        <f>IF(CO4=0,"",IF(CO$6='Input Assumptions'!$C$6,'Reversion Proforma'!$D27,0))</f>
        <v/>
      </c>
      <c r="CP41" s="132" t="str">
        <f>IF(CP4=0,"",IF(CP$6='Input Assumptions'!$C$6,'Reversion Proforma'!$D27,0))</f>
        <v/>
      </c>
      <c r="CQ41" s="132" t="str">
        <f>IF(CQ4=0,"",IF(CQ$6='Input Assumptions'!$C$6,'Reversion Proforma'!$D27,0))</f>
        <v/>
      </c>
      <c r="CR41" s="132" t="str">
        <f>IF(CR4=0,"",IF(CR$6='Input Assumptions'!$C$6,'Reversion Proforma'!$D27,0))</f>
        <v/>
      </c>
      <c r="CS41" s="132" t="str">
        <f>IF(CS4=0,"",IF(CS$6='Input Assumptions'!$C$6,'Reversion Proforma'!$D27,0))</f>
        <v/>
      </c>
      <c r="CT41" s="132" t="str">
        <f>IF(CT4=0,"",IF(CT$6='Input Assumptions'!$C$6,'Reversion Proforma'!$D27,0))</f>
        <v/>
      </c>
      <c r="CU41" s="132" t="str">
        <f>IF(CU4=0,"",IF(CU$6='Input Assumptions'!$C$6,'Reversion Proforma'!$D27,0))</f>
        <v/>
      </c>
      <c r="CV41" s="132" t="str">
        <f>IF(CV4=0,"",IF(CV$6='Input Assumptions'!$C$6,'Reversion Proforma'!$D27,0))</f>
        <v/>
      </c>
      <c r="CW41" s="132" t="str">
        <f>IF(CW4=0,"",IF(CW$6='Input Assumptions'!$C$6,'Reversion Proforma'!$D27,0))</f>
        <v/>
      </c>
      <c r="CX41" s="132" t="str">
        <f>IF(CX4=0,"",IF(CX$6='Input Assumptions'!$C$6,'Reversion Proforma'!$D27,0))</f>
        <v/>
      </c>
      <c r="CY41" s="132" t="str">
        <f>IF(CY4=0,"",IF(CY$6='Input Assumptions'!$C$6,'Reversion Proforma'!$D27,0))</f>
        <v/>
      </c>
      <c r="CZ41" s="132" t="str">
        <f>IF(CZ4=0,"",IF(CZ$6='Input Assumptions'!$C$6,'Reversion Proforma'!$D27,0))</f>
        <v/>
      </c>
      <c r="DA41" s="132" t="str">
        <f>IF(DA4=0,"",IF(DA$6='Input Assumptions'!$C$6,'Reversion Proforma'!$D27,0))</f>
        <v/>
      </c>
      <c r="DB41" s="132" t="str">
        <f>IF(DB4=0,"",IF(DB$6='Input Assumptions'!$C$6,'Reversion Proforma'!$D27,0))</f>
        <v/>
      </c>
      <c r="DC41" s="132" t="str">
        <f>IF(DC4=0,"",IF(DC$6='Input Assumptions'!$C$6,'Reversion Proforma'!$D27,0))</f>
        <v/>
      </c>
      <c r="DD41" s="132" t="str">
        <f>IF(DD4=0,"",IF(DD$6='Input Assumptions'!$C$6,'Reversion Proforma'!$D27,0))</f>
        <v/>
      </c>
      <c r="DE41" s="132" t="str">
        <f>IF(DE4=0,"",IF(DE$6='Input Assumptions'!$C$6,'Reversion Proforma'!$D27,0))</f>
        <v/>
      </c>
      <c r="DF41" s="132" t="str">
        <f>IF(DF4=0,"",IF(DF$6='Input Assumptions'!$C$6,'Reversion Proforma'!$D27,0))</f>
        <v/>
      </c>
      <c r="DG41" s="132" t="str">
        <f>IF(DG4=0,"",IF(DG$6='Input Assumptions'!$C$6,'Reversion Proforma'!$D27,0))</f>
        <v/>
      </c>
      <c r="DH41" s="132" t="str">
        <f>IF(DH4=0,"",IF(DH$6='Input Assumptions'!$C$6,'Reversion Proforma'!$D27,0))</f>
        <v/>
      </c>
      <c r="DI41" s="132" t="str">
        <f>IF(DI4=0,"",IF(DI$6='Input Assumptions'!$C$6,'Reversion Proforma'!$D27,0))</f>
        <v/>
      </c>
      <c r="DJ41" s="132" t="str">
        <f>IF(DJ4=0,"",IF(DJ$6='Input Assumptions'!$C$6,'Reversion Proforma'!$D27,0))</f>
        <v/>
      </c>
      <c r="DK41" s="132" t="str">
        <f>IF(DK4=0,"",IF(DK$6='Input Assumptions'!$C$6,'Reversion Proforma'!$D27,0))</f>
        <v/>
      </c>
      <c r="DL41" s="132" t="str">
        <f>IF(DL4=0,"",IF(DL$6='Input Assumptions'!$C$6,'Reversion Proforma'!$D27,0))</f>
        <v/>
      </c>
      <c r="DM41" s="132" t="str">
        <f>IF(DM4=0,"",IF(DM$6='Input Assumptions'!$C$6,'Reversion Proforma'!$D27,0))</f>
        <v/>
      </c>
      <c r="DN41" s="132" t="str">
        <f>IF(DN4=0,"",IF(DN$6='Input Assumptions'!$C$6,'Reversion Proforma'!$D27,0))</f>
        <v/>
      </c>
      <c r="DO41" s="132" t="str">
        <f>IF(DO4=0,"",IF(DO$6='Input Assumptions'!$C$6,'Reversion Proforma'!$D27,0))</f>
        <v/>
      </c>
      <c r="DP41" s="132" t="str">
        <f>IF(DP4=0,"",IF(DP$6='Input Assumptions'!$C$6,'Reversion Proforma'!$D27,0))</f>
        <v/>
      </c>
      <c r="DQ41" s="132" t="str">
        <f>IF(DQ4=0,"",IF(DQ$6='Input Assumptions'!$C$6,'Reversion Proforma'!$D27,0))</f>
        <v/>
      </c>
      <c r="DR41" s="132" t="str">
        <f>IF(DR4=0,"",IF(DR$6='Input Assumptions'!$C$6,'Reversion Proforma'!$D27,0))</f>
        <v/>
      </c>
      <c r="DS41" s="132" t="str">
        <f>IF(DS4=0,"",IF(DS$6='Input Assumptions'!$C$6,'Reversion Proforma'!$D27,0))</f>
        <v/>
      </c>
    </row>
    <row r="42" spans="2:123" x14ac:dyDescent="0.3">
      <c r="B42" s="107" t="s">
        <v>120</v>
      </c>
      <c r="C42" s="108"/>
      <c r="D42" s="133">
        <f>IF(D4=0,"",SUM(D40:D41))</f>
        <v>0</v>
      </c>
      <c r="E42" s="133">
        <f t="shared" ref="E42:BP42" si="122">IF(E4=0,"",SUM(E40:E41))</f>
        <v>0</v>
      </c>
      <c r="F42" s="133">
        <f t="shared" si="122"/>
        <v>0</v>
      </c>
      <c r="G42" s="133">
        <f t="shared" si="122"/>
        <v>0</v>
      </c>
      <c r="H42" s="133">
        <f t="shared" si="122"/>
        <v>0</v>
      </c>
      <c r="I42" s="133">
        <f t="shared" si="122"/>
        <v>0</v>
      </c>
      <c r="J42" s="133">
        <f t="shared" si="122"/>
        <v>0</v>
      </c>
      <c r="K42" s="133">
        <f t="shared" si="122"/>
        <v>0</v>
      </c>
      <c r="L42" s="133">
        <f t="shared" si="122"/>
        <v>0</v>
      </c>
      <c r="M42" s="133">
        <f t="shared" si="122"/>
        <v>0</v>
      </c>
      <c r="N42" s="133">
        <f t="shared" si="122"/>
        <v>0</v>
      </c>
      <c r="O42" s="133">
        <f t="shared" si="122"/>
        <v>0</v>
      </c>
      <c r="P42" s="133">
        <f t="shared" si="122"/>
        <v>0</v>
      </c>
      <c r="Q42" s="133">
        <f t="shared" si="122"/>
        <v>0</v>
      </c>
      <c r="R42" s="133">
        <f t="shared" si="122"/>
        <v>0</v>
      </c>
      <c r="S42" s="133">
        <f t="shared" si="122"/>
        <v>0</v>
      </c>
      <c r="T42" s="133">
        <f t="shared" si="122"/>
        <v>0</v>
      </c>
      <c r="U42" s="133">
        <f t="shared" si="122"/>
        <v>0</v>
      </c>
      <c r="V42" s="133">
        <f t="shared" si="122"/>
        <v>0</v>
      </c>
      <c r="W42" s="133">
        <f t="shared" si="122"/>
        <v>0</v>
      </c>
      <c r="X42" s="133">
        <f t="shared" si="122"/>
        <v>0</v>
      </c>
      <c r="Y42" s="133">
        <f t="shared" si="122"/>
        <v>0</v>
      </c>
      <c r="Z42" s="133">
        <f t="shared" si="122"/>
        <v>0</v>
      </c>
      <c r="AA42" s="133">
        <f t="shared" si="122"/>
        <v>0</v>
      </c>
      <c r="AB42" s="133">
        <f t="shared" si="122"/>
        <v>0</v>
      </c>
      <c r="AC42" s="133">
        <f t="shared" si="122"/>
        <v>0</v>
      </c>
      <c r="AD42" s="133">
        <f t="shared" si="122"/>
        <v>0</v>
      </c>
      <c r="AE42" s="133">
        <f t="shared" si="122"/>
        <v>0</v>
      </c>
      <c r="AF42" s="133">
        <f t="shared" si="122"/>
        <v>0</v>
      </c>
      <c r="AG42" s="133">
        <f t="shared" si="122"/>
        <v>0</v>
      </c>
      <c r="AH42" s="133">
        <f t="shared" si="122"/>
        <v>0</v>
      </c>
      <c r="AI42" s="133">
        <f t="shared" si="122"/>
        <v>0</v>
      </c>
      <c r="AJ42" s="133">
        <f t="shared" si="122"/>
        <v>0</v>
      </c>
      <c r="AK42" s="133">
        <f t="shared" si="122"/>
        <v>0</v>
      </c>
      <c r="AL42" s="133">
        <f t="shared" si="122"/>
        <v>0</v>
      </c>
      <c r="AM42" s="133">
        <f t="shared" si="122"/>
        <v>0</v>
      </c>
      <c r="AN42" s="133">
        <f t="shared" si="122"/>
        <v>0</v>
      </c>
      <c r="AO42" s="133">
        <f t="shared" si="122"/>
        <v>0</v>
      </c>
      <c r="AP42" s="133">
        <f t="shared" si="122"/>
        <v>0</v>
      </c>
      <c r="AQ42" s="133">
        <f t="shared" si="122"/>
        <v>0</v>
      </c>
      <c r="AR42" s="133">
        <f t="shared" si="122"/>
        <v>0</v>
      </c>
      <c r="AS42" s="133">
        <f t="shared" si="122"/>
        <v>0</v>
      </c>
      <c r="AT42" s="133">
        <f t="shared" si="122"/>
        <v>0</v>
      </c>
      <c r="AU42" s="133">
        <f t="shared" si="122"/>
        <v>0</v>
      </c>
      <c r="AV42" s="133">
        <f t="shared" si="122"/>
        <v>0</v>
      </c>
      <c r="AW42" s="133">
        <f t="shared" si="122"/>
        <v>0</v>
      </c>
      <c r="AX42" s="133">
        <f t="shared" si="122"/>
        <v>0</v>
      </c>
      <c r="AY42" s="133">
        <f t="shared" si="122"/>
        <v>0</v>
      </c>
      <c r="AZ42" s="133">
        <f t="shared" si="122"/>
        <v>0</v>
      </c>
      <c r="BA42" s="133">
        <f t="shared" si="122"/>
        <v>0</v>
      </c>
      <c r="BB42" s="133">
        <f t="shared" si="122"/>
        <v>0</v>
      </c>
      <c r="BC42" s="133">
        <f t="shared" si="122"/>
        <v>0</v>
      </c>
      <c r="BD42" s="133">
        <f t="shared" si="122"/>
        <v>0</v>
      </c>
      <c r="BE42" s="133">
        <f t="shared" si="122"/>
        <v>0</v>
      </c>
      <c r="BF42" s="133">
        <f t="shared" si="122"/>
        <v>0</v>
      </c>
      <c r="BG42" s="133">
        <f t="shared" si="122"/>
        <v>0</v>
      </c>
      <c r="BH42" s="133">
        <f t="shared" si="122"/>
        <v>0</v>
      </c>
      <c r="BI42" s="133">
        <f t="shared" si="122"/>
        <v>0</v>
      </c>
      <c r="BJ42" s="133">
        <f t="shared" si="122"/>
        <v>0</v>
      </c>
      <c r="BK42" s="133">
        <f t="shared" si="122"/>
        <v>18437471.092752352</v>
      </c>
      <c r="BL42" s="133" t="str">
        <f t="shared" si="122"/>
        <v/>
      </c>
      <c r="BM42" s="133" t="str">
        <f t="shared" si="122"/>
        <v/>
      </c>
      <c r="BN42" s="133" t="str">
        <f t="shared" si="122"/>
        <v/>
      </c>
      <c r="BO42" s="133" t="str">
        <f t="shared" si="122"/>
        <v/>
      </c>
      <c r="BP42" s="133" t="str">
        <f t="shared" si="122"/>
        <v/>
      </c>
      <c r="BQ42" s="133" t="str">
        <f t="shared" ref="BQ42:DS42" si="123">IF(BQ4=0,"",SUM(BQ40:BQ41))</f>
        <v/>
      </c>
      <c r="BR42" s="133" t="str">
        <f t="shared" si="123"/>
        <v/>
      </c>
      <c r="BS42" s="133" t="str">
        <f t="shared" si="123"/>
        <v/>
      </c>
      <c r="BT42" s="133" t="str">
        <f t="shared" si="123"/>
        <v/>
      </c>
      <c r="BU42" s="133" t="str">
        <f t="shared" si="123"/>
        <v/>
      </c>
      <c r="BV42" s="133" t="str">
        <f t="shared" si="123"/>
        <v/>
      </c>
      <c r="BW42" s="133" t="str">
        <f t="shared" si="123"/>
        <v/>
      </c>
      <c r="BX42" s="133" t="str">
        <f t="shared" si="123"/>
        <v/>
      </c>
      <c r="BY42" s="133" t="str">
        <f t="shared" si="123"/>
        <v/>
      </c>
      <c r="BZ42" s="133" t="str">
        <f t="shared" si="123"/>
        <v/>
      </c>
      <c r="CA42" s="133" t="str">
        <f t="shared" si="123"/>
        <v/>
      </c>
      <c r="CB42" s="133" t="str">
        <f t="shared" si="123"/>
        <v/>
      </c>
      <c r="CC42" s="133" t="str">
        <f t="shared" si="123"/>
        <v/>
      </c>
      <c r="CD42" s="133" t="str">
        <f t="shared" si="123"/>
        <v/>
      </c>
      <c r="CE42" s="133" t="str">
        <f t="shared" si="123"/>
        <v/>
      </c>
      <c r="CF42" s="133" t="str">
        <f t="shared" si="123"/>
        <v/>
      </c>
      <c r="CG42" s="133" t="str">
        <f t="shared" si="123"/>
        <v/>
      </c>
      <c r="CH42" s="133" t="str">
        <f t="shared" si="123"/>
        <v/>
      </c>
      <c r="CI42" s="133" t="str">
        <f t="shared" si="123"/>
        <v/>
      </c>
      <c r="CJ42" s="133" t="str">
        <f t="shared" si="123"/>
        <v/>
      </c>
      <c r="CK42" s="133" t="str">
        <f t="shared" si="123"/>
        <v/>
      </c>
      <c r="CL42" s="133" t="str">
        <f t="shared" si="123"/>
        <v/>
      </c>
      <c r="CM42" s="133" t="str">
        <f t="shared" si="123"/>
        <v/>
      </c>
      <c r="CN42" s="133" t="str">
        <f t="shared" si="123"/>
        <v/>
      </c>
      <c r="CO42" s="133" t="str">
        <f t="shared" si="123"/>
        <v/>
      </c>
      <c r="CP42" s="133" t="str">
        <f t="shared" si="123"/>
        <v/>
      </c>
      <c r="CQ42" s="133" t="str">
        <f t="shared" si="123"/>
        <v/>
      </c>
      <c r="CR42" s="133" t="str">
        <f t="shared" si="123"/>
        <v/>
      </c>
      <c r="CS42" s="133" t="str">
        <f t="shared" si="123"/>
        <v/>
      </c>
      <c r="CT42" s="133" t="str">
        <f t="shared" si="123"/>
        <v/>
      </c>
      <c r="CU42" s="133" t="str">
        <f t="shared" si="123"/>
        <v/>
      </c>
      <c r="CV42" s="133" t="str">
        <f t="shared" si="123"/>
        <v/>
      </c>
      <c r="CW42" s="133" t="str">
        <f t="shared" si="123"/>
        <v/>
      </c>
      <c r="CX42" s="133" t="str">
        <f t="shared" si="123"/>
        <v/>
      </c>
      <c r="CY42" s="133" t="str">
        <f t="shared" si="123"/>
        <v/>
      </c>
      <c r="CZ42" s="133" t="str">
        <f t="shared" si="123"/>
        <v/>
      </c>
      <c r="DA42" s="133" t="str">
        <f t="shared" si="123"/>
        <v/>
      </c>
      <c r="DB42" s="133" t="str">
        <f t="shared" si="123"/>
        <v/>
      </c>
      <c r="DC42" s="133" t="str">
        <f t="shared" si="123"/>
        <v/>
      </c>
      <c r="DD42" s="133" t="str">
        <f t="shared" si="123"/>
        <v/>
      </c>
      <c r="DE42" s="133" t="str">
        <f t="shared" si="123"/>
        <v/>
      </c>
      <c r="DF42" s="133" t="str">
        <f t="shared" si="123"/>
        <v/>
      </c>
      <c r="DG42" s="133" t="str">
        <f t="shared" si="123"/>
        <v/>
      </c>
      <c r="DH42" s="133" t="str">
        <f t="shared" si="123"/>
        <v/>
      </c>
      <c r="DI42" s="133" t="str">
        <f t="shared" si="123"/>
        <v/>
      </c>
      <c r="DJ42" s="133" t="str">
        <f t="shared" si="123"/>
        <v/>
      </c>
      <c r="DK42" s="133" t="str">
        <f t="shared" si="123"/>
        <v/>
      </c>
      <c r="DL42" s="133" t="str">
        <f t="shared" si="123"/>
        <v/>
      </c>
      <c r="DM42" s="133" t="str">
        <f t="shared" si="123"/>
        <v/>
      </c>
      <c r="DN42" s="133" t="str">
        <f t="shared" si="123"/>
        <v/>
      </c>
      <c r="DO42" s="133" t="str">
        <f t="shared" si="123"/>
        <v/>
      </c>
      <c r="DP42" s="133" t="str">
        <f t="shared" si="123"/>
        <v/>
      </c>
      <c r="DQ42" s="133" t="str">
        <f t="shared" si="123"/>
        <v/>
      </c>
      <c r="DR42" s="133" t="str">
        <f t="shared" si="123"/>
        <v/>
      </c>
      <c r="DS42" s="133" t="str">
        <f t="shared" si="123"/>
        <v/>
      </c>
    </row>
    <row r="43" spans="2:123" x14ac:dyDescent="0.3"/>
    <row r="44" spans="2:123" ht="15" thickBot="1" x14ac:dyDescent="0.35">
      <c r="B44" s="114" t="s">
        <v>128</v>
      </c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</row>
    <row r="45" spans="2:123" x14ac:dyDescent="0.3">
      <c r="B45" s="107" t="s">
        <v>127</v>
      </c>
      <c r="C45" s="133">
        <f>C13+C37+C42</f>
        <v>-16287000</v>
      </c>
      <c r="D45" s="133">
        <f>IF(D4=0,0,D13+D37+D42)</f>
        <v>874.16666666666606</v>
      </c>
      <c r="E45" s="133">
        <f t="shared" ref="E45:BP45" si="124">IF(E4=0,0,E13+E37+E42)</f>
        <v>10831.666666666666</v>
      </c>
      <c r="F45" s="133">
        <f t="shared" si="124"/>
        <v>20789.166666666661</v>
      </c>
      <c r="G45" s="133">
        <f t="shared" si="124"/>
        <v>30746.666666666668</v>
      </c>
      <c r="H45" s="133">
        <f t="shared" si="124"/>
        <v>40704.166666666672</v>
      </c>
      <c r="I45" s="133">
        <f t="shared" si="124"/>
        <v>50661.666666666657</v>
      </c>
      <c r="J45" s="133">
        <f t="shared" si="124"/>
        <v>50661.666666666657</v>
      </c>
      <c r="K45" s="133">
        <f t="shared" si="124"/>
        <v>50661.666666666657</v>
      </c>
      <c r="L45" s="133">
        <f t="shared" si="124"/>
        <v>50661.666666666657</v>
      </c>
      <c r="M45" s="133">
        <f t="shared" si="124"/>
        <v>50661.666666666657</v>
      </c>
      <c r="N45" s="133">
        <f t="shared" si="124"/>
        <v>50661.666666666657</v>
      </c>
      <c r="O45" s="133">
        <f t="shared" si="124"/>
        <v>50661.666666666657</v>
      </c>
      <c r="P45" s="133">
        <f t="shared" si="124"/>
        <v>52829.947916666679</v>
      </c>
      <c r="Q45" s="133">
        <f t="shared" si="124"/>
        <v>52829.947916666679</v>
      </c>
      <c r="R45" s="133">
        <f t="shared" si="124"/>
        <v>52829.947916666679</v>
      </c>
      <c r="S45" s="133">
        <f t="shared" si="124"/>
        <v>52829.947916666679</v>
      </c>
      <c r="T45" s="133">
        <f t="shared" si="124"/>
        <v>52829.947916666679</v>
      </c>
      <c r="U45" s="133">
        <f t="shared" si="124"/>
        <v>52829.947916666679</v>
      </c>
      <c r="V45" s="133">
        <f t="shared" si="124"/>
        <v>52829.947916666679</v>
      </c>
      <c r="W45" s="133">
        <f t="shared" si="124"/>
        <v>52829.947916666679</v>
      </c>
      <c r="X45" s="133">
        <f t="shared" si="124"/>
        <v>52829.947916666679</v>
      </c>
      <c r="Y45" s="133">
        <f t="shared" si="124"/>
        <v>52829.947916666679</v>
      </c>
      <c r="Z45" s="133">
        <f t="shared" si="124"/>
        <v>52829.947916666679</v>
      </c>
      <c r="AA45" s="133">
        <f t="shared" si="124"/>
        <v>52829.947916666679</v>
      </c>
      <c r="AB45" s="133">
        <f t="shared" si="124"/>
        <v>55084.573502604188</v>
      </c>
      <c r="AC45" s="133">
        <f t="shared" si="124"/>
        <v>55084.573502604188</v>
      </c>
      <c r="AD45" s="133">
        <f t="shared" si="124"/>
        <v>55084.573502604188</v>
      </c>
      <c r="AE45" s="133">
        <f t="shared" si="124"/>
        <v>55084.573502604188</v>
      </c>
      <c r="AF45" s="133">
        <f t="shared" si="124"/>
        <v>55084.573502604188</v>
      </c>
      <c r="AG45" s="133">
        <f t="shared" si="124"/>
        <v>55084.573502604188</v>
      </c>
      <c r="AH45" s="133">
        <f t="shared" si="124"/>
        <v>55084.573502604188</v>
      </c>
      <c r="AI45" s="133">
        <f t="shared" si="124"/>
        <v>55084.573502604188</v>
      </c>
      <c r="AJ45" s="133">
        <f t="shared" si="124"/>
        <v>55084.573502604188</v>
      </c>
      <c r="AK45" s="133">
        <f t="shared" si="124"/>
        <v>55084.573502604188</v>
      </c>
      <c r="AL45" s="133">
        <f t="shared" si="124"/>
        <v>55084.573502604188</v>
      </c>
      <c r="AM45" s="133">
        <f t="shared" si="124"/>
        <v>55084.573502604188</v>
      </c>
      <c r="AN45" s="133">
        <f t="shared" si="124"/>
        <v>57428.875720621734</v>
      </c>
      <c r="AO45" s="133">
        <f t="shared" si="124"/>
        <v>57428.875720621734</v>
      </c>
      <c r="AP45" s="133">
        <f t="shared" si="124"/>
        <v>57428.875720621734</v>
      </c>
      <c r="AQ45" s="133">
        <f t="shared" si="124"/>
        <v>57428.875720621734</v>
      </c>
      <c r="AR45" s="133">
        <f t="shared" si="124"/>
        <v>57428.875720621734</v>
      </c>
      <c r="AS45" s="133">
        <f t="shared" si="124"/>
        <v>57428.875720621734</v>
      </c>
      <c r="AT45" s="133">
        <f t="shared" si="124"/>
        <v>57428.875720621734</v>
      </c>
      <c r="AU45" s="133">
        <f t="shared" si="124"/>
        <v>57428.875720621734</v>
      </c>
      <c r="AV45" s="133">
        <f t="shared" si="124"/>
        <v>57428.875720621734</v>
      </c>
      <c r="AW45" s="133">
        <f t="shared" si="124"/>
        <v>57428.875720621734</v>
      </c>
      <c r="AX45" s="133">
        <f t="shared" si="124"/>
        <v>57428.875720621734</v>
      </c>
      <c r="AY45" s="133">
        <f t="shared" si="124"/>
        <v>57428.875720621734</v>
      </c>
      <c r="AZ45" s="133">
        <f t="shared" si="124"/>
        <v>59866.313597658853</v>
      </c>
      <c r="BA45" s="133">
        <f t="shared" si="124"/>
        <v>59866.313597658853</v>
      </c>
      <c r="BB45" s="133">
        <f t="shared" si="124"/>
        <v>59866.313597658853</v>
      </c>
      <c r="BC45" s="133">
        <f t="shared" si="124"/>
        <v>59866.313597658853</v>
      </c>
      <c r="BD45" s="133">
        <f t="shared" si="124"/>
        <v>59866.313597658853</v>
      </c>
      <c r="BE45" s="133">
        <f t="shared" si="124"/>
        <v>59866.313597658853</v>
      </c>
      <c r="BF45" s="133">
        <f t="shared" si="124"/>
        <v>59866.313597658853</v>
      </c>
      <c r="BG45" s="133">
        <f t="shared" si="124"/>
        <v>59866.313597658853</v>
      </c>
      <c r="BH45" s="133">
        <f t="shared" si="124"/>
        <v>59866.313597658853</v>
      </c>
      <c r="BI45" s="133">
        <f t="shared" si="124"/>
        <v>59866.313597658853</v>
      </c>
      <c r="BJ45" s="133">
        <f t="shared" si="124"/>
        <v>59866.313597658853</v>
      </c>
      <c r="BK45" s="133">
        <f t="shared" si="124"/>
        <v>18497337.406350013</v>
      </c>
      <c r="BL45" s="133">
        <f t="shared" si="124"/>
        <v>0</v>
      </c>
      <c r="BM45" s="133">
        <f t="shared" si="124"/>
        <v>0</v>
      </c>
      <c r="BN45" s="133">
        <f t="shared" si="124"/>
        <v>0</v>
      </c>
      <c r="BO45" s="133">
        <f t="shared" si="124"/>
        <v>0</v>
      </c>
      <c r="BP45" s="133">
        <f t="shared" si="124"/>
        <v>0</v>
      </c>
      <c r="BQ45" s="133">
        <f t="shared" ref="BQ45:DS45" si="125">IF(BQ4=0,0,BQ13+BQ37+BQ42)</f>
        <v>0</v>
      </c>
      <c r="BR45" s="133">
        <f t="shared" si="125"/>
        <v>0</v>
      </c>
      <c r="BS45" s="133">
        <f t="shared" si="125"/>
        <v>0</v>
      </c>
      <c r="BT45" s="133">
        <f t="shared" si="125"/>
        <v>0</v>
      </c>
      <c r="BU45" s="133">
        <f t="shared" si="125"/>
        <v>0</v>
      </c>
      <c r="BV45" s="133">
        <f t="shared" si="125"/>
        <v>0</v>
      </c>
      <c r="BW45" s="133">
        <f t="shared" si="125"/>
        <v>0</v>
      </c>
      <c r="BX45" s="133">
        <f t="shared" si="125"/>
        <v>0</v>
      </c>
      <c r="BY45" s="133">
        <f t="shared" si="125"/>
        <v>0</v>
      </c>
      <c r="BZ45" s="133">
        <f t="shared" si="125"/>
        <v>0</v>
      </c>
      <c r="CA45" s="133">
        <f t="shared" si="125"/>
        <v>0</v>
      </c>
      <c r="CB45" s="133">
        <f t="shared" si="125"/>
        <v>0</v>
      </c>
      <c r="CC45" s="133">
        <f t="shared" si="125"/>
        <v>0</v>
      </c>
      <c r="CD45" s="133">
        <f t="shared" si="125"/>
        <v>0</v>
      </c>
      <c r="CE45" s="133">
        <f t="shared" si="125"/>
        <v>0</v>
      </c>
      <c r="CF45" s="133">
        <f t="shared" si="125"/>
        <v>0</v>
      </c>
      <c r="CG45" s="133">
        <f t="shared" si="125"/>
        <v>0</v>
      </c>
      <c r="CH45" s="133">
        <f t="shared" si="125"/>
        <v>0</v>
      </c>
      <c r="CI45" s="133">
        <f t="shared" si="125"/>
        <v>0</v>
      </c>
      <c r="CJ45" s="133">
        <f t="shared" si="125"/>
        <v>0</v>
      </c>
      <c r="CK45" s="133">
        <f t="shared" si="125"/>
        <v>0</v>
      </c>
      <c r="CL45" s="133">
        <f t="shared" si="125"/>
        <v>0</v>
      </c>
      <c r="CM45" s="133">
        <f t="shared" si="125"/>
        <v>0</v>
      </c>
      <c r="CN45" s="133">
        <f t="shared" si="125"/>
        <v>0</v>
      </c>
      <c r="CO45" s="133">
        <f t="shared" si="125"/>
        <v>0</v>
      </c>
      <c r="CP45" s="133">
        <f t="shared" si="125"/>
        <v>0</v>
      </c>
      <c r="CQ45" s="133">
        <f t="shared" si="125"/>
        <v>0</v>
      </c>
      <c r="CR45" s="133">
        <f t="shared" si="125"/>
        <v>0</v>
      </c>
      <c r="CS45" s="133">
        <f t="shared" si="125"/>
        <v>0</v>
      </c>
      <c r="CT45" s="133">
        <f t="shared" si="125"/>
        <v>0</v>
      </c>
      <c r="CU45" s="133">
        <f t="shared" si="125"/>
        <v>0</v>
      </c>
      <c r="CV45" s="133">
        <f t="shared" si="125"/>
        <v>0</v>
      </c>
      <c r="CW45" s="133">
        <f t="shared" si="125"/>
        <v>0</v>
      </c>
      <c r="CX45" s="133">
        <f t="shared" si="125"/>
        <v>0</v>
      </c>
      <c r="CY45" s="133">
        <f t="shared" si="125"/>
        <v>0</v>
      </c>
      <c r="CZ45" s="133">
        <f t="shared" si="125"/>
        <v>0</v>
      </c>
      <c r="DA45" s="133">
        <f t="shared" si="125"/>
        <v>0</v>
      </c>
      <c r="DB45" s="133">
        <f t="shared" si="125"/>
        <v>0</v>
      </c>
      <c r="DC45" s="133">
        <f t="shared" si="125"/>
        <v>0</v>
      </c>
      <c r="DD45" s="133">
        <f t="shared" si="125"/>
        <v>0</v>
      </c>
      <c r="DE45" s="133">
        <f t="shared" si="125"/>
        <v>0</v>
      </c>
      <c r="DF45" s="133">
        <f t="shared" si="125"/>
        <v>0</v>
      </c>
      <c r="DG45" s="133">
        <f t="shared" si="125"/>
        <v>0</v>
      </c>
      <c r="DH45" s="133">
        <f t="shared" si="125"/>
        <v>0</v>
      </c>
      <c r="DI45" s="133">
        <f t="shared" si="125"/>
        <v>0</v>
      </c>
      <c r="DJ45" s="133">
        <f t="shared" si="125"/>
        <v>0</v>
      </c>
      <c r="DK45" s="133">
        <f t="shared" si="125"/>
        <v>0</v>
      </c>
      <c r="DL45" s="133">
        <f t="shared" si="125"/>
        <v>0</v>
      </c>
      <c r="DM45" s="133">
        <f t="shared" si="125"/>
        <v>0</v>
      </c>
      <c r="DN45" s="133">
        <f t="shared" si="125"/>
        <v>0</v>
      </c>
      <c r="DO45" s="133">
        <f t="shared" si="125"/>
        <v>0</v>
      </c>
      <c r="DP45" s="133">
        <f t="shared" si="125"/>
        <v>0</v>
      </c>
      <c r="DQ45" s="133">
        <f t="shared" si="125"/>
        <v>0</v>
      </c>
      <c r="DR45" s="133">
        <f t="shared" si="125"/>
        <v>0</v>
      </c>
      <c r="DS45" s="133">
        <f t="shared" si="125"/>
        <v>0</v>
      </c>
    </row>
    <row r="46" spans="2:123" x14ac:dyDescent="0.3">
      <c r="B46" s="198" t="s">
        <v>133</v>
      </c>
      <c r="C46" s="199">
        <f>XIRR(C45:DS45,C6:DS6)</f>
        <v>6.2693074345588698E-2</v>
      </c>
      <c r="D46" s="218"/>
    </row>
    <row r="47" spans="2:123" x14ac:dyDescent="0.3">
      <c r="B47" s="200" t="s">
        <v>134</v>
      </c>
      <c r="C47" s="201">
        <f>SUMIF(C45:DS45,"&gt;0")/-SUMIF(C45:DS45,"&lt;0")</f>
        <v>1.3261229889852624</v>
      </c>
      <c r="F47" s="132"/>
    </row>
    <row r="48" spans="2:123" x14ac:dyDescent="0.3">
      <c r="B48" s="198" t="s">
        <v>135</v>
      </c>
      <c r="C48" s="202">
        <f>SUM(C45:DS45)</f>
        <v>5311565.1216029543</v>
      </c>
    </row>
    <row r="49" spans="1:123" x14ac:dyDescent="0.3">
      <c r="D49" s="132"/>
    </row>
    <row r="50" spans="1:123" ht="15" thickBot="1" x14ac:dyDescent="0.35">
      <c r="B50" s="113" t="s">
        <v>138</v>
      </c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BZ50" s="115"/>
      <c r="CA50" s="115"/>
      <c r="CB50" s="115"/>
      <c r="CC50" s="115"/>
      <c r="CD50" s="115"/>
      <c r="CE50" s="115"/>
      <c r="CF50" s="115"/>
      <c r="CG50" s="115"/>
      <c r="CH50" s="115"/>
      <c r="CI50" s="115"/>
      <c r="CJ50" s="115"/>
      <c r="CK50" s="115"/>
      <c r="CL50" s="115"/>
      <c r="CM50" s="115"/>
      <c r="CN50" s="115"/>
      <c r="CO50" s="115"/>
      <c r="CP50" s="115"/>
      <c r="CQ50" s="115"/>
      <c r="CR50" s="115"/>
      <c r="CS50" s="115"/>
      <c r="CT50" s="115"/>
      <c r="CU50" s="115"/>
      <c r="CV50" s="115"/>
      <c r="CW50" s="115"/>
      <c r="CX50" s="115"/>
      <c r="CY50" s="115"/>
      <c r="CZ50" s="115"/>
      <c r="DA50" s="115"/>
      <c r="DB50" s="115"/>
      <c r="DC50" s="115"/>
      <c r="DD50" s="115"/>
      <c r="DE50" s="115"/>
      <c r="DF50" s="115"/>
      <c r="DG50" s="115"/>
      <c r="DH50" s="115"/>
      <c r="DI50" s="115"/>
      <c r="DJ50" s="115"/>
      <c r="DK50" s="115"/>
      <c r="DL50" s="115"/>
      <c r="DM50" s="115"/>
      <c r="DN50" s="115"/>
      <c r="DO50" s="115"/>
      <c r="DP50" s="115"/>
      <c r="DQ50" s="115"/>
      <c r="DR50" s="115"/>
      <c r="DS50" s="115"/>
    </row>
    <row r="51" spans="1:123" x14ac:dyDescent="0.3">
      <c r="B51" t="str">
        <f>B11</f>
        <v>Purchase Price</v>
      </c>
      <c r="C51" s="59">
        <f>C11</f>
        <v>-15250000</v>
      </c>
    </row>
    <row r="52" spans="1:123" x14ac:dyDescent="0.3">
      <c r="B52" t="str">
        <f>B12</f>
        <v>Acquisition Cost</v>
      </c>
      <c r="C52" s="59">
        <f>C12</f>
        <v>-1037000.0000000001</v>
      </c>
    </row>
    <row r="53" spans="1:123" x14ac:dyDescent="0.3">
      <c r="B53" t="s">
        <v>139</v>
      </c>
      <c r="C53" s="59">
        <f>'Debt Assumptions'!D3</f>
        <v>12200000</v>
      </c>
    </row>
    <row r="54" spans="1:123" x14ac:dyDescent="0.3">
      <c r="B54" t="str">
        <f>'Debt Assumptions'!B4</f>
        <v>Loan Fees</v>
      </c>
      <c r="C54" s="59">
        <f>-'Debt Assumptions'!D4</f>
        <v>-122000</v>
      </c>
    </row>
    <row r="55" spans="1:123" x14ac:dyDescent="0.3">
      <c r="B55" s="107" t="s">
        <v>137</v>
      </c>
      <c r="C55" s="108">
        <f>SUM(C51:C54)</f>
        <v>-4209000</v>
      </c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  <c r="BI55" s="108"/>
      <c r="BJ55" s="108"/>
      <c r="BK55" s="108"/>
      <c r="BL55" s="108"/>
      <c r="BM55" s="108"/>
      <c r="BN55" s="108"/>
      <c r="BO55" s="108"/>
      <c r="BP55" s="108"/>
      <c r="BQ55" s="108"/>
      <c r="BR55" s="108"/>
      <c r="BS55" s="108"/>
      <c r="BT55" s="108"/>
      <c r="BU55" s="108"/>
      <c r="BV55" s="108"/>
      <c r="BW55" s="108"/>
      <c r="BX55" s="108"/>
      <c r="BY55" s="108"/>
      <c r="BZ55" s="108"/>
      <c r="CA55" s="108"/>
      <c r="CB55" s="108"/>
      <c r="CC55" s="108"/>
      <c r="CD55" s="108"/>
      <c r="CE55" s="108"/>
      <c r="CF55" s="108"/>
      <c r="CG55" s="108"/>
      <c r="CH55" s="108"/>
      <c r="CI55" s="108"/>
      <c r="CJ55" s="108"/>
      <c r="CK55" s="108"/>
      <c r="CL55" s="108"/>
      <c r="CM55" s="108"/>
      <c r="CN55" s="108"/>
      <c r="CO55" s="108"/>
      <c r="CP55" s="108"/>
      <c r="CQ55" s="108"/>
      <c r="CR55" s="108"/>
      <c r="CS55" s="108"/>
      <c r="CT55" s="108"/>
      <c r="CU55" s="108"/>
      <c r="CV55" s="108"/>
      <c r="CW55" s="108"/>
      <c r="CX55" s="108"/>
      <c r="CY55" s="108"/>
      <c r="CZ55" s="108"/>
      <c r="DA55" s="108"/>
      <c r="DB55" s="108"/>
      <c r="DC55" s="108"/>
      <c r="DD55" s="108"/>
      <c r="DE55" s="108"/>
      <c r="DF55" s="108"/>
      <c r="DG55" s="108"/>
      <c r="DH55" s="108"/>
      <c r="DI55" s="108"/>
      <c r="DJ55" s="108"/>
      <c r="DK55" s="108"/>
      <c r="DL55" s="108"/>
      <c r="DM55" s="108"/>
      <c r="DN55" s="108"/>
      <c r="DO55" s="108"/>
      <c r="DP55" s="108"/>
      <c r="DQ55" s="108"/>
      <c r="DR55" s="108"/>
      <c r="DS55" s="108"/>
    </row>
    <row r="56" spans="1:123" x14ac:dyDescent="0.3">
      <c r="C56" s="59"/>
    </row>
    <row r="57" spans="1:123" ht="15" thickBot="1" x14ac:dyDescent="0.35">
      <c r="B57" s="114" t="s">
        <v>140</v>
      </c>
      <c r="C57" s="63"/>
      <c r="D57" s="230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63"/>
      <c r="DO57" s="63"/>
      <c r="DP57" s="63"/>
      <c r="DQ57" s="63"/>
      <c r="DR57" s="63"/>
      <c r="DS57" s="63"/>
    </row>
    <row r="58" spans="1:123" s="59" customFormat="1" x14ac:dyDescent="0.3">
      <c r="A58"/>
      <c r="B58" s="219" t="str">
        <f>B37</f>
        <v>Cashflow From Operations</v>
      </c>
      <c r="C58" s="220"/>
      <c r="D58" s="220">
        <f>IF(D4=0,"",D37)</f>
        <v>874.16666666666606</v>
      </c>
      <c r="E58" s="220">
        <f t="shared" ref="E58:BP58" si="126">IF(E4=0,"",E37)</f>
        <v>10831.666666666666</v>
      </c>
      <c r="F58" s="220">
        <f t="shared" si="126"/>
        <v>20789.166666666661</v>
      </c>
      <c r="G58" s="220">
        <f t="shared" si="126"/>
        <v>30746.666666666668</v>
      </c>
      <c r="H58" s="220">
        <f t="shared" si="126"/>
        <v>40704.166666666672</v>
      </c>
      <c r="I58" s="220">
        <f t="shared" si="126"/>
        <v>50661.666666666657</v>
      </c>
      <c r="J58" s="220">
        <f t="shared" si="126"/>
        <v>50661.666666666657</v>
      </c>
      <c r="K58" s="220">
        <f t="shared" si="126"/>
        <v>50661.666666666657</v>
      </c>
      <c r="L58" s="220">
        <f t="shared" si="126"/>
        <v>50661.666666666657</v>
      </c>
      <c r="M58" s="220">
        <f t="shared" si="126"/>
        <v>50661.666666666657</v>
      </c>
      <c r="N58" s="220">
        <f t="shared" si="126"/>
        <v>50661.666666666657</v>
      </c>
      <c r="O58" s="220">
        <f t="shared" si="126"/>
        <v>50661.666666666657</v>
      </c>
      <c r="P58" s="220">
        <f t="shared" si="126"/>
        <v>52829.947916666679</v>
      </c>
      <c r="Q58" s="220">
        <f t="shared" si="126"/>
        <v>52829.947916666679</v>
      </c>
      <c r="R58" s="220">
        <f t="shared" si="126"/>
        <v>52829.947916666679</v>
      </c>
      <c r="S58" s="220">
        <f t="shared" si="126"/>
        <v>52829.947916666679</v>
      </c>
      <c r="T58" s="220">
        <f t="shared" si="126"/>
        <v>52829.947916666679</v>
      </c>
      <c r="U58" s="220">
        <f t="shared" si="126"/>
        <v>52829.947916666679</v>
      </c>
      <c r="V58" s="220">
        <f t="shared" si="126"/>
        <v>52829.947916666679</v>
      </c>
      <c r="W58" s="220">
        <f t="shared" si="126"/>
        <v>52829.947916666679</v>
      </c>
      <c r="X58" s="220">
        <f t="shared" si="126"/>
        <v>52829.947916666679</v>
      </c>
      <c r="Y58" s="220">
        <f t="shared" si="126"/>
        <v>52829.947916666679</v>
      </c>
      <c r="Z58" s="220">
        <f t="shared" si="126"/>
        <v>52829.947916666679</v>
      </c>
      <c r="AA58" s="220">
        <f t="shared" si="126"/>
        <v>52829.947916666679</v>
      </c>
      <c r="AB58" s="220">
        <f t="shared" si="126"/>
        <v>55084.573502604188</v>
      </c>
      <c r="AC58" s="220">
        <f t="shared" si="126"/>
        <v>55084.573502604188</v>
      </c>
      <c r="AD58" s="220">
        <f t="shared" si="126"/>
        <v>55084.573502604188</v>
      </c>
      <c r="AE58" s="220">
        <f t="shared" si="126"/>
        <v>55084.573502604188</v>
      </c>
      <c r="AF58" s="220">
        <f t="shared" si="126"/>
        <v>55084.573502604188</v>
      </c>
      <c r="AG58" s="220">
        <f t="shared" si="126"/>
        <v>55084.573502604188</v>
      </c>
      <c r="AH58" s="220">
        <f t="shared" si="126"/>
        <v>55084.573502604188</v>
      </c>
      <c r="AI58" s="220">
        <f t="shared" si="126"/>
        <v>55084.573502604188</v>
      </c>
      <c r="AJ58" s="220">
        <f t="shared" si="126"/>
        <v>55084.573502604188</v>
      </c>
      <c r="AK58" s="220">
        <f t="shared" si="126"/>
        <v>55084.573502604188</v>
      </c>
      <c r="AL58" s="220">
        <f t="shared" si="126"/>
        <v>55084.573502604188</v>
      </c>
      <c r="AM58" s="220">
        <f t="shared" si="126"/>
        <v>55084.573502604188</v>
      </c>
      <c r="AN58" s="220">
        <f t="shared" si="126"/>
        <v>57428.875720621734</v>
      </c>
      <c r="AO58" s="220">
        <f t="shared" si="126"/>
        <v>57428.875720621734</v>
      </c>
      <c r="AP58" s="220">
        <f t="shared" si="126"/>
        <v>57428.875720621734</v>
      </c>
      <c r="AQ58" s="220">
        <f t="shared" si="126"/>
        <v>57428.875720621734</v>
      </c>
      <c r="AR58" s="220">
        <f t="shared" si="126"/>
        <v>57428.875720621734</v>
      </c>
      <c r="AS58" s="220">
        <f t="shared" si="126"/>
        <v>57428.875720621734</v>
      </c>
      <c r="AT58" s="220">
        <f t="shared" si="126"/>
        <v>57428.875720621734</v>
      </c>
      <c r="AU58" s="220">
        <f t="shared" si="126"/>
        <v>57428.875720621734</v>
      </c>
      <c r="AV58" s="220">
        <f t="shared" si="126"/>
        <v>57428.875720621734</v>
      </c>
      <c r="AW58" s="220">
        <f t="shared" si="126"/>
        <v>57428.875720621734</v>
      </c>
      <c r="AX58" s="220">
        <f t="shared" si="126"/>
        <v>57428.875720621734</v>
      </c>
      <c r="AY58" s="220">
        <f t="shared" si="126"/>
        <v>57428.875720621734</v>
      </c>
      <c r="AZ58" s="220">
        <f t="shared" si="126"/>
        <v>59866.313597658853</v>
      </c>
      <c r="BA58" s="220">
        <f t="shared" si="126"/>
        <v>59866.313597658853</v>
      </c>
      <c r="BB58" s="220">
        <f t="shared" si="126"/>
        <v>59866.313597658853</v>
      </c>
      <c r="BC58" s="220">
        <f t="shared" si="126"/>
        <v>59866.313597658853</v>
      </c>
      <c r="BD58" s="220">
        <f t="shared" si="126"/>
        <v>59866.313597658853</v>
      </c>
      <c r="BE58" s="220">
        <f t="shared" si="126"/>
        <v>59866.313597658853</v>
      </c>
      <c r="BF58" s="220">
        <f t="shared" si="126"/>
        <v>59866.313597658853</v>
      </c>
      <c r="BG58" s="220">
        <f t="shared" si="126"/>
        <v>59866.313597658853</v>
      </c>
      <c r="BH58" s="220">
        <f t="shared" si="126"/>
        <v>59866.313597658853</v>
      </c>
      <c r="BI58" s="220">
        <f t="shared" si="126"/>
        <v>59866.313597658853</v>
      </c>
      <c r="BJ58" s="220">
        <f t="shared" si="126"/>
        <v>59866.313597658853</v>
      </c>
      <c r="BK58" s="220">
        <f t="shared" si="126"/>
        <v>59866.313597658853</v>
      </c>
      <c r="BL58" s="220" t="str">
        <f t="shared" si="126"/>
        <v/>
      </c>
      <c r="BM58" s="220" t="str">
        <f t="shared" si="126"/>
        <v/>
      </c>
      <c r="BN58" s="220" t="str">
        <f t="shared" si="126"/>
        <v/>
      </c>
      <c r="BO58" s="220" t="str">
        <f t="shared" si="126"/>
        <v/>
      </c>
      <c r="BP58" s="220" t="str">
        <f t="shared" si="126"/>
        <v/>
      </c>
      <c r="BQ58" s="220" t="str">
        <f t="shared" ref="BQ58:DS58" si="127">IF(BQ4=0,"",BQ37)</f>
        <v/>
      </c>
      <c r="BR58" s="220" t="str">
        <f t="shared" si="127"/>
        <v/>
      </c>
      <c r="BS58" s="220" t="str">
        <f t="shared" si="127"/>
        <v/>
      </c>
      <c r="BT58" s="220" t="str">
        <f t="shared" si="127"/>
        <v/>
      </c>
      <c r="BU58" s="220" t="str">
        <f t="shared" si="127"/>
        <v/>
      </c>
      <c r="BV58" s="220" t="str">
        <f t="shared" si="127"/>
        <v/>
      </c>
      <c r="BW58" s="220" t="str">
        <f t="shared" si="127"/>
        <v/>
      </c>
      <c r="BX58" s="220" t="str">
        <f t="shared" si="127"/>
        <v/>
      </c>
      <c r="BY58" s="220" t="str">
        <f t="shared" si="127"/>
        <v/>
      </c>
      <c r="BZ58" s="220" t="str">
        <f t="shared" si="127"/>
        <v/>
      </c>
      <c r="CA58" s="220" t="str">
        <f t="shared" si="127"/>
        <v/>
      </c>
      <c r="CB58" s="220" t="str">
        <f t="shared" si="127"/>
        <v/>
      </c>
      <c r="CC58" s="220" t="str">
        <f t="shared" si="127"/>
        <v/>
      </c>
      <c r="CD58" s="220" t="str">
        <f t="shared" si="127"/>
        <v/>
      </c>
      <c r="CE58" s="220" t="str">
        <f t="shared" si="127"/>
        <v/>
      </c>
      <c r="CF58" s="220" t="str">
        <f t="shared" si="127"/>
        <v/>
      </c>
      <c r="CG58" s="220" t="str">
        <f t="shared" si="127"/>
        <v/>
      </c>
      <c r="CH58" s="220" t="str">
        <f t="shared" si="127"/>
        <v/>
      </c>
      <c r="CI58" s="220" t="str">
        <f t="shared" si="127"/>
        <v/>
      </c>
      <c r="CJ58" s="220" t="str">
        <f t="shared" si="127"/>
        <v/>
      </c>
      <c r="CK58" s="220" t="str">
        <f t="shared" si="127"/>
        <v/>
      </c>
      <c r="CL58" s="220" t="str">
        <f t="shared" si="127"/>
        <v/>
      </c>
      <c r="CM58" s="220" t="str">
        <f t="shared" si="127"/>
        <v/>
      </c>
      <c r="CN58" s="220" t="str">
        <f t="shared" si="127"/>
        <v/>
      </c>
      <c r="CO58" s="220" t="str">
        <f t="shared" si="127"/>
        <v/>
      </c>
      <c r="CP58" s="220" t="str">
        <f t="shared" si="127"/>
        <v/>
      </c>
      <c r="CQ58" s="220" t="str">
        <f t="shared" si="127"/>
        <v/>
      </c>
      <c r="CR58" s="220" t="str">
        <f t="shared" si="127"/>
        <v/>
      </c>
      <c r="CS58" s="220" t="str">
        <f t="shared" si="127"/>
        <v/>
      </c>
      <c r="CT58" s="220" t="str">
        <f t="shared" si="127"/>
        <v/>
      </c>
      <c r="CU58" s="220" t="str">
        <f t="shared" si="127"/>
        <v/>
      </c>
      <c r="CV58" s="220" t="str">
        <f t="shared" si="127"/>
        <v/>
      </c>
      <c r="CW58" s="220" t="str">
        <f t="shared" si="127"/>
        <v/>
      </c>
      <c r="CX58" s="220" t="str">
        <f t="shared" si="127"/>
        <v/>
      </c>
      <c r="CY58" s="220" t="str">
        <f t="shared" si="127"/>
        <v/>
      </c>
      <c r="CZ58" s="220" t="str">
        <f t="shared" si="127"/>
        <v/>
      </c>
      <c r="DA58" s="220" t="str">
        <f t="shared" si="127"/>
        <v/>
      </c>
      <c r="DB58" s="220" t="str">
        <f t="shared" si="127"/>
        <v/>
      </c>
      <c r="DC58" s="220" t="str">
        <f t="shared" si="127"/>
        <v/>
      </c>
      <c r="DD58" s="220" t="str">
        <f t="shared" si="127"/>
        <v/>
      </c>
      <c r="DE58" s="220" t="str">
        <f t="shared" si="127"/>
        <v/>
      </c>
      <c r="DF58" s="220" t="str">
        <f t="shared" si="127"/>
        <v/>
      </c>
      <c r="DG58" s="220" t="str">
        <f t="shared" si="127"/>
        <v/>
      </c>
      <c r="DH58" s="220" t="str">
        <f t="shared" si="127"/>
        <v/>
      </c>
      <c r="DI58" s="220" t="str">
        <f t="shared" si="127"/>
        <v/>
      </c>
      <c r="DJ58" s="220" t="str">
        <f t="shared" si="127"/>
        <v/>
      </c>
      <c r="DK58" s="220" t="str">
        <f t="shared" si="127"/>
        <v/>
      </c>
      <c r="DL58" s="220" t="str">
        <f t="shared" si="127"/>
        <v/>
      </c>
      <c r="DM58" s="220" t="str">
        <f t="shared" si="127"/>
        <v/>
      </c>
      <c r="DN58" s="220" t="str">
        <f t="shared" si="127"/>
        <v/>
      </c>
      <c r="DO58" s="220" t="str">
        <f t="shared" si="127"/>
        <v/>
      </c>
      <c r="DP58" s="220" t="str">
        <f t="shared" si="127"/>
        <v/>
      </c>
      <c r="DQ58" s="220" t="str">
        <f t="shared" si="127"/>
        <v/>
      </c>
      <c r="DR58" s="220" t="str">
        <f t="shared" si="127"/>
        <v/>
      </c>
      <c r="DS58" s="220" t="str">
        <f t="shared" si="127"/>
        <v/>
      </c>
    </row>
    <row r="59" spans="1:123" x14ac:dyDescent="0.3">
      <c r="B59" s="219" t="s">
        <v>141</v>
      </c>
      <c r="D59" s="59" cm="1">
        <f t="array" ref="D59">IF(D4=0,"",-_xlfn.XLOOKUP('Monthly Cashflow'!D4,'Debt Assumptions'!$H$2:$Q$2,'Debt Assumptions'!$H$3:$Q$3/12))</f>
        <v>-30500</v>
      </c>
      <c r="E59" s="59" cm="1">
        <f t="array" ref="E59">IF(E4=0,"",-_xlfn.XLOOKUP('Monthly Cashflow'!E4,'Debt Assumptions'!$H$2:$Q$2,'Debt Assumptions'!$H$3:$Q$3/12))</f>
        <v>-30500</v>
      </c>
      <c r="F59" s="59" cm="1">
        <f t="array" ref="F59">IF(F4=0,"",-_xlfn.XLOOKUP('Monthly Cashflow'!F4,'Debt Assumptions'!$H$2:$Q$2,'Debt Assumptions'!$H$3:$Q$3/12))</f>
        <v>-30500</v>
      </c>
      <c r="G59" s="59" cm="1">
        <f t="array" ref="G59">IF(G4=0,"",-_xlfn.XLOOKUP('Monthly Cashflow'!G4,'Debt Assumptions'!$H$2:$Q$2,'Debt Assumptions'!$H$3:$Q$3/12))</f>
        <v>-30500</v>
      </c>
      <c r="H59" s="59" cm="1">
        <f t="array" ref="H59">IF(H4=0,"",-_xlfn.XLOOKUP('Monthly Cashflow'!H4,'Debt Assumptions'!$H$2:$Q$2,'Debt Assumptions'!$H$3:$Q$3/12))</f>
        <v>-30500</v>
      </c>
      <c r="I59" s="59" cm="1">
        <f t="array" ref="I59">IF(I4=0,"",-_xlfn.XLOOKUP('Monthly Cashflow'!I4,'Debt Assumptions'!$H$2:$Q$2,'Debt Assumptions'!$H$3:$Q$3/12))</f>
        <v>-30500</v>
      </c>
      <c r="J59" s="59" cm="1">
        <f t="array" ref="J59">IF(J4=0,"",-_xlfn.XLOOKUP('Monthly Cashflow'!J4,'Debt Assumptions'!$H$2:$Q$2,'Debt Assumptions'!$H$3:$Q$3/12))</f>
        <v>-30500</v>
      </c>
      <c r="K59" s="59" cm="1">
        <f t="array" ref="K59">IF(K4=0,"",-_xlfn.XLOOKUP('Monthly Cashflow'!K4,'Debt Assumptions'!$H$2:$Q$2,'Debt Assumptions'!$H$3:$Q$3/12))</f>
        <v>-30500</v>
      </c>
      <c r="L59" s="59" cm="1">
        <f t="array" ref="L59">IF(L4=0,"",-_xlfn.XLOOKUP('Monthly Cashflow'!L4,'Debt Assumptions'!$H$2:$Q$2,'Debt Assumptions'!$H$3:$Q$3/12))</f>
        <v>-30500</v>
      </c>
      <c r="M59" s="59" cm="1">
        <f t="array" ref="M59">IF(M4=0,"",-_xlfn.XLOOKUP('Monthly Cashflow'!M4,'Debt Assumptions'!$H$2:$Q$2,'Debt Assumptions'!$H$3:$Q$3/12))</f>
        <v>-30500</v>
      </c>
      <c r="N59" s="59" cm="1">
        <f t="array" ref="N59">IF(N4=0,"",-_xlfn.XLOOKUP('Monthly Cashflow'!N4,'Debt Assumptions'!$H$2:$Q$2,'Debt Assumptions'!$H$3:$Q$3/12))</f>
        <v>-30500</v>
      </c>
      <c r="O59" s="59" cm="1">
        <f t="array" ref="O59">IF(O4=0,"",-_xlfn.XLOOKUP('Monthly Cashflow'!O4,'Debt Assumptions'!$H$2:$Q$2,'Debt Assumptions'!$H$3:$Q$3/12))</f>
        <v>-30500</v>
      </c>
      <c r="P59" s="59" cm="1">
        <f t="array" ref="P59">IF(P4=0,"",-_xlfn.XLOOKUP('Monthly Cashflow'!P4,'Debt Assumptions'!$H$2:$Q$2,'Debt Assumptions'!$H$3:$Q$3/12))</f>
        <v>-30500</v>
      </c>
      <c r="Q59" s="59" cm="1">
        <f t="array" ref="Q59">IF(Q4=0,"",-_xlfn.XLOOKUP('Monthly Cashflow'!Q4,'Debt Assumptions'!$H$2:$Q$2,'Debt Assumptions'!$H$3:$Q$3/12))</f>
        <v>-30500</v>
      </c>
      <c r="R59" s="59" cm="1">
        <f t="array" ref="R59">IF(R4=0,"",-_xlfn.XLOOKUP('Monthly Cashflow'!R4,'Debt Assumptions'!$H$2:$Q$2,'Debt Assumptions'!$H$3:$Q$3/12))</f>
        <v>-30500</v>
      </c>
      <c r="S59" s="59" cm="1">
        <f t="array" ref="S59">IF(S4=0,"",-_xlfn.XLOOKUP('Monthly Cashflow'!S4,'Debt Assumptions'!$H$2:$Q$2,'Debt Assumptions'!$H$3:$Q$3/12))</f>
        <v>-30500</v>
      </c>
      <c r="T59" s="59" cm="1">
        <f t="array" ref="T59">IF(T4=0,"",-_xlfn.XLOOKUP('Monthly Cashflow'!T4,'Debt Assumptions'!$H$2:$Q$2,'Debt Assumptions'!$H$3:$Q$3/12))</f>
        <v>-30500</v>
      </c>
      <c r="U59" s="59" cm="1">
        <f t="array" ref="U59">IF(U4=0,"",-_xlfn.XLOOKUP('Monthly Cashflow'!U4,'Debt Assumptions'!$H$2:$Q$2,'Debt Assumptions'!$H$3:$Q$3/12))</f>
        <v>-30500</v>
      </c>
      <c r="V59" s="59" cm="1">
        <f t="array" ref="V59">IF(V4=0,"",-_xlfn.XLOOKUP('Monthly Cashflow'!V4,'Debt Assumptions'!$H$2:$Q$2,'Debt Assumptions'!$H$3:$Q$3/12))</f>
        <v>-30500</v>
      </c>
      <c r="W59" s="59" cm="1">
        <f t="array" ref="W59">IF(W4=0,"",-_xlfn.XLOOKUP('Monthly Cashflow'!W4,'Debt Assumptions'!$H$2:$Q$2,'Debt Assumptions'!$H$3:$Q$3/12))</f>
        <v>-30500</v>
      </c>
      <c r="X59" s="59" cm="1">
        <f t="array" ref="X59">IF(X4=0,"",-_xlfn.XLOOKUP('Monthly Cashflow'!X4,'Debt Assumptions'!$H$2:$Q$2,'Debt Assumptions'!$H$3:$Q$3/12))</f>
        <v>-30500</v>
      </c>
      <c r="Y59" s="59" cm="1">
        <f t="array" ref="Y59">IF(Y4=0,"",-_xlfn.XLOOKUP('Monthly Cashflow'!Y4,'Debt Assumptions'!$H$2:$Q$2,'Debt Assumptions'!$H$3:$Q$3/12))</f>
        <v>-30500</v>
      </c>
      <c r="Z59" s="59" cm="1">
        <f t="array" ref="Z59">IF(Z4=0,"",-_xlfn.XLOOKUP('Monthly Cashflow'!Z4,'Debt Assumptions'!$H$2:$Q$2,'Debt Assumptions'!$H$3:$Q$3/12))</f>
        <v>-30500</v>
      </c>
      <c r="AA59" s="59" cm="1">
        <f t="array" ref="AA59">IF(AA4=0,"",-_xlfn.XLOOKUP('Monthly Cashflow'!AA4,'Debt Assumptions'!$H$2:$Q$2,'Debt Assumptions'!$H$3:$Q$3/12))</f>
        <v>-30500</v>
      </c>
      <c r="AB59" s="59" cm="1">
        <f t="array" ref="AB59">IF(AB4=0,"",-_xlfn.XLOOKUP('Monthly Cashflow'!AB4,'Debt Assumptions'!$H$2:$Q$2,'Debt Assumptions'!$H$3:$Q$3/12))</f>
        <v>-30500</v>
      </c>
      <c r="AC59" s="59" cm="1">
        <f t="array" ref="AC59">IF(AC4=0,"",-_xlfn.XLOOKUP('Monthly Cashflow'!AC4,'Debt Assumptions'!$H$2:$Q$2,'Debt Assumptions'!$H$3:$Q$3/12))</f>
        <v>-30500</v>
      </c>
      <c r="AD59" s="59" cm="1">
        <f t="array" ref="AD59">IF(AD4=0,"",-_xlfn.XLOOKUP('Monthly Cashflow'!AD4,'Debt Assumptions'!$H$2:$Q$2,'Debt Assumptions'!$H$3:$Q$3/12))</f>
        <v>-30500</v>
      </c>
      <c r="AE59" s="59" cm="1">
        <f t="array" ref="AE59">IF(AE4=0,"",-_xlfn.XLOOKUP('Monthly Cashflow'!AE4,'Debt Assumptions'!$H$2:$Q$2,'Debt Assumptions'!$H$3:$Q$3/12))</f>
        <v>-30500</v>
      </c>
      <c r="AF59" s="59" cm="1">
        <f t="array" ref="AF59">IF(AF4=0,"",-_xlfn.XLOOKUP('Monthly Cashflow'!AF4,'Debt Assumptions'!$H$2:$Q$2,'Debt Assumptions'!$H$3:$Q$3/12))</f>
        <v>-30500</v>
      </c>
      <c r="AG59" s="59" cm="1">
        <f t="array" ref="AG59">IF(AG4=0,"",-_xlfn.XLOOKUP('Monthly Cashflow'!AG4,'Debt Assumptions'!$H$2:$Q$2,'Debt Assumptions'!$H$3:$Q$3/12))</f>
        <v>-30500</v>
      </c>
      <c r="AH59" s="59" cm="1">
        <f t="array" ref="AH59">IF(AH4=0,"",-_xlfn.XLOOKUP('Monthly Cashflow'!AH4,'Debt Assumptions'!$H$2:$Q$2,'Debt Assumptions'!$H$3:$Q$3/12))</f>
        <v>-30500</v>
      </c>
      <c r="AI59" s="59" cm="1">
        <f t="array" ref="AI59">IF(AI4=0,"",-_xlfn.XLOOKUP('Monthly Cashflow'!AI4,'Debt Assumptions'!$H$2:$Q$2,'Debt Assumptions'!$H$3:$Q$3/12))</f>
        <v>-30500</v>
      </c>
      <c r="AJ59" s="59" cm="1">
        <f t="array" ref="AJ59">IF(AJ4=0,"",-_xlfn.XLOOKUP('Monthly Cashflow'!AJ4,'Debt Assumptions'!$H$2:$Q$2,'Debt Assumptions'!$H$3:$Q$3/12))</f>
        <v>-30500</v>
      </c>
      <c r="AK59" s="59" cm="1">
        <f t="array" ref="AK59">IF(AK4=0,"",-_xlfn.XLOOKUP('Monthly Cashflow'!AK4,'Debt Assumptions'!$H$2:$Q$2,'Debt Assumptions'!$H$3:$Q$3/12))</f>
        <v>-30500</v>
      </c>
      <c r="AL59" s="59" cm="1">
        <f t="array" ref="AL59">IF(AL4=0,"",-_xlfn.XLOOKUP('Monthly Cashflow'!AL4,'Debt Assumptions'!$H$2:$Q$2,'Debt Assumptions'!$H$3:$Q$3/12))</f>
        <v>-30500</v>
      </c>
      <c r="AM59" s="59" cm="1">
        <f t="array" ref="AM59">IF(AM4=0,"",-_xlfn.XLOOKUP('Monthly Cashflow'!AM4,'Debt Assumptions'!$H$2:$Q$2,'Debt Assumptions'!$H$3:$Q$3/12))</f>
        <v>-30500</v>
      </c>
      <c r="AN59" s="59" cm="1">
        <f t="array" ref="AN59">IF(AN4=0,"",-_xlfn.XLOOKUP('Monthly Cashflow'!AN4,'Debt Assumptions'!$H$2:$Q$2,'Debt Assumptions'!$H$3:$Q$3/12))</f>
        <v>-51435.692114992962</v>
      </c>
      <c r="AO59" s="59" cm="1">
        <f t="array" ref="AO59">IF(AO4=0,"",-_xlfn.XLOOKUP('Monthly Cashflow'!AO4,'Debt Assumptions'!$H$2:$Q$2,'Debt Assumptions'!$H$3:$Q$3/12))</f>
        <v>-51435.692114992962</v>
      </c>
      <c r="AP59" s="59" cm="1">
        <f t="array" ref="AP59">IF(AP4=0,"",-_xlfn.XLOOKUP('Monthly Cashflow'!AP4,'Debt Assumptions'!$H$2:$Q$2,'Debt Assumptions'!$H$3:$Q$3/12))</f>
        <v>-51435.692114992962</v>
      </c>
      <c r="AQ59" s="59" cm="1">
        <f t="array" ref="AQ59">IF(AQ4=0,"",-_xlfn.XLOOKUP('Monthly Cashflow'!AQ4,'Debt Assumptions'!$H$2:$Q$2,'Debt Assumptions'!$H$3:$Q$3/12))</f>
        <v>-51435.692114992962</v>
      </c>
      <c r="AR59" s="59" cm="1">
        <f t="array" ref="AR59">IF(AR4=0,"",-_xlfn.XLOOKUP('Monthly Cashflow'!AR4,'Debt Assumptions'!$H$2:$Q$2,'Debt Assumptions'!$H$3:$Q$3/12))</f>
        <v>-51435.692114992962</v>
      </c>
      <c r="AS59" s="59" cm="1">
        <f t="array" ref="AS59">IF(AS4=0,"",-_xlfn.XLOOKUP('Monthly Cashflow'!AS4,'Debt Assumptions'!$H$2:$Q$2,'Debt Assumptions'!$H$3:$Q$3/12))</f>
        <v>-51435.692114992962</v>
      </c>
      <c r="AT59" s="59" cm="1">
        <f t="array" ref="AT59">IF(AT4=0,"",-_xlfn.XLOOKUP('Monthly Cashflow'!AT4,'Debt Assumptions'!$H$2:$Q$2,'Debt Assumptions'!$H$3:$Q$3/12))</f>
        <v>-51435.692114992962</v>
      </c>
      <c r="AU59" s="59" cm="1">
        <f t="array" ref="AU59">IF(AU4=0,"",-_xlfn.XLOOKUP('Monthly Cashflow'!AU4,'Debt Assumptions'!$H$2:$Q$2,'Debt Assumptions'!$H$3:$Q$3/12))</f>
        <v>-51435.692114992962</v>
      </c>
      <c r="AV59" s="59" cm="1">
        <f t="array" ref="AV59">IF(AV4=0,"",-_xlfn.XLOOKUP('Monthly Cashflow'!AV4,'Debt Assumptions'!$H$2:$Q$2,'Debt Assumptions'!$H$3:$Q$3/12))</f>
        <v>-51435.692114992962</v>
      </c>
      <c r="AW59" s="59" cm="1">
        <f t="array" ref="AW59">IF(AW4=0,"",-_xlfn.XLOOKUP('Monthly Cashflow'!AW4,'Debt Assumptions'!$H$2:$Q$2,'Debt Assumptions'!$H$3:$Q$3/12))</f>
        <v>-51435.692114992962</v>
      </c>
      <c r="AX59" s="59" cm="1">
        <f t="array" ref="AX59">IF(AX4=0,"",-_xlfn.XLOOKUP('Monthly Cashflow'!AX4,'Debt Assumptions'!$H$2:$Q$2,'Debt Assumptions'!$H$3:$Q$3/12))</f>
        <v>-51435.692114992962</v>
      </c>
      <c r="AY59" s="59" cm="1">
        <f t="array" ref="AY59">IF(AY4=0,"",-_xlfn.XLOOKUP('Monthly Cashflow'!AY4,'Debt Assumptions'!$H$2:$Q$2,'Debt Assumptions'!$H$3:$Q$3/12))</f>
        <v>-51435.692114992962</v>
      </c>
      <c r="AZ59" s="59" cm="1">
        <f t="array" ref="AZ59">IF(AZ4=0,"",-_xlfn.XLOOKUP('Monthly Cashflow'!AZ4,'Debt Assumptions'!$H$2:$Q$2,'Debt Assumptions'!$H$3:$Q$3/12))</f>
        <v>-51435.692114992962</v>
      </c>
      <c r="BA59" s="59" cm="1">
        <f t="array" ref="BA59">IF(BA4=0,"",-_xlfn.XLOOKUP('Monthly Cashflow'!BA4,'Debt Assumptions'!$H$2:$Q$2,'Debt Assumptions'!$H$3:$Q$3/12))</f>
        <v>-51435.692114992962</v>
      </c>
      <c r="BB59" s="59" cm="1">
        <f t="array" ref="BB59">IF(BB4=0,"",-_xlfn.XLOOKUP('Monthly Cashflow'!BB4,'Debt Assumptions'!$H$2:$Q$2,'Debt Assumptions'!$H$3:$Q$3/12))</f>
        <v>-51435.692114992962</v>
      </c>
      <c r="BC59" s="59" cm="1">
        <f t="array" ref="BC59">IF(BC4=0,"",-_xlfn.XLOOKUP('Monthly Cashflow'!BC4,'Debt Assumptions'!$H$2:$Q$2,'Debt Assumptions'!$H$3:$Q$3/12))</f>
        <v>-51435.692114992962</v>
      </c>
      <c r="BD59" s="59" cm="1">
        <f t="array" ref="BD59">IF(BD4=0,"",-_xlfn.XLOOKUP('Monthly Cashflow'!BD4,'Debt Assumptions'!$H$2:$Q$2,'Debt Assumptions'!$H$3:$Q$3/12))</f>
        <v>-51435.692114992962</v>
      </c>
      <c r="BE59" s="59" cm="1">
        <f t="array" ref="BE59">IF(BE4=0,"",-_xlfn.XLOOKUP('Monthly Cashflow'!BE4,'Debt Assumptions'!$H$2:$Q$2,'Debt Assumptions'!$H$3:$Q$3/12))</f>
        <v>-51435.692114992962</v>
      </c>
      <c r="BF59" s="59" cm="1">
        <f t="array" ref="BF59">IF(BF4=0,"",-_xlfn.XLOOKUP('Monthly Cashflow'!BF4,'Debt Assumptions'!$H$2:$Q$2,'Debt Assumptions'!$H$3:$Q$3/12))</f>
        <v>-51435.692114992962</v>
      </c>
      <c r="BG59" s="59" cm="1">
        <f t="array" ref="BG59">IF(BG4=0,"",-_xlfn.XLOOKUP('Monthly Cashflow'!BG4,'Debt Assumptions'!$H$2:$Q$2,'Debt Assumptions'!$H$3:$Q$3/12))</f>
        <v>-51435.692114992962</v>
      </c>
      <c r="BH59" s="59" cm="1">
        <f t="array" ref="BH59">IF(BH4=0,"",-_xlfn.XLOOKUP('Monthly Cashflow'!BH4,'Debt Assumptions'!$H$2:$Q$2,'Debt Assumptions'!$H$3:$Q$3/12))</f>
        <v>-51435.692114992962</v>
      </c>
      <c r="BI59" s="59" cm="1">
        <f t="array" ref="BI59">IF(BI4=0,"",-_xlfn.XLOOKUP('Monthly Cashflow'!BI4,'Debt Assumptions'!$H$2:$Q$2,'Debt Assumptions'!$H$3:$Q$3/12))</f>
        <v>-51435.692114992962</v>
      </c>
      <c r="BJ59" s="59" cm="1">
        <f t="array" ref="BJ59">IF(BJ4=0,"",-_xlfn.XLOOKUP('Monthly Cashflow'!BJ4,'Debt Assumptions'!$H$2:$Q$2,'Debt Assumptions'!$H$3:$Q$3/12))</f>
        <v>-51435.692114992962</v>
      </c>
      <c r="BK59" s="59" cm="1">
        <f t="array" ref="BK59">IF(BK4=0,"",-_xlfn.XLOOKUP('Monthly Cashflow'!BK4,'Debt Assumptions'!$H$2:$Q$2,'Debt Assumptions'!$H$3:$Q$3/12))</f>
        <v>-51435.692114992962</v>
      </c>
      <c r="BL59" s="59" t="str" cm="1">
        <f t="array" ref="BL59">IF(BL4=0,"",-_xlfn.XLOOKUP('Monthly Cashflow'!BL4,'Debt Assumptions'!$H$2:$Q$2,'Debt Assumptions'!$H$3:$Q$3/12))</f>
        <v/>
      </c>
      <c r="BM59" s="59" t="str" cm="1">
        <f t="array" ref="BM59">IF(BM4=0,"",-_xlfn.XLOOKUP('Monthly Cashflow'!BM4,'Debt Assumptions'!$H$2:$Q$2,'Debt Assumptions'!$H$3:$Q$3/12))</f>
        <v/>
      </c>
      <c r="BN59" s="59" t="str" cm="1">
        <f t="array" ref="BN59">IF(BN4=0,"",-_xlfn.XLOOKUP('Monthly Cashflow'!BN4,'Debt Assumptions'!$H$2:$Q$2,'Debt Assumptions'!$H$3:$Q$3/12))</f>
        <v/>
      </c>
      <c r="BO59" s="59" t="str" cm="1">
        <f t="array" ref="BO59">IF(BO4=0,"",-_xlfn.XLOOKUP('Monthly Cashflow'!BO4,'Debt Assumptions'!$H$2:$Q$2,'Debt Assumptions'!$H$3:$Q$3/12))</f>
        <v/>
      </c>
      <c r="BP59" s="59" t="str" cm="1">
        <f t="array" ref="BP59">IF(BP4=0,"",-_xlfn.XLOOKUP('Monthly Cashflow'!BP4,'Debt Assumptions'!$H$2:$Q$2,'Debt Assumptions'!$H$3:$Q$3/12))</f>
        <v/>
      </c>
      <c r="BQ59" s="59" t="str" cm="1">
        <f t="array" ref="BQ59">IF(BQ4=0,"",-_xlfn.XLOOKUP('Monthly Cashflow'!BQ4,'Debt Assumptions'!$H$2:$Q$2,'Debt Assumptions'!$H$3:$Q$3/12))</f>
        <v/>
      </c>
      <c r="BR59" s="59" t="str" cm="1">
        <f t="array" ref="BR59">IF(BR4=0,"",-_xlfn.XLOOKUP('Monthly Cashflow'!BR4,'Debt Assumptions'!$H$2:$Q$2,'Debt Assumptions'!$H$3:$Q$3/12))</f>
        <v/>
      </c>
      <c r="BS59" s="59" t="str" cm="1">
        <f t="array" ref="BS59">IF(BS4=0,"",-_xlfn.XLOOKUP('Monthly Cashflow'!BS4,'Debt Assumptions'!$H$2:$Q$2,'Debt Assumptions'!$H$3:$Q$3/12))</f>
        <v/>
      </c>
      <c r="BT59" s="59" t="str" cm="1">
        <f t="array" ref="BT59">IF(BT4=0,"",-_xlfn.XLOOKUP('Monthly Cashflow'!BT4,'Debt Assumptions'!$H$2:$Q$2,'Debt Assumptions'!$H$3:$Q$3/12))</f>
        <v/>
      </c>
      <c r="BU59" s="59" t="str" cm="1">
        <f t="array" ref="BU59">IF(BU4=0,"",-_xlfn.XLOOKUP('Monthly Cashflow'!BU4,'Debt Assumptions'!$H$2:$Q$2,'Debt Assumptions'!$H$3:$Q$3/12))</f>
        <v/>
      </c>
      <c r="BV59" s="59" t="str" cm="1">
        <f t="array" ref="BV59">IF(BV4=0,"",-_xlfn.XLOOKUP('Monthly Cashflow'!BV4,'Debt Assumptions'!$H$2:$Q$2,'Debt Assumptions'!$H$3:$Q$3/12))</f>
        <v/>
      </c>
      <c r="BW59" s="59" t="str" cm="1">
        <f t="array" ref="BW59">IF(BW4=0,"",-_xlfn.XLOOKUP('Monthly Cashflow'!BW4,'Debt Assumptions'!$H$2:$Q$2,'Debt Assumptions'!$H$3:$Q$3/12))</f>
        <v/>
      </c>
      <c r="BX59" s="59" t="str" cm="1">
        <f t="array" ref="BX59">IF(BX4=0,"",-_xlfn.XLOOKUP('Monthly Cashflow'!BX4,'Debt Assumptions'!$H$2:$Q$2,'Debt Assumptions'!$H$3:$Q$3/12))</f>
        <v/>
      </c>
      <c r="BY59" s="59" t="str" cm="1">
        <f t="array" ref="BY59">IF(BY4=0,"",-_xlfn.XLOOKUP('Monthly Cashflow'!BY4,'Debt Assumptions'!$H$2:$Q$2,'Debt Assumptions'!$H$3:$Q$3/12))</f>
        <v/>
      </c>
      <c r="BZ59" s="59" t="str" cm="1">
        <f t="array" ref="BZ59">IF(BZ4=0,"",-_xlfn.XLOOKUP('Monthly Cashflow'!BZ4,'Debt Assumptions'!$H$2:$Q$2,'Debt Assumptions'!$H$3:$Q$3/12))</f>
        <v/>
      </c>
      <c r="CA59" s="59" t="str" cm="1">
        <f t="array" ref="CA59">IF(CA4=0,"",-_xlfn.XLOOKUP('Monthly Cashflow'!CA4,'Debt Assumptions'!$H$2:$Q$2,'Debt Assumptions'!$H$3:$Q$3/12))</f>
        <v/>
      </c>
      <c r="CB59" s="59" t="str" cm="1">
        <f t="array" ref="CB59">IF(CB4=0,"",-_xlfn.XLOOKUP('Monthly Cashflow'!CB4,'Debt Assumptions'!$H$2:$Q$2,'Debt Assumptions'!$H$3:$Q$3/12))</f>
        <v/>
      </c>
      <c r="CC59" s="59" t="str" cm="1">
        <f t="array" ref="CC59">IF(CC4=0,"",-_xlfn.XLOOKUP('Monthly Cashflow'!CC4,'Debt Assumptions'!$H$2:$Q$2,'Debt Assumptions'!$H$3:$Q$3/12))</f>
        <v/>
      </c>
      <c r="CD59" s="59" t="str" cm="1">
        <f t="array" ref="CD59">IF(CD4=0,"",-_xlfn.XLOOKUP('Monthly Cashflow'!CD4,'Debt Assumptions'!$H$2:$Q$2,'Debt Assumptions'!$H$3:$Q$3/12))</f>
        <v/>
      </c>
      <c r="CE59" s="59" t="str" cm="1">
        <f t="array" ref="CE59">IF(CE4=0,"",-_xlfn.XLOOKUP('Monthly Cashflow'!CE4,'Debt Assumptions'!$H$2:$Q$2,'Debt Assumptions'!$H$3:$Q$3/12))</f>
        <v/>
      </c>
      <c r="CF59" s="59" t="str" cm="1">
        <f t="array" ref="CF59">IF(CF4=0,"",-_xlfn.XLOOKUP('Monthly Cashflow'!CF4,'Debt Assumptions'!$H$2:$Q$2,'Debt Assumptions'!$H$3:$Q$3/12))</f>
        <v/>
      </c>
      <c r="CG59" s="59" t="str" cm="1">
        <f t="array" ref="CG59">IF(CG4=0,"",-_xlfn.XLOOKUP('Monthly Cashflow'!CG4,'Debt Assumptions'!$H$2:$Q$2,'Debt Assumptions'!$H$3:$Q$3/12))</f>
        <v/>
      </c>
      <c r="CH59" s="59" t="str" cm="1">
        <f t="array" ref="CH59">IF(CH4=0,"",-_xlfn.XLOOKUP('Monthly Cashflow'!CH4,'Debt Assumptions'!$H$2:$Q$2,'Debt Assumptions'!$H$3:$Q$3/12))</f>
        <v/>
      </c>
      <c r="CI59" s="59" t="str" cm="1">
        <f t="array" ref="CI59">IF(CI4=0,"",-_xlfn.XLOOKUP('Monthly Cashflow'!CI4,'Debt Assumptions'!$H$2:$Q$2,'Debt Assumptions'!$H$3:$Q$3/12))</f>
        <v/>
      </c>
      <c r="CJ59" s="59" t="str" cm="1">
        <f t="array" ref="CJ59">IF(CJ4=0,"",-_xlfn.XLOOKUP('Monthly Cashflow'!CJ4,'Debt Assumptions'!$H$2:$Q$2,'Debt Assumptions'!$H$3:$Q$3/12))</f>
        <v/>
      </c>
      <c r="CK59" s="59" t="str" cm="1">
        <f t="array" ref="CK59">IF(CK4=0,"",-_xlfn.XLOOKUP('Monthly Cashflow'!CK4,'Debt Assumptions'!$H$2:$Q$2,'Debt Assumptions'!$H$3:$Q$3/12))</f>
        <v/>
      </c>
      <c r="CL59" s="59" t="str" cm="1">
        <f t="array" ref="CL59">IF(CL4=0,"",-_xlfn.XLOOKUP('Monthly Cashflow'!CL4,'Debt Assumptions'!$H$2:$Q$2,'Debt Assumptions'!$H$3:$Q$3/12))</f>
        <v/>
      </c>
      <c r="CM59" s="59" t="str" cm="1">
        <f t="array" ref="CM59">IF(CM4=0,"",-_xlfn.XLOOKUP('Monthly Cashflow'!CM4,'Debt Assumptions'!$H$2:$Q$2,'Debt Assumptions'!$H$3:$Q$3/12))</f>
        <v/>
      </c>
      <c r="CN59" s="59" t="str" cm="1">
        <f t="array" ref="CN59">IF(CN4=0,"",-_xlfn.XLOOKUP('Monthly Cashflow'!CN4,'Debt Assumptions'!$H$2:$Q$2,'Debt Assumptions'!$H$3:$Q$3/12))</f>
        <v/>
      </c>
      <c r="CO59" s="59" t="str" cm="1">
        <f t="array" ref="CO59">IF(CO4=0,"",-_xlfn.XLOOKUP('Monthly Cashflow'!CO4,'Debt Assumptions'!$H$2:$Q$2,'Debt Assumptions'!$H$3:$Q$3/12))</f>
        <v/>
      </c>
      <c r="CP59" s="59" t="str" cm="1">
        <f t="array" ref="CP59">IF(CP4=0,"",-_xlfn.XLOOKUP('Monthly Cashflow'!CP4,'Debt Assumptions'!$H$2:$Q$2,'Debt Assumptions'!$H$3:$Q$3/12))</f>
        <v/>
      </c>
      <c r="CQ59" s="59" t="str" cm="1">
        <f t="array" ref="CQ59">IF(CQ4=0,"",-_xlfn.XLOOKUP('Monthly Cashflow'!CQ4,'Debt Assumptions'!$H$2:$Q$2,'Debt Assumptions'!$H$3:$Q$3/12))</f>
        <v/>
      </c>
      <c r="CR59" s="59" t="str" cm="1">
        <f t="array" ref="CR59">IF(CR4=0,"",-_xlfn.XLOOKUP('Monthly Cashflow'!CR4,'Debt Assumptions'!$H$2:$Q$2,'Debt Assumptions'!$H$3:$Q$3/12))</f>
        <v/>
      </c>
      <c r="CS59" s="59" t="str" cm="1">
        <f t="array" ref="CS59">IF(CS4=0,"",-_xlfn.XLOOKUP('Monthly Cashflow'!CS4,'Debt Assumptions'!$H$2:$Q$2,'Debt Assumptions'!$H$3:$Q$3/12))</f>
        <v/>
      </c>
      <c r="CT59" s="59" t="str" cm="1">
        <f t="array" ref="CT59">IF(CT4=0,"",-_xlfn.XLOOKUP('Monthly Cashflow'!CT4,'Debt Assumptions'!$H$2:$Q$2,'Debt Assumptions'!$H$3:$Q$3/12))</f>
        <v/>
      </c>
      <c r="CU59" s="59" t="str" cm="1">
        <f t="array" ref="CU59">IF(CU4=0,"",-_xlfn.XLOOKUP('Monthly Cashflow'!CU4,'Debt Assumptions'!$H$2:$Q$2,'Debt Assumptions'!$H$3:$Q$3/12))</f>
        <v/>
      </c>
      <c r="CV59" s="59" t="str" cm="1">
        <f t="array" ref="CV59">IF(CV4=0,"",-_xlfn.XLOOKUP('Monthly Cashflow'!CV4,'Debt Assumptions'!$H$2:$Q$2,'Debt Assumptions'!$H$3:$Q$3/12))</f>
        <v/>
      </c>
      <c r="CW59" s="59" t="str" cm="1">
        <f t="array" ref="CW59">IF(CW4=0,"",-_xlfn.XLOOKUP('Monthly Cashflow'!CW4,'Debt Assumptions'!$H$2:$Q$2,'Debt Assumptions'!$H$3:$Q$3/12))</f>
        <v/>
      </c>
      <c r="CX59" s="59" t="str" cm="1">
        <f t="array" ref="CX59">IF(CX4=0,"",-_xlfn.XLOOKUP('Monthly Cashflow'!CX4,'Debt Assumptions'!$H$2:$Q$2,'Debt Assumptions'!$H$3:$Q$3/12))</f>
        <v/>
      </c>
      <c r="CY59" s="59" t="str" cm="1">
        <f t="array" ref="CY59">IF(CY4=0,"",-_xlfn.XLOOKUP('Monthly Cashflow'!CY4,'Debt Assumptions'!$H$2:$Q$2,'Debt Assumptions'!$H$3:$Q$3/12))</f>
        <v/>
      </c>
      <c r="CZ59" s="59" t="str" cm="1">
        <f t="array" ref="CZ59">IF(CZ4=0,"",-_xlfn.XLOOKUP('Monthly Cashflow'!CZ4,'Debt Assumptions'!$H$2:$Q$2,'Debt Assumptions'!$H$3:$Q$3/12))</f>
        <v/>
      </c>
      <c r="DA59" s="59" t="str" cm="1">
        <f t="array" ref="DA59">IF(DA4=0,"",-_xlfn.XLOOKUP('Monthly Cashflow'!DA4,'Debt Assumptions'!$H$2:$Q$2,'Debt Assumptions'!$H$3:$Q$3/12))</f>
        <v/>
      </c>
      <c r="DB59" s="59" t="str" cm="1">
        <f t="array" ref="DB59">IF(DB4=0,"",-_xlfn.XLOOKUP('Monthly Cashflow'!DB4,'Debt Assumptions'!$H$2:$Q$2,'Debt Assumptions'!$H$3:$Q$3/12))</f>
        <v/>
      </c>
      <c r="DC59" s="59" t="str" cm="1">
        <f t="array" ref="DC59">IF(DC4=0,"",-_xlfn.XLOOKUP('Monthly Cashflow'!DC4,'Debt Assumptions'!$H$2:$Q$2,'Debt Assumptions'!$H$3:$Q$3/12))</f>
        <v/>
      </c>
      <c r="DD59" s="59" t="str" cm="1">
        <f t="array" ref="DD59">IF(DD4=0,"",-_xlfn.XLOOKUP('Monthly Cashflow'!DD4,'Debt Assumptions'!$H$2:$Q$2,'Debt Assumptions'!$H$3:$Q$3/12))</f>
        <v/>
      </c>
      <c r="DE59" s="59" t="str" cm="1">
        <f t="array" ref="DE59">IF(DE4=0,"",-_xlfn.XLOOKUP('Monthly Cashflow'!DE4,'Debt Assumptions'!$H$2:$Q$2,'Debt Assumptions'!$H$3:$Q$3/12))</f>
        <v/>
      </c>
      <c r="DF59" s="59" t="str" cm="1">
        <f t="array" ref="DF59">IF(DF4=0,"",-_xlfn.XLOOKUP('Monthly Cashflow'!DF4,'Debt Assumptions'!$H$2:$Q$2,'Debt Assumptions'!$H$3:$Q$3/12))</f>
        <v/>
      </c>
      <c r="DG59" s="59" t="str" cm="1">
        <f t="array" ref="DG59">IF(DG4=0,"",-_xlfn.XLOOKUP('Monthly Cashflow'!DG4,'Debt Assumptions'!$H$2:$Q$2,'Debt Assumptions'!$H$3:$Q$3/12))</f>
        <v/>
      </c>
      <c r="DH59" s="59" t="str" cm="1">
        <f t="array" ref="DH59">IF(DH4=0,"",-_xlfn.XLOOKUP('Monthly Cashflow'!DH4,'Debt Assumptions'!$H$2:$Q$2,'Debt Assumptions'!$H$3:$Q$3/12))</f>
        <v/>
      </c>
      <c r="DI59" s="59" t="str" cm="1">
        <f t="array" ref="DI59">IF(DI4=0,"",-_xlfn.XLOOKUP('Monthly Cashflow'!DI4,'Debt Assumptions'!$H$2:$Q$2,'Debt Assumptions'!$H$3:$Q$3/12))</f>
        <v/>
      </c>
      <c r="DJ59" s="59" t="str" cm="1">
        <f t="array" ref="DJ59">IF(DJ4=0,"",-_xlfn.XLOOKUP('Monthly Cashflow'!DJ4,'Debt Assumptions'!$H$2:$Q$2,'Debt Assumptions'!$H$3:$Q$3/12))</f>
        <v/>
      </c>
      <c r="DK59" s="59" t="str" cm="1">
        <f t="array" ref="DK59">IF(DK4=0,"",-_xlfn.XLOOKUP('Monthly Cashflow'!DK4,'Debt Assumptions'!$H$2:$Q$2,'Debt Assumptions'!$H$3:$Q$3/12))</f>
        <v/>
      </c>
      <c r="DL59" s="59" t="str" cm="1">
        <f t="array" ref="DL59">IF(DL4=0,"",-_xlfn.XLOOKUP('Monthly Cashflow'!DL4,'Debt Assumptions'!$H$2:$Q$2,'Debt Assumptions'!$H$3:$Q$3/12))</f>
        <v/>
      </c>
      <c r="DM59" s="59" t="str" cm="1">
        <f t="array" ref="DM59">IF(DM4=0,"",-_xlfn.XLOOKUP('Monthly Cashflow'!DM4,'Debt Assumptions'!$H$2:$Q$2,'Debt Assumptions'!$H$3:$Q$3/12))</f>
        <v/>
      </c>
      <c r="DN59" s="59" t="str" cm="1">
        <f t="array" ref="DN59">IF(DN4=0,"",-_xlfn.XLOOKUP('Monthly Cashflow'!DN4,'Debt Assumptions'!$H$2:$Q$2,'Debt Assumptions'!$H$3:$Q$3/12))</f>
        <v/>
      </c>
      <c r="DO59" s="59" t="str" cm="1">
        <f t="array" ref="DO59">IF(DO4=0,"",-_xlfn.XLOOKUP('Monthly Cashflow'!DO4,'Debt Assumptions'!$H$2:$Q$2,'Debt Assumptions'!$H$3:$Q$3/12))</f>
        <v/>
      </c>
      <c r="DP59" s="59" t="str" cm="1">
        <f t="array" ref="DP59">IF(DP4=0,"",-_xlfn.XLOOKUP('Monthly Cashflow'!DP4,'Debt Assumptions'!$H$2:$Q$2,'Debt Assumptions'!$H$3:$Q$3/12))</f>
        <v/>
      </c>
      <c r="DQ59" s="59" t="str" cm="1">
        <f t="array" ref="DQ59">IF(DQ4=0,"",-_xlfn.XLOOKUP('Monthly Cashflow'!DQ4,'Debt Assumptions'!$H$2:$Q$2,'Debt Assumptions'!$H$3:$Q$3/12))</f>
        <v/>
      </c>
      <c r="DR59" s="59" t="str" cm="1">
        <f t="array" ref="DR59">IF(DR4=0,"",-_xlfn.XLOOKUP('Monthly Cashflow'!DR4,'Debt Assumptions'!$H$2:$Q$2,'Debt Assumptions'!$H$3:$Q$3/12))</f>
        <v/>
      </c>
      <c r="DS59" s="59" t="str" cm="1">
        <f t="array" ref="DS59">IF(DS4=0,"",-_xlfn.XLOOKUP('Monthly Cashflow'!DS4,'Debt Assumptions'!$H$2:$Q$2,'Debt Assumptions'!$H$3:$Q$3/12))</f>
        <v/>
      </c>
    </row>
    <row r="60" spans="1:123" x14ac:dyDescent="0.3">
      <c r="B60" s="107" t="s">
        <v>142</v>
      </c>
      <c r="C60" s="108"/>
      <c r="D60" s="108">
        <f>IF(D4=0,"",SUM(D58:D59))</f>
        <v>-29625.833333333336</v>
      </c>
      <c r="E60" s="108">
        <f t="shared" ref="E60:BP60" si="128">IF(E4=0,"",SUM(E58:E59))</f>
        <v>-19668.333333333336</v>
      </c>
      <c r="F60" s="108">
        <f t="shared" si="128"/>
        <v>-9710.8333333333394</v>
      </c>
      <c r="G60" s="108">
        <f t="shared" si="128"/>
        <v>246.66666666666788</v>
      </c>
      <c r="H60" s="108">
        <f t="shared" si="128"/>
        <v>10204.166666666672</v>
      </c>
      <c r="I60" s="108">
        <f t="shared" si="128"/>
        <v>20161.666666666657</v>
      </c>
      <c r="J60" s="108">
        <f t="shared" si="128"/>
        <v>20161.666666666657</v>
      </c>
      <c r="K60" s="108">
        <f t="shared" si="128"/>
        <v>20161.666666666657</v>
      </c>
      <c r="L60" s="108">
        <f t="shared" si="128"/>
        <v>20161.666666666657</v>
      </c>
      <c r="M60" s="108">
        <f t="shared" si="128"/>
        <v>20161.666666666657</v>
      </c>
      <c r="N60" s="108">
        <f t="shared" si="128"/>
        <v>20161.666666666657</v>
      </c>
      <c r="O60" s="108">
        <f t="shared" si="128"/>
        <v>20161.666666666657</v>
      </c>
      <c r="P60" s="108">
        <f t="shared" si="128"/>
        <v>22329.947916666679</v>
      </c>
      <c r="Q60" s="108">
        <f t="shared" si="128"/>
        <v>22329.947916666679</v>
      </c>
      <c r="R60" s="108">
        <f t="shared" si="128"/>
        <v>22329.947916666679</v>
      </c>
      <c r="S60" s="108">
        <f t="shared" si="128"/>
        <v>22329.947916666679</v>
      </c>
      <c r="T60" s="108">
        <f t="shared" si="128"/>
        <v>22329.947916666679</v>
      </c>
      <c r="U60" s="108">
        <f t="shared" si="128"/>
        <v>22329.947916666679</v>
      </c>
      <c r="V60" s="108">
        <f t="shared" si="128"/>
        <v>22329.947916666679</v>
      </c>
      <c r="W60" s="108">
        <f t="shared" si="128"/>
        <v>22329.947916666679</v>
      </c>
      <c r="X60" s="108">
        <f t="shared" si="128"/>
        <v>22329.947916666679</v>
      </c>
      <c r="Y60" s="108">
        <f t="shared" si="128"/>
        <v>22329.947916666679</v>
      </c>
      <c r="Z60" s="108">
        <f t="shared" si="128"/>
        <v>22329.947916666679</v>
      </c>
      <c r="AA60" s="108">
        <f t="shared" si="128"/>
        <v>22329.947916666679</v>
      </c>
      <c r="AB60" s="108">
        <f t="shared" si="128"/>
        <v>24584.573502604188</v>
      </c>
      <c r="AC60" s="108">
        <f t="shared" si="128"/>
        <v>24584.573502604188</v>
      </c>
      <c r="AD60" s="108">
        <f t="shared" si="128"/>
        <v>24584.573502604188</v>
      </c>
      <c r="AE60" s="108">
        <f t="shared" si="128"/>
        <v>24584.573502604188</v>
      </c>
      <c r="AF60" s="108">
        <f t="shared" si="128"/>
        <v>24584.573502604188</v>
      </c>
      <c r="AG60" s="108">
        <f t="shared" si="128"/>
        <v>24584.573502604188</v>
      </c>
      <c r="AH60" s="108">
        <f t="shared" si="128"/>
        <v>24584.573502604188</v>
      </c>
      <c r="AI60" s="108">
        <f t="shared" si="128"/>
        <v>24584.573502604188</v>
      </c>
      <c r="AJ60" s="108">
        <f t="shared" si="128"/>
        <v>24584.573502604188</v>
      </c>
      <c r="AK60" s="108">
        <f t="shared" si="128"/>
        <v>24584.573502604188</v>
      </c>
      <c r="AL60" s="108">
        <f t="shared" si="128"/>
        <v>24584.573502604188</v>
      </c>
      <c r="AM60" s="108">
        <f t="shared" si="128"/>
        <v>24584.573502604188</v>
      </c>
      <c r="AN60" s="108">
        <f t="shared" si="128"/>
        <v>5993.1836056287721</v>
      </c>
      <c r="AO60" s="108">
        <f t="shared" si="128"/>
        <v>5993.1836056287721</v>
      </c>
      <c r="AP60" s="108">
        <f t="shared" si="128"/>
        <v>5993.1836056287721</v>
      </c>
      <c r="AQ60" s="108">
        <f t="shared" si="128"/>
        <v>5993.1836056287721</v>
      </c>
      <c r="AR60" s="108">
        <f t="shared" si="128"/>
        <v>5993.1836056287721</v>
      </c>
      <c r="AS60" s="108">
        <f t="shared" si="128"/>
        <v>5993.1836056287721</v>
      </c>
      <c r="AT60" s="108">
        <f t="shared" si="128"/>
        <v>5993.1836056287721</v>
      </c>
      <c r="AU60" s="108">
        <f t="shared" si="128"/>
        <v>5993.1836056287721</v>
      </c>
      <c r="AV60" s="108">
        <f t="shared" si="128"/>
        <v>5993.1836056287721</v>
      </c>
      <c r="AW60" s="108">
        <f t="shared" si="128"/>
        <v>5993.1836056287721</v>
      </c>
      <c r="AX60" s="108">
        <f t="shared" si="128"/>
        <v>5993.1836056287721</v>
      </c>
      <c r="AY60" s="108">
        <f t="shared" si="128"/>
        <v>5993.1836056287721</v>
      </c>
      <c r="AZ60" s="108">
        <f t="shared" si="128"/>
        <v>8430.6214826658907</v>
      </c>
      <c r="BA60" s="108">
        <f t="shared" si="128"/>
        <v>8430.6214826658907</v>
      </c>
      <c r="BB60" s="108">
        <f t="shared" si="128"/>
        <v>8430.6214826658907</v>
      </c>
      <c r="BC60" s="108">
        <f t="shared" si="128"/>
        <v>8430.6214826658907</v>
      </c>
      <c r="BD60" s="108">
        <f t="shared" si="128"/>
        <v>8430.6214826658907</v>
      </c>
      <c r="BE60" s="108">
        <f t="shared" si="128"/>
        <v>8430.6214826658907</v>
      </c>
      <c r="BF60" s="108">
        <f t="shared" si="128"/>
        <v>8430.6214826658907</v>
      </c>
      <c r="BG60" s="108">
        <f t="shared" si="128"/>
        <v>8430.6214826658907</v>
      </c>
      <c r="BH60" s="108">
        <f t="shared" si="128"/>
        <v>8430.6214826658907</v>
      </c>
      <c r="BI60" s="108">
        <f t="shared" si="128"/>
        <v>8430.6214826658907</v>
      </c>
      <c r="BJ60" s="108">
        <f t="shared" si="128"/>
        <v>8430.6214826658907</v>
      </c>
      <c r="BK60" s="108">
        <f t="shared" si="128"/>
        <v>8430.6214826658907</v>
      </c>
      <c r="BL60" s="108" t="str">
        <f t="shared" si="128"/>
        <v/>
      </c>
      <c r="BM60" s="108" t="str">
        <f t="shared" si="128"/>
        <v/>
      </c>
      <c r="BN60" s="108" t="str">
        <f t="shared" si="128"/>
        <v/>
      </c>
      <c r="BO60" s="108" t="str">
        <f t="shared" si="128"/>
        <v/>
      </c>
      <c r="BP60" s="108" t="str">
        <f t="shared" si="128"/>
        <v/>
      </c>
      <c r="BQ60" s="108" t="str">
        <f t="shared" ref="BQ60:DS60" si="129">IF(BQ4=0,"",SUM(BQ58:BQ59))</f>
        <v/>
      </c>
      <c r="BR60" s="108" t="str">
        <f t="shared" si="129"/>
        <v/>
      </c>
      <c r="BS60" s="108" t="str">
        <f t="shared" si="129"/>
        <v/>
      </c>
      <c r="BT60" s="108" t="str">
        <f t="shared" si="129"/>
        <v/>
      </c>
      <c r="BU60" s="108" t="str">
        <f t="shared" si="129"/>
        <v/>
      </c>
      <c r="BV60" s="108" t="str">
        <f t="shared" si="129"/>
        <v/>
      </c>
      <c r="BW60" s="108" t="str">
        <f t="shared" si="129"/>
        <v/>
      </c>
      <c r="BX60" s="108" t="str">
        <f t="shared" si="129"/>
        <v/>
      </c>
      <c r="BY60" s="108" t="str">
        <f t="shared" si="129"/>
        <v/>
      </c>
      <c r="BZ60" s="108" t="str">
        <f t="shared" si="129"/>
        <v/>
      </c>
      <c r="CA60" s="108" t="str">
        <f t="shared" si="129"/>
        <v/>
      </c>
      <c r="CB60" s="108" t="str">
        <f t="shared" si="129"/>
        <v/>
      </c>
      <c r="CC60" s="108" t="str">
        <f t="shared" si="129"/>
        <v/>
      </c>
      <c r="CD60" s="108" t="str">
        <f t="shared" si="129"/>
        <v/>
      </c>
      <c r="CE60" s="108" t="str">
        <f t="shared" si="129"/>
        <v/>
      </c>
      <c r="CF60" s="108" t="str">
        <f t="shared" si="129"/>
        <v/>
      </c>
      <c r="CG60" s="108" t="str">
        <f t="shared" si="129"/>
        <v/>
      </c>
      <c r="CH60" s="108" t="str">
        <f t="shared" si="129"/>
        <v/>
      </c>
      <c r="CI60" s="108" t="str">
        <f t="shared" si="129"/>
        <v/>
      </c>
      <c r="CJ60" s="108" t="str">
        <f t="shared" si="129"/>
        <v/>
      </c>
      <c r="CK60" s="108" t="str">
        <f t="shared" si="129"/>
        <v/>
      </c>
      <c r="CL60" s="108" t="str">
        <f t="shared" si="129"/>
        <v/>
      </c>
      <c r="CM60" s="108" t="str">
        <f t="shared" si="129"/>
        <v/>
      </c>
      <c r="CN60" s="108" t="str">
        <f t="shared" si="129"/>
        <v/>
      </c>
      <c r="CO60" s="108" t="str">
        <f t="shared" si="129"/>
        <v/>
      </c>
      <c r="CP60" s="108" t="str">
        <f t="shared" si="129"/>
        <v/>
      </c>
      <c r="CQ60" s="108" t="str">
        <f t="shared" si="129"/>
        <v/>
      </c>
      <c r="CR60" s="108" t="str">
        <f t="shared" si="129"/>
        <v/>
      </c>
      <c r="CS60" s="108" t="str">
        <f t="shared" si="129"/>
        <v/>
      </c>
      <c r="CT60" s="108" t="str">
        <f t="shared" si="129"/>
        <v/>
      </c>
      <c r="CU60" s="108" t="str">
        <f t="shared" si="129"/>
        <v/>
      </c>
      <c r="CV60" s="108" t="str">
        <f t="shared" si="129"/>
        <v/>
      </c>
      <c r="CW60" s="108" t="str">
        <f t="shared" si="129"/>
        <v/>
      </c>
      <c r="CX60" s="108" t="str">
        <f t="shared" si="129"/>
        <v/>
      </c>
      <c r="CY60" s="108" t="str">
        <f t="shared" si="129"/>
        <v/>
      </c>
      <c r="CZ60" s="108" t="str">
        <f t="shared" si="129"/>
        <v/>
      </c>
      <c r="DA60" s="108" t="str">
        <f t="shared" si="129"/>
        <v/>
      </c>
      <c r="DB60" s="108" t="str">
        <f t="shared" si="129"/>
        <v/>
      </c>
      <c r="DC60" s="108" t="str">
        <f t="shared" si="129"/>
        <v/>
      </c>
      <c r="DD60" s="108" t="str">
        <f t="shared" si="129"/>
        <v/>
      </c>
      <c r="DE60" s="108" t="str">
        <f t="shared" si="129"/>
        <v/>
      </c>
      <c r="DF60" s="108" t="str">
        <f t="shared" si="129"/>
        <v/>
      </c>
      <c r="DG60" s="108" t="str">
        <f t="shared" si="129"/>
        <v/>
      </c>
      <c r="DH60" s="108" t="str">
        <f t="shared" si="129"/>
        <v/>
      </c>
      <c r="DI60" s="108" t="str">
        <f t="shared" si="129"/>
        <v/>
      </c>
      <c r="DJ60" s="108" t="str">
        <f t="shared" si="129"/>
        <v/>
      </c>
      <c r="DK60" s="108" t="str">
        <f t="shared" si="129"/>
        <v/>
      </c>
      <c r="DL60" s="108" t="str">
        <f t="shared" si="129"/>
        <v/>
      </c>
      <c r="DM60" s="108" t="str">
        <f t="shared" si="129"/>
        <v/>
      </c>
      <c r="DN60" s="108" t="str">
        <f t="shared" si="129"/>
        <v/>
      </c>
      <c r="DO60" s="108" t="str">
        <f t="shared" si="129"/>
        <v/>
      </c>
      <c r="DP60" s="108" t="str">
        <f t="shared" si="129"/>
        <v/>
      </c>
      <c r="DQ60" s="108" t="str">
        <f t="shared" si="129"/>
        <v/>
      </c>
      <c r="DR60" s="108" t="str">
        <f t="shared" si="129"/>
        <v/>
      </c>
      <c r="DS60" s="108" t="str">
        <f t="shared" si="129"/>
        <v/>
      </c>
    </row>
    <row r="61" spans="1:123" x14ac:dyDescent="0.3">
      <c r="B61" s="228"/>
      <c r="C61" s="229"/>
      <c r="D61" s="229"/>
      <c r="E61" s="229"/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29"/>
      <c r="Y61" s="229"/>
      <c r="Z61" s="229"/>
      <c r="AA61" s="229"/>
      <c r="AB61" s="229"/>
      <c r="AC61" s="229"/>
      <c r="AD61" s="229"/>
      <c r="AE61" s="229"/>
      <c r="AF61" s="229"/>
      <c r="AG61" s="229"/>
      <c r="AH61" s="229"/>
      <c r="AI61" s="229"/>
      <c r="AJ61" s="229"/>
      <c r="AK61" s="229"/>
      <c r="AL61" s="229"/>
      <c r="AM61" s="229"/>
      <c r="AN61" s="229"/>
      <c r="AO61" s="229"/>
      <c r="AP61" s="229"/>
      <c r="AQ61" s="229"/>
      <c r="AR61" s="229"/>
      <c r="AS61" s="229"/>
      <c r="AT61" s="229"/>
      <c r="AU61" s="229"/>
      <c r="AV61" s="229"/>
      <c r="AW61" s="229"/>
      <c r="AX61" s="229"/>
      <c r="AY61" s="229"/>
      <c r="AZ61" s="229"/>
      <c r="BA61" s="229"/>
      <c r="BB61" s="229"/>
      <c r="BC61" s="229"/>
      <c r="BD61" s="229"/>
      <c r="BE61" s="229"/>
      <c r="BF61" s="229"/>
      <c r="BG61" s="229"/>
      <c r="BH61" s="229"/>
      <c r="BI61" s="229"/>
      <c r="BJ61" s="229"/>
      <c r="BK61" s="229"/>
      <c r="BL61" s="229"/>
      <c r="BM61" s="229"/>
      <c r="BN61" s="229"/>
      <c r="BO61" s="229"/>
      <c r="BP61" s="229"/>
      <c r="BQ61" s="229"/>
      <c r="BR61" s="229"/>
      <c r="BS61" s="229"/>
      <c r="BT61" s="229"/>
      <c r="BU61" s="229"/>
      <c r="BV61" s="229"/>
      <c r="BW61" s="229"/>
      <c r="BX61" s="229"/>
      <c r="BY61" s="229"/>
      <c r="BZ61" s="229"/>
      <c r="CA61" s="229"/>
      <c r="CB61" s="229"/>
      <c r="CC61" s="229"/>
      <c r="CD61" s="229"/>
      <c r="CE61" s="229"/>
      <c r="CF61" s="229"/>
      <c r="CG61" s="229"/>
      <c r="CH61" s="229"/>
      <c r="CI61" s="229"/>
      <c r="CJ61" s="229"/>
      <c r="CK61" s="229"/>
      <c r="CL61" s="229"/>
      <c r="CM61" s="229"/>
      <c r="CN61" s="229"/>
      <c r="CO61" s="229"/>
      <c r="CP61" s="229"/>
      <c r="CQ61" s="229"/>
      <c r="CR61" s="229"/>
      <c r="CS61" s="229"/>
      <c r="CT61" s="229"/>
      <c r="CU61" s="229"/>
      <c r="CV61" s="229"/>
      <c r="CW61" s="229"/>
      <c r="CX61" s="229"/>
      <c r="CY61" s="229"/>
      <c r="CZ61" s="229"/>
      <c r="DA61" s="229"/>
      <c r="DB61" s="229"/>
      <c r="DC61" s="229"/>
      <c r="DD61" s="229"/>
      <c r="DE61" s="229"/>
      <c r="DF61" s="229"/>
      <c r="DG61" s="229"/>
      <c r="DH61" s="229"/>
      <c r="DI61" s="229"/>
      <c r="DJ61" s="229"/>
      <c r="DK61" s="229"/>
      <c r="DL61" s="229"/>
      <c r="DM61" s="229"/>
      <c r="DN61" s="229"/>
      <c r="DO61" s="229"/>
      <c r="DP61" s="229"/>
      <c r="DQ61" s="229"/>
      <c r="DR61" s="229"/>
      <c r="DS61" s="229"/>
    </row>
    <row r="62" spans="1:123" ht="15" thickBot="1" x14ac:dyDescent="0.35">
      <c r="B62" s="114" t="s">
        <v>143</v>
      </c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3"/>
      <c r="CE62" s="63"/>
      <c r="CF62" s="63"/>
      <c r="CG62" s="63"/>
      <c r="CH62" s="63"/>
      <c r="CI62" s="63"/>
      <c r="CJ62" s="63"/>
      <c r="CK62" s="63"/>
      <c r="CL62" s="63"/>
      <c r="CM62" s="63"/>
      <c r="CN62" s="63"/>
      <c r="CO62" s="63"/>
      <c r="CP62" s="63"/>
      <c r="CQ62" s="63"/>
      <c r="CR62" s="63"/>
      <c r="CS62" s="63"/>
      <c r="CT62" s="63"/>
      <c r="CU62" s="63"/>
      <c r="CV62" s="63"/>
      <c r="CW62" s="63"/>
      <c r="CX62" s="63"/>
      <c r="CY62" s="63"/>
      <c r="CZ62" s="63"/>
      <c r="DA62" s="63"/>
      <c r="DB62" s="63"/>
      <c r="DC62" s="63"/>
      <c r="DD62" s="63"/>
      <c r="DE62" s="63"/>
      <c r="DF62" s="63"/>
      <c r="DG62" s="63"/>
      <c r="DH62" s="63"/>
      <c r="DI62" s="63"/>
      <c r="DJ62" s="63"/>
      <c r="DK62" s="63"/>
      <c r="DL62" s="63"/>
      <c r="DM62" s="63"/>
      <c r="DN62" s="63"/>
      <c r="DO62" s="63"/>
      <c r="DP62" s="63"/>
      <c r="DQ62" s="63"/>
      <c r="DR62" s="63"/>
      <c r="DS62" s="58"/>
    </row>
    <row r="63" spans="1:123" x14ac:dyDescent="0.3">
      <c r="B63" t="str">
        <f>B40</f>
        <v>Proceeds from sale</v>
      </c>
      <c r="D63" s="132">
        <f>D40</f>
        <v>0</v>
      </c>
      <c r="E63" s="132">
        <f t="shared" ref="E63:BP63" si="130">E40</f>
        <v>0</v>
      </c>
      <c r="F63" s="132">
        <f t="shared" si="130"/>
        <v>0</v>
      </c>
      <c r="G63" s="132">
        <f t="shared" si="130"/>
        <v>0</v>
      </c>
      <c r="H63" s="132">
        <f t="shared" si="130"/>
        <v>0</v>
      </c>
      <c r="I63" s="132">
        <f t="shared" si="130"/>
        <v>0</v>
      </c>
      <c r="J63" s="132">
        <f t="shared" si="130"/>
        <v>0</v>
      </c>
      <c r="K63" s="132">
        <f t="shared" si="130"/>
        <v>0</v>
      </c>
      <c r="L63" s="132">
        <f t="shared" si="130"/>
        <v>0</v>
      </c>
      <c r="M63" s="132">
        <f t="shared" si="130"/>
        <v>0</v>
      </c>
      <c r="N63" s="132">
        <f t="shared" si="130"/>
        <v>0</v>
      </c>
      <c r="O63" s="132">
        <f t="shared" si="130"/>
        <v>0</v>
      </c>
      <c r="P63" s="132">
        <f t="shared" si="130"/>
        <v>0</v>
      </c>
      <c r="Q63" s="132">
        <f t="shared" si="130"/>
        <v>0</v>
      </c>
      <c r="R63" s="132">
        <f t="shared" si="130"/>
        <v>0</v>
      </c>
      <c r="S63" s="132">
        <f t="shared" si="130"/>
        <v>0</v>
      </c>
      <c r="T63" s="132">
        <f t="shared" si="130"/>
        <v>0</v>
      </c>
      <c r="U63" s="132">
        <f t="shared" si="130"/>
        <v>0</v>
      </c>
      <c r="V63" s="132">
        <f t="shared" si="130"/>
        <v>0</v>
      </c>
      <c r="W63" s="132">
        <f t="shared" si="130"/>
        <v>0</v>
      </c>
      <c r="X63" s="132">
        <f t="shared" si="130"/>
        <v>0</v>
      </c>
      <c r="Y63" s="132">
        <f t="shared" si="130"/>
        <v>0</v>
      </c>
      <c r="Z63" s="132">
        <f t="shared" si="130"/>
        <v>0</v>
      </c>
      <c r="AA63" s="132">
        <f t="shared" si="130"/>
        <v>0</v>
      </c>
      <c r="AB63" s="132">
        <f t="shared" si="130"/>
        <v>0</v>
      </c>
      <c r="AC63" s="132">
        <f t="shared" si="130"/>
        <v>0</v>
      </c>
      <c r="AD63" s="132">
        <f t="shared" si="130"/>
        <v>0</v>
      </c>
      <c r="AE63" s="132">
        <f t="shared" si="130"/>
        <v>0</v>
      </c>
      <c r="AF63" s="132">
        <f t="shared" si="130"/>
        <v>0</v>
      </c>
      <c r="AG63" s="132">
        <f t="shared" si="130"/>
        <v>0</v>
      </c>
      <c r="AH63" s="132">
        <f t="shared" si="130"/>
        <v>0</v>
      </c>
      <c r="AI63" s="132">
        <f t="shared" si="130"/>
        <v>0</v>
      </c>
      <c r="AJ63" s="132">
        <f t="shared" si="130"/>
        <v>0</v>
      </c>
      <c r="AK63" s="132">
        <f t="shared" si="130"/>
        <v>0</v>
      </c>
      <c r="AL63" s="132">
        <f t="shared" si="130"/>
        <v>0</v>
      </c>
      <c r="AM63" s="132">
        <f t="shared" si="130"/>
        <v>0</v>
      </c>
      <c r="AN63" s="132">
        <f t="shared" si="130"/>
        <v>0</v>
      </c>
      <c r="AO63" s="132">
        <f t="shared" si="130"/>
        <v>0</v>
      </c>
      <c r="AP63" s="132">
        <f t="shared" si="130"/>
        <v>0</v>
      </c>
      <c r="AQ63" s="132">
        <f t="shared" si="130"/>
        <v>0</v>
      </c>
      <c r="AR63" s="132">
        <f t="shared" si="130"/>
        <v>0</v>
      </c>
      <c r="AS63" s="132">
        <f t="shared" si="130"/>
        <v>0</v>
      </c>
      <c r="AT63" s="132">
        <f t="shared" si="130"/>
        <v>0</v>
      </c>
      <c r="AU63" s="132">
        <f t="shared" si="130"/>
        <v>0</v>
      </c>
      <c r="AV63" s="132">
        <f t="shared" si="130"/>
        <v>0</v>
      </c>
      <c r="AW63" s="132">
        <f t="shared" si="130"/>
        <v>0</v>
      </c>
      <c r="AX63" s="132">
        <f t="shared" si="130"/>
        <v>0</v>
      </c>
      <c r="AY63" s="132">
        <f t="shared" si="130"/>
        <v>0</v>
      </c>
      <c r="AZ63" s="132">
        <f t="shared" si="130"/>
        <v>0</v>
      </c>
      <c r="BA63" s="132">
        <f t="shared" si="130"/>
        <v>0</v>
      </c>
      <c r="BB63" s="132">
        <f t="shared" si="130"/>
        <v>0</v>
      </c>
      <c r="BC63" s="132">
        <f t="shared" si="130"/>
        <v>0</v>
      </c>
      <c r="BD63" s="132">
        <f t="shared" si="130"/>
        <v>0</v>
      </c>
      <c r="BE63" s="132">
        <f t="shared" si="130"/>
        <v>0</v>
      </c>
      <c r="BF63" s="132">
        <f t="shared" si="130"/>
        <v>0</v>
      </c>
      <c r="BG63" s="132">
        <f t="shared" si="130"/>
        <v>0</v>
      </c>
      <c r="BH63" s="132">
        <f t="shared" si="130"/>
        <v>0</v>
      </c>
      <c r="BI63" s="132">
        <f t="shared" si="130"/>
        <v>0</v>
      </c>
      <c r="BJ63" s="132">
        <f t="shared" si="130"/>
        <v>0</v>
      </c>
      <c r="BK63" s="132">
        <f t="shared" si="130"/>
        <v>19782694.305528276</v>
      </c>
      <c r="BL63" s="132" t="str">
        <f t="shared" si="130"/>
        <v/>
      </c>
      <c r="BM63" s="132" t="str">
        <f t="shared" si="130"/>
        <v/>
      </c>
      <c r="BN63" s="132" t="str">
        <f t="shared" si="130"/>
        <v/>
      </c>
      <c r="BO63" s="132" t="str">
        <f t="shared" si="130"/>
        <v/>
      </c>
      <c r="BP63" s="132" t="str">
        <f t="shared" si="130"/>
        <v/>
      </c>
      <c r="BQ63" s="132" t="str">
        <f t="shared" ref="BQ63:DS63" si="131">BQ40</f>
        <v/>
      </c>
      <c r="BR63" s="132" t="str">
        <f t="shared" si="131"/>
        <v/>
      </c>
      <c r="BS63" s="132" t="str">
        <f t="shared" si="131"/>
        <v/>
      </c>
      <c r="BT63" s="132" t="str">
        <f t="shared" si="131"/>
        <v/>
      </c>
      <c r="BU63" s="132" t="str">
        <f t="shared" si="131"/>
        <v/>
      </c>
      <c r="BV63" s="132" t="str">
        <f t="shared" si="131"/>
        <v/>
      </c>
      <c r="BW63" s="132" t="str">
        <f t="shared" si="131"/>
        <v/>
      </c>
      <c r="BX63" s="132" t="str">
        <f t="shared" si="131"/>
        <v/>
      </c>
      <c r="BY63" s="132" t="str">
        <f t="shared" si="131"/>
        <v/>
      </c>
      <c r="BZ63" s="132" t="str">
        <f t="shared" si="131"/>
        <v/>
      </c>
      <c r="CA63" s="132" t="str">
        <f t="shared" si="131"/>
        <v/>
      </c>
      <c r="CB63" s="132" t="str">
        <f t="shared" si="131"/>
        <v/>
      </c>
      <c r="CC63" s="132" t="str">
        <f t="shared" si="131"/>
        <v/>
      </c>
      <c r="CD63" s="132" t="str">
        <f t="shared" si="131"/>
        <v/>
      </c>
      <c r="CE63" s="132" t="str">
        <f t="shared" si="131"/>
        <v/>
      </c>
      <c r="CF63" s="132" t="str">
        <f t="shared" si="131"/>
        <v/>
      </c>
      <c r="CG63" s="132" t="str">
        <f t="shared" si="131"/>
        <v/>
      </c>
      <c r="CH63" s="132" t="str">
        <f t="shared" si="131"/>
        <v/>
      </c>
      <c r="CI63" s="132" t="str">
        <f t="shared" si="131"/>
        <v/>
      </c>
      <c r="CJ63" s="132" t="str">
        <f t="shared" si="131"/>
        <v/>
      </c>
      <c r="CK63" s="132" t="str">
        <f t="shared" si="131"/>
        <v/>
      </c>
      <c r="CL63" s="132" t="str">
        <f t="shared" si="131"/>
        <v/>
      </c>
      <c r="CM63" s="132" t="str">
        <f t="shared" si="131"/>
        <v/>
      </c>
      <c r="CN63" s="132" t="str">
        <f t="shared" si="131"/>
        <v/>
      </c>
      <c r="CO63" s="132" t="str">
        <f t="shared" si="131"/>
        <v/>
      </c>
      <c r="CP63" s="132" t="str">
        <f t="shared" si="131"/>
        <v/>
      </c>
      <c r="CQ63" s="132" t="str">
        <f t="shared" si="131"/>
        <v/>
      </c>
      <c r="CR63" s="132" t="str">
        <f t="shared" si="131"/>
        <v/>
      </c>
      <c r="CS63" s="132" t="str">
        <f t="shared" si="131"/>
        <v/>
      </c>
      <c r="CT63" s="132" t="str">
        <f t="shared" si="131"/>
        <v/>
      </c>
      <c r="CU63" s="132" t="str">
        <f t="shared" si="131"/>
        <v/>
      </c>
      <c r="CV63" s="132" t="str">
        <f t="shared" si="131"/>
        <v/>
      </c>
      <c r="CW63" s="132" t="str">
        <f t="shared" si="131"/>
        <v/>
      </c>
      <c r="CX63" s="132" t="str">
        <f t="shared" si="131"/>
        <v/>
      </c>
      <c r="CY63" s="132" t="str">
        <f t="shared" si="131"/>
        <v/>
      </c>
      <c r="CZ63" s="132" t="str">
        <f t="shared" si="131"/>
        <v/>
      </c>
      <c r="DA63" s="132" t="str">
        <f t="shared" si="131"/>
        <v/>
      </c>
      <c r="DB63" s="132" t="str">
        <f t="shared" si="131"/>
        <v/>
      </c>
      <c r="DC63" s="132" t="str">
        <f t="shared" si="131"/>
        <v/>
      </c>
      <c r="DD63" s="132" t="str">
        <f t="shared" si="131"/>
        <v/>
      </c>
      <c r="DE63" s="132" t="str">
        <f t="shared" si="131"/>
        <v/>
      </c>
      <c r="DF63" s="132" t="str">
        <f t="shared" si="131"/>
        <v/>
      </c>
      <c r="DG63" s="132" t="str">
        <f t="shared" si="131"/>
        <v/>
      </c>
      <c r="DH63" s="132" t="str">
        <f t="shared" si="131"/>
        <v/>
      </c>
      <c r="DI63" s="132" t="str">
        <f t="shared" si="131"/>
        <v/>
      </c>
      <c r="DJ63" s="132" t="str">
        <f t="shared" si="131"/>
        <v/>
      </c>
      <c r="DK63" s="132" t="str">
        <f t="shared" si="131"/>
        <v/>
      </c>
      <c r="DL63" s="132" t="str">
        <f t="shared" si="131"/>
        <v/>
      </c>
      <c r="DM63" s="132" t="str">
        <f t="shared" si="131"/>
        <v/>
      </c>
      <c r="DN63" s="132" t="str">
        <f t="shared" si="131"/>
        <v/>
      </c>
      <c r="DO63" s="132" t="str">
        <f t="shared" si="131"/>
        <v/>
      </c>
      <c r="DP63" s="132" t="str">
        <f t="shared" si="131"/>
        <v/>
      </c>
      <c r="DQ63" s="132" t="str">
        <f t="shared" si="131"/>
        <v/>
      </c>
      <c r="DR63" s="132" t="str">
        <f t="shared" si="131"/>
        <v/>
      </c>
      <c r="DS63" s="132" t="str">
        <f t="shared" si="131"/>
        <v/>
      </c>
    </row>
    <row r="64" spans="1:123" x14ac:dyDescent="0.3">
      <c r="B64" t="str">
        <f>B41</f>
        <v>Disposal Cost</v>
      </c>
      <c r="D64" s="132">
        <f>D41</f>
        <v>0</v>
      </c>
      <c r="E64" s="132">
        <f t="shared" ref="E64:BP64" si="132">E41</f>
        <v>0</v>
      </c>
      <c r="F64" s="132">
        <f t="shared" si="132"/>
        <v>0</v>
      </c>
      <c r="G64" s="132">
        <f t="shared" si="132"/>
        <v>0</v>
      </c>
      <c r="H64" s="132">
        <f t="shared" si="132"/>
        <v>0</v>
      </c>
      <c r="I64" s="132">
        <f t="shared" si="132"/>
        <v>0</v>
      </c>
      <c r="J64" s="132">
        <f t="shared" si="132"/>
        <v>0</v>
      </c>
      <c r="K64" s="132">
        <f t="shared" si="132"/>
        <v>0</v>
      </c>
      <c r="L64" s="132">
        <f t="shared" si="132"/>
        <v>0</v>
      </c>
      <c r="M64" s="132">
        <f t="shared" si="132"/>
        <v>0</v>
      </c>
      <c r="N64" s="132">
        <f t="shared" si="132"/>
        <v>0</v>
      </c>
      <c r="O64" s="132">
        <f t="shared" si="132"/>
        <v>0</v>
      </c>
      <c r="P64" s="132">
        <f t="shared" si="132"/>
        <v>0</v>
      </c>
      <c r="Q64" s="132">
        <f t="shared" si="132"/>
        <v>0</v>
      </c>
      <c r="R64" s="132">
        <f t="shared" si="132"/>
        <v>0</v>
      </c>
      <c r="S64" s="132">
        <f t="shared" si="132"/>
        <v>0</v>
      </c>
      <c r="T64" s="132">
        <f t="shared" si="132"/>
        <v>0</v>
      </c>
      <c r="U64" s="132">
        <f t="shared" si="132"/>
        <v>0</v>
      </c>
      <c r="V64" s="132">
        <f t="shared" si="132"/>
        <v>0</v>
      </c>
      <c r="W64" s="132">
        <f t="shared" si="132"/>
        <v>0</v>
      </c>
      <c r="X64" s="132">
        <f t="shared" si="132"/>
        <v>0</v>
      </c>
      <c r="Y64" s="132">
        <f t="shared" si="132"/>
        <v>0</v>
      </c>
      <c r="Z64" s="132">
        <f t="shared" si="132"/>
        <v>0</v>
      </c>
      <c r="AA64" s="132">
        <f t="shared" si="132"/>
        <v>0</v>
      </c>
      <c r="AB64" s="132">
        <f t="shared" si="132"/>
        <v>0</v>
      </c>
      <c r="AC64" s="132">
        <f t="shared" si="132"/>
        <v>0</v>
      </c>
      <c r="AD64" s="132">
        <f t="shared" si="132"/>
        <v>0</v>
      </c>
      <c r="AE64" s="132">
        <f t="shared" si="132"/>
        <v>0</v>
      </c>
      <c r="AF64" s="132">
        <f t="shared" si="132"/>
        <v>0</v>
      </c>
      <c r="AG64" s="132">
        <f t="shared" si="132"/>
        <v>0</v>
      </c>
      <c r="AH64" s="132">
        <f t="shared" si="132"/>
        <v>0</v>
      </c>
      <c r="AI64" s="132">
        <f t="shared" si="132"/>
        <v>0</v>
      </c>
      <c r="AJ64" s="132">
        <f t="shared" si="132"/>
        <v>0</v>
      </c>
      <c r="AK64" s="132">
        <f t="shared" si="132"/>
        <v>0</v>
      </c>
      <c r="AL64" s="132">
        <f t="shared" si="132"/>
        <v>0</v>
      </c>
      <c r="AM64" s="132">
        <f t="shared" si="132"/>
        <v>0</v>
      </c>
      <c r="AN64" s="132">
        <f t="shared" si="132"/>
        <v>0</v>
      </c>
      <c r="AO64" s="132">
        <f t="shared" si="132"/>
        <v>0</v>
      </c>
      <c r="AP64" s="132">
        <f t="shared" si="132"/>
        <v>0</v>
      </c>
      <c r="AQ64" s="132">
        <f t="shared" si="132"/>
        <v>0</v>
      </c>
      <c r="AR64" s="132">
        <f t="shared" si="132"/>
        <v>0</v>
      </c>
      <c r="AS64" s="132">
        <f t="shared" si="132"/>
        <v>0</v>
      </c>
      <c r="AT64" s="132">
        <f t="shared" si="132"/>
        <v>0</v>
      </c>
      <c r="AU64" s="132">
        <f t="shared" si="132"/>
        <v>0</v>
      </c>
      <c r="AV64" s="132">
        <f t="shared" si="132"/>
        <v>0</v>
      </c>
      <c r="AW64" s="132">
        <f t="shared" si="132"/>
        <v>0</v>
      </c>
      <c r="AX64" s="132">
        <f t="shared" si="132"/>
        <v>0</v>
      </c>
      <c r="AY64" s="132">
        <f t="shared" si="132"/>
        <v>0</v>
      </c>
      <c r="AZ64" s="132">
        <f t="shared" si="132"/>
        <v>0</v>
      </c>
      <c r="BA64" s="132">
        <f t="shared" si="132"/>
        <v>0</v>
      </c>
      <c r="BB64" s="132">
        <f t="shared" si="132"/>
        <v>0</v>
      </c>
      <c r="BC64" s="132">
        <f t="shared" si="132"/>
        <v>0</v>
      </c>
      <c r="BD64" s="132">
        <f t="shared" si="132"/>
        <v>0</v>
      </c>
      <c r="BE64" s="132">
        <f t="shared" si="132"/>
        <v>0</v>
      </c>
      <c r="BF64" s="132">
        <f t="shared" si="132"/>
        <v>0</v>
      </c>
      <c r="BG64" s="132">
        <f t="shared" si="132"/>
        <v>0</v>
      </c>
      <c r="BH64" s="132">
        <f t="shared" si="132"/>
        <v>0</v>
      </c>
      <c r="BI64" s="132">
        <f t="shared" si="132"/>
        <v>0</v>
      </c>
      <c r="BJ64" s="132">
        <f t="shared" si="132"/>
        <v>0</v>
      </c>
      <c r="BK64" s="132">
        <f t="shared" si="132"/>
        <v>-1345223.2127759228</v>
      </c>
      <c r="BL64" s="132" t="str">
        <f t="shared" si="132"/>
        <v/>
      </c>
      <c r="BM64" s="132" t="str">
        <f t="shared" si="132"/>
        <v/>
      </c>
      <c r="BN64" s="132" t="str">
        <f t="shared" si="132"/>
        <v/>
      </c>
      <c r="BO64" s="132" t="str">
        <f t="shared" si="132"/>
        <v/>
      </c>
      <c r="BP64" s="132" t="str">
        <f t="shared" si="132"/>
        <v/>
      </c>
      <c r="BQ64" s="132" t="str">
        <f t="shared" ref="BQ64:DS64" si="133">BQ41</f>
        <v/>
      </c>
      <c r="BR64" s="132" t="str">
        <f t="shared" si="133"/>
        <v/>
      </c>
      <c r="BS64" s="132" t="str">
        <f t="shared" si="133"/>
        <v/>
      </c>
      <c r="BT64" s="132" t="str">
        <f t="shared" si="133"/>
        <v/>
      </c>
      <c r="BU64" s="132" t="str">
        <f t="shared" si="133"/>
        <v/>
      </c>
      <c r="BV64" s="132" t="str">
        <f t="shared" si="133"/>
        <v/>
      </c>
      <c r="BW64" s="132" t="str">
        <f t="shared" si="133"/>
        <v/>
      </c>
      <c r="BX64" s="132" t="str">
        <f t="shared" si="133"/>
        <v/>
      </c>
      <c r="BY64" s="132" t="str">
        <f t="shared" si="133"/>
        <v/>
      </c>
      <c r="BZ64" s="132" t="str">
        <f t="shared" si="133"/>
        <v/>
      </c>
      <c r="CA64" s="132" t="str">
        <f t="shared" si="133"/>
        <v/>
      </c>
      <c r="CB64" s="132" t="str">
        <f t="shared" si="133"/>
        <v/>
      </c>
      <c r="CC64" s="132" t="str">
        <f t="shared" si="133"/>
        <v/>
      </c>
      <c r="CD64" s="132" t="str">
        <f t="shared" si="133"/>
        <v/>
      </c>
      <c r="CE64" s="132" t="str">
        <f t="shared" si="133"/>
        <v/>
      </c>
      <c r="CF64" s="132" t="str">
        <f t="shared" si="133"/>
        <v/>
      </c>
      <c r="CG64" s="132" t="str">
        <f t="shared" si="133"/>
        <v/>
      </c>
      <c r="CH64" s="132" t="str">
        <f t="shared" si="133"/>
        <v/>
      </c>
      <c r="CI64" s="132" t="str">
        <f t="shared" si="133"/>
        <v/>
      </c>
      <c r="CJ64" s="132" t="str">
        <f t="shared" si="133"/>
        <v/>
      </c>
      <c r="CK64" s="132" t="str">
        <f t="shared" si="133"/>
        <v/>
      </c>
      <c r="CL64" s="132" t="str">
        <f t="shared" si="133"/>
        <v/>
      </c>
      <c r="CM64" s="132" t="str">
        <f t="shared" si="133"/>
        <v/>
      </c>
      <c r="CN64" s="132" t="str">
        <f t="shared" si="133"/>
        <v/>
      </c>
      <c r="CO64" s="132" t="str">
        <f t="shared" si="133"/>
        <v/>
      </c>
      <c r="CP64" s="132" t="str">
        <f t="shared" si="133"/>
        <v/>
      </c>
      <c r="CQ64" s="132" t="str">
        <f t="shared" si="133"/>
        <v/>
      </c>
      <c r="CR64" s="132" t="str">
        <f t="shared" si="133"/>
        <v/>
      </c>
      <c r="CS64" s="132" t="str">
        <f t="shared" si="133"/>
        <v/>
      </c>
      <c r="CT64" s="132" t="str">
        <f t="shared" si="133"/>
        <v/>
      </c>
      <c r="CU64" s="132" t="str">
        <f t="shared" si="133"/>
        <v/>
      </c>
      <c r="CV64" s="132" t="str">
        <f t="shared" si="133"/>
        <v/>
      </c>
      <c r="CW64" s="132" t="str">
        <f t="shared" si="133"/>
        <v/>
      </c>
      <c r="CX64" s="132" t="str">
        <f t="shared" si="133"/>
        <v/>
      </c>
      <c r="CY64" s="132" t="str">
        <f t="shared" si="133"/>
        <v/>
      </c>
      <c r="CZ64" s="132" t="str">
        <f t="shared" si="133"/>
        <v/>
      </c>
      <c r="DA64" s="132" t="str">
        <f t="shared" si="133"/>
        <v/>
      </c>
      <c r="DB64" s="132" t="str">
        <f t="shared" si="133"/>
        <v/>
      </c>
      <c r="DC64" s="132" t="str">
        <f t="shared" si="133"/>
        <v/>
      </c>
      <c r="DD64" s="132" t="str">
        <f t="shared" si="133"/>
        <v/>
      </c>
      <c r="DE64" s="132" t="str">
        <f t="shared" si="133"/>
        <v/>
      </c>
      <c r="DF64" s="132" t="str">
        <f t="shared" si="133"/>
        <v/>
      </c>
      <c r="DG64" s="132" t="str">
        <f t="shared" si="133"/>
        <v/>
      </c>
      <c r="DH64" s="132" t="str">
        <f t="shared" si="133"/>
        <v/>
      </c>
      <c r="DI64" s="132" t="str">
        <f t="shared" si="133"/>
        <v/>
      </c>
      <c r="DJ64" s="132" t="str">
        <f t="shared" si="133"/>
        <v/>
      </c>
      <c r="DK64" s="132" t="str">
        <f t="shared" si="133"/>
        <v/>
      </c>
      <c r="DL64" s="132" t="str">
        <f t="shared" si="133"/>
        <v/>
      </c>
      <c r="DM64" s="132" t="str">
        <f t="shared" si="133"/>
        <v/>
      </c>
      <c r="DN64" s="132" t="str">
        <f t="shared" si="133"/>
        <v/>
      </c>
      <c r="DO64" s="132" t="str">
        <f t="shared" si="133"/>
        <v/>
      </c>
      <c r="DP64" s="132" t="str">
        <f t="shared" si="133"/>
        <v/>
      </c>
      <c r="DQ64" s="132" t="str">
        <f t="shared" si="133"/>
        <v/>
      </c>
      <c r="DR64" s="132" t="str">
        <f t="shared" si="133"/>
        <v/>
      </c>
      <c r="DS64" s="132" t="str">
        <f t="shared" si="133"/>
        <v/>
      </c>
    </row>
    <row r="65" spans="2:123" x14ac:dyDescent="0.3">
      <c r="B65" t="s">
        <v>144</v>
      </c>
      <c r="D65" s="132">
        <f>-IF(D6='Input Assumptions'!$C$6,'Debt Assumptions'!$Q$4,0)</f>
        <v>0</v>
      </c>
      <c r="E65" s="132">
        <f>-IF(E6='Input Assumptions'!$C$6,'Debt Assumptions'!$Q$4,0)</f>
        <v>0</v>
      </c>
      <c r="F65" s="132">
        <f>-IF(F6='Input Assumptions'!$C$6,'Debt Assumptions'!$Q$4,0)</f>
        <v>0</v>
      </c>
      <c r="G65" s="132">
        <f>-IF(G6='Input Assumptions'!$C$6,'Debt Assumptions'!$Q$4,0)</f>
        <v>0</v>
      </c>
      <c r="H65" s="132">
        <f>-IF(H6='Input Assumptions'!$C$6,'Debt Assumptions'!$Q$4,0)</f>
        <v>0</v>
      </c>
      <c r="I65" s="132">
        <f>-IF(I6='Input Assumptions'!$C$6,'Debt Assumptions'!$Q$4,0)</f>
        <v>0</v>
      </c>
      <c r="J65" s="132">
        <f>-IF(J6='Input Assumptions'!$C$6,'Debt Assumptions'!$Q$4,0)</f>
        <v>0</v>
      </c>
      <c r="K65" s="132">
        <f>-IF(K6='Input Assumptions'!$C$6,'Debt Assumptions'!$Q$4,0)</f>
        <v>0</v>
      </c>
      <c r="L65" s="132">
        <f>-IF(L6='Input Assumptions'!$C$6,'Debt Assumptions'!$Q$4,0)</f>
        <v>0</v>
      </c>
      <c r="M65" s="132">
        <f>-IF(M6='Input Assumptions'!$C$6,'Debt Assumptions'!$Q$4,0)</f>
        <v>0</v>
      </c>
      <c r="N65" s="132">
        <f>-IF(N6='Input Assumptions'!$C$6,'Debt Assumptions'!$Q$4,0)</f>
        <v>0</v>
      </c>
      <c r="O65" s="132">
        <f>-IF(O6='Input Assumptions'!$C$6,'Debt Assumptions'!$Q$4,0)</f>
        <v>0</v>
      </c>
      <c r="P65" s="132">
        <f>-IF(P6='Input Assumptions'!$C$6,'Debt Assumptions'!$Q$4,0)</f>
        <v>0</v>
      </c>
      <c r="Q65" s="132">
        <f>-IF(Q6='Input Assumptions'!$C$6,'Debt Assumptions'!$Q$4,0)</f>
        <v>0</v>
      </c>
      <c r="R65" s="132">
        <f>-IF(R6='Input Assumptions'!$C$6,'Debt Assumptions'!$Q$4,0)</f>
        <v>0</v>
      </c>
      <c r="S65" s="132">
        <f>-IF(S6='Input Assumptions'!$C$6,'Debt Assumptions'!$Q$4,0)</f>
        <v>0</v>
      </c>
      <c r="T65" s="132">
        <f>-IF(T6='Input Assumptions'!$C$6,'Debt Assumptions'!$Q$4,0)</f>
        <v>0</v>
      </c>
      <c r="U65" s="132">
        <f>-IF(U6='Input Assumptions'!$C$6,'Debt Assumptions'!$Q$4,0)</f>
        <v>0</v>
      </c>
      <c r="V65" s="132">
        <f>-IF(V6='Input Assumptions'!$C$6,'Debt Assumptions'!$Q$4,0)</f>
        <v>0</v>
      </c>
      <c r="W65" s="132">
        <f>-IF(W6='Input Assumptions'!$C$6,'Debt Assumptions'!$Q$4,0)</f>
        <v>0</v>
      </c>
      <c r="X65" s="132">
        <f>-IF(X6='Input Assumptions'!$C$6,'Debt Assumptions'!$Q$4,0)</f>
        <v>0</v>
      </c>
      <c r="Y65" s="132">
        <f>-IF(Y6='Input Assumptions'!$C$6,'Debt Assumptions'!$Q$4,0)</f>
        <v>0</v>
      </c>
      <c r="Z65" s="132">
        <f>-IF(Z6='Input Assumptions'!$C$6,'Debt Assumptions'!$Q$4,0)</f>
        <v>0</v>
      </c>
      <c r="AA65" s="132">
        <f>-IF(AA6='Input Assumptions'!$C$6,'Debt Assumptions'!$Q$4,0)</f>
        <v>0</v>
      </c>
      <c r="AB65" s="132">
        <f>-IF(AB6='Input Assumptions'!$C$6,'Debt Assumptions'!$Q$4,0)</f>
        <v>0</v>
      </c>
      <c r="AC65" s="132">
        <f>-IF(AC6='Input Assumptions'!$C$6,'Debt Assumptions'!$Q$4,0)</f>
        <v>0</v>
      </c>
      <c r="AD65" s="132">
        <f>-IF(AD6='Input Assumptions'!$C$6,'Debt Assumptions'!$Q$4,0)</f>
        <v>0</v>
      </c>
      <c r="AE65" s="132">
        <f>-IF(AE6='Input Assumptions'!$C$6,'Debt Assumptions'!$Q$4,0)</f>
        <v>0</v>
      </c>
      <c r="AF65" s="132">
        <f>-IF(AF6='Input Assumptions'!$C$6,'Debt Assumptions'!$Q$4,0)</f>
        <v>0</v>
      </c>
      <c r="AG65" s="132">
        <f>-IF(AG6='Input Assumptions'!$C$6,'Debt Assumptions'!$Q$4,0)</f>
        <v>0</v>
      </c>
      <c r="AH65" s="132">
        <f>-IF(AH6='Input Assumptions'!$C$6,'Debt Assumptions'!$Q$4,0)</f>
        <v>0</v>
      </c>
      <c r="AI65" s="132">
        <f>-IF(AI6='Input Assumptions'!$C$6,'Debt Assumptions'!$Q$4,0)</f>
        <v>0</v>
      </c>
      <c r="AJ65" s="132">
        <f>-IF(AJ6='Input Assumptions'!$C$6,'Debt Assumptions'!$Q$4,0)</f>
        <v>0</v>
      </c>
      <c r="AK65" s="132">
        <f>-IF(AK6='Input Assumptions'!$C$6,'Debt Assumptions'!$Q$4,0)</f>
        <v>0</v>
      </c>
      <c r="AL65" s="132">
        <f>-IF(AL6='Input Assumptions'!$C$6,'Debt Assumptions'!$Q$4,0)</f>
        <v>0</v>
      </c>
      <c r="AM65" s="132">
        <f>-IF(AM6='Input Assumptions'!$C$6,'Debt Assumptions'!$Q$4,0)</f>
        <v>0</v>
      </c>
      <c r="AN65" s="132">
        <f>-IF(AN6='Input Assumptions'!$C$6,'Debt Assumptions'!$Q$4,0)</f>
        <v>0</v>
      </c>
      <c r="AO65" s="132">
        <f>-IF(AO6='Input Assumptions'!$C$6,'Debt Assumptions'!$Q$4,0)</f>
        <v>0</v>
      </c>
      <c r="AP65" s="132">
        <f>-IF(AP6='Input Assumptions'!$C$6,'Debt Assumptions'!$Q$4,0)</f>
        <v>0</v>
      </c>
      <c r="AQ65" s="132">
        <f>-IF(AQ6='Input Assumptions'!$C$6,'Debt Assumptions'!$Q$4,0)</f>
        <v>0</v>
      </c>
      <c r="AR65" s="132">
        <f>-IF(AR6='Input Assumptions'!$C$6,'Debt Assumptions'!$Q$4,0)</f>
        <v>0</v>
      </c>
      <c r="AS65" s="132">
        <f>-IF(AS6='Input Assumptions'!$C$6,'Debt Assumptions'!$Q$4,0)</f>
        <v>0</v>
      </c>
      <c r="AT65" s="132">
        <f>-IF(AT6='Input Assumptions'!$C$6,'Debt Assumptions'!$Q$4,0)</f>
        <v>0</v>
      </c>
      <c r="AU65" s="132">
        <f>-IF(AU6='Input Assumptions'!$C$6,'Debt Assumptions'!$Q$4,0)</f>
        <v>0</v>
      </c>
      <c r="AV65" s="132">
        <f>-IF(AV6='Input Assumptions'!$C$6,'Debt Assumptions'!$Q$4,0)</f>
        <v>0</v>
      </c>
      <c r="AW65" s="132">
        <f>-IF(AW6='Input Assumptions'!$C$6,'Debt Assumptions'!$Q$4,0)</f>
        <v>0</v>
      </c>
      <c r="AX65" s="132">
        <f>-IF(AX6='Input Assumptions'!$C$6,'Debt Assumptions'!$Q$4,0)</f>
        <v>0</v>
      </c>
      <c r="AY65" s="132">
        <f>-IF(AY6='Input Assumptions'!$C$6,'Debt Assumptions'!$Q$4,0)</f>
        <v>0</v>
      </c>
      <c r="AZ65" s="132">
        <f>-IF(AZ6='Input Assumptions'!$C$6,'Debt Assumptions'!$Q$4,0)</f>
        <v>0</v>
      </c>
      <c r="BA65" s="132">
        <f>-IF(BA6='Input Assumptions'!$C$6,'Debt Assumptions'!$Q$4,0)</f>
        <v>0</v>
      </c>
      <c r="BB65" s="132">
        <f>-IF(BB6='Input Assumptions'!$C$6,'Debt Assumptions'!$Q$4,0)</f>
        <v>0</v>
      </c>
      <c r="BC65" s="132">
        <f>-IF(BC6='Input Assumptions'!$C$6,'Debt Assumptions'!$Q$4,0)</f>
        <v>0</v>
      </c>
      <c r="BD65" s="132">
        <f>-IF(BD6='Input Assumptions'!$C$6,'Debt Assumptions'!$Q$4,0)</f>
        <v>0</v>
      </c>
      <c r="BE65" s="132">
        <f>-IF(BE6='Input Assumptions'!$C$6,'Debt Assumptions'!$Q$4,0)</f>
        <v>0</v>
      </c>
      <c r="BF65" s="132">
        <f>-IF(BF6='Input Assumptions'!$C$6,'Debt Assumptions'!$Q$4,0)</f>
        <v>0</v>
      </c>
      <c r="BG65" s="132">
        <f>-IF(BG6='Input Assumptions'!$C$6,'Debt Assumptions'!$Q$4,0)</f>
        <v>0</v>
      </c>
      <c r="BH65" s="132">
        <f>-IF(BH6='Input Assumptions'!$C$6,'Debt Assumptions'!$Q$4,0)</f>
        <v>0</v>
      </c>
      <c r="BI65" s="132">
        <f>-IF(BI6='Input Assumptions'!$C$6,'Debt Assumptions'!$Q$4,0)</f>
        <v>0</v>
      </c>
      <c r="BJ65" s="132">
        <f>-IF(BJ6='Input Assumptions'!$C$6,'Debt Assumptions'!$Q$4,0)</f>
        <v>0</v>
      </c>
      <c r="BK65" s="132">
        <f>-IF(BK6='Input Assumptions'!$C$6,'Debt Assumptions'!$Q$4,0)</f>
        <v>-12199999.999999866</v>
      </c>
      <c r="BL65" s="132">
        <f>-IF(BL6='Input Assumptions'!$C$6,'Debt Assumptions'!$Q$4,0)</f>
        <v>0</v>
      </c>
      <c r="BM65" s="132">
        <f>-IF(BM6='Input Assumptions'!$C$6,'Debt Assumptions'!$Q$4,0)</f>
        <v>0</v>
      </c>
      <c r="BN65" s="132">
        <f>-IF(BN6='Input Assumptions'!$C$6,'Debt Assumptions'!$Q$4,0)</f>
        <v>0</v>
      </c>
      <c r="BO65" s="132">
        <f>-IF(BO6='Input Assumptions'!$C$6,'Debt Assumptions'!$Q$4,0)</f>
        <v>0</v>
      </c>
      <c r="BP65" s="132">
        <f>-IF(BP6='Input Assumptions'!$C$6,'Debt Assumptions'!$Q$4,0)</f>
        <v>0</v>
      </c>
      <c r="BQ65" s="132">
        <f>-IF(BQ6='Input Assumptions'!$C$6,'Debt Assumptions'!$Q$4,0)</f>
        <v>0</v>
      </c>
      <c r="BR65" s="132">
        <f>-IF(BR6='Input Assumptions'!$C$6,'Debt Assumptions'!$Q$4,0)</f>
        <v>0</v>
      </c>
      <c r="BS65" s="132">
        <f>-IF(BS6='Input Assumptions'!$C$6,'Debt Assumptions'!$Q$4,0)</f>
        <v>0</v>
      </c>
      <c r="BT65" s="132">
        <f>-IF(BT6='Input Assumptions'!$C$6,'Debt Assumptions'!$Q$4,0)</f>
        <v>0</v>
      </c>
      <c r="BU65" s="132">
        <f>-IF(BU6='Input Assumptions'!$C$6,'Debt Assumptions'!$Q$4,0)</f>
        <v>0</v>
      </c>
      <c r="BV65" s="132">
        <f>-IF(BV6='Input Assumptions'!$C$6,'Debt Assumptions'!$Q$4,0)</f>
        <v>0</v>
      </c>
      <c r="BW65" s="132">
        <f>-IF(BW6='Input Assumptions'!$C$6,'Debt Assumptions'!$Q$4,0)</f>
        <v>0</v>
      </c>
      <c r="BX65" s="132">
        <f>-IF(BX6='Input Assumptions'!$C$6,'Debt Assumptions'!$Q$4,0)</f>
        <v>0</v>
      </c>
      <c r="BY65" s="132">
        <f>-IF(BY6='Input Assumptions'!$C$6,'Debt Assumptions'!$Q$4,0)</f>
        <v>0</v>
      </c>
      <c r="BZ65" s="132">
        <f>-IF(BZ6='Input Assumptions'!$C$6,'Debt Assumptions'!$Q$4,0)</f>
        <v>0</v>
      </c>
      <c r="CA65" s="132">
        <f>-IF(CA6='Input Assumptions'!$C$6,'Debt Assumptions'!$Q$4,0)</f>
        <v>0</v>
      </c>
      <c r="CB65" s="132">
        <f>-IF(CB6='Input Assumptions'!$C$6,'Debt Assumptions'!$Q$4,0)</f>
        <v>0</v>
      </c>
      <c r="CC65" s="132">
        <f>-IF(CC6='Input Assumptions'!$C$6,'Debt Assumptions'!$Q$4,0)</f>
        <v>0</v>
      </c>
      <c r="CD65" s="132">
        <f>-IF(CD6='Input Assumptions'!$C$6,'Debt Assumptions'!$Q$4,0)</f>
        <v>0</v>
      </c>
      <c r="CE65" s="132">
        <f>-IF(CE6='Input Assumptions'!$C$6,'Debt Assumptions'!$Q$4,0)</f>
        <v>0</v>
      </c>
      <c r="CF65" s="132">
        <f>-IF(CF6='Input Assumptions'!$C$6,'Debt Assumptions'!$Q$4,0)</f>
        <v>0</v>
      </c>
      <c r="CG65" s="132">
        <f>-IF(CG6='Input Assumptions'!$C$6,'Debt Assumptions'!$Q$4,0)</f>
        <v>0</v>
      </c>
      <c r="CH65" s="132">
        <f>-IF(CH6='Input Assumptions'!$C$6,'Debt Assumptions'!$Q$4,0)</f>
        <v>0</v>
      </c>
      <c r="CI65" s="132">
        <f>-IF(CI6='Input Assumptions'!$C$6,'Debt Assumptions'!$Q$4,0)</f>
        <v>0</v>
      </c>
      <c r="CJ65" s="132">
        <f>-IF(CJ6='Input Assumptions'!$C$6,'Debt Assumptions'!$Q$4,0)</f>
        <v>0</v>
      </c>
      <c r="CK65" s="132">
        <f>-IF(CK6='Input Assumptions'!$C$6,'Debt Assumptions'!$Q$4,0)</f>
        <v>0</v>
      </c>
      <c r="CL65" s="132">
        <f>-IF(CL6='Input Assumptions'!$C$6,'Debt Assumptions'!$Q$4,0)</f>
        <v>0</v>
      </c>
      <c r="CM65" s="132">
        <f>-IF(CM6='Input Assumptions'!$C$6,'Debt Assumptions'!$Q$4,0)</f>
        <v>0</v>
      </c>
      <c r="CN65" s="132">
        <f>-IF(CN6='Input Assumptions'!$C$6,'Debt Assumptions'!$Q$4,0)</f>
        <v>0</v>
      </c>
      <c r="CO65" s="132">
        <f>-IF(CO6='Input Assumptions'!$C$6,'Debt Assumptions'!$Q$4,0)</f>
        <v>0</v>
      </c>
      <c r="CP65" s="132">
        <f>-IF(CP6='Input Assumptions'!$C$6,'Debt Assumptions'!$Q$4,0)</f>
        <v>0</v>
      </c>
      <c r="CQ65" s="132">
        <f>-IF(CQ6='Input Assumptions'!$C$6,'Debt Assumptions'!$Q$4,0)</f>
        <v>0</v>
      </c>
      <c r="CR65" s="132">
        <f>-IF(CR6='Input Assumptions'!$C$6,'Debt Assumptions'!$Q$4,0)</f>
        <v>0</v>
      </c>
      <c r="CS65" s="132">
        <f>-IF(CS6='Input Assumptions'!$C$6,'Debt Assumptions'!$Q$4,0)</f>
        <v>0</v>
      </c>
      <c r="CT65" s="132">
        <f>-IF(CT6='Input Assumptions'!$C$6,'Debt Assumptions'!$Q$4,0)</f>
        <v>0</v>
      </c>
      <c r="CU65" s="132">
        <f>-IF(CU6='Input Assumptions'!$C$6,'Debt Assumptions'!$Q$4,0)</f>
        <v>0</v>
      </c>
      <c r="CV65" s="132">
        <f>-IF(CV6='Input Assumptions'!$C$6,'Debt Assumptions'!$Q$4,0)</f>
        <v>0</v>
      </c>
      <c r="CW65" s="132">
        <f>-IF(CW6='Input Assumptions'!$C$6,'Debt Assumptions'!$Q$4,0)</f>
        <v>0</v>
      </c>
      <c r="CX65" s="132">
        <f>-IF(CX6='Input Assumptions'!$C$6,'Debt Assumptions'!$Q$4,0)</f>
        <v>0</v>
      </c>
      <c r="CY65" s="132">
        <f>-IF(CY6='Input Assumptions'!$C$6,'Debt Assumptions'!$Q$4,0)</f>
        <v>0</v>
      </c>
      <c r="CZ65" s="132">
        <f>-IF(CZ6='Input Assumptions'!$C$6,'Debt Assumptions'!$Q$4,0)</f>
        <v>0</v>
      </c>
      <c r="DA65" s="132">
        <f>-IF(DA6='Input Assumptions'!$C$6,'Debt Assumptions'!$Q$4,0)</f>
        <v>0</v>
      </c>
      <c r="DB65" s="132">
        <f>-IF(DB6='Input Assumptions'!$C$6,'Debt Assumptions'!$Q$4,0)</f>
        <v>0</v>
      </c>
      <c r="DC65" s="132">
        <f>-IF(DC6='Input Assumptions'!$C$6,'Debt Assumptions'!$Q$4,0)</f>
        <v>0</v>
      </c>
      <c r="DD65" s="132">
        <f>-IF(DD6='Input Assumptions'!$C$6,'Debt Assumptions'!$Q$4,0)</f>
        <v>0</v>
      </c>
      <c r="DE65" s="132">
        <f>-IF(DE6='Input Assumptions'!$C$6,'Debt Assumptions'!$Q$4,0)</f>
        <v>0</v>
      </c>
      <c r="DF65" s="132">
        <f>-IF(DF6='Input Assumptions'!$C$6,'Debt Assumptions'!$Q$4,0)</f>
        <v>0</v>
      </c>
      <c r="DG65" s="132">
        <f>-IF(DG6='Input Assumptions'!$C$6,'Debt Assumptions'!$Q$4,0)</f>
        <v>0</v>
      </c>
      <c r="DH65" s="132">
        <f>-IF(DH6='Input Assumptions'!$C$6,'Debt Assumptions'!$Q$4,0)</f>
        <v>0</v>
      </c>
      <c r="DI65" s="132">
        <f>-IF(DI6='Input Assumptions'!$C$6,'Debt Assumptions'!$Q$4,0)</f>
        <v>0</v>
      </c>
      <c r="DJ65" s="132">
        <f>-IF(DJ6='Input Assumptions'!$C$6,'Debt Assumptions'!$Q$4,0)</f>
        <v>0</v>
      </c>
      <c r="DK65" s="132">
        <f>-IF(DK6='Input Assumptions'!$C$6,'Debt Assumptions'!$Q$4,0)</f>
        <v>0</v>
      </c>
      <c r="DL65" s="132">
        <f>-IF(DL6='Input Assumptions'!$C$6,'Debt Assumptions'!$Q$4,0)</f>
        <v>0</v>
      </c>
      <c r="DM65" s="132">
        <f>-IF(DM6='Input Assumptions'!$C$6,'Debt Assumptions'!$Q$4,0)</f>
        <v>0</v>
      </c>
      <c r="DN65" s="132">
        <f>-IF(DN6='Input Assumptions'!$C$6,'Debt Assumptions'!$Q$4,0)</f>
        <v>0</v>
      </c>
      <c r="DO65" s="132">
        <f>-IF(DO6='Input Assumptions'!$C$6,'Debt Assumptions'!$Q$4,0)</f>
        <v>0</v>
      </c>
      <c r="DP65" s="132">
        <f>-IF(DP6='Input Assumptions'!$C$6,'Debt Assumptions'!$Q$4,0)</f>
        <v>0</v>
      </c>
      <c r="DQ65" s="132">
        <f>-IF(DQ6='Input Assumptions'!$C$6,'Debt Assumptions'!$Q$4,0)</f>
        <v>0</v>
      </c>
      <c r="DR65" s="132">
        <f>-IF(DR6='Input Assumptions'!$C$6,'Debt Assumptions'!$Q$4,0)</f>
        <v>0</v>
      </c>
      <c r="DS65" s="132">
        <f>-IF(DS6='Input Assumptions'!$C$6,'Debt Assumptions'!$Q$4,0)</f>
        <v>0</v>
      </c>
    </row>
    <row r="66" spans="2:123" x14ac:dyDescent="0.3">
      <c r="B66" s="107" t="s">
        <v>120</v>
      </c>
      <c r="C66" s="108"/>
      <c r="D66" s="133">
        <f t="shared" ref="D66:AI66" si="134">IF(D4=0,"",SUM(D63:D65))</f>
        <v>0</v>
      </c>
      <c r="E66" s="133">
        <f t="shared" si="134"/>
        <v>0</v>
      </c>
      <c r="F66" s="133">
        <f t="shared" si="134"/>
        <v>0</v>
      </c>
      <c r="G66" s="133">
        <f t="shared" si="134"/>
        <v>0</v>
      </c>
      <c r="H66" s="133">
        <f t="shared" si="134"/>
        <v>0</v>
      </c>
      <c r="I66" s="133">
        <f t="shared" si="134"/>
        <v>0</v>
      </c>
      <c r="J66" s="133">
        <f t="shared" si="134"/>
        <v>0</v>
      </c>
      <c r="K66" s="133">
        <f t="shared" si="134"/>
        <v>0</v>
      </c>
      <c r="L66" s="133">
        <f t="shared" si="134"/>
        <v>0</v>
      </c>
      <c r="M66" s="133">
        <f t="shared" si="134"/>
        <v>0</v>
      </c>
      <c r="N66" s="133">
        <f t="shared" si="134"/>
        <v>0</v>
      </c>
      <c r="O66" s="133">
        <f t="shared" si="134"/>
        <v>0</v>
      </c>
      <c r="P66" s="133">
        <f t="shared" si="134"/>
        <v>0</v>
      </c>
      <c r="Q66" s="133">
        <f t="shared" si="134"/>
        <v>0</v>
      </c>
      <c r="R66" s="133">
        <f t="shared" si="134"/>
        <v>0</v>
      </c>
      <c r="S66" s="133">
        <f t="shared" si="134"/>
        <v>0</v>
      </c>
      <c r="T66" s="133">
        <f t="shared" si="134"/>
        <v>0</v>
      </c>
      <c r="U66" s="133">
        <f t="shared" si="134"/>
        <v>0</v>
      </c>
      <c r="V66" s="133">
        <f t="shared" si="134"/>
        <v>0</v>
      </c>
      <c r="W66" s="133">
        <f t="shared" si="134"/>
        <v>0</v>
      </c>
      <c r="X66" s="133">
        <f t="shared" si="134"/>
        <v>0</v>
      </c>
      <c r="Y66" s="133">
        <f t="shared" si="134"/>
        <v>0</v>
      </c>
      <c r="Z66" s="133">
        <f t="shared" si="134"/>
        <v>0</v>
      </c>
      <c r="AA66" s="133">
        <f t="shared" si="134"/>
        <v>0</v>
      </c>
      <c r="AB66" s="133">
        <f t="shared" si="134"/>
        <v>0</v>
      </c>
      <c r="AC66" s="133">
        <f t="shared" si="134"/>
        <v>0</v>
      </c>
      <c r="AD66" s="133">
        <f t="shared" si="134"/>
        <v>0</v>
      </c>
      <c r="AE66" s="133">
        <f t="shared" si="134"/>
        <v>0</v>
      </c>
      <c r="AF66" s="133">
        <f t="shared" si="134"/>
        <v>0</v>
      </c>
      <c r="AG66" s="133">
        <f t="shared" si="134"/>
        <v>0</v>
      </c>
      <c r="AH66" s="133">
        <f t="shared" si="134"/>
        <v>0</v>
      </c>
      <c r="AI66" s="133">
        <f t="shared" si="134"/>
        <v>0</v>
      </c>
      <c r="AJ66" s="133">
        <f t="shared" ref="AJ66:BO66" si="135">IF(AJ4=0,"",SUM(AJ63:AJ65))</f>
        <v>0</v>
      </c>
      <c r="AK66" s="133">
        <f t="shared" si="135"/>
        <v>0</v>
      </c>
      <c r="AL66" s="133">
        <f t="shared" si="135"/>
        <v>0</v>
      </c>
      <c r="AM66" s="133">
        <f t="shared" si="135"/>
        <v>0</v>
      </c>
      <c r="AN66" s="133">
        <f t="shared" si="135"/>
        <v>0</v>
      </c>
      <c r="AO66" s="133">
        <f t="shared" si="135"/>
        <v>0</v>
      </c>
      <c r="AP66" s="133">
        <f t="shared" si="135"/>
        <v>0</v>
      </c>
      <c r="AQ66" s="133">
        <f t="shared" si="135"/>
        <v>0</v>
      </c>
      <c r="AR66" s="133">
        <f t="shared" si="135"/>
        <v>0</v>
      </c>
      <c r="AS66" s="133">
        <f t="shared" si="135"/>
        <v>0</v>
      </c>
      <c r="AT66" s="133">
        <f t="shared" si="135"/>
        <v>0</v>
      </c>
      <c r="AU66" s="133">
        <f t="shared" si="135"/>
        <v>0</v>
      </c>
      <c r="AV66" s="133">
        <f t="shared" si="135"/>
        <v>0</v>
      </c>
      <c r="AW66" s="133">
        <f t="shared" si="135"/>
        <v>0</v>
      </c>
      <c r="AX66" s="133">
        <f t="shared" si="135"/>
        <v>0</v>
      </c>
      <c r="AY66" s="133">
        <f t="shared" si="135"/>
        <v>0</v>
      </c>
      <c r="AZ66" s="133">
        <f t="shared" si="135"/>
        <v>0</v>
      </c>
      <c r="BA66" s="133">
        <f t="shared" si="135"/>
        <v>0</v>
      </c>
      <c r="BB66" s="133">
        <f t="shared" si="135"/>
        <v>0</v>
      </c>
      <c r="BC66" s="133">
        <f t="shared" si="135"/>
        <v>0</v>
      </c>
      <c r="BD66" s="133">
        <f t="shared" si="135"/>
        <v>0</v>
      </c>
      <c r="BE66" s="133">
        <f t="shared" si="135"/>
        <v>0</v>
      </c>
      <c r="BF66" s="133">
        <f t="shared" si="135"/>
        <v>0</v>
      </c>
      <c r="BG66" s="133">
        <f t="shared" si="135"/>
        <v>0</v>
      </c>
      <c r="BH66" s="133">
        <f t="shared" si="135"/>
        <v>0</v>
      </c>
      <c r="BI66" s="133">
        <f t="shared" si="135"/>
        <v>0</v>
      </c>
      <c r="BJ66" s="133">
        <f t="shared" si="135"/>
        <v>0</v>
      </c>
      <c r="BK66" s="133">
        <f t="shared" si="135"/>
        <v>6237471.0927524865</v>
      </c>
      <c r="BL66" s="133" t="str">
        <f t="shared" si="135"/>
        <v/>
      </c>
      <c r="BM66" s="133" t="str">
        <f t="shared" si="135"/>
        <v/>
      </c>
      <c r="BN66" s="133" t="str">
        <f t="shared" si="135"/>
        <v/>
      </c>
      <c r="BO66" s="133" t="str">
        <f t="shared" si="135"/>
        <v/>
      </c>
      <c r="BP66" s="133" t="str">
        <f t="shared" ref="BP66:CU66" si="136">IF(BP4=0,"",SUM(BP63:BP65))</f>
        <v/>
      </c>
      <c r="BQ66" s="133" t="str">
        <f t="shared" si="136"/>
        <v/>
      </c>
      <c r="BR66" s="133" t="str">
        <f t="shared" si="136"/>
        <v/>
      </c>
      <c r="BS66" s="133" t="str">
        <f t="shared" si="136"/>
        <v/>
      </c>
      <c r="BT66" s="133" t="str">
        <f t="shared" si="136"/>
        <v/>
      </c>
      <c r="BU66" s="133" t="str">
        <f t="shared" si="136"/>
        <v/>
      </c>
      <c r="BV66" s="133" t="str">
        <f t="shared" si="136"/>
        <v/>
      </c>
      <c r="BW66" s="133" t="str">
        <f t="shared" si="136"/>
        <v/>
      </c>
      <c r="BX66" s="133" t="str">
        <f t="shared" si="136"/>
        <v/>
      </c>
      <c r="BY66" s="133" t="str">
        <f t="shared" si="136"/>
        <v/>
      </c>
      <c r="BZ66" s="133" t="str">
        <f t="shared" si="136"/>
        <v/>
      </c>
      <c r="CA66" s="133" t="str">
        <f t="shared" si="136"/>
        <v/>
      </c>
      <c r="CB66" s="133" t="str">
        <f t="shared" si="136"/>
        <v/>
      </c>
      <c r="CC66" s="133" t="str">
        <f t="shared" si="136"/>
        <v/>
      </c>
      <c r="CD66" s="133" t="str">
        <f t="shared" si="136"/>
        <v/>
      </c>
      <c r="CE66" s="133" t="str">
        <f t="shared" si="136"/>
        <v/>
      </c>
      <c r="CF66" s="133" t="str">
        <f t="shared" si="136"/>
        <v/>
      </c>
      <c r="CG66" s="133" t="str">
        <f t="shared" si="136"/>
        <v/>
      </c>
      <c r="CH66" s="133" t="str">
        <f t="shared" si="136"/>
        <v/>
      </c>
      <c r="CI66" s="133" t="str">
        <f t="shared" si="136"/>
        <v/>
      </c>
      <c r="CJ66" s="133" t="str">
        <f t="shared" si="136"/>
        <v/>
      </c>
      <c r="CK66" s="133" t="str">
        <f t="shared" si="136"/>
        <v/>
      </c>
      <c r="CL66" s="133" t="str">
        <f t="shared" si="136"/>
        <v/>
      </c>
      <c r="CM66" s="133" t="str">
        <f t="shared" si="136"/>
        <v/>
      </c>
      <c r="CN66" s="133" t="str">
        <f t="shared" si="136"/>
        <v/>
      </c>
      <c r="CO66" s="133" t="str">
        <f t="shared" si="136"/>
        <v/>
      </c>
      <c r="CP66" s="133" t="str">
        <f t="shared" si="136"/>
        <v/>
      </c>
      <c r="CQ66" s="133" t="str">
        <f t="shared" si="136"/>
        <v/>
      </c>
      <c r="CR66" s="133" t="str">
        <f t="shared" si="136"/>
        <v/>
      </c>
      <c r="CS66" s="133" t="str">
        <f t="shared" si="136"/>
        <v/>
      </c>
      <c r="CT66" s="133" t="str">
        <f t="shared" si="136"/>
        <v/>
      </c>
      <c r="CU66" s="133" t="str">
        <f t="shared" si="136"/>
        <v/>
      </c>
      <c r="CV66" s="133" t="str">
        <f t="shared" ref="CV66:DS66" si="137">IF(CV4=0,"",SUM(CV63:CV65))</f>
        <v/>
      </c>
      <c r="CW66" s="133" t="str">
        <f t="shared" si="137"/>
        <v/>
      </c>
      <c r="CX66" s="133" t="str">
        <f t="shared" si="137"/>
        <v/>
      </c>
      <c r="CY66" s="133" t="str">
        <f t="shared" si="137"/>
        <v/>
      </c>
      <c r="CZ66" s="133" t="str">
        <f t="shared" si="137"/>
        <v/>
      </c>
      <c r="DA66" s="133" t="str">
        <f t="shared" si="137"/>
        <v/>
      </c>
      <c r="DB66" s="133" t="str">
        <f t="shared" si="137"/>
        <v/>
      </c>
      <c r="DC66" s="133" t="str">
        <f t="shared" si="137"/>
        <v/>
      </c>
      <c r="DD66" s="133" t="str">
        <f t="shared" si="137"/>
        <v/>
      </c>
      <c r="DE66" s="133" t="str">
        <f t="shared" si="137"/>
        <v/>
      </c>
      <c r="DF66" s="133" t="str">
        <f t="shared" si="137"/>
        <v/>
      </c>
      <c r="DG66" s="133" t="str">
        <f t="shared" si="137"/>
        <v/>
      </c>
      <c r="DH66" s="133" t="str">
        <f t="shared" si="137"/>
        <v/>
      </c>
      <c r="DI66" s="133" t="str">
        <f t="shared" si="137"/>
        <v/>
      </c>
      <c r="DJ66" s="133" t="str">
        <f t="shared" si="137"/>
        <v/>
      </c>
      <c r="DK66" s="133" t="str">
        <f t="shared" si="137"/>
        <v/>
      </c>
      <c r="DL66" s="133" t="str">
        <f t="shared" si="137"/>
        <v/>
      </c>
      <c r="DM66" s="133" t="str">
        <f t="shared" si="137"/>
        <v/>
      </c>
      <c r="DN66" s="133" t="str">
        <f t="shared" si="137"/>
        <v/>
      </c>
      <c r="DO66" s="133" t="str">
        <f t="shared" si="137"/>
        <v/>
      </c>
      <c r="DP66" s="133" t="str">
        <f t="shared" si="137"/>
        <v/>
      </c>
      <c r="DQ66" s="133" t="str">
        <f t="shared" si="137"/>
        <v/>
      </c>
      <c r="DR66" s="133" t="str">
        <f t="shared" si="137"/>
        <v/>
      </c>
      <c r="DS66" s="133" t="str">
        <f t="shared" si="137"/>
        <v/>
      </c>
    </row>
    <row r="67" spans="2:123" x14ac:dyDescent="0.3"/>
    <row r="68" spans="2:123" ht="15" thickBot="1" x14ac:dyDescent="0.35">
      <c r="B68" s="114" t="s">
        <v>148</v>
      </c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  <c r="AA68" s="114"/>
      <c r="AB68" s="114"/>
      <c r="AC68" s="114"/>
      <c r="AD68" s="114"/>
      <c r="AE68" s="114"/>
      <c r="AF68" s="114"/>
      <c r="AG68" s="114"/>
      <c r="AH68" s="114"/>
      <c r="AI68" s="114"/>
      <c r="AJ68" s="114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</row>
    <row r="69" spans="2:123" x14ac:dyDescent="0.3">
      <c r="B69" s="107" t="s">
        <v>149</v>
      </c>
      <c r="C69" s="133">
        <f>IFERROR(C55+C60+C66,0)</f>
        <v>-4209000</v>
      </c>
      <c r="D69" s="133">
        <f t="shared" ref="D69:BO69" si="138">IFERROR(D55+D60+D66,0)</f>
        <v>-29625.833333333336</v>
      </c>
      <c r="E69" s="133">
        <f t="shared" si="138"/>
        <v>-19668.333333333336</v>
      </c>
      <c r="F69" s="133">
        <f t="shared" si="138"/>
        <v>-9710.8333333333394</v>
      </c>
      <c r="G69" s="133">
        <f t="shared" si="138"/>
        <v>246.66666666666788</v>
      </c>
      <c r="H69" s="133">
        <f t="shared" si="138"/>
        <v>10204.166666666672</v>
      </c>
      <c r="I69" s="133">
        <f t="shared" si="138"/>
        <v>20161.666666666657</v>
      </c>
      <c r="J69" s="133">
        <f t="shared" si="138"/>
        <v>20161.666666666657</v>
      </c>
      <c r="K69" s="133">
        <f t="shared" si="138"/>
        <v>20161.666666666657</v>
      </c>
      <c r="L69" s="133">
        <f t="shared" si="138"/>
        <v>20161.666666666657</v>
      </c>
      <c r="M69" s="133">
        <f t="shared" si="138"/>
        <v>20161.666666666657</v>
      </c>
      <c r="N69" s="133">
        <f t="shared" si="138"/>
        <v>20161.666666666657</v>
      </c>
      <c r="O69" s="133">
        <f t="shared" si="138"/>
        <v>20161.666666666657</v>
      </c>
      <c r="P69" s="133">
        <f t="shared" si="138"/>
        <v>22329.947916666679</v>
      </c>
      <c r="Q69" s="133">
        <f t="shared" si="138"/>
        <v>22329.947916666679</v>
      </c>
      <c r="R69" s="133">
        <f t="shared" si="138"/>
        <v>22329.947916666679</v>
      </c>
      <c r="S69" s="133">
        <f t="shared" si="138"/>
        <v>22329.947916666679</v>
      </c>
      <c r="T69" s="133">
        <f t="shared" si="138"/>
        <v>22329.947916666679</v>
      </c>
      <c r="U69" s="133">
        <f t="shared" si="138"/>
        <v>22329.947916666679</v>
      </c>
      <c r="V69" s="133">
        <f t="shared" si="138"/>
        <v>22329.947916666679</v>
      </c>
      <c r="W69" s="133">
        <f t="shared" si="138"/>
        <v>22329.947916666679</v>
      </c>
      <c r="X69" s="133">
        <f t="shared" si="138"/>
        <v>22329.947916666679</v>
      </c>
      <c r="Y69" s="133">
        <f t="shared" si="138"/>
        <v>22329.947916666679</v>
      </c>
      <c r="Z69" s="133">
        <f t="shared" si="138"/>
        <v>22329.947916666679</v>
      </c>
      <c r="AA69" s="133">
        <f t="shared" si="138"/>
        <v>22329.947916666679</v>
      </c>
      <c r="AB69" s="133">
        <f t="shared" si="138"/>
        <v>24584.573502604188</v>
      </c>
      <c r="AC69" s="133">
        <f t="shared" si="138"/>
        <v>24584.573502604188</v>
      </c>
      <c r="AD69" s="133">
        <f t="shared" si="138"/>
        <v>24584.573502604188</v>
      </c>
      <c r="AE69" s="133">
        <f t="shared" si="138"/>
        <v>24584.573502604188</v>
      </c>
      <c r="AF69" s="133">
        <f t="shared" si="138"/>
        <v>24584.573502604188</v>
      </c>
      <c r="AG69" s="133">
        <f t="shared" si="138"/>
        <v>24584.573502604188</v>
      </c>
      <c r="AH69" s="133">
        <f t="shared" si="138"/>
        <v>24584.573502604188</v>
      </c>
      <c r="AI69" s="133">
        <f t="shared" si="138"/>
        <v>24584.573502604188</v>
      </c>
      <c r="AJ69" s="133">
        <f t="shared" si="138"/>
        <v>24584.573502604188</v>
      </c>
      <c r="AK69" s="133">
        <f t="shared" si="138"/>
        <v>24584.573502604188</v>
      </c>
      <c r="AL69" s="133">
        <f t="shared" si="138"/>
        <v>24584.573502604188</v>
      </c>
      <c r="AM69" s="133">
        <f t="shared" si="138"/>
        <v>24584.573502604188</v>
      </c>
      <c r="AN69" s="133">
        <f t="shared" si="138"/>
        <v>5993.1836056287721</v>
      </c>
      <c r="AO69" s="133">
        <f t="shared" si="138"/>
        <v>5993.1836056287721</v>
      </c>
      <c r="AP69" s="133">
        <f t="shared" si="138"/>
        <v>5993.1836056287721</v>
      </c>
      <c r="AQ69" s="133">
        <f t="shared" si="138"/>
        <v>5993.1836056287721</v>
      </c>
      <c r="AR69" s="133">
        <f t="shared" si="138"/>
        <v>5993.1836056287721</v>
      </c>
      <c r="AS69" s="133">
        <f t="shared" si="138"/>
        <v>5993.1836056287721</v>
      </c>
      <c r="AT69" s="133">
        <f t="shared" si="138"/>
        <v>5993.1836056287721</v>
      </c>
      <c r="AU69" s="133">
        <f t="shared" si="138"/>
        <v>5993.1836056287721</v>
      </c>
      <c r="AV69" s="133">
        <f t="shared" si="138"/>
        <v>5993.1836056287721</v>
      </c>
      <c r="AW69" s="133">
        <f t="shared" si="138"/>
        <v>5993.1836056287721</v>
      </c>
      <c r="AX69" s="133">
        <f t="shared" si="138"/>
        <v>5993.1836056287721</v>
      </c>
      <c r="AY69" s="133">
        <f t="shared" si="138"/>
        <v>5993.1836056287721</v>
      </c>
      <c r="AZ69" s="133">
        <f t="shared" si="138"/>
        <v>8430.6214826658907</v>
      </c>
      <c r="BA69" s="133">
        <f t="shared" si="138"/>
        <v>8430.6214826658907</v>
      </c>
      <c r="BB69" s="133">
        <f t="shared" si="138"/>
        <v>8430.6214826658907</v>
      </c>
      <c r="BC69" s="133">
        <f t="shared" si="138"/>
        <v>8430.6214826658907</v>
      </c>
      <c r="BD69" s="133">
        <f t="shared" si="138"/>
        <v>8430.6214826658907</v>
      </c>
      <c r="BE69" s="133">
        <f t="shared" si="138"/>
        <v>8430.6214826658907</v>
      </c>
      <c r="BF69" s="133">
        <f t="shared" si="138"/>
        <v>8430.6214826658907</v>
      </c>
      <c r="BG69" s="133">
        <f t="shared" si="138"/>
        <v>8430.6214826658907</v>
      </c>
      <c r="BH69" s="133">
        <f t="shared" si="138"/>
        <v>8430.6214826658907</v>
      </c>
      <c r="BI69" s="133">
        <f t="shared" si="138"/>
        <v>8430.6214826658907</v>
      </c>
      <c r="BJ69" s="133">
        <f t="shared" si="138"/>
        <v>8430.6214826658907</v>
      </c>
      <c r="BK69" s="133">
        <f t="shared" si="138"/>
        <v>6245901.7142351521</v>
      </c>
      <c r="BL69" s="133">
        <f t="shared" si="138"/>
        <v>0</v>
      </c>
      <c r="BM69" s="133">
        <f t="shared" si="138"/>
        <v>0</v>
      </c>
      <c r="BN69" s="133">
        <f t="shared" si="138"/>
        <v>0</v>
      </c>
      <c r="BO69" s="133">
        <f t="shared" si="138"/>
        <v>0</v>
      </c>
      <c r="BP69" s="133">
        <f t="shared" ref="BP69:DS69" si="139">IFERROR(BP55+BP60+BP66,0)</f>
        <v>0</v>
      </c>
      <c r="BQ69" s="133">
        <f t="shared" si="139"/>
        <v>0</v>
      </c>
      <c r="BR69" s="133">
        <f t="shared" si="139"/>
        <v>0</v>
      </c>
      <c r="BS69" s="133">
        <f t="shared" si="139"/>
        <v>0</v>
      </c>
      <c r="BT69" s="133">
        <f t="shared" si="139"/>
        <v>0</v>
      </c>
      <c r="BU69" s="133">
        <f t="shared" si="139"/>
        <v>0</v>
      </c>
      <c r="BV69" s="133">
        <f t="shared" si="139"/>
        <v>0</v>
      </c>
      <c r="BW69" s="133">
        <f t="shared" si="139"/>
        <v>0</v>
      </c>
      <c r="BX69" s="133">
        <f t="shared" si="139"/>
        <v>0</v>
      </c>
      <c r="BY69" s="133">
        <f t="shared" si="139"/>
        <v>0</v>
      </c>
      <c r="BZ69" s="133">
        <f t="shared" si="139"/>
        <v>0</v>
      </c>
      <c r="CA69" s="133">
        <f t="shared" si="139"/>
        <v>0</v>
      </c>
      <c r="CB69" s="133">
        <f t="shared" si="139"/>
        <v>0</v>
      </c>
      <c r="CC69" s="133">
        <f t="shared" si="139"/>
        <v>0</v>
      </c>
      <c r="CD69" s="133">
        <f t="shared" si="139"/>
        <v>0</v>
      </c>
      <c r="CE69" s="133">
        <f t="shared" si="139"/>
        <v>0</v>
      </c>
      <c r="CF69" s="133">
        <f t="shared" si="139"/>
        <v>0</v>
      </c>
      <c r="CG69" s="133">
        <f t="shared" si="139"/>
        <v>0</v>
      </c>
      <c r="CH69" s="133">
        <f t="shared" si="139"/>
        <v>0</v>
      </c>
      <c r="CI69" s="133">
        <f t="shared" si="139"/>
        <v>0</v>
      </c>
      <c r="CJ69" s="133">
        <f t="shared" si="139"/>
        <v>0</v>
      </c>
      <c r="CK69" s="133">
        <f t="shared" si="139"/>
        <v>0</v>
      </c>
      <c r="CL69" s="133">
        <f t="shared" si="139"/>
        <v>0</v>
      </c>
      <c r="CM69" s="133">
        <f t="shared" si="139"/>
        <v>0</v>
      </c>
      <c r="CN69" s="133">
        <f t="shared" si="139"/>
        <v>0</v>
      </c>
      <c r="CO69" s="133">
        <f t="shared" si="139"/>
        <v>0</v>
      </c>
      <c r="CP69" s="133">
        <f t="shared" si="139"/>
        <v>0</v>
      </c>
      <c r="CQ69" s="133">
        <f t="shared" si="139"/>
        <v>0</v>
      </c>
      <c r="CR69" s="133">
        <f t="shared" si="139"/>
        <v>0</v>
      </c>
      <c r="CS69" s="133">
        <f t="shared" si="139"/>
        <v>0</v>
      </c>
      <c r="CT69" s="133">
        <f t="shared" si="139"/>
        <v>0</v>
      </c>
      <c r="CU69" s="133">
        <f t="shared" si="139"/>
        <v>0</v>
      </c>
      <c r="CV69" s="133">
        <f t="shared" si="139"/>
        <v>0</v>
      </c>
      <c r="CW69" s="133">
        <f t="shared" si="139"/>
        <v>0</v>
      </c>
      <c r="CX69" s="133">
        <f t="shared" si="139"/>
        <v>0</v>
      </c>
      <c r="CY69" s="133">
        <f t="shared" si="139"/>
        <v>0</v>
      </c>
      <c r="CZ69" s="133">
        <f t="shared" si="139"/>
        <v>0</v>
      </c>
      <c r="DA69" s="133">
        <f t="shared" si="139"/>
        <v>0</v>
      </c>
      <c r="DB69" s="133">
        <f t="shared" si="139"/>
        <v>0</v>
      </c>
      <c r="DC69" s="133">
        <f t="shared" si="139"/>
        <v>0</v>
      </c>
      <c r="DD69" s="133">
        <f t="shared" si="139"/>
        <v>0</v>
      </c>
      <c r="DE69" s="133">
        <f t="shared" si="139"/>
        <v>0</v>
      </c>
      <c r="DF69" s="133">
        <f t="shared" si="139"/>
        <v>0</v>
      </c>
      <c r="DG69" s="133">
        <f t="shared" si="139"/>
        <v>0</v>
      </c>
      <c r="DH69" s="133">
        <f t="shared" si="139"/>
        <v>0</v>
      </c>
      <c r="DI69" s="133">
        <f t="shared" si="139"/>
        <v>0</v>
      </c>
      <c r="DJ69" s="133">
        <f t="shared" si="139"/>
        <v>0</v>
      </c>
      <c r="DK69" s="133">
        <f t="shared" si="139"/>
        <v>0</v>
      </c>
      <c r="DL69" s="133">
        <f t="shared" si="139"/>
        <v>0</v>
      </c>
      <c r="DM69" s="133">
        <f t="shared" si="139"/>
        <v>0</v>
      </c>
      <c r="DN69" s="133">
        <f t="shared" si="139"/>
        <v>0</v>
      </c>
      <c r="DO69" s="133">
        <f t="shared" si="139"/>
        <v>0</v>
      </c>
      <c r="DP69" s="133">
        <f t="shared" si="139"/>
        <v>0</v>
      </c>
      <c r="DQ69" s="133">
        <f t="shared" si="139"/>
        <v>0</v>
      </c>
      <c r="DR69" s="133">
        <f t="shared" si="139"/>
        <v>0</v>
      </c>
      <c r="DS69" s="133">
        <f t="shared" si="139"/>
        <v>0</v>
      </c>
    </row>
    <row r="70" spans="2:123" x14ac:dyDescent="0.3">
      <c r="B70" s="198" t="s">
        <v>150</v>
      </c>
      <c r="C70" s="199">
        <f>XIRR(C69:DS69,C6:DS6)</f>
        <v>0.1180150091648102</v>
      </c>
      <c r="D70" s="218"/>
    </row>
    <row r="71" spans="2:123" x14ac:dyDescent="0.3">
      <c r="B71" s="200" t="s">
        <v>151</v>
      </c>
      <c r="C71" s="201">
        <f>SUMIF(C69:DS69,"&gt;0")/-SUMIF(C69:DS69,"&lt;0")</f>
        <v>1.6694248274880825</v>
      </c>
    </row>
    <row r="72" spans="2:123" x14ac:dyDescent="0.3">
      <c r="B72" s="198" t="s">
        <v>152</v>
      </c>
      <c r="C72" s="202">
        <f>SUM(C69:DS69)</f>
        <v>2857108.5108432746</v>
      </c>
    </row>
  </sheetData>
  <conditionalFormatting sqref="C6:DS6">
    <cfRule type="cellIs" dxfId="0" priority="1" operator="lessThan">
      <formula>$C$6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56E31-F696-4BAA-AAEC-EF71AB465525}">
  <dimension ref="A1:N69"/>
  <sheetViews>
    <sheetView showGridLines="0" workbookViewId="0">
      <pane ySplit="5" topLeftCell="A6" activePane="bottomLeft" state="frozen"/>
      <selection pane="bottomLeft"/>
    </sheetView>
  </sheetViews>
  <sheetFormatPr defaultColWidth="0" defaultRowHeight="14.4" zeroHeight="1" x14ac:dyDescent="0.3"/>
  <cols>
    <col min="1" max="1" width="2.21875" customWidth="1"/>
    <col min="2" max="2" width="31.21875" bestFit="1" customWidth="1"/>
    <col min="3" max="3" width="12.5546875" bestFit="1" customWidth="1"/>
    <col min="4" max="13" width="12.44140625" bestFit="1" customWidth="1"/>
    <col min="14" max="14" width="0.6640625" hidden="1" customWidth="1"/>
    <col min="15" max="16384" width="8.88671875" hidden="1"/>
  </cols>
  <sheetData>
    <row r="1" spans="2:13" x14ac:dyDescent="0.3">
      <c r="B1" s="99" t="str">
        <f>'Input Assumptions'!C3</f>
        <v>Anytown</v>
      </c>
      <c r="C1" s="99"/>
      <c r="D1" s="98"/>
      <c r="E1" s="98"/>
      <c r="F1" s="98"/>
      <c r="G1" s="98"/>
      <c r="H1" s="98"/>
      <c r="I1" s="98"/>
      <c r="J1" s="98"/>
      <c r="K1" s="98"/>
      <c r="L1" s="98"/>
      <c r="M1" s="98"/>
    </row>
    <row r="2" spans="2:13" x14ac:dyDescent="0.3">
      <c r="B2" s="99" t="s">
        <v>103</v>
      </c>
      <c r="C2" s="99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x14ac:dyDescent="0.3">
      <c r="B3" s="100" t="s">
        <v>104</v>
      </c>
      <c r="C3" s="100"/>
      <c r="D3" s="98"/>
      <c r="E3" s="98"/>
      <c r="F3" s="98"/>
      <c r="G3" s="98"/>
      <c r="H3" s="98"/>
      <c r="I3" s="98"/>
      <c r="J3" s="98"/>
      <c r="K3" s="98"/>
      <c r="L3" s="98"/>
      <c r="M3" s="98"/>
    </row>
    <row r="4" spans="2:13" x14ac:dyDescent="0.3">
      <c r="B4" s="105" t="str">
        <f>'Monthly Cashflow'!B4</f>
        <v>Year</v>
      </c>
      <c r="C4" s="125">
        <v>0</v>
      </c>
      <c r="D4" s="125">
        <f>'Input Assumptions'!C34</f>
        <v>1</v>
      </c>
      <c r="E4" s="126">
        <f>'Input Assumptions'!D34</f>
        <v>2</v>
      </c>
      <c r="F4" s="126">
        <f>'Input Assumptions'!E34</f>
        <v>3</v>
      </c>
      <c r="G4" s="126">
        <f>'Input Assumptions'!F34</f>
        <v>4</v>
      </c>
      <c r="H4" s="126">
        <f>'Input Assumptions'!G34</f>
        <v>5</v>
      </c>
      <c r="I4" s="126">
        <f>'Input Assumptions'!H34</f>
        <v>0</v>
      </c>
      <c r="J4" s="126">
        <f>'Input Assumptions'!I34</f>
        <v>0</v>
      </c>
      <c r="K4" s="126">
        <f>'Input Assumptions'!J34</f>
        <v>0</v>
      </c>
      <c r="L4" s="126">
        <f>'Input Assumptions'!K34</f>
        <v>0</v>
      </c>
      <c r="M4" s="126">
        <f>'Input Assumptions'!L34</f>
        <v>0</v>
      </c>
    </row>
    <row r="5" spans="2:13" x14ac:dyDescent="0.3">
      <c r="B5" t="s">
        <v>136</v>
      </c>
      <c r="C5" s="123">
        <f>AVERAGEIF('Monthly Cashflow'!$C$4:$DS$4,'Annual Cashflow'!C4,'Monthly Cashflow'!$C$7:$DS$7)</f>
        <v>0</v>
      </c>
      <c r="D5" s="123">
        <f>AVERAGEIF('Monthly Cashflow'!$C$4:$DS$4,'Annual Cashflow'!D4,'Monthly Cashflow'!$C$7:$DS$7)</f>
        <v>0.75</v>
      </c>
      <c r="E5" s="123">
        <f>AVERAGEIF('Monthly Cashflow'!$C$4:$DS$4,'Annual Cashflow'!E4,'Monthly Cashflow'!$C$7:$DS$7)</f>
        <v>0.94736842105263175</v>
      </c>
      <c r="F5" s="123">
        <f>AVERAGEIF('Monthly Cashflow'!$C$4:$DS$4,'Annual Cashflow'!F4,'Monthly Cashflow'!$C$7:$DS$7)</f>
        <v>0.94736842105263175</v>
      </c>
      <c r="G5" s="123">
        <f>AVERAGEIF('Monthly Cashflow'!$C$4:$DS$4,'Annual Cashflow'!G4,'Monthly Cashflow'!$C$7:$DS$7)</f>
        <v>0.94736842105263175</v>
      </c>
      <c r="H5" s="123">
        <f>AVERAGEIF('Monthly Cashflow'!$C$4:$DS$4,'Annual Cashflow'!H4,'Monthly Cashflow'!$C$7:$DS$7)</f>
        <v>0.94736842105263175</v>
      </c>
      <c r="I5" s="123">
        <f>AVERAGEIF('Monthly Cashflow'!$C$4:$DS$4,'Annual Cashflow'!I4,'Monthly Cashflow'!$C$7:$DS$7)</f>
        <v>0</v>
      </c>
      <c r="J5" s="123">
        <f>AVERAGEIF('Monthly Cashflow'!$C$4:$DS$4,'Annual Cashflow'!J4,'Monthly Cashflow'!$C$7:$DS$7)</f>
        <v>0</v>
      </c>
      <c r="K5" s="123">
        <f>AVERAGEIF('Monthly Cashflow'!$C$4:$DS$4,'Annual Cashflow'!K4,'Monthly Cashflow'!$C$7:$DS$7)</f>
        <v>0</v>
      </c>
      <c r="L5" s="123">
        <f>AVERAGEIF('Monthly Cashflow'!$C$4:$DS$4,'Annual Cashflow'!L4,'Monthly Cashflow'!$C$7:$DS$7)</f>
        <v>0</v>
      </c>
      <c r="M5" s="123">
        <f>AVERAGEIF('Monthly Cashflow'!$C$4:$DS$4,'Annual Cashflow'!M4,'Monthly Cashflow'!$C$7:$DS$7)</f>
        <v>0</v>
      </c>
    </row>
    <row r="6" spans="2:13" x14ac:dyDescent="0.3">
      <c r="D6" s="124"/>
    </row>
    <row r="7" spans="2:13" ht="15" thickBot="1" x14ac:dyDescent="0.35">
      <c r="B7" s="113" t="str">
        <f>'Monthly Cashflow'!B10</f>
        <v>Investment Cashflows (Unlevered)</v>
      </c>
      <c r="C7" s="113"/>
      <c r="D7" s="63"/>
      <c r="E7" s="63"/>
      <c r="F7" s="63"/>
      <c r="G7" s="63"/>
      <c r="H7" s="63"/>
      <c r="I7" s="63"/>
      <c r="J7" s="63"/>
      <c r="K7" s="63"/>
      <c r="L7" s="63"/>
      <c r="M7" s="63"/>
    </row>
    <row r="8" spans="2:13" x14ac:dyDescent="0.3">
      <c r="B8" s="110" t="str">
        <f>'Monthly Cashflow'!B11</f>
        <v>Purchase Price</v>
      </c>
      <c r="C8" s="134">
        <f>SUMIF('Monthly Cashflow'!$C$4:$DS$4,'Annual Cashflow'!C$4,'Monthly Cashflow'!$C11:$XFD11)</f>
        <v>-15250000</v>
      </c>
      <c r="D8" s="134"/>
      <c r="E8" s="134"/>
      <c r="F8" s="134"/>
      <c r="G8" s="134"/>
      <c r="H8" s="134"/>
      <c r="I8" s="134"/>
      <c r="J8" s="134"/>
      <c r="K8" s="134"/>
      <c r="L8" s="134"/>
      <c r="M8" s="134"/>
    </row>
    <row r="9" spans="2:13" x14ac:dyDescent="0.3">
      <c r="B9" s="110" t="str">
        <f>'Monthly Cashflow'!B12</f>
        <v>Acquisition Cost</v>
      </c>
      <c r="C9" s="135">
        <f>SUMIF('Monthly Cashflow'!$C$4:$DS$4,'Annual Cashflow'!C$4,'Monthly Cashflow'!$C12:$XFD12)</f>
        <v>-1037000.0000000001</v>
      </c>
      <c r="D9" s="135"/>
      <c r="E9" s="135"/>
      <c r="F9" s="135"/>
      <c r="G9" s="135"/>
      <c r="H9" s="135"/>
      <c r="I9" s="135"/>
      <c r="J9" s="135"/>
      <c r="K9" s="135"/>
      <c r="L9" s="135"/>
      <c r="M9" s="135"/>
    </row>
    <row r="10" spans="2:13" x14ac:dyDescent="0.3">
      <c r="B10" s="107" t="str">
        <f>'Monthly Cashflow'!B13</f>
        <v>Total Acquisition Cost</v>
      </c>
      <c r="C10" s="261">
        <f>SUMIF('Monthly Cashflow'!$C$4:$DS$4,'Annual Cashflow'!C$4,'Monthly Cashflow'!$C13:$XFD13)</f>
        <v>-16287000</v>
      </c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2:13" x14ac:dyDescent="0.3">
      <c r="B11" s="101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</row>
    <row r="12" spans="2:13" ht="15" thickBot="1" x14ac:dyDescent="0.35">
      <c r="B12" s="114" t="str">
        <f>'Monthly Cashflow'!B15</f>
        <v>Operating Cashflows (Unlevered)</v>
      </c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</row>
    <row r="13" spans="2:13" x14ac:dyDescent="0.3">
      <c r="B13" s="110" t="str">
        <f>'Monthly Cashflow'!B16</f>
        <v>Gross rental income</v>
      </c>
      <c r="C13" s="135"/>
      <c r="D13" s="135">
        <f>SUMIF('Monthly Cashflow'!$C$4:$DS$4,'Annual Cashflow'!D$4,'Monthly Cashflow'!$C16:$XFD16)</f>
        <v>869400</v>
      </c>
      <c r="E13" s="135">
        <f>SUMIF('Monthly Cashflow'!$C$4:$DS$4,'Annual Cashflow'!E$4,'Monthly Cashflow'!$C16:$XFD16)</f>
        <v>901946.25000000012</v>
      </c>
      <c r="F13" s="135">
        <f>SUMIF('Monthly Cashflow'!$C$4:$DS$4,'Annual Cashflow'!F$4,'Monthly Cashflow'!$C16:$XFD16)</f>
        <v>935711.92968750012</v>
      </c>
      <c r="G13" s="135">
        <f>SUMIF('Monthly Cashflow'!$C$4:$DS$4,'Annual Cashflow'!G$4,'Monthly Cashflow'!$C16:$XFD16)</f>
        <v>970742.74790039042</v>
      </c>
      <c r="H13" s="135">
        <f>SUMIF('Monthly Cashflow'!$C$4:$DS$4,'Annual Cashflow'!H$4,'Monthly Cashflow'!$C16:$XFD16)</f>
        <v>1007086.1271871958</v>
      </c>
      <c r="I13" s="135">
        <f>SUMIF('Monthly Cashflow'!$C$4:$DS$4,'Annual Cashflow'!I$4,'Monthly Cashflow'!$C16:$XFD16)</f>
        <v>0</v>
      </c>
      <c r="J13" s="135">
        <f>SUMIF('Monthly Cashflow'!$C$4:$DS$4,'Annual Cashflow'!J$4,'Monthly Cashflow'!$C16:$XFD16)</f>
        <v>0</v>
      </c>
      <c r="K13" s="135">
        <f>SUMIF('Monthly Cashflow'!$C$4:$DS$4,'Annual Cashflow'!K$4,'Monthly Cashflow'!$C16:$XFD16)</f>
        <v>0</v>
      </c>
      <c r="L13" s="135">
        <f>SUMIF('Monthly Cashflow'!$C$4:$DS$4,'Annual Cashflow'!L$4,'Monthly Cashflow'!$C16:$XFD16)</f>
        <v>0</v>
      </c>
      <c r="M13" s="135">
        <f>SUMIF('Monthly Cashflow'!$C$4:$DS$4,'Annual Cashflow'!M$4,'Monthly Cashflow'!$C16:$XFD16)</f>
        <v>0</v>
      </c>
    </row>
    <row r="14" spans="2:13" x14ac:dyDescent="0.3">
      <c r="B14" s="131" t="str">
        <f>'Monthly Cashflow'!B17</f>
        <v>Utilities expense</v>
      </c>
      <c r="C14" s="136"/>
      <c r="D14" s="136">
        <f>SUMIF('Monthly Cashflow'!$C$4:$DS$4,'Annual Cashflow'!D$4,'Monthly Cashflow'!$C17:$XFD17)</f>
        <v>-37620</v>
      </c>
      <c r="E14" s="136">
        <f>SUMIF('Monthly Cashflow'!$C$4:$DS$4,'Annual Cashflow'!E$4,'Monthly Cashflow'!$C17:$XFD17)</f>
        <v>-48411</v>
      </c>
      <c r="F14" s="136">
        <f>SUMIF('Monthly Cashflow'!$C$4:$DS$4,'Annual Cashflow'!F$4,'Monthly Cashflow'!$C17:$XFD17)</f>
        <v>-49318.70625000001</v>
      </c>
      <c r="G14" s="136">
        <f>SUMIF('Monthly Cashflow'!$C$4:$DS$4,'Annual Cashflow'!G$4,'Monthly Cashflow'!$C17:$XFD17)</f>
        <v>-50243.431992187507</v>
      </c>
      <c r="H14" s="136">
        <f>SUMIF('Monthly Cashflow'!$C$4:$DS$4,'Annual Cashflow'!H$4,'Monthly Cashflow'!$C17:$XFD17)</f>
        <v>-51185.496342041013</v>
      </c>
      <c r="I14" s="136">
        <f>SUMIF('Monthly Cashflow'!$C$4:$DS$4,'Annual Cashflow'!I$4,'Monthly Cashflow'!$C17:$XFD17)</f>
        <v>0</v>
      </c>
      <c r="J14" s="136">
        <f>SUMIF('Monthly Cashflow'!$C$4:$DS$4,'Annual Cashflow'!J$4,'Monthly Cashflow'!$C17:$XFD17)</f>
        <v>0</v>
      </c>
      <c r="K14" s="136">
        <f>SUMIF('Monthly Cashflow'!$C$4:$DS$4,'Annual Cashflow'!K$4,'Monthly Cashflow'!$C17:$XFD17)</f>
        <v>0</v>
      </c>
      <c r="L14" s="136">
        <f>SUMIF('Monthly Cashflow'!$C$4:$DS$4,'Annual Cashflow'!L$4,'Monthly Cashflow'!$C17:$XFD17)</f>
        <v>0</v>
      </c>
      <c r="M14" s="136">
        <f>SUMIF('Monthly Cashflow'!$C$4:$DS$4,'Annual Cashflow'!M$4,'Monthly Cashflow'!$C17:$XFD17)</f>
        <v>0</v>
      </c>
    </row>
    <row r="15" spans="2:13" x14ac:dyDescent="0.3">
      <c r="B15" s="127" t="str">
        <f>'Monthly Cashflow'!B18</f>
        <v>Net Income</v>
      </c>
      <c r="C15" s="137"/>
      <c r="D15" s="137">
        <f>SUMIF('Monthly Cashflow'!$C$4:$DS$4,'Annual Cashflow'!D$4,'Monthly Cashflow'!$C18:$XFD18)</f>
        <v>831780</v>
      </c>
      <c r="E15" s="137">
        <f>SUMIF('Monthly Cashflow'!$C$4:$DS$4,'Annual Cashflow'!E$4,'Monthly Cashflow'!$C18:$XFD18)</f>
        <v>853535.25000000012</v>
      </c>
      <c r="F15" s="137">
        <f>SUMIF('Monthly Cashflow'!$C$4:$DS$4,'Annual Cashflow'!F$4,'Monthly Cashflow'!$C18:$XFD18)</f>
        <v>886393.22343750007</v>
      </c>
      <c r="G15" s="137">
        <f>SUMIF('Monthly Cashflow'!$C$4:$DS$4,'Annual Cashflow'!G$4,'Monthly Cashflow'!$C18:$XFD18)</f>
        <v>920499.31590820302</v>
      </c>
      <c r="H15" s="137">
        <f>SUMIF('Monthly Cashflow'!$C$4:$DS$4,'Annual Cashflow'!H$4,'Monthly Cashflow'!$C18:$XFD18)</f>
        <v>955900.63084515464</v>
      </c>
      <c r="I15" s="137">
        <f>SUMIF('Monthly Cashflow'!$C$4:$DS$4,'Annual Cashflow'!I$4,'Monthly Cashflow'!$C18:$XFD18)</f>
        <v>0</v>
      </c>
      <c r="J15" s="137">
        <f>SUMIF('Monthly Cashflow'!$C$4:$DS$4,'Annual Cashflow'!J$4,'Monthly Cashflow'!$C18:$XFD18)</f>
        <v>0</v>
      </c>
      <c r="K15" s="137">
        <f>SUMIF('Monthly Cashflow'!$C$4:$DS$4,'Annual Cashflow'!K$4,'Monthly Cashflow'!$C18:$XFD18)</f>
        <v>0</v>
      </c>
      <c r="L15" s="137">
        <f>SUMIF('Monthly Cashflow'!$C$4:$DS$4,'Annual Cashflow'!L$4,'Monthly Cashflow'!$C18:$XFD18)</f>
        <v>0</v>
      </c>
      <c r="M15" s="137">
        <f>SUMIF('Monthly Cashflow'!$C$4:$DS$4,'Annual Cashflow'!M$4,'Monthly Cashflow'!$C18:$XFD18)</f>
        <v>0</v>
      </c>
    </row>
    <row r="16" spans="2:13" x14ac:dyDescent="0.3">
      <c r="C16" s="135"/>
      <c r="D16" s="135">
        <f>SUMIF('Monthly Cashflow'!$C$4:$DS$4,'Annual Cashflow'!D$4,'Monthly Cashflow'!$C19:$XFD19)</f>
        <v>0</v>
      </c>
      <c r="E16" s="135">
        <f>SUMIF('Monthly Cashflow'!$C$4:$DS$4,'Annual Cashflow'!E$4,'Monthly Cashflow'!$C19:$XFD19)</f>
        <v>0</v>
      </c>
      <c r="F16" s="135">
        <f>SUMIF('Monthly Cashflow'!$C$4:$DS$4,'Annual Cashflow'!F$4,'Monthly Cashflow'!$C19:$XFD19)</f>
        <v>0</v>
      </c>
      <c r="G16" s="135">
        <f>SUMIF('Monthly Cashflow'!$C$4:$DS$4,'Annual Cashflow'!G$4,'Monthly Cashflow'!$C19:$XFD19)</f>
        <v>0</v>
      </c>
      <c r="H16" s="135">
        <f>SUMIF('Monthly Cashflow'!$C$4:$DS$4,'Annual Cashflow'!H$4,'Monthly Cashflow'!$C19:$XFD19)</f>
        <v>0</v>
      </c>
      <c r="I16" s="135">
        <f>SUMIF('Monthly Cashflow'!$C$4:$DS$4,'Annual Cashflow'!I$4,'Monthly Cashflow'!$C19:$XFD19)</f>
        <v>0</v>
      </c>
      <c r="J16" s="135">
        <f>SUMIF('Monthly Cashflow'!$C$4:$DS$4,'Annual Cashflow'!J$4,'Monthly Cashflow'!$C19:$XFD19)</f>
        <v>0</v>
      </c>
      <c r="K16" s="135">
        <f>SUMIF('Monthly Cashflow'!$C$4:$DS$4,'Annual Cashflow'!K$4,'Monthly Cashflow'!$C19:$XFD19)</f>
        <v>0</v>
      </c>
      <c r="L16" s="135">
        <f>SUMIF('Monthly Cashflow'!$C$4:$DS$4,'Annual Cashflow'!L$4,'Monthly Cashflow'!$C19:$XFD19)</f>
        <v>0</v>
      </c>
      <c r="M16" s="135">
        <f>SUMIF('Monthly Cashflow'!$C$4:$DS$4,'Annual Cashflow'!M$4,'Monthly Cashflow'!$C19:$XFD19)</f>
        <v>0</v>
      </c>
    </row>
    <row r="17" spans="2:13" x14ac:dyDescent="0.3">
      <c r="B17" s="129" t="str">
        <f>'Monthly Cashflow'!B20</f>
        <v>Vacancy cost</v>
      </c>
      <c r="C17" s="136"/>
      <c r="D17" s="136">
        <f>SUMIF('Monthly Cashflow'!$C$4:$DS$4,'Annual Cashflow'!D$4,'Monthly Cashflow'!$C20:$XFD20)</f>
        <v>-217350.00000000009</v>
      </c>
      <c r="E17" s="136">
        <f>SUMIF('Monthly Cashflow'!$C$4:$DS$4,'Annual Cashflow'!E$4,'Monthly Cashflow'!$C20:$XFD20)</f>
        <v>-47470.855263157944</v>
      </c>
      <c r="F17" s="136">
        <f>SUMIF('Monthly Cashflow'!$C$4:$DS$4,'Annual Cashflow'!F$4,'Monthly Cashflow'!$C20:$XFD20)</f>
        <v>-49247.996299342165</v>
      </c>
      <c r="G17" s="136">
        <f>SUMIF('Monthly Cashflow'!$C$4:$DS$4,'Annual Cashflow'!G$4,'Monthly Cashflow'!$C20:$XFD20)</f>
        <v>-51091.723573704825</v>
      </c>
      <c r="H17" s="136">
        <f>SUMIF('Monthly Cashflow'!$C$4:$DS$4,'Annual Cashflow'!H$4,'Monthly Cashflow'!$C20:$XFD20)</f>
        <v>-53004.533009852457</v>
      </c>
      <c r="I17" s="136">
        <f>SUMIF('Monthly Cashflow'!$C$4:$DS$4,'Annual Cashflow'!I$4,'Monthly Cashflow'!$C20:$XFD20)</f>
        <v>0</v>
      </c>
      <c r="J17" s="136">
        <f>SUMIF('Monthly Cashflow'!$C$4:$DS$4,'Annual Cashflow'!J$4,'Monthly Cashflow'!$C20:$XFD20)</f>
        <v>0</v>
      </c>
      <c r="K17" s="136">
        <f>SUMIF('Monthly Cashflow'!$C$4:$DS$4,'Annual Cashflow'!K$4,'Monthly Cashflow'!$C20:$XFD20)</f>
        <v>0</v>
      </c>
      <c r="L17" s="136">
        <f>SUMIF('Monthly Cashflow'!$C$4:$DS$4,'Annual Cashflow'!L$4,'Monthly Cashflow'!$C20:$XFD20)</f>
        <v>0</v>
      </c>
      <c r="M17" s="136">
        <f>SUMIF('Monthly Cashflow'!$C$4:$DS$4,'Annual Cashflow'!M$4,'Monthly Cashflow'!$C20:$XFD20)</f>
        <v>0</v>
      </c>
    </row>
    <row r="18" spans="2:13" x14ac:dyDescent="0.3">
      <c r="B18" s="127" t="str">
        <f>'Monthly Cashflow'!B21</f>
        <v>Net Income Less Vacancy</v>
      </c>
      <c r="C18" s="137"/>
      <c r="D18" s="137">
        <f>SUMIF('Monthly Cashflow'!$C$4:$DS$4,'Annual Cashflow'!D$4,'Monthly Cashflow'!$C21:$XFD21)</f>
        <v>614430</v>
      </c>
      <c r="E18" s="137">
        <f>SUMIF('Monthly Cashflow'!$C$4:$DS$4,'Annual Cashflow'!E$4,'Monthly Cashflow'!$C21:$XFD21)</f>
        <v>806064.39473684225</v>
      </c>
      <c r="F18" s="137">
        <f>SUMIF('Monthly Cashflow'!$C$4:$DS$4,'Annual Cashflow'!F$4,'Monthly Cashflow'!$C21:$XFD21)</f>
        <v>837145.2271381584</v>
      </c>
      <c r="G18" s="137">
        <f>SUMIF('Monthly Cashflow'!$C$4:$DS$4,'Annual Cashflow'!G$4,'Monthly Cashflow'!$C21:$XFD21)</f>
        <v>869407.59233449807</v>
      </c>
      <c r="H18" s="137">
        <f>SUMIF('Monthly Cashflow'!$C$4:$DS$4,'Annual Cashflow'!H$4,'Monthly Cashflow'!$C21:$XFD21)</f>
        <v>902896.09783530224</v>
      </c>
      <c r="I18" s="137">
        <f>SUMIF('Monthly Cashflow'!$C$4:$DS$4,'Annual Cashflow'!I$4,'Monthly Cashflow'!$C21:$XFD21)</f>
        <v>0</v>
      </c>
      <c r="J18" s="137">
        <f>SUMIF('Monthly Cashflow'!$C$4:$DS$4,'Annual Cashflow'!J$4,'Monthly Cashflow'!$C21:$XFD21)</f>
        <v>0</v>
      </c>
      <c r="K18" s="137">
        <f>SUMIF('Monthly Cashflow'!$C$4:$DS$4,'Annual Cashflow'!K$4,'Monthly Cashflow'!$C21:$XFD21)</f>
        <v>0</v>
      </c>
      <c r="L18" s="137">
        <f>SUMIF('Monthly Cashflow'!$C$4:$DS$4,'Annual Cashflow'!L$4,'Monthly Cashflow'!$C21:$XFD21)</f>
        <v>0</v>
      </c>
      <c r="M18" s="137">
        <f>SUMIF('Monthly Cashflow'!$C$4:$DS$4,'Annual Cashflow'!M$4,'Monthly Cashflow'!$C21:$XFD21)</f>
        <v>0</v>
      </c>
    </row>
    <row r="19" spans="2:13" x14ac:dyDescent="0.3">
      <c r="C19" s="135"/>
      <c r="D19" s="135">
        <f>SUMIF('Monthly Cashflow'!$C$4:$DS$4,'Annual Cashflow'!D$4,'Monthly Cashflow'!$C22:$XFD22)</f>
        <v>0</v>
      </c>
      <c r="E19" s="135">
        <f>SUMIF('Monthly Cashflow'!$C$4:$DS$4,'Annual Cashflow'!E$4,'Monthly Cashflow'!$C22:$XFD22)</f>
        <v>0</v>
      </c>
      <c r="F19" s="135">
        <f>SUMIF('Monthly Cashflow'!$C$4:$DS$4,'Annual Cashflow'!F$4,'Monthly Cashflow'!$C22:$XFD22)</f>
        <v>0</v>
      </c>
      <c r="G19" s="135">
        <f>SUMIF('Monthly Cashflow'!$C$4:$DS$4,'Annual Cashflow'!G$4,'Monthly Cashflow'!$C22:$XFD22)</f>
        <v>0</v>
      </c>
      <c r="H19" s="135">
        <f>SUMIF('Monthly Cashflow'!$C$4:$DS$4,'Annual Cashflow'!H$4,'Monthly Cashflow'!$C22:$XFD22)</f>
        <v>0</v>
      </c>
      <c r="I19" s="135">
        <f>SUMIF('Monthly Cashflow'!$C$4:$DS$4,'Annual Cashflow'!I$4,'Monthly Cashflow'!$C22:$XFD22)</f>
        <v>0</v>
      </c>
      <c r="J19" s="135">
        <f>SUMIF('Monthly Cashflow'!$C$4:$DS$4,'Annual Cashflow'!J$4,'Monthly Cashflow'!$C22:$XFD22)</f>
        <v>0</v>
      </c>
      <c r="K19" s="135">
        <f>SUMIF('Monthly Cashflow'!$C$4:$DS$4,'Annual Cashflow'!K$4,'Monthly Cashflow'!$C22:$XFD22)</f>
        <v>0</v>
      </c>
      <c r="L19" s="135">
        <f>SUMIF('Monthly Cashflow'!$C$4:$DS$4,'Annual Cashflow'!L$4,'Monthly Cashflow'!$C22:$XFD22)</f>
        <v>0</v>
      </c>
      <c r="M19" s="135">
        <f>SUMIF('Monthly Cashflow'!$C$4:$DS$4,'Annual Cashflow'!M$4,'Monthly Cashflow'!$C22:$XFD22)</f>
        <v>0</v>
      </c>
    </row>
    <row r="20" spans="2:13" x14ac:dyDescent="0.3">
      <c r="B20" s="216" t="str">
        <f>'Monthly Cashflow'!B23</f>
        <v>Operating Expenses</v>
      </c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</row>
    <row r="21" spans="2:13" x14ac:dyDescent="0.3">
      <c r="B21" s="111" t="str">
        <f>'Monthly Cashflow'!B24</f>
        <v>Maintenance employment costs</v>
      </c>
      <c r="C21" s="135"/>
      <c r="D21" s="135">
        <f>SUMIF('Monthly Cashflow'!$C$4:$DS$4,'Annual Cashflow'!D$4,'Monthly Cashflow'!$C24:$XFD24)</f>
        <v>-33000</v>
      </c>
      <c r="E21" s="135">
        <f>SUMIF('Monthly Cashflow'!$C$4:$DS$4,'Annual Cashflow'!E$4,'Monthly Cashflow'!$C24:$XFD24)</f>
        <v>-33618.75</v>
      </c>
      <c r="F21" s="135">
        <f>SUMIF('Monthly Cashflow'!$C$4:$DS$4,'Annual Cashflow'!F$4,'Monthly Cashflow'!$C24:$XFD24)</f>
        <v>-34249.1015625</v>
      </c>
      <c r="G21" s="135">
        <f>SUMIF('Monthly Cashflow'!$C$4:$DS$4,'Annual Cashflow'!G$4,'Monthly Cashflow'!$C24:$XFD24)</f>
        <v>-34891.272216796875</v>
      </c>
      <c r="H21" s="135">
        <f>SUMIF('Monthly Cashflow'!$C$4:$DS$4,'Annual Cashflow'!H$4,'Monthly Cashflow'!$C24:$XFD24)</f>
        <v>-35545.483570861827</v>
      </c>
      <c r="I21" s="135">
        <f>SUMIF('Monthly Cashflow'!$C$4:$DS$4,'Annual Cashflow'!I$4,'Monthly Cashflow'!$C24:$XFD24)</f>
        <v>0</v>
      </c>
      <c r="J21" s="135">
        <f>SUMIF('Monthly Cashflow'!$C$4:$DS$4,'Annual Cashflow'!J$4,'Monthly Cashflow'!$C24:$XFD24)</f>
        <v>0</v>
      </c>
      <c r="K21" s="135">
        <f>SUMIF('Monthly Cashflow'!$C$4:$DS$4,'Annual Cashflow'!K$4,'Monthly Cashflow'!$C24:$XFD24)</f>
        <v>0</v>
      </c>
      <c r="L21" s="135">
        <f>SUMIF('Monthly Cashflow'!$C$4:$DS$4,'Annual Cashflow'!L$4,'Monthly Cashflow'!$C24:$XFD24)</f>
        <v>0</v>
      </c>
      <c r="M21" s="135">
        <f>SUMIF('Monthly Cashflow'!$C$4:$DS$4,'Annual Cashflow'!M$4,'Monthly Cashflow'!$C24:$XFD24)</f>
        <v>0</v>
      </c>
    </row>
    <row r="22" spans="2:13" x14ac:dyDescent="0.3">
      <c r="B22" s="111" t="str">
        <f>'Monthly Cashflow'!B25</f>
        <v>Maintenance other costs</v>
      </c>
      <c r="C22" s="135"/>
      <c r="D22" s="135">
        <f>SUMIF('Monthly Cashflow'!$C$4:$DS$4,'Annual Cashflow'!D$4,'Monthly Cashflow'!$C25:$XFD25)</f>
        <v>-14250</v>
      </c>
      <c r="E22" s="135">
        <f>SUMIF('Monthly Cashflow'!$C$4:$DS$4,'Annual Cashflow'!E$4,'Monthly Cashflow'!$C25:$XFD25)</f>
        <v>-18337.5</v>
      </c>
      <c r="F22" s="135">
        <f>SUMIF('Monthly Cashflow'!$C$4:$DS$4,'Annual Cashflow'!F$4,'Monthly Cashflow'!$C25:$XFD25)</f>
        <v>-18681.328125</v>
      </c>
      <c r="G22" s="135">
        <f>SUMIF('Monthly Cashflow'!$C$4:$DS$4,'Annual Cashflow'!G$4,'Monthly Cashflow'!$C25:$XFD25)</f>
        <v>-19031.60302734375</v>
      </c>
      <c r="H22" s="135">
        <f>SUMIF('Monthly Cashflow'!$C$4:$DS$4,'Annual Cashflow'!H$4,'Monthly Cashflow'!$C25:$XFD25)</f>
        <v>-19388.445584106448</v>
      </c>
      <c r="I22" s="135">
        <f>SUMIF('Monthly Cashflow'!$C$4:$DS$4,'Annual Cashflow'!I$4,'Monthly Cashflow'!$C25:$XFD25)</f>
        <v>0</v>
      </c>
      <c r="J22" s="135">
        <f>SUMIF('Monthly Cashflow'!$C$4:$DS$4,'Annual Cashflow'!J$4,'Monthly Cashflow'!$C25:$XFD25)</f>
        <v>0</v>
      </c>
      <c r="K22" s="135">
        <f>SUMIF('Monthly Cashflow'!$C$4:$DS$4,'Annual Cashflow'!K$4,'Monthly Cashflow'!$C25:$XFD25)</f>
        <v>0</v>
      </c>
      <c r="L22" s="135">
        <f>SUMIF('Monthly Cashflow'!$C$4:$DS$4,'Annual Cashflow'!L$4,'Monthly Cashflow'!$C25:$XFD25)</f>
        <v>0</v>
      </c>
      <c r="M22" s="135">
        <f>SUMIF('Monthly Cashflow'!$C$4:$DS$4,'Annual Cashflow'!M$4,'Monthly Cashflow'!$C25:$XFD25)</f>
        <v>0</v>
      </c>
    </row>
    <row r="23" spans="2:13" x14ac:dyDescent="0.3">
      <c r="B23" s="111" t="str">
        <f>'Monthly Cashflow'!B26</f>
        <v>Operations employment costs</v>
      </c>
      <c r="C23" s="135"/>
      <c r="D23" s="135">
        <f>SUMIF('Monthly Cashflow'!$C$4:$DS$4,'Annual Cashflow'!D$4,'Monthly Cashflow'!$C26:$XFD26)</f>
        <v>-49999.999999999993</v>
      </c>
      <c r="E23" s="135">
        <f>SUMIF('Monthly Cashflow'!$C$4:$DS$4,'Annual Cashflow'!E$4,'Monthly Cashflow'!$C26:$XFD26)</f>
        <v>-50937.499999999993</v>
      </c>
      <c r="F23" s="135">
        <f>SUMIF('Monthly Cashflow'!$C$4:$DS$4,'Annual Cashflow'!F$4,'Monthly Cashflow'!$C26:$XFD26)</f>
        <v>-51892.578124999993</v>
      </c>
      <c r="G23" s="135">
        <f>SUMIF('Monthly Cashflow'!$C$4:$DS$4,'Annual Cashflow'!G$4,'Monthly Cashflow'!$C26:$XFD26)</f>
        <v>-52865.563964843743</v>
      </c>
      <c r="H23" s="135">
        <f>SUMIF('Monthly Cashflow'!$C$4:$DS$4,'Annual Cashflow'!H$4,'Monthly Cashflow'!$C26:$XFD26)</f>
        <v>-53856.793289184563</v>
      </c>
      <c r="I23" s="135">
        <f>SUMIF('Monthly Cashflow'!$C$4:$DS$4,'Annual Cashflow'!I$4,'Monthly Cashflow'!$C26:$XFD26)</f>
        <v>0</v>
      </c>
      <c r="J23" s="135">
        <f>SUMIF('Monthly Cashflow'!$C$4:$DS$4,'Annual Cashflow'!J$4,'Monthly Cashflow'!$C26:$XFD26)</f>
        <v>0</v>
      </c>
      <c r="K23" s="135">
        <f>SUMIF('Monthly Cashflow'!$C$4:$DS$4,'Annual Cashflow'!K$4,'Monthly Cashflow'!$C26:$XFD26)</f>
        <v>0</v>
      </c>
      <c r="L23" s="135">
        <f>SUMIF('Monthly Cashflow'!$C$4:$DS$4,'Annual Cashflow'!L$4,'Monthly Cashflow'!$C26:$XFD26)</f>
        <v>0</v>
      </c>
      <c r="M23" s="135">
        <f>SUMIF('Monthly Cashflow'!$C$4:$DS$4,'Annual Cashflow'!M$4,'Monthly Cashflow'!$C26:$XFD26)</f>
        <v>0</v>
      </c>
    </row>
    <row r="24" spans="2:13" x14ac:dyDescent="0.3">
      <c r="B24" s="111" t="str">
        <f>'Monthly Cashflow'!B27</f>
        <v>Cleaning employment costs</v>
      </c>
      <c r="C24" s="135"/>
      <c r="D24" s="135">
        <f>SUMIF('Monthly Cashflow'!$C$4:$DS$4,'Annual Cashflow'!D$4,'Monthly Cashflow'!$C27:$XFD27)</f>
        <v>-23000.000000000004</v>
      </c>
      <c r="E24" s="135">
        <f>SUMIF('Monthly Cashflow'!$C$4:$DS$4,'Annual Cashflow'!E$4,'Monthly Cashflow'!$C27:$XFD27)</f>
        <v>-23431.250000000004</v>
      </c>
      <c r="F24" s="135">
        <f>SUMIF('Monthly Cashflow'!$C$4:$DS$4,'Annual Cashflow'!F$4,'Monthly Cashflow'!$C27:$XFD27)</f>
        <v>-23870.585937500004</v>
      </c>
      <c r="G24" s="135">
        <f>SUMIF('Monthly Cashflow'!$C$4:$DS$4,'Annual Cashflow'!G$4,'Monthly Cashflow'!$C27:$XFD27)</f>
        <v>-24318.159423828129</v>
      </c>
      <c r="H24" s="135">
        <f>SUMIF('Monthly Cashflow'!$C$4:$DS$4,'Annual Cashflow'!H$4,'Monthly Cashflow'!$C27:$XFD27)</f>
        <v>-24774.124913024902</v>
      </c>
      <c r="I24" s="135">
        <f>SUMIF('Monthly Cashflow'!$C$4:$DS$4,'Annual Cashflow'!I$4,'Monthly Cashflow'!$C27:$XFD27)</f>
        <v>0</v>
      </c>
      <c r="J24" s="135">
        <f>SUMIF('Monthly Cashflow'!$C$4:$DS$4,'Annual Cashflow'!J$4,'Monthly Cashflow'!$C27:$XFD27)</f>
        <v>0</v>
      </c>
      <c r="K24" s="135">
        <f>SUMIF('Monthly Cashflow'!$C$4:$DS$4,'Annual Cashflow'!K$4,'Monthly Cashflow'!$C27:$XFD27)</f>
        <v>0</v>
      </c>
      <c r="L24" s="135">
        <f>SUMIF('Monthly Cashflow'!$C$4:$DS$4,'Annual Cashflow'!L$4,'Monthly Cashflow'!$C27:$XFD27)</f>
        <v>0</v>
      </c>
      <c r="M24" s="135">
        <f>SUMIF('Monthly Cashflow'!$C$4:$DS$4,'Annual Cashflow'!M$4,'Monthly Cashflow'!$C27:$XFD27)</f>
        <v>0</v>
      </c>
    </row>
    <row r="25" spans="2:13" x14ac:dyDescent="0.3">
      <c r="B25" s="111" t="str">
        <f>'Monthly Cashflow'!B28</f>
        <v>Sales/marketing employment costs</v>
      </c>
      <c r="C25" s="135"/>
      <c r="D25" s="135">
        <f>SUMIF('Monthly Cashflow'!$C$4:$DS$4,'Annual Cashflow'!D$4,'Monthly Cashflow'!$C28:$XFD28)</f>
        <v>0</v>
      </c>
      <c r="E25" s="135">
        <f>SUMIF('Monthly Cashflow'!$C$4:$DS$4,'Annual Cashflow'!E$4,'Monthly Cashflow'!$C28:$XFD28)</f>
        <v>0</v>
      </c>
      <c r="F25" s="135">
        <f>SUMIF('Monthly Cashflow'!$C$4:$DS$4,'Annual Cashflow'!F$4,'Monthly Cashflow'!$C28:$XFD28)</f>
        <v>0</v>
      </c>
      <c r="G25" s="135">
        <f>SUMIF('Monthly Cashflow'!$C$4:$DS$4,'Annual Cashflow'!G$4,'Monthly Cashflow'!$C28:$XFD28)</f>
        <v>0</v>
      </c>
      <c r="H25" s="135">
        <f>SUMIF('Monthly Cashflow'!$C$4:$DS$4,'Annual Cashflow'!H$4,'Monthly Cashflow'!$C28:$XFD28)</f>
        <v>0</v>
      </c>
      <c r="I25" s="135">
        <f>SUMIF('Monthly Cashflow'!$C$4:$DS$4,'Annual Cashflow'!I$4,'Monthly Cashflow'!$C28:$XFD28)</f>
        <v>0</v>
      </c>
      <c r="J25" s="135">
        <f>SUMIF('Monthly Cashflow'!$C$4:$DS$4,'Annual Cashflow'!J$4,'Monthly Cashflow'!$C28:$XFD28)</f>
        <v>0</v>
      </c>
      <c r="K25" s="135">
        <f>SUMIF('Monthly Cashflow'!$C$4:$DS$4,'Annual Cashflow'!K$4,'Monthly Cashflow'!$C28:$XFD28)</f>
        <v>0</v>
      </c>
      <c r="L25" s="135">
        <f>SUMIF('Monthly Cashflow'!$C$4:$DS$4,'Annual Cashflow'!L$4,'Monthly Cashflow'!$C28:$XFD28)</f>
        <v>0</v>
      </c>
      <c r="M25" s="135">
        <f>SUMIF('Monthly Cashflow'!$C$4:$DS$4,'Annual Cashflow'!M$4,'Monthly Cashflow'!$C28:$XFD28)</f>
        <v>0</v>
      </c>
    </row>
    <row r="26" spans="2:13" x14ac:dyDescent="0.3">
      <c r="B26" s="111" t="str">
        <f>'Monthly Cashflow'!B29</f>
        <v>Agency/letting fees</v>
      </c>
      <c r="C26" s="135"/>
      <c r="D26" s="135">
        <f>SUMIF('Monthly Cashflow'!$C$4:$DS$4,'Annual Cashflow'!D$4,'Monthly Cashflow'!$C29:$XFD29)</f>
        <v>-32602.500000000007</v>
      </c>
      <c r="E26" s="135">
        <f>SUMIF('Monthly Cashflow'!$C$4:$DS$4,'Annual Cashflow'!E$4,'Monthly Cashflow'!$C29:$XFD29)</f>
        <v>-42723.769736842107</v>
      </c>
      <c r="F26" s="135">
        <f>SUMIF('Monthly Cashflow'!$C$4:$DS$4,'Annual Cashflow'!F$4,'Monthly Cashflow'!$C29:$XFD29)</f>
        <v>-44323.196669407895</v>
      </c>
      <c r="G26" s="135">
        <f>SUMIF('Monthly Cashflow'!$C$4:$DS$4,'Annual Cashflow'!G$4,'Monthly Cashflow'!$C29:$XFD29)</f>
        <v>-45982.551216334286</v>
      </c>
      <c r="H26" s="135">
        <f>SUMIF('Monthly Cashflow'!$C$4:$DS$4,'Annual Cashflow'!H$4,'Monthly Cashflow'!$C29:$XFD29)</f>
        <v>-47704.079708867153</v>
      </c>
      <c r="I26" s="135">
        <f>SUMIF('Monthly Cashflow'!$C$4:$DS$4,'Annual Cashflow'!I$4,'Monthly Cashflow'!$C29:$XFD29)</f>
        <v>0</v>
      </c>
      <c r="J26" s="135">
        <f>SUMIF('Monthly Cashflow'!$C$4:$DS$4,'Annual Cashflow'!J$4,'Monthly Cashflow'!$C29:$XFD29)</f>
        <v>0</v>
      </c>
      <c r="K26" s="135">
        <f>SUMIF('Monthly Cashflow'!$C$4:$DS$4,'Annual Cashflow'!K$4,'Monthly Cashflow'!$C29:$XFD29)</f>
        <v>0</v>
      </c>
      <c r="L26" s="135">
        <f>SUMIF('Monthly Cashflow'!$C$4:$DS$4,'Annual Cashflow'!L$4,'Monthly Cashflow'!$C29:$XFD29)</f>
        <v>0</v>
      </c>
      <c r="M26" s="135">
        <f>SUMIF('Monthly Cashflow'!$C$4:$DS$4,'Annual Cashflow'!M$4,'Monthly Cashflow'!$C29:$XFD29)</f>
        <v>0</v>
      </c>
    </row>
    <row r="27" spans="2:13" x14ac:dyDescent="0.3">
      <c r="B27" s="111" t="str">
        <f>'Monthly Cashflow'!B30</f>
        <v>Ground rent</v>
      </c>
      <c r="C27" s="135"/>
      <c r="D27" s="135">
        <f>SUMIF('Monthly Cashflow'!$C$4:$DS$4,'Annual Cashflow'!D$4,'Monthly Cashflow'!$C30:$XFD30)</f>
        <v>-1000.0000000000001</v>
      </c>
      <c r="E27" s="135">
        <f>SUMIF('Monthly Cashflow'!$C$4:$DS$4,'Annual Cashflow'!E$4,'Monthly Cashflow'!$C30:$XFD30)</f>
        <v>-1018.7500000000001</v>
      </c>
      <c r="F27" s="135">
        <f>SUMIF('Monthly Cashflow'!$C$4:$DS$4,'Annual Cashflow'!F$4,'Monthly Cashflow'!$C30:$XFD30)</f>
        <v>-1037.8515625000002</v>
      </c>
      <c r="G27" s="135">
        <f>SUMIF('Monthly Cashflow'!$C$4:$DS$4,'Annual Cashflow'!G$4,'Monthly Cashflow'!$C30:$XFD30)</f>
        <v>-1057.3112792968752</v>
      </c>
      <c r="H27" s="135">
        <f>SUMIF('Monthly Cashflow'!$C$4:$DS$4,'Annual Cashflow'!H$4,'Monthly Cashflow'!$C30:$XFD30)</f>
        <v>-1077.1358657836915</v>
      </c>
      <c r="I27" s="135">
        <f>SUMIF('Monthly Cashflow'!$C$4:$DS$4,'Annual Cashflow'!I$4,'Monthly Cashflow'!$C30:$XFD30)</f>
        <v>0</v>
      </c>
      <c r="J27" s="135">
        <f>SUMIF('Monthly Cashflow'!$C$4:$DS$4,'Annual Cashflow'!J$4,'Monthly Cashflow'!$C30:$XFD30)</f>
        <v>0</v>
      </c>
      <c r="K27" s="135">
        <f>SUMIF('Monthly Cashflow'!$C$4:$DS$4,'Annual Cashflow'!K$4,'Monthly Cashflow'!$C30:$XFD30)</f>
        <v>0</v>
      </c>
      <c r="L27" s="135">
        <f>SUMIF('Monthly Cashflow'!$C$4:$DS$4,'Annual Cashflow'!L$4,'Monthly Cashflow'!$C30:$XFD30)</f>
        <v>0</v>
      </c>
      <c r="M27" s="135">
        <f>SUMIF('Monthly Cashflow'!$C$4:$DS$4,'Annual Cashflow'!M$4,'Monthly Cashflow'!$C30:$XFD30)</f>
        <v>0</v>
      </c>
    </row>
    <row r="28" spans="2:13" x14ac:dyDescent="0.3">
      <c r="B28" s="129" t="str">
        <f>'Monthly Cashflow'!B31</f>
        <v>Service charge</v>
      </c>
      <c r="C28" s="136"/>
      <c r="D28" s="136">
        <f>SUMIF('Monthly Cashflow'!$C$4:$DS$4,'Annual Cashflow'!D$4,'Monthly Cashflow'!$C31:$XFD31)</f>
        <v>-2000.0000000000002</v>
      </c>
      <c r="E28" s="136">
        <f>SUMIF('Monthly Cashflow'!$C$4:$DS$4,'Annual Cashflow'!E$4,'Monthly Cashflow'!$C31:$XFD31)</f>
        <v>-2037.5000000000002</v>
      </c>
      <c r="F28" s="136">
        <f>SUMIF('Monthly Cashflow'!$C$4:$DS$4,'Annual Cashflow'!F$4,'Monthly Cashflow'!$C31:$XFD31)</f>
        <v>-2075.7031250000005</v>
      </c>
      <c r="G28" s="136">
        <f>SUMIF('Monthly Cashflow'!$C$4:$DS$4,'Annual Cashflow'!G$4,'Monthly Cashflow'!$C31:$XFD31)</f>
        <v>-2114.6225585937505</v>
      </c>
      <c r="H28" s="136">
        <f>SUMIF('Monthly Cashflow'!$C$4:$DS$4,'Annual Cashflow'!H$4,'Monthly Cashflow'!$C31:$XFD31)</f>
        <v>-2154.2717315673831</v>
      </c>
      <c r="I28" s="136">
        <f>SUMIF('Monthly Cashflow'!$C$4:$DS$4,'Annual Cashflow'!I$4,'Monthly Cashflow'!$C31:$XFD31)</f>
        <v>0</v>
      </c>
      <c r="J28" s="136">
        <f>SUMIF('Monthly Cashflow'!$C$4:$DS$4,'Annual Cashflow'!J$4,'Monthly Cashflow'!$C31:$XFD31)</f>
        <v>0</v>
      </c>
      <c r="K28" s="136">
        <f>SUMIF('Monthly Cashflow'!$C$4:$DS$4,'Annual Cashflow'!K$4,'Monthly Cashflow'!$C31:$XFD31)</f>
        <v>0</v>
      </c>
      <c r="L28" s="136">
        <f>SUMIF('Monthly Cashflow'!$C$4:$DS$4,'Annual Cashflow'!L$4,'Monthly Cashflow'!$C31:$XFD31)</f>
        <v>0</v>
      </c>
      <c r="M28" s="136">
        <f>SUMIF('Monthly Cashflow'!$C$4:$DS$4,'Annual Cashflow'!M$4,'Monthly Cashflow'!$C31:$XFD31)</f>
        <v>0</v>
      </c>
    </row>
    <row r="29" spans="2:13" x14ac:dyDescent="0.3">
      <c r="B29" s="127" t="str">
        <f>'Monthly Cashflow'!B32</f>
        <v>Total Operating Expenses</v>
      </c>
      <c r="C29" s="137"/>
      <c r="D29" s="137">
        <f>SUMIF('Monthly Cashflow'!$C$4:$DS$4,'Annual Cashflow'!D$4,'Monthly Cashflow'!$C32:$XFD32)</f>
        <v>-155852.5</v>
      </c>
      <c r="E29" s="137">
        <f>SUMIF('Monthly Cashflow'!$C$4:$DS$4,'Annual Cashflow'!E$4,'Monthly Cashflow'!$C32:$XFD32)</f>
        <v>-172105.01973684214</v>
      </c>
      <c r="F29" s="137">
        <f>SUMIF('Monthly Cashflow'!$C$4:$DS$4,'Annual Cashflow'!F$4,'Monthly Cashflow'!$C32:$XFD32)</f>
        <v>-176130.34510690797</v>
      </c>
      <c r="G29" s="137">
        <f>SUMIF('Monthly Cashflow'!$C$4:$DS$4,'Annual Cashflow'!G$4,'Monthly Cashflow'!$C32:$XFD32)</f>
        <v>-180261.08368703738</v>
      </c>
      <c r="H29" s="137">
        <f>SUMIF('Monthly Cashflow'!$C$4:$DS$4,'Annual Cashflow'!H$4,'Monthly Cashflow'!$C32:$XFD32)</f>
        <v>-184500.334663396</v>
      </c>
      <c r="I29" s="137">
        <f>SUMIF('Monthly Cashflow'!$C$4:$DS$4,'Annual Cashflow'!I$4,'Monthly Cashflow'!$C32:$XFD32)</f>
        <v>0</v>
      </c>
      <c r="J29" s="137">
        <f>SUMIF('Monthly Cashflow'!$C$4:$DS$4,'Annual Cashflow'!J$4,'Monthly Cashflow'!$C32:$XFD32)</f>
        <v>0</v>
      </c>
      <c r="K29" s="137">
        <f>SUMIF('Monthly Cashflow'!$C$4:$DS$4,'Annual Cashflow'!K$4,'Monthly Cashflow'!$C32:$XFD32)</f>
        <v>0</v>
      </c>
      <c r="L29" s="137">
        <f>SUMIF('Monthly Cashflow'!$C$4:$DS$4,'Annual Cashflow'!L$4,'Monthly Cashflow'!$C32:$XFD32)</f>
        <v>0</v>
      </c>
      <c r="M29" s="137">
        <f>SUMIF('Monthly Cashflow'!$C$4:$DS$4,'Annual Cashflow'!M$4,'Monthly Cashflow'!$C32:$XFD32)</f>
        <v>0</v>
      </c>
    </row>
    <row r="30" spans="2:13" x14ac:dyDescent="0.3">
      <c r="B30" s="126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</row>
    <row r="31" spans="2:13" x14ac:dyDescent="0.3">
      <c r="B31" s="127" t="str">
        <f>'Monthly Cashflow'!B34</f>
        <v>Net Operating Income</v>
      </c>
      <c r="C31" s="137"/>
      <c r="D31" s="137">
        <f>SUMIF('Monthly Cashflow'!$C$4:$DS$4,'Annual Cashflow'!D$4,'Monthly Cashflow'!$C34:$XFD34)</f>
        <v>458577.49999999988</v>
      </c>
      <c r="E31" s="137">
        <f>SUMIF('Monthly Cashflow'!$C$4:$DS$4,'Annual Cashflow'!E$4,'Monthly Cashflow'!$C34:$XFD34)</f>
        <v>633959.375</v>
      </c>
      <c r="F31" s="137">
        <f>SUMIF('Monthly Cashflow'!$C$4:$DS$4,'Annual Cashflow'!F$4,'Monthly Cashflow'!$C34:$XFD34)</f>
        <v>661014.88203125028</v>
      </c>
      <c r="G31" s="137">
        <f>SUMIF('Monthly Cashflow'!$C$4:$DS$4,'Annual Cashflow'!G$4,'Monthly Cashflow'!$C34:$XFD34)</f>
        <v>689146.50864746096</v>
      </c>
      <c r="H31" s="137">
        <f>SUMIF('Monthly Cashflow'!$C$4:$DS$4,'Annual Cashflow'!H$4,'Monthly Cashflow'!$C34:$XFD34)</f>
        <v>718395.76317190647</v>
      </c>
      <c r="I31" s="137">
        <f>SUMIF('Monthly Cashflow'!$C$4:$DS$4,'Annual Cashflow'!I$4,'Monthly Cashflow'!$C34:$XFD34)</f>
        <v>0</v>
      </c>
      <c r="J31" s="137">
        <f>SUMIF('Monthly Cashflow'!$C$4:$DS$4,'Annual Cashflow'!J$4,'Monthly Cashflow'!$C34:$XFD34)</f>
        <v>0</v>
      </c>
      <c r="K31" s="137">
        <f>SUMIF('Monthly Cashflow'!$C$4:$DS$4,'Annual Cashflow'!K$4,'Monthly Cashflow'!$C34:$XFD34)</f>
        <v>0</v>
      </c>
      <c r="L31" s="137">
        <f>SUMIF('Monthly Cashflow'!$C$4:$DS$4,'Annual Cashflow'!L$4,'Monthly Cashflow'!$C34:$XFD34)</f>
        <v>0</v>
      </c>
      <c r="M31" s="137">
        <f>SUMIF('Monthly Cashflow'!$C$4:$DS$4,'Annual Cashflow'!M$4,'Monthly Cashflow'!$C34:$XFD34)</f>
        <v>0</v>
      </c>
    </row>
    <row r="32" spans="2:13" x14ac:dyDescent="0.3"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</row>
    <row r="33" spans="2:14" x14ac:dyDescent="0.3">
      <c r="B33" s="129" t="str">
        <f>'Monthly Cashflow'!B36</f>
        <v>Capital expenditure</v>
      </c>
      <c r="C33" s="136"/>
      <c r="D33" s="136">
        <f>SUMIF('Monthly Cashflow'!$C$4:$DS$4,'Annual Cashflow'!D$4,'Monthly Cashflow'!$C36:$XFD36)</f>
        <v>0</v>
      </c>
      <c r="E33" s="136">
        <f>SUMIF('Monthly Cashflow'!$C$4:$DS$4,'Annual Cashflow'!E$4,'Monthly Cashflow'!$C36:$XFD36)</f>
        <v>0</v>
      </c>
      <c r="F33" s="136">
        <f>SUMIF('Monthly Cashflow'!$C$4:$DS$4,'Annual Cashflow'!F$4,'Monthly Cashflow'!$C36:$XFD36)</f>
        <v>0</v>
      </c>
      <c r="G33" s="136">
        <f>SUMIF('Monthly Cashflow'!$C$4:$DS$4,'Annual Cashflow'!G$4,'Monthly Cashflow'!$C36:$XFD36)</f>
        <v>0</v>
      </c>
      <c r="H33" s="136">
        <f>SUMIF('Monthly Cashflow'!$C$4:$DS$4,'Annual Cashflow'!H$4,'Monthly Cashflow'!$C36:$XFD36)</f>
        <v>0</v>
      </c>
      <c r="I33" s="136">
        <f>SUMIF('Monthly Cashflow'!$C$4:$DS$4,'Annual Cashflow'!I$4,'Monthly Cashflow'!$C36:$XFD36)</f>
        <v>0</v>
      </c>
      <c r="J33" s="136">
        <f>SUMIF('Monthly Cashflow'!$C$4:$DS$4,'Annual Cashflow'!J$4,'Monthly Cashflow'!$C36:$XFD36)</f>
        <v>0</v>
      </c>
      <c r="K33" s="136">
        <f>SUMIF('Monthly Cashflow'!$C$4:$DS$4,'Annual Cashflow'!K$4,'Monthly Cashflow'!$C36:$XFD36)</f>
        <v>0</v>
      </c>
      <c r="L33" s="136">
        <f>SUMIF('Monthly Cashflow'!$C$4:$DS$4,'Annual Cashflow'!L$4,'Monthly Cashflow'!$C36:$XFD36)</f>
        <v>0</v>
      </c>
      <c r="M33" s="136">
        <f>SUMIF('Monthly Cashflow'!$C$4:$DS$4,'Annual Cashflow'!M$4,'Monthly Cashflow'!$C36:$XFD36)</f>
        <v>0</v>
      </c>
    </row>
    <row r="34" spans="2:14" x14ac:dyDescent="0.3">
      <c r="B34" s="127" t="str">
        <f>'Monthly Cashflow'!B37</f>
        <v>Cashflow From Operations</v>
      </c>
      <c r="C34" s="137"/>
      <c r="D34" s="137">
        <f>SUMIF('Monthly Cashflow'!$C$4:$DS$4,'Annual Cashflow'!D$4,'Monthly Cashflow'!$C37:$XFD37)</f>
        <v>458577.49999999988</v>
      </c>
      <c r="E34" s="137">
        <f>SUMIF('Monthly Cashflow'!$C$4:$DS$4,'Annual Cashflow'!E$4,'Monthly Cashflow'!$C37:$XFD37)</f>
        <v>633959.375</v>
      </c>
      <c r="F34" s="137">
        <f>SUMIF('Monthly Cashflow'!$C$4:$DS$4,'Annual Cashflow'!F$4,'Monthly Cashflow'!$C37:$XFD37)</f>
        <v>661014.88203125028</v>
      </c>
      <c r="G34" s="137">
        <f>SUMIF('Monthly Cashflow'!$C$4:$DS$4,'Annual Cashflow'!G$4,'Monthly Cashflow'!$C37:$XFD37)</f>
        <v>689146.50864746096</v>
      </c>
      <c r="H34" s="137">
        <f>SUMIF('Monthly Cashflow'!$C$4:$DS$4,'Annual Cashflow'!H$4,'Monthly Cashflow'!$C37:$XFD37)</f>
        <v>718395.76317190647</v>
      </c>
      <c r="I34" s="137">
        <f>SUMIF('Monthly Cashflow'!$C$4:$DS$4,'Annual Cashflow'!I$4,'Monthly Cashflow'!$C37:$XFD37)</f>
        <v>0</v>
      </c>
      <c r="J34" s="137">
        <f>SUMIF('Monthly Cashflow'!$C$4:$DS$4,'Annual Cashflow'!J$4,'Monthly Cashflow'!$C37:$XFD37)</f>
        <v>0</v>
      </c>
      <c r="K34" s="137">
        <f>SUMIF('Monthly Cashflow'!$C$4:$DS$4,'Annual Cashflow'!K$4,'Monthly Cashflow'!$C37:$XFD37)</f>
        <v>0</v>
      </c>
      <c r="L34" s="137">
        <f>SUMIF('Monthly Cashflow'!$C$4:$DS$4,'Annual Cashflow'!L$4,'Monthly Cashflow'!$C37:$XFD37)</f>
        <v>0</v>
      </c>
      <c r="M34" s="137">
        <f>SUMIF('Monthly Cashflow'!$C$4:$DS$4,'Annual Cashflow'!M$4,'Monthly Cashflow'!$C37:$XFD37)</f>
        <v>0</v>
      </c>
    </row>
    <row r="35" spans="2:14" x14ac:dyDescent="0.3">
      <c r="B35" s="4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</row>
    <row r="36" spans="2:14" ht="15" thickBot="1" x14ac:dyDescent="0.35">
      <c r="B36" s="114" t="str">
        <f>'Monthly Cashflow'!B39</f>
        <v>Reversion Cashflows (Unlevered)</v>
      </c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</row>
    <row r="37" spans="2:14" x14ac:dyDescent="0.3">
      <c r="B37" t="str">
        <f>'Monthly Cashflow'!B40</f>
        <v>Proceeds from sale</v>
      </c>
      <c r="C37" s="135"/>
      <c r="D37" s="135">
        <f>SUMIF('Monthly Cashflow'!$C$4:$DS$4,'Annual Cashflow'!D$4,'Monthly Cashflow'!$C40:$XFD40)</f>
        <v>0</v>
      </c>
      <c r="E37" s="135">
        <f>SUMIF('Monthly Cashflow'!$C$4:$DS$4,'Annual Cashflow'!E$4,'Monthly Cashflow'!$C40:$XFD40)</f>
        <v>0</v>
      </c>
      <c r="F37" s="135">
        <f>SUMIF('Monthly Cashflow'!$C$4:$DS$4,'Annual Cashflow'!F$4,'Monthly Cashflow'!$C40:$XFD40)</f>
        <v>0</v>
      </c>
      <c r="G37" s="135">
        <f>SUMIF('Monthly Cashflow'!$C$4:$DS$4,'Annual Cashflow'!G$4,'Monthly Cashflow'!$C40:$XFD40)</f>
        <v>0</v>
      </c>
      <c r="H37" s="135">
        <f>SUMIF('Monthly Cashflow'!$C$4:$DS$4,'Annual Cashflow'!H$4,'Monthly Cashflow'!$C40:$XFD40)</f>
        <v>19782694.305528276</v>
      </c>
      <c r="I37" s="135">
        <f>SUMIF('Monthly Cashflow'!$C$4:$DS$4,'Annual Cashflow'!I$4,'Monthly Cashflow'!$C40:$XFD40)</f>
        <v>0</v>
      </c>
      <c r="J37" s="135">
        <f>SUMIF('Monthly Cashflow'!$C$4:$DS$4,'Annual Cashflow'!J$4,'Monthly Cashflow'!$C40:$XFD40)</f>
        <v>0</v>
      </c>
      <c r="K37" s="135">
        <f>SUMIF('Monthly Cashflow'!$C$4:$DS$4,'Annual Cashflow'!K$4,'Monthly Cashflow'!$C40:$XFD40)</f>
        <v>0</v>
      </c>
      <c r="L37" s="135">
        <f>SUMIF('Monthly Cashflow'!$C$4:$DS$4,'Annual Cashflow'!L$4,'Monthly Cashflow'!$C40:$XFD40)</f>
        <v>0</v>
      </c>
      <c r="M37" s="135">
        <f>SUMIF('Monthly Cashflow'!$C$4:$DS$4,'Annual Cashflow'!M$4,'Monthly Cashflow'!$C40:$XFD40)</f>
        <v>0</v>
      </c>
    </row>
    <row r="38" spans="2:14" x14ac:dyDescent="0.3">
      <c r="B38" s="126" t="str">
        <f>'Monthly Cashflow'!B41</f>
        <v>Disposal Cost</v>
      </c>
      <c r="C38" s="136"/>
      <c r="D38" s="136">
        <f>SUMIF('Monthly Cashflow'!$C$4:$DS$4,'Annual Cashflow'!D$4,'Monthly Cashflow'!$C41:$XFD41)</f>
        <v>0</v>
      </c>
      <c r="E38" s="136">
        <f>SUMIF('Monthly Cashflow'!$C$4:$DS$4,'Annual Cashflow'!E$4,'Monthly Cashflow'!$C41:$XFD41)</f>
        <v>0</v>
      </c>
      <c r="F38" s="136">
        <f>SUMIF('Monthly Cashflow'!$C$4:$DS$4,'Annual Cashflow'!F$4,'Monthly Cashflow'!$C41:$XFD41)</f>
        <v>0</v>
      </c>
      <c r="G38" s="136">
        <f>SUMIF('Monthly Cashflow'!$C$4:$DS$4,'Annual Cashflow'!G$4,'Monthly Cashflow'!$C41:$XFD41)</f>
        <v>0</v>
      </c>
      <c r="H38" s="136">
        <f>SUMIF('Monthly Cashflow'!$C$4:$DS$4,'Annual Cashflow'!H$4,'Monthly Cashflow'!$C41:$XFD41)</f>
        <v>-1345223.2127759228</v>
      </c>
      <c r="I38" s="136">
        <f>SUMIF('Monthly Cashflow'!$C$4:$DS$4,'Annual Cashflow'!I$4,'Monthly Cashflow'!$C41:$XFD41)</f>
        <v>0</v>
      </c>
      <c r="J38" s="136">
        <f>SUMIF('Monthly Cashflow'!$C$4:$DS$4,'Annual Cashflow'!J$4,'Monthly Cashflow'!$C41:$XFD41)</f>
        <v>0</v>
      </c>
      <c r="K38" s="136">
        <f>SUMIF('Monthly Cashflow'!$C$4:$DS$4,'Annual Cashflow'!K$4,'Monthly Cashflow'!$C41:$XFD41)</f>
        <v>0</v>
      </c>
      <c r="L38" s="136">
        <f>SUMIF('Monthly Cashflow'!$C$4:$DS$4,'Annual Cashflow'!L$4,'Monthly Cashflow'!$C41:$XFD41)</f>
        <v>0</v>
      </c>
      <c r="M38" s="136">
        <f>SUMIF('Monthly Cashflow'!$C$4:$DS$4,'Annual Cashflow'!M$4,'Monthly Cashflow'!$C41:$XFD41)</f>
        <v>0</v>
      </c>
    </row>
    <row r="39" spans="2:14" x14ac:dyDescent="0.3">
      <c r="B39" s="127" t="str">
        <f>'Monthly Cashflow'!B42</f>
        <v>Net Proceeds from sale</v>
      </c>
      <c r="C39" s="137"/>
      <c r="D39" s="137">
        <f>SUMIF('Monthly Cashflow'!$C$4:$DS$4,'Annual Cashflow'!D$4,'Monthly Cashflow'!$C42:$XFD42)</f>
        <v>0</v>
      </c>
      <c r="E39" s="137">
        <f>SUMIF('Monthly Cashflow'!$C$4:$DS$4,'Annual Cashflow'!E$4,'Monthly Cashflow'!$C42:$XFD42)</f>
        <v>0</v>
      </c>
      <c r="F39" s="137">
        <f>SUMIF('Monthly Cashflow'!$C$4:$DS$4,'Annual Cashflow'!F$4,'Monthly Cashflow'!$C42:$XFD42)</f>
        <v>0</v>
      </c>
      <c r="G39" s="137">
        <f>SUMIF('Monthly Cashflow'!$C$4:$DS$4,'Annual Cashflow'!G$4,'Monthly Cashflow'!$C42:$XFD42)</f>
        <v>0</v>
      </c>
      <c r="H39" s="137">
        <f>SUMIF('Monthly Cashflow'!$C$4:$DS$4,'Annual Cashflow'!H$4,'Monthly Cashflow'!$C42:$XFD42)</f>
        <v>18437471.092752352</v>
      </c>
      <c r="I39" s="137">
        <f>SUMIF('Monthly Cashflow'!$C$4:$DS$4,'Annual Cashflow'!I$4,'Monthly Cashflow'!$C42:$XFD42)</f>
        <v>0</v>
      </c>
      <c r="J39" s="137">
        <f>SUMIF('Monthly Cashflow'!$C$4:$DS$4,'Annual Cashflow'!J$4,'Monthly Cashflow'!$C42:$XFD42)</f>
        <v>0</v>
      </c>
      <c r="K39" s="137">
        <f>SUMIF('Monthly Cashflow'!$C$4:$DS$4,'Annual Cashflow'!K$4,'Monthly Cashflow'!$C42:$XFD42)</f>
        <v>0</v>
      </c>
      <c r="L39" s="137">
        <f>SUMIF('Monthly Cashflow'!$C$4:$DS$4,'Annual Cashflow'!L$4,'Monthly Cashflow'!$C42:$XFD42)</f>
        <v>0</v>
      </c>
      <c r="M39" s="137">
        <f>SUMIF('Monthly Cashflow'!$C$4:$DS$4,'Annual Cashflow'!M$4,'Monthly Cashflow'!$C42:$XFD42)</f>
        <v>0</v>
      </c>
    </row>
    <row r="40" spans="2:14" x14ac:dyDescent="0.3"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</row>
    <row r="41" spans="2:14" ht="15" thickBot="1" x14ac:dyDescent="0.35">
      <c r="B41" s="114" t="str">
        <f>'Monthly Cashflow'!B44</f>
        <v>Unlevered Returns</v>
      </c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</row>
    <row r="42" spans="2:14" x14ac:dyDescent="0.3">
      <c r="B42" s="127" t="str">
        <f>'Monthly Cashflow'!B45</f>
        <v>Net Unlevered Cashflow</v>
      </c>
      <c r="C42" s="137">
        <f>C10+C34+C39</f>
        <v>-16287000</v>
      </c>
      <c r="D42" s="137">
        <f t="shared" ref="D42:M42" si="0">D10+D34+D39</f>
        <v>458577.49999999988</v>
      </c>
      <c r="E42" s="137">
        <f t="shared" si="0"/>
        <v>633959.375</v>
      </c>
      <c r="F42" s="137">
        <f t="shared" si="0"/>
        <v>661014.88203125028</v>
      </c>
      <c r="G42" s="137">
        <f t="shared" si="0"/>
        <v>689146.50864746096</v>
      </c>
      <c r="H42" s="137">
        <f t="shared" si="0"/>
        <v>19155866.85592426</v>
      </c>
      <c r="I42" s="137">
        <f t="shared" si="0"/>
        <v>0</v>
      </c>
      <c r="J42" s="137">
        <f t="shared" si="0"/>
        <v>0</v>
      </c>
      <c r="K42" s="137">
        <f t="shared" si="0"/>
        <v>0</v>
      </c>
      <c r="L42" s="137">
        <f t="shared" si="0"/>
        <v>0</v>
      </c>
      <c r="M42" s="137">
        <f t="shared" si="0"/>
        <v>0</v>
      </c>
    </row>
    <row r="43" spans="2:14" x14ac:dyDescent="0.3">
      <c r="B43" s="198" t="str">
        <f>'Monthly Cashflow'!B46</f>
        <v>Unlevered IRR</v>
      </c>
      <c r="C43" s="199">
        <f>'Monthly Cashflow'!C46</f>
        <v>6.2693074345588698E-2</v>
      </c>
    </row>
    <row r="44" spans="2:14" x14ac:dyDescent="0.3">
      <c r="B44" s="200" t="str">
        <f>'Monthly Cashflow'!B47</f>
        <v>Unlevered Equity Multiple</v>
      </c>
      <c r="C44" s="201">
        <f>'Monthly Cashflow'!C47</f>
        <v>1.3261229889852624</v>
      </c>
    </row>
    <row r="45" spans="2:14" x14ac:dyDescent="0.3">
      <c r="B45" s="198" t="str">
        <f>'Monthly Cashflow'!B48</f>
        <v>Unlevered Net Profit</v>
      </c>
      <c r="C45" s="202">
        <f>SUM(C42:M42)</f>
        <v>5311565.1216029711</v>
      </c>
    </row>
    <row r="46" spans="2:14" x14ac:dyDescent="0.3"/>
    <row r="47" spans="2:14" ht="15" thickBot="1" x14ac:dyDescent="0.35">
      <c r="B47" s="113" t="str">
        <f>'Monthly Cashflow'!B50</f>
        <v>Investment Cashflows (Levered)</v>
      </c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</row>
    <row r="48" spans="2:14" x14ac:dyDescent="0.3">
      <c r="B48" t="str">
        <f>'Monthly Cashflow'!B51</f>
        <v>Purchase Price</v>
      </c>
      <c r="C48" s="135">
        <f>'Monthly Cashflow'!C51</f>
        <v>-15250000</v>
      </c>
    </row>
    <row r="49" spans="2:14" x14ac:dyDescent="0.3">
      <c r="B49" t="str">
        <f>'Monthly Cashflow'!B52</f>
        <v>Acquisition Cost</v>
      </c>
      <c r="C49" s="135">
        <f>'Monthly Cashflow'!C52</f>
        <v>-1037000.0000000001</v>
      </c>
    </row>
    <row r="50" spans="2:14" x14ac:dyDescent="0.3">
      <c r="B50" t="str">
        <f>'Monthly Cashflow'!B53</f>
        <v>Senor Loan</v>
      </c>
      <c r="C50" s="135">
        <f>'Monthly Cashflow'!C53</f>
        <v>12200000</v>
      </c>
    </row>
    <row r="51" spans="2:14" x14ac:dyDescent="0.3">
      <c r="B51" t="str">
        <f>'Monthly Cashflow'!B54</f>
        <v>Loan Fees</v>
      </c>
      <c r="C51" s="136">
        <f>'Monthly Cashflow'!C54</f>
        <v>-122000</v>
      </c>
    </row>
    <row r="52" spans="2:14" x14ac:dyDescent="0.3">
      <c r="B52" s="107" t="str">
        <f>'Monthly Cashflow'!B55</f>
        <v>Total Acquisition Cost</v>
      </c>
      <c r="C52" s="108">
        <f>'Monthly Cashflow'!C55</f>
        <v>-4209000</v>
      </c>
      <c r="D52" s="107"/>
      <c r="E52" s="107"/>
      <c r="F52" s="107"/>
      <c r="G52" s="107"/>
      <c r="H52" s="107"/>
      <c r="I52" s="107"/>
      <c r="J52" s="107"/>
      <c r="K52" s="107"/>
      <c r="L52" s="107"/>
      <c r="M52" s="107"/>
    </row>
    <row r="53" spans="2:14" x14ac:dyDescent="0.3"/>
    <row r="54" spans="2:14" ht="15" thickBot="1" x14ac:dyDescent="0.35">
      <c r="B54" s="114" t="str">
        <f>'Monthly Cashflow'!B57</f>
        <v>Operating Cashflows (Levered)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</row>
    <row r="55" spans="2:14" x14ac:dyDescent="0.3">
      <c r="B55" s="219" t="str">
        <f>'Monthly Cashflow'!B58</f>
        <v>Cashflow From Operations</v>
      </c>
      <c r="C55" s="135">
        <f>SUMIF('Monthly Cashflow'!$D$4:$DS$4,'Annual Cashflow'!C$4,'Monthly Cashflow'!$D58:$DS58)</f>
        <v>0</v>
      </c>
      <c r="D55" s="135">
        <f>SUMIF('Monthly Cashflow'!$D$4:$DS$4,'Annual Cashflow'!D$4,'Monthly Cashflow'!$D$58:$DS$58)</f>
        <v>458577.49999999988</v>
      </c>
      <c r="E55" s="135">
        <f>SUMIF('Monthly Cashflow'!$D$4:$DS$4,'Annual Cashflow'!E$4,'Monthly Cashflow'!$D$58:$DS$58)</f>
        <v>633959.375</v>
      </c>
      <c r="F55" s="135">
        <f>SUMIF('Monthly Cashflow'!$D$4:$DS$4,'Annual Cashflow'!F$4,'Monthly Cashflow'!$D$58:$DS$58)</f>
        <v>661014.88203125028</v>
      </c>
      <c r="G55" s="135">
        <f>SUMIF('Monthly Cashflow'!$D$4:$DS$4,'Annual Cashflow'!G$4,'Monthly Cashflow'!$D$58:$DS$58)</f>
        <v>689146.50864746096</v>
      </c>
      <c r="H55" s="135">
        <f>SUMIF('Monthly Cashflow'!$D$4:$DS$4,'Annual Cashflow'!H$4,'Monthly Cashflow'!$D$58:$DS$58)</f>
        <v>718395.76317190647</v>
      </c>
      <c r="I55" s="135">
        <f>SUMIF('Monthly Cashflow'!$D$4:$DS$4,'Annual Cashflow'!I$4,'Monthly Cashflow'!$D$58:$DS$58)</f>
        <v>0</v>
      </c>
      <c r="J55" s="135">
        <f>SUMIF('Monthly Cashflow'!$D$4:$DS$4,'Annual Cashflow'!J$4,'Monthly Cashflow'!$D$58:$DS$58)</f>
        <v>0</v>
      </c>
      <c r="K55" s="135">
        <f>SUMIF('Monthly Cashflow'!$D$4:$DS$4,'Annual Cashflow'!K$4,'Monthly Cashflow'!$D$58:$DS$58)</f>
        <v>0</v>
      </c>
      <c r="L55" s="135">
        <f>SUMIF('Monthly Cashflow'!$D$4:$DS$4,'Annual Cashflow'!L$4,'Monthly Cashflow'!$D$58:$DS$58)</f>
        <v>0</v>
      </c>
      <c r="M55" s="135">
        <f>SUMIF('Monthly Cashflow'!$D$4:$DS$4,'Annual Cashflow'!M$4,'Monthly Cashflow'!$D$58:$DS$58)</f>
        <v>0</v>
      </c>
      <c r="N55" s="135">
        <f>SUMIF('Monthly Cashflow'!$D$4:$DS$4,'Annual Cashflow'!N$4,'Monthly Cashflow'!$D$58:$DS$58)</f>
        <v>0</v>
      </c>
    </row>
    <row r="56" spans="2:14" x14ac:dyDescent="0.3">
      <c r="B56" s="219" t="str">
        <f>'Monthly Cashflow'!B59</f>
        <v>Debt Service</v>
      </c>
      <c r="C56" s="136">
        <f>SUMIF('Monthly Cashflow'!$D$4:$DS$4,'Annual Cashflow'!C$4,'Monthly Cashflow'!$D59:$DS59)</f>
        <v>0</v>
      </c>
      <c r="D56" s="136">
        <f>SUMIF('Monthly Cashflow'!$D$4:$DS$4,'Annual Cashflow'!D$4,'Monthly Cashflow'!$D59:$DS59)</f>
        <v>-366000</v>
      </c>
      <c r="E56" s="136">
        <f>SUMIF('Monthly Cashflow'!$D$4:$DS$4,'Annual Cashflow'!E$4,'Monthly Cashflow'!$D59:$DS59)</f>
        <v>-366000</v>
      </c>
      <c r="F56" s="136">
        <f>SUMIF('Monthly Cashflow'!$D$4:$DS$4,'Annual Cashflow'!F$4,'Monthly Cashflow'!$D59:$DS59)</f>
        <v>-366000</v>
      </c>
      <c r="G56" s="136">
        <f>SUMIF('Monthly Cashflow'!$D$4:$DS$4,'Annual Cashflow'!G$4,'Monthly Cashflow'!$D59:$DS59)</f>
        <v>-617228.30537991552</v>
      </c>
      <c r="H56" s="136">
        <f>SUMIF('Monthly Cashflow'!$D$4:$DS$4,'Annual Cashflow'!H$4,'Monthly Cashflow'!$D59:$DS59)</f>
        <v>-617228.30537991552</v>
      </c>
      <c r="I56" s="136">
        <f>SUMIF('Monthly Cashflow'!$D$4:$DS$4,'Annual Cashflow'!I$4,'Monthly Cashflow'!$D59:$DS59)</f>
        <v>0</v>
      </c>
      <c r="J56" s="136">
        <f>SUMIF('Monthly Cashflow'!$D$4:$DS$4,'Annual Cashflow'!J$4,'Monthly Cashflow'!$D59:$DS59)</f>
        <v>0</v>
      </c>
      <c r="K56" s="136">
        <f>SUMIF('Monthly Cashflow'!$D$4:$DS$4,'Annual Cashflow'!K$4,'Monthly Cashflow'!$D59:$DS59)</f>
        <v>0</v>
      </c>
      <c r="L56" s="136">
        <f>SUMIF('Monthly Cashflow'!$D$4:$DS$4,'Annual Cashflow'!L$4,'Monthly Cashflow'!$D59:$DS59)</f>
        <v>0</v>
      </c>
      <c r="M56" s="136">
        <f>SUMIF('Monthly Cashflow'!$D$4:$DS$4,'Annual Cashflow'!M$4,'Monthly Cashflow'!$D59:$DS59)</f>
        <v>0</v>
      </c>
      <c r="N56" s="136">
        <f>SUMIF('Monthly Cashflow'!$D$4:$DS$4,'Annual Cashflow'!N$4,'Monthly Cashflow'!$D59:$DS59)</f>
        <v>0</v>
      </c>
    </row>
    <row r="57" spans="2:14" x14ac:dyDescent="0.3">
      <c r="B57" s="107" t="str">
        <f>'Monthly Cashflow'!B60</f>
        <v>Operating Cashflows after Financing</v>
      </c>
      <c r="C57" s="137">
        <f>SUMIF('Monthly Cashflow'!$D$4:$DS$4,'Annual Cashflow'!C$4,'Monthly Cashflow'!$D60:$DS60)</f>
        <v>0</v>
      </c>
      <c r="D57" s="137">
        <f>SUMIF('Monthly Cashflow'!$D$4:$DS$4,'Annual Cashflow'!D$4,'Monthly Cashflow'!$D60:$DS60)</f>
        <v>92577.499999999927</v>
      </c>
      <c r="E57" s="137">
        <f>SUMIF('Monthly Cashflow'!$D$4:$DS$4,'Annual Cashflow'!E$4,'Monthly Cashflow'!$D60:$DS60)</f>
        <v>267959.37500000017</v>
      </c>
      <c r="F57" s="137">
        <f>SUMIF('Monthly Cashflow'!$D$4:$DS$4,'Annual Cashflow'!F$4,'Monthly Cashflow'!$D60:$DS60)</f>
        <v>295014.88203125022</v>
      </c>
      <c r="G57" s="137">
        <f>SUMIF('Monthly Cashflow'!$D$4:$DS$4,'Annual Cashflow'!G$4,'Monthly Cashflow'!$D60:$DS60)</f>
        <v>71918.203267545265</v>
      </c>
      <c r="H57" s="137">
        <f>SUMIF('Monthly Cashflow'!$D$4:$DS$4,'Annual Cashflow'!H$4,'Monthly Cashflow'!$D60:$DS60)</f>
        <v>101167.45779199066</v>
      </c>
      <c r="I57" s="137">
        <f>SUMIF('Monthly Cashflow'!$D$4:$DS$4,'Annual Cashflow'!I$4,'Monthly Cashflow'!$D60:$DS60)</f>
        <v>0</v>
      </c>
      <c r="J57" s="137">
        <f>SUMIF('Monthly Cashflow'!$D$4:$DS$4,'Annual Cashflow'!J$4,'Monthly Cashflow'!$D60:$DS60)</f>
        <v>0</v>
      </c>
      <c r="K57" s="137">
        <f>SUMIF('Monthly Cashflow'!$D$4:$DS$4,'Annual Cashflow'!K$4,'Monthly Cashflow'!$D60:$DS60)</f>
        <v>0</v>
      </c>
      <c r="L57" s="137">
        <f>SUMIF('Monthly Cashflow'!$D$4:$DS$4,'Annual Cashflow'!L$4,'Monthly Cashflow'!$D60:$DS60)</f>
        <v>0</v>
      </c>
      <c r="M57" s="137">
        <f>SUMIF('Monthly Cashflow'!$D$4:$DS$4,'Annual Cashflow'!M$4,'Monthly Cashflow'!$D60:$DS60)</f>
        <v>0</v>
      </c>
      <c r="N57" s="231">
        <f>SUMIF('Monthly Cashflow'!$D$4:$DS$4,'Annual Cashflow'!N$4,'Monthly Cashflow'!$D60:$DS60)</f>
        <v>0</v>
      </c>
    </row>
    <row r="58" spans="2:14" x14ac:dyDescent="0.3">
      <c r="B58" s="221"/>
    </row>
    <row r="59" spans="2:14" ht="15" thickBot="1" x14ac:dyDescent="0.35">
      <c r="B59" s="114" t="str">
        <f>'Monthly Cashflow'!B62</f>
        <v>Reversion Cashflows (Levered)</v>
      </c>
      <c r="C59" s="114"/>
      <c r="D59" s="114"/>
      <c r="E59" s="114"/>
      <c r="F59" s="114"/>
      <c r="G59" s="114"/>
      <c r="H59" s="114"/>
      <c r="I59" s="114"/>
      <c r="J59" s="114"/>
      <c r="K59" s="114"/>
      <c r="L59" s="114"/>
      <c r="M59" s="114"/>
      <c r="N59" s="114"/>
    </row>
    <row r="60" spans="2:14" x14ac:dyDescent="0.3">
      <c r="B60" t="str">
        <f>'Monthly Cashflow'!B63</f>
        <v>Proceeds from sale</v>
      </c>
      <c r="C60" s="135">
        <f>SUMIF('Monthly Cashflow'!$D$4:$DS$4,'Annual Cashflow'!C$4,'Monthly Cashflow'!$D63:$DS63)</f>
        <v>0</v>
      </c>
      <c r="D60" s="135">
        <f>SUMIF('Monthly Cashflow'!$D$4:$DS$4,'Annual Cashflow'!D$4,'Monthly Cashflow'!$D63:$DS63)</f>
        <v>0</v>
      </c>
      <c r="E60" s="135">
        <f>SUMIF('Monthly Cashflow'!$D$4:$DS$4,'Annual Cashflow'!E$4,'Monthly Cashflow'!$D63:$DS63)</f>
        <v>0</v>
      </c>
      <c r="F60" s="135">
        <f>SUMIF('Monthly Cashflow'!$D$4:$DS$4,'Annual Cashflow'!F$4,'Monthly Cashflow'!$D63:$DS63)</f>
        <v>0</v>
      </c>
      <c r="G60" s="135">
        <f>SUMIF('Monthly Cashflow'!$D$4:$DS$4,'Annual Cashflow'!G$4,'Monthly Cashflow'!$D63:$DS63)</f>
        <v>0</v>
      </c>
      <c r="H60" s="135">
        <f>SUMIF('Monthly Cashflow'!$D$4:$DS$4,'Annual Cashflow'!H$4,'Monthly Cashflow'!$D63:$DS63)</f>
        <v>19782694.305528276</v>
      </c>
      <c r="I60" s="135">
        <f>SUMIF('Monthly Cashflow'!$D$4:$DS$4,'Annual Cashflow'!I$4,'Monthly Cashflow'!$D63:$DS63)</f>
        <v>0</v>
      </c>
      <c r="J60" s="135">
        <f>SUMIF('Monthly Cashflow'!$D$4:$DS$4,'Annual Cashflow'!J$4,'Monthly Cashflow'!$D63:$DS63)</f>
        <v>0</v>
      </c>
      <c r="K60" s="135">
        <f>SUMIF('Monthly Cashflow'!$D$4:$DS$4,'Annual Cashflow'!K$4,'Monthly Cashflow'!$D63:$DS63)</f>
        <v>0</v>
      </c>
      <c r="L60" s="135">
        <f>SUMIF('Monthly Cashflow'!$D$4:$DS$4,'Annual Cashflow'!L$4,'Monthly Cashflow'!$D63:$DS63)</f>
        <v>0</v>
      </c>
      <c r="M60" s="135">
        <f>SUMIF('Monthly Cashflow'!$D$4:$DS$4,'Annual Cashflow'!M$4,'Monthly Cashflow'!$D63:$DS63)</f>
        <v>0</v>
      </c>
      <c r="N60" s="135">
        <f>SUMIF('Monthly Cashflow'!$D$4:$DS$4,'Annual Cashflow'!N$4,'Monthly Cashflow'!$D63:$DS63)</f>
        <v>0</v>
      </c>
    </row>
    <row r="61" spans="2:14" x14ac:dyDescent="0.3">
      <c r="B61" t="str">
        <f>'Monthly Cashflow'!B64</f>
        <v>Disposal Cost</v>
      </c>
      <c r="C61" s="135">
        <f>SUMIF('Monthly Cashflow'!$D$4:$DS$4,'Annual Cashflow'!C$4,'Monthly Cashflow'!$D64:$DS64)</f>
        <v>0</v>
      </c>
      <c r="D61" s="135">
        <f>SUMIF('Monthly Cashflow'!$D$4:$DS$4,'Annual Cashflow'!D$4,'Monthly Cashflow'!$D64:$DS64)</f>
        <v>0</v>
      </c>
      <c r="E61" s="135">
        <f>SUMIF('Monthly Cashflow'!$D$4:$DS$4,'Annual Cashflow'!E$4,'Monthly Cashflow'!$D64:$DS64)</f>
        <v>0</v>
      </c>
      <c r="F61" s="135">
        <f>SUMIF('Monthly Cashflow'!$D$4:$DS$4,'Annual Cashflow'!F$4,'Monthly Cashflow'!$D64:$DS64)</f>
        <v>0</v>
      </c>
      <c r="G61" s="135">
        <f>SUMIF('Monthly Cashflow'!$D$4:$DS$4,'Annual Cashflow'!G$4,'Monthly Cashflow'!$D64:$DS64)</f>
        <v>0</v>
      </c>
      <c r="H61" s="135">
        <f>SUMIF('Monthly Cashflow'!$D$4:$DS$4,'Annual Cashflow'!H$4,'Monthly Cashflow'!$D64:$DS64)</f>
        <v>-1345223.2127759228</v>
      </c>
      <c r="I61" s="135">
        <f>SUMIF('Monthly Cashflow'!$D$4:$DS$4,'Annual Cashflow'!I$4,'Monthly Cashflow'!$D64:$DS64)</f>
        <v>0</v>
      </c>
      <c r="J61" s="135">
        <f>SUMIF('Monthly Cashflow'!$D$4:$DS$4,'Annual Cashflow'!J$4,'Monthly Cashflow'!$D64:$DS64)</f>
        <v>0</v>
      </c>
      <c r="K61" s="135">
        <f>SUMIF('Monthly Cashflow'!$D$4:$DS$4,'Annual Cashflow'!K$4,'Monthly Cashflow'!$D64:$DS64)</f>
        <v>0</v>
      </c>
      <c r="L61" s="135">
        <f>SUMIF('Monthly Cashflow'!$D$4:$DS$4,'Annual Cashflow'!L$4,'Monthly Cashflow'!$D64:$DS64)</f>
        <v>0</v>
      </c>
      <c r="M61" s="135">
        <f>SUMIF('Monthly Cashflow'!$D$4:$DS$4,'Annual Cashflow'!M$4,'Monthly Cashflow'!$D64:$DS64)</f>
        <v>0</v>
      </c>
      <c r="N61" s="135">
        <f>SUMIF('Monthly Cashflow'!$D$4:$DS$4,'Annual Cashflow'!N$4,'Monthly Cashflow'!$D64:$DS64)</f>
        <v>0</v>
      </c>
    </row>
    <row r="62" spans="2:14" x14ac:dyDescent="0.3">
      <c r="B62" t="str">
        <f>'Monthly Cashflow'!B65</f>
        <v>Loan Payoff</v>
      </c>
      <c r="C62" s="136">
        <f>SUMIF('Monthly Cashflow'!$D$4:$DS$4,'Annual Cashflow'!C$4,'Monthly Cashflow'!$D65:$DS65)</f>
        <v>0</v>
      </c>
      <c r="D62" s="136">
        <f>SUMIF('Monthly Cashflow'!$D$4:$DS$4,'Annual Cashflow'!D$4,'Monthly Cashflow'!$D65:$DS65)</f>
        <v>0</v>
      </c>
      <c r="E62" s="136">
        <f>SUMIF('Monthly Cashflow'!$D$4:$DS$4,'Annual Cashflow'!E$4,'Monthly Cashflow'!$D65:$DS65)</f>
        <v>0</v>
      </c>
      <c r="F62" s="136">
        <f>SUMIF('Monthly Cashflow'!$D$4:$DS$4,'Annual Cashflow'!F$4,'Monthly Cashflow'!$D65:$DS65)</f>
        <v>0</v>
      </c>
      <c r="G62" s="136">
        <f>SUMIF('Monthly Cashflow'!$D$4:$DS$4,'Annual Cashflow'!G$4,'Monthly Cashflow'!$D65:$DS65)</f>
        <v>0</v>
      </c>
      <c r="H62" s="136">
        <f>SUMIF('Monthly Cashflow'!$D$4:$DS$4,'Annual Cashflow'!H$4,'Monthly Cashflow'!$D65:$DS65)</f>
        <v>-12199999.999999866</v>
      </c>
      <c r="I62" s="136">
        <f>SUMIF('Monthly Cashflow'!$D$4:$DS$4,'Annual Cashflow'!I$4,'Monthly Cashflow'!$D65:$DS65)</f>
        <v>0</v>
      </c>
      <c r="J62" s="136">
        <f>SUMIF('Monthly Cashflow'!$D$4:$DS$4,'Annual Cashflow'!J$4,'Monthly Cashflow'!$D65:$DS65)</f>
        <v>0</v>
      </c>
      <c r="K62" s="136">
        <f>SUMIF('Monthly Cashflow'!$D$4:$DS$4,'Annual Cashflow'!K$4,'Monthly Cashflow'!$D65:$DS65)</f>
        <v>0</v>
      </c>
      <c r="L62" s="136">
        <f>SUMIF('Monthly Cashflow'!$D$4:$DS$4,'Annual Cashflow'!L$4,'Monthly Cashflow'!$D65:$DS65)</f>
        <v>0</v>
      </c>
      <c r="M62" s="136">
        <f>SUMIF('Monthly Cashflow'!$D$4:$DS$4,'Annual Cashflow'!M$4,'Monthly Cashflow'!$D65:$DS65)</f>
        <v>0</v>
      </c>
      <c r="N62" s="136">
        <f>SUMIF('Monthly Cashflow'!$D$4:$DS$4,'Annual Cashflow'!N$4,'Monthly Cashflow'!$D65:$DS65)</f>
        <v>0</v>
      </c>
    </row>
    <row r="63" spans="2:14" x14ac:dyDescent="0.3">
      <c r="B63" s="107" t="str">
        <f>'Monthly Cashflow'!B66</f>
        <v>Net Proceeds from sale</v>
      </c>
      <c r="C63" s="137">
        <f>SUMIF('Monthly Cashflow'!$D$4:$DS$4,'Annual Cashflow'!C$4,'Monthly Cashflow'!$D66:$DS66)</f>
        <v>0</v>
      </c>
      <c r="D63" s="137">
        <f>SUMIF('Monthly Cashflow'!$D$4:$DS$4,'Annual Cashflow'!D$4,'Monthly Cashflow'!$D66:$DS66)</f>
        <v>0</v>
      </c>
      <c r="E63" s="137">
        <f>SUMIF('Monthly Cashflow'!$D$4:$DS$4,'Annual Cashflow'!E$4,'Monthly Cashflow'!$D66:$DS66)</f>
        <v>0</v>
      </c>
      <c r="F63" s="137">
        <f>SUMIF('Monthly Cashflow'!$D$4:$DS$4,'Annual Cashflow'!F$4,'Monthly Cashflow'!$D66:$DS66)</f>
        <v>0</v>
      </c>
      <c r="G63" s="137">
        <f>SUMIF('Monthly Cashflow'!$D$4:$DS$4,'Annual Cashflow'!G$4,'Monthly Cashflow'!$D66:$DS66)</f>
        <v>0</v>
      </c>
      <c r="H63" s="137">
        <f>SUMIF('Monthly Cashflow'!$D$4:$DS$4,'Annual Cashflow'!H$4,'Monthly Cashflow'!$D66:$DS66)</f>
        <v>6237471.0927524865</v>
      </c>
      <c r="I63" s="137">
        <f>SUMIF('Monthly Cashflow'!$D$4:$DS$4,'Annual Cashflow'!I$4,'Monthly Cashflow'!$D66:$DS66)</f>
        <v>0</v>
      </c>
      <c r="J63" s="137">
        <f>SUMIF('Monthly Cashflow'!$D$4:$DS$4,'Annual Cashflow'!J$4,'Monthly Cashflow'!$D66:$DS66)</f>
        <v>0</v>
      </c>
      <c r="K63" s="137">
        <f>SUMIF('Monthly Cashflow'!$D$4:$DS$4,'Annual Cashflow'!K$4,'Monthly Cashflow'!$D66:$DS66)</f>
        <v>0</v>
      </c>
      <c r="L63" s="137">
        <f>SUMIF('Monthly Cashflow'!$D$4:$DS$4,'Annual Cashflow'!L$4,'Monthly Cashflow'!$D66:$DS66)</f>
        <v>0</v>
      </c>
      <c r="M63" s="137">
        <f>SUMIF('Monthly Cashflow'!$D$4:$DS$4,'Annual Cashflow'!M$4,'Monthly Cashflow'!$D66:$DS66)</f>
        <v>0</v>
      </c>
    </row>
    <row r="64" spans="2:14" x14ac:dyDescent="0.3"/>
    <row r="65" spans="2:14" ht="15" thickBot="1" x14ac:dyDescent="0.35">
      <c r="B65" s="114" t="str">
        <f>'Monthly Cashflow'!B68</f>
        <v>Levered Returns</v>
      </c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</row>
    <row r="66" spans="2:14" x14ac:dyDescent="0.3">
      <c r="B66" s="107" t="str">
        <f>'Monthly Cashflow'!B69</f>
        <v>Net Levered Cashflow</v>
      </c>
      <c r="C66" s="137">
        <f>C63+C57+C52</f>
        <v>-4209000</v>
      </c>
      <c r="D66" s="137">
        <f t="shared" ref="D66:M66" si="1">D63+D57+D52</f>
        <v>92577.499999999927</v>
      </c>
      <c r="E66" s="137">
        <f t="shared" si="1"/>
        <v>267959.37500000017</v>
      </c>
      <c r="F66" s="137">
        <f t="shared" si="1"/>
        <v>295014.88203125022</v>
      </c>
      <c r="G66" s="137">
        <f t="shared" si="1"/>
        <v>71918.203267545265</v>
      </c>
      <c r="H66" s="137">
        <f t="shared" si="1"/>
        <v>6338638.5505444771</v>
      </c>
      <c r="I66" s="137">
        <f t="shared" si="1"/>
        <v>0</v>
      </c>
      <c r="J66" s="137">
        <f t="shared" si="1"/>
        <v>0</v>
      </c>
      <c r="K66" s="137">
        <f t="shared" si="1"/>
        <v>0</v>
      </c>
      <c r="L66" s="137">
        <f t="shared" si="1"/>
        <v>0</v>
      </c>
      <c r="M66" s="137">
        <f t="shared" si="1"/>
        <v>0</v>
      </c>
    </row>
    <row r="67" spans="2:14" x14ac:dyDescent="0.3">
      <c r="B67" s="198" t="str">
        <f>'Monthly Cashflow'!B70</f>
        <v>Levered IRR</v>
      </c>
      <c r="C67" s="199">
        <f>'Monthly Cashflow'!C70</f>
        <v>0.1180150091648102</v>
      </c>
      <c r="D67" s="232"/>
    </row>
    <row r="68" spans="2:14" x14ac:dyDescent="0.3">
      <c r="B68" s="200" t="str">
        <f>'Monthly Cashflow'!B71</f>
        <v>Levered Equity Multiple</v>
      </c>
      <c r="C68" s="201">
        <f>'Monthly Cashflow'!C71</f>
        <v>1.6694248274880825</v>
      </c>
    </row>
    <row r="69" spans="2:14" x14ac:dyDescent="0.3">
      <c r="B69" s="198" t="str">
        <f>'Monthly Cashflow'!B72</f>
        <v>Levered Net Profit</v>
      </c>
      <c r="C69" s="202">
        <f>'Monthly Cashflow'!C72</f>
        <v>2857108.5108432746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CE7D-E34D-45BD-8EDE-B073DCF7A744}">
  <dimension ref="A1:O51"/>
  <sheetViews>
    <sheetView showGridLines="0" zoomScaleNormal="100" workbookViewId="0"/>
  </sheetViews>
  <sheetFormatPr defaultColWidth="0" defaultRowHeight="14.4" zeroHeight="1" x14ac:dyDescent="0.3"/>
  <cols>
    <col min="1" max="1" width="1.88671875" customWidth="1"/>
    <col min="2" max="2" width="22.88671875" bestFit="1" customWidth="1"/>
    <col min="3" max="3" width="12.33203125" bestFit="1" customWidth="1"/>
    <col min="4" max="4" width="10.77734375" bestFit="1" customWidth="1"/>
    <col min="5" max="9" width="12.5546875" bestFit="1" customWidth="1"/>
    <col min="10" max="15" width="11.21875" bestFit="1" customWidth="1"/>
    <col min="16" max="16384" width="8.88671875" hidden="1"/>
  </cols>
  <sheetData>
    <row r="1" spans="1:15" ht="5.4" customHeight="1" x14ac:dyDescent="0.3"/>
    <row r="2" spans="1:15" s="99" customFormat="1" x14ac:dyDescent="0.3">
      <c r="A2"/>
      <c r="B2" s="99" t="s">
        <v>203</v>
      </c>
    </row>
    <row r="3" spans="1:15" s="258" customFormat="1" x14ac:dyDescent="0.3">
      <c r="A3"/>
      <c r="B3" s="257" t="s">
        <v>171</v>
      </c>
    </row>
    <row r="4" spans="1:15" x14ac:dyDescent="0.3">
      <c r="B4" s="126" t="s">
        <v>172</v>
      </c>
      <c r="D4" s="126" t="s">
        <v>173</v>
      </c>
      <c r="E4" s="126" t="s">
        <v>174</v>
      </c>
    </row>
    <row r="5" spans="1:15" x14ac:dyDescent="0.3">
      <c r="B5" t="s">
        <v>175</v>
      </c>
      <c r="D5" s="59">
        <f>'Annual Cashflow'!$C$42*'Partnership Returns'!E5</f>
        <v>-1628700</v>
      </c>
      <c r="E5" s="254">
        <v>0.1</v>
      </c>
    </row>
    <row r="6" spans="1:15" x14ac:dyDescent="0.3">
      <c r="B6" t="s">
        <v>176</v>
      </c>
      <c r="D6" s="130">
        <f>'Annual Cashflow'!$C$42*'Partnership Returns'!E6</f>
        <v>-14658300</v>
      </c>
      <c r="E6" s="256">
        <f>100%-E5</f>
        <v>0.9</v>
      </c>
    </row>
    <row r="7" spans="1:15" x14ac:dyDescent="0.3">
      <c r="B7" t="s">
        <v>19</v>
      </c>
      <c r="D7" s="59">
        <f>D6+D5</f>
        <v>-16287000</v>
      </c>
      <c r="E7" s="123">
        <f>E6+E5</f>
        <v>1</v>
      </c>
    </row>
    <row r="8" spans="1:15" x14ac:dyDescent="0.3"/>
    <row r="9" spans="1:15" x14ac:dyDescent="0.3">
      <c r="B9" s="126" t="s">
        <v>177</v>
      </c>
      <c r="D9" t="s">
        <v>180</v>
      </c>
      <c r="E9" t="s">
        <v>181</v>
      </c>
      <c r="F9" t="s">
        <v>182</v>
      </c>
      <c r="G9" t="s">
        <v>183</v>
      </c>
    </row>
    <row r="10" spans="1:15" x14ac:dyDescent="0.3">
      <c r="B10" s="207" t="s">
        <v>178</v>
      </c>
      <c r="D10" s="254">
        <v>0</v>
      </c>
      <c r="E10" s="255">
        <v>0.06</v>
      </c>
      <c r="F10" s="123">
        <f>E5+(1-E5)*D10</f>
        <v>0.1</v>
      </c>
      <c r="G10" s="123">
        <f>1-F10</f>
        <v>0.9</v>
      </c>
    </row>
    <row r="11" spans="1:15" x14ac:dyDescent="0.3">
      <c r="B11" s="207" t="s">
        <v>179</v>
      </c>
      <c r="D11" s="254">
        <v>0.15</v>
      </c>
      <c r="E11" s="123"/>
      <c r="F11" s="123">
        <f>E5+(1-E5)*D11</f>
        <v>0.23500000000000001</v>
      </c>
      <c r="G11" s="123">
        <f>1-F11</f>
        <v>0.76500000000000001</v>
      </c>
    </row>
    <row r="12" spans="1:15" x14ac:dyDescent="0.3"/>
    <row r="13" spans="1:15" s="258" customFormat="1" x14ac:dyDescent="0.3">
      <c r="A13"/>
      <c r="B13" s="257" t="s">
        <v>184</v>
      </c>
      <c r="E13" s="270">
        <f>'Annual Cashflow'!C4</f>
        <v>0</v>
      </c>
      <c r="F13" s="270">
        <f>'Annual Cashflow'!D4</f>
        <v>1</v>
      </c>
      <c r="G13" s="270">
        <f>'Annual Cashflow'!E4</f>
        <v>2</v>
      </c>
      <c r="H13" s="270">
        <f>'Annual Cashflow'!F4</f>
        <v>3</v>
      </c>
      <c r="I13" s="270">
        <f>'Annual Cashflow'!G4</f>
        <v>4</v>
      </c>
      <c r="J13" s="270">
        <f>'Annual Cashflow'!H4</f>
        <v>5</v>
      </c>
      <c r="K13" s="270">
        <f>'Annual Cashflow'!I4</f>
        <v>0</v>
      </c>
      <c r="L13" s="270">
        <f>'Annual Cashflow'!J4</f>
        <v>0</v>
      </c>
      <c r="M13" s="270">
        <f>'Annual Cashflow'!K4</f>
        <v>0</v>
      </c>
      <c r="N13" s="270">
        <f>'Annual Cashflow'!L4</f>
        <v>0</v>
      </c>
      <c r="O13" s="270">
        <f>'Annual Cashflow'!M4</f>
        <v>0</v>
      </c>
    </row>
    <row r="14" spans="1:15" ht="15" thickBot="1" x14ac:dyDescent="0.35">
      <c r="B14" s="113" t="s">
        <v>185</v>
      </c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15" x14ac:dyDescent="0.3">
      <c r="B15" t="s">
        <v>187</v>
      </c>
      <c r="C15" s="265">
        <f>-SUM(E15:J15)</f>
        <v>-14658300</v>
      </c>
      <c r="E15" s="264">
        <f>E37</f>
        <v>14658300</v>
      </c>
      <c r="F15" s="264">
        <f t="shared" ref="F15:J15" si="0">F37</f>
        <v>0</v>
      </c>
      <c r="G15" s="264">
        <f t="shared" si="0"/>
        <v>0</v>
      </c>
      <c r="H15" s="264">
        <f t="shared" si="0"/>
        <v>0</v>
      </c>
      <c r="I15" s="264">
        <f t="shared" si="0"/>
        <v>0</v>
      </c>
      <c r="J15" s="264">
        <f t="shared" si="0"/>
        <v>0</v>
      </c>
      <c r="K15" s="264">
        <f t="shared" ref="K15:O15" si="1">K37</f>
        <v>0</v>
      </c>
      <c r="L15" s="264">
        <f t="shared" si="1"/>
        <v>0</v>
      </c>
      <c r="M15" s="264">
        <f t="shared" si="1"/>
        <v>0</v>
      </c>
      <c r="N15" s="264">
        <f t="shared" si="1"/>
        <v>0</v>
      </c>
      <c r="O15" s="264">
        <f t="shared" si="1"/>
        <v>0</v>
      </c>
    </row>
    <row r="16" spans="1:15" x14ac:dyDescent="0.3">
      <c r="B16" t="s">
        <v>188</v>
      </c>
      <c r="C16" s="265">
        <f>SUM(E16:J16)</f>
        <v>19416109.908971351</v>
      </c>
      <c r="E16" s="264">
        <f>E38+E48</f>
        <v>0</v>
      </c>
      <c r="F16" s="264">
        <f t="shared" ref="F16:J16" si="2">F38+F48</f>
        <v>412719.74999999988</v>
      </c>
      <c r="G16" s="264">
        <f t="shared" si="2"/>
        <v>570563.4375</v>
      </c>
      <c r="H16" s="264">
        <f t="shared" si="2"/>
        <v>594913.39382812532</v>
      </c>
      <c r="I16" s="264">
        <f t="shared" si="2"/>
        <v>620231.85778271488</v>
      </c>
      <c r="J16" s="264">
        <f t="shared" si="2"/>
        <v>17217681.469860509</v>
      </c>
      <c r="K16" s="264">
        <f t="shared" ref="K16:O16" si="3">K38+K48</f>
        <v>0</v>
      </c>
      <c r="L16" s="264">
        <f t="shared" si="3"/>
        <v>0</v>
      </c>
      <c r="M16" s="264">
        <f t="shared" si="3"/>
        <v>0</v>
      </c>
      <c r="N16" s="264">
        <f t="shared" si="3"/>
        <v>0</v>
      </c>
      <c r="O16" s="264">
        <f t="shared" si="3"/>
        <v>0</v>
      </c>
    </row>
    <row r="17" spans="1:15" x14ac:dyDescent="0.3">
      <c r="B17" t="s">
        <v>189</v>
      </c>
      <c r="C17" s="265">
        <f>SUM(E18:J18)</f>
        <v>4757809.9089713488</v>
      </c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</row>
    <row r="18" spans="1:15" x14ac:dyDescent="0.3">
      <c r="B18" t="s">
        <v>190</v>
      </c>
      <c r="C18" s="266">
        <f>IRR(E18:J18)</f>
        <v>6.1471817975680132E-2</v>
      </c>
      <c r="E18" s="264">
        <f>-E15+E16</f>
        <v>-14658300</v>
      </c>
      <c r="F18" s="264">
        <f t="shared" ref="F18:J18" si="4">-F15+F16</f>
        <v>412719.74999999988</v>
      </c>
      <c r="G18" s="264">
        <f t="shared" si="4"/>
        <v>570563.4375</v>
      </c>
      <c r="H18" s="264">
        <f t="shared" si="4"/>
        <v>594913.39382812532</v>
      </c>
      <c r="I18" s="264">
        <f t="shared" si="4"/>
        <v>620231.85778271488</v>
      </c>
      <c r="J18" s="264">
        <f t="shared" si="4"/>
        <v>17217681.469860509</v>
      </c>
      <c r="K18" s="264">
        <f t="shared" ref="K18:O18" si="5">-K15+K16</f>
        <v>0</v>
      </c>
      <c r="L18" s="264">
        <f t="shared" si="5"/>
        <v>0</v>
      </c>
      <c r="M18" s="264">
        <f t="shared" si="5"/>
        <v>0</v>
      </c>
      <c r="N18" s="264">
        <f t="shared" si="5"/>
        <v>0</v>
      </c>
      <c r="O18" s="264">
        <f t="shared" si="5"/>
        <v>0</v>
      </c>
    </row>
    <row r="19" spans="1:15" x14ac:dyDescent="0.3">
      <c r="B19" t="s">
        <v>191</v>
      </c>
      <c r="C19" s="267">
        <f>SUMIF(E18:J18,"&gt;0")/-SUMIF(E18:J18,"&lt;0")</f>
        <v>1.3245812890288335</v>
      </c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</row>
    <row r="20" spans="1:15" x14ac:dyDescent="0.3"/>
    <row r="21" spans="1:15" ht="15" thickBot="1" x14ac:dyDescent="0.35">
      <c r="B21" s="113" t="s">
        <v>186</v>
      </c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1:15" x14ac:dyDescent="0.3">
      <c r="B22" t="s">
        <v>187</v>
      </c>
      <c r="C22" s="265">
        <f>-SUM(E22:J22)</f>
        <v>-1628700</v>
      </c>
      <c r="E22" s="264">
        <f>E42</f>
        <v>1628700</v>
      </c>
      <c r="F22" s="264">
        <f t="shared" ref="F22:J22" si="6">F42</f>
        <v>0</v>
      </c>
      <c r="G22" s="264">
        <f t="shared" si="6"/>
        <v>0</v>
      </c>
      <c r="H22" s="264">
        <f t="shared" si="6"/>
        <v>0</v>
      </c>
      <c r="I22" s="264">
        <f t="shared" si="6"/>
        <v>0</v>
      </c>
      <c r="J22" s="264">
        <f t="shared" si="6"/>
        <v>0</v>
      </c>
      <c r="K22" s="264">
        <f t="shared" ref="K22:O22" si="7">K42</f>
        <v>0</v>
      </c>
      <c r="L22" s="264">
        <f t="shared" si="7"/>
        <v>0</v>
      </c>
      <c r="M22" s="264">
        <f t="shared" si="7"/>
        <v>0</v>
      </c>
      <c r="N22" s="264">
        <f t="shared" si="7"/>
        <v>0</v>
      </c>
      <c r="O22" s="264">
        <f t="shared" si="7"/>
        <v>0</v>
      </c>
    </row>
    <row r="23" spans="1:15" x14ac:dyDescent="0.3">
      <c r="B23" t="s">
        <v>188</v>
      </c>
      <c r="C23" s="265">
        <f>SUM(E23:J23)</f>
        <v>2182455.2126316233</v>
      </c>
      <c r="E23" s="264">
        <f>E43+E49</f>
        <v>0</v>
      </c>
      <c r="F23" s="264">
        <f t="shared" ref="F23:J23" si="8">F43+F49</f>
        <v>45857.749999999993</v>
      </c>
      <c r="G23" s="264">
        <f t="shared" si="8"/>
        <v>63395.9375</v>
      </c>
      <c r="H23" s="264">
        <f t="shared" si="8"/>
        <v>66101.488203125045</v>
      </c>
      <c r="I23" s="264">
        <f t="shared" si="8"/>
        <v>68914.650864746101</v>
      </c>
      <c r="J23" s="264">
        <f t="shared" si="8"/>
        <v>1938185.386063752</v>
      </c>
      <c r="K23" s="264">
        <f t="shared" ref="K23:O23" si="9">K43+K49</f>
        <v>0</v>
      </c>
      <c r="L23" s="264">
        <f t="shared" si="9"/>
        <v>0</v>
      </c>
      <c r="M23" s="264">
        <f t="shared" si="9"/>
        <v>0</v>
      </c>
      <c r="N23" s="264">
        <f t="shared" si="9"/>
        <v>0</v>
      </c>
      <c r="O23" s="264">
        <f t="shared" si="9"/>
        <v>0</v>
      </c>
    </row>
    <row r="24" spans="1:15" x14ac:dyDescent="0.3">
      <c r="B24" t="s">
        <v>189</v>
      </c>
      <c r="C24" s="265">
        <f>SUM(E25:J25)</f>
        <v>553755.21263162326</v>
      </c>
    </row>
    <row r="25" spans="1:15" x14ac:dyDescent="0.3">
      <c r="B25" t="s">
        <v>190</v>
      </c>
      <c r="C25" s="266">
        <f>IRR(E25:J25)</f>
        <v>6.4048724216300812E-2</v>
      </c>
      <c r="E25" s="264">
        <f>-E22+E23</f>
        <v>-1628700</v>
      </c>
      <c r="F25" s="264">
        <f>-F22+F23</f>
        <v>45857.749999999993</v>
      </c>
      <c r="G25" s="264">
        <f>-G22+G23</f>
        <v>63395.9375</v>
      </c>
      <c r="H25" s="264">
        <f>-H22+H23</f>
        <v>66101.488203125045</v>
      </c>
      <c r="I25" s="264">
        <f>-I22+I23</f>
        <v>68914.650864746101</v>
      </c>
      <c r="J25" s="264">
        <f>-J22+J23</f>
        <v>1938185.386063752</v>
      </c>
      <c r="K25" s="264">
        <f t="shared" ref="K25:O25" si="10">-K22+K23</f>
        <v>0</v>
      </c>
      <c r="L25" s="264">
        <f t="shared" si="10"/>
        <v>0</v>
      </c>
      <c r="M25" s="264">
        <f t="shared" si="10"/>
        <v>0</v>
      </c>
      <c r="N25" s="264">
        <f t="shared" si="10"/>
        <v>0</v>
      </c>
      <c r="O25" s="264">
        <f t="shared" si="10"/>
        <v>0</v>
      </c>
    </row>
    <row r="26" spans="1:15" x14ac:dyDescent="0.3">
      <c r="B26" t="s">
        <v>191</v>
      </c>
      <c r="C26" s="267">
        <f>SUMIF(E25:J25,"&gt;0")/-SUMIF(E25:J25,"&lt;0")</f>
        <v>1.3399982885931254</v>
      </c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</row>
    <row r="27" spans="1:15" x14ac:dyDescent="0.3"/>
    <row r="28" spans="1:15" s="260" customFormat="1" x14ac:dyDescent="0.3">
      <c r="A28"/>
      <c r="B28" s="257" t="s">
        <v>192</v>
      </c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</row>
    <row r="29" spans="1:15" x14ac:dyDescent="0.3">
      <c r="B29" t="str">
        <f>'Annual Cashflow'!B66</f>
        <v>Net Levered Cashflow</v>
      </c>
      <c r="E29" s="264">
        <f>'Annual Cashflow'!C42</f>
        <v>-16287000</v>
      </c>
      <c r="F29" s="264">
        <f>'Annual Cashflow'!D42</f>
        <v>458577.49999999988</v>
      </c>
      <c r="G29" s="264">
        <f>'Annual Cashflow'!E42</f>
        <v>633959.375</v>
      </c>
      <c r="H29" s="264">
        <f>'Annual Cashflow'!F42</f>
        <v>661014.88203125028</v>
      </c>
      <c r="I29" s="264">
        <f>'Annual Cashflow'!G42</f>
        <v>689146.50864746096</v>
      </c>
      <c r="J29" s="264">
        <f>'Annual Cashflow'!H42</f>
        <v>19155866.85592426</v>
      </c>
      <c r="K29" s="264">
        <f>'Annual Cashflow'!I42</f>
        <v>0</v>
      </c>
      <c r="L29" s="264">
        <f>'Annual Cashflow'!J42</f>
        <v>0</v>
      </c>
      <c r="M29" s="264">
        <f>'Annual Cashflow'!K42</f>
        <v>0</v>
      </c>
      <c r="N29" s="264">
        <f>'Annual Cashflow'!L42</f>
        <v>0</v>
      </c>
      <c r="O29" s="264">
        <f>'Annual Cashflow'!M42</f>
        <v>0</v>
      </c>
    </row>
    <row r="30" spans="1:15" x14ac:dyDescent="0.3">
      <c r="B30" t="str">
        <f>'Annual Cashflow'!B67</f>
        <v>Levered IRR</v>
      </c>
      <c r="C30" s="266">
        <f>'Annual Cashflow'!C67</f>
        <v>0.1180150091648102</v>
      </c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</row>
    <row r="31" spans="1:15" x14ac:dyDescent="0.3">
      <c r="B31" t="str">
        <f>'Annual Cashflow'!B68</f>
        <v>Levered Equity Multiple</v>
      </c>
      <c r="C31" s="268">
        <f>'Annual Cashflow'!C68</f>
        <v>1.6694248274880825</v>
      </c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</row>
    <row r="32" spans="1:15" x14ac:dyDescent="0.3">
      <c r="B32" t="str">
        <f>'Annual Cashflow'!B69</f>
        <v>Levered Net Profit</v>
      </c>
      <c r="C32" s="269">
        <f>'Annual Cashflow'!C69</f>
        <v>2857108.5108432746</v>
      </c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</row>
    <row r="33" spans="1:15" x14ac:dyDescent="0.3"/>
    <row r="34" spans="1:15" s="260" customFormat="1" x14ac:dyDescent="0.3">
      <c r="A34"/>
      <c r="B34" s="257" t="s">
        <v>193</v>
      </c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</row>
    <row r="35" spans="1:15" x14ac:dyDescent="0.3">
      <c r="B35" t="s">
        <v>194</v>
      </c>
      <c r="E35" s="264">
        <f>D39</f>
        <v>0</v>
      </c>
      <c r="F35" s="264">
        <f t="shared" ref="F35:J35" si="11">E39</f>
        <v>14658300</v>
      </c>
      <c r="G35" s="264">
        <f t="shared" si="11"/>
        <v>15125078.25</v>
      </c>
      <c r="H35" s="264">
        <f t="shared" si="11"/>
        <v>15462019.5075</v>
      </c>
      <c r="I35" s="264">
        <f t="shared" si="11"/>
        <v>15794827.284121875</v>
      </c>
      <c r="J35" s="264">
        <f t="shared" si="11"/>
        <v>16122285.063386474</v>
      </c>
      <c r="K35" s="264">
        <f t="shared" ref="K35:O35" si="12">J39</f>
        <v>0</v>
      </c>
      <c r="L35" s="264">
        <f t="shared" si="12"/>
        <v>0</v>
      </c>
      <c r="M35" s="264">
        <f t="shared" si="12"/>
        <v>0</v>
      </c>
      <c r="N35" s="264">
        <f t="shared" si="12"/>
        <v>0</v>
      </c>
      <c r="O35" s="264">
        <f t="shared" si="12"/>
        <v>0</v>
      </c>
    </row>
    <row r="36" spans="1:15" x14ac:dyDescent="0.3">
      <c r="B36" t="s">
        <v>195</v>
      </c>
      <c r="E36" s="264">
        <f>E35*$E$10</f>
        <v>0</v>
      </c>
      <c r="F36" s="264">
        <f t="shared" ref="F36:J36" si="13">F35*$E$10</f>
        <v>879498</v>
      </c>
      <c r="G36" s="264">
        <f t="shared" si="13"/>
        <v>907504.69499999995</v>
      </c>
      <c r="H36" s="264">
        <f t="shared" si="13"/>
        <v>927721.17044999998</v>
      </c>
      <c r="I36" s="264">
        <f t="shared" si="13"/>
        <v>947689.63704731246</v>
      </c>
      <c r="J36" s="264">
        <f t="shared" si="13"/>
        <v>967337.10380318842</v>
      </c>
      <c r="K36" s="264">
        <f t="shared" ref="K36" si="14">K35*$E$10</f>
        <v>0</v>
      </c>
      <c r="L36" s="264">
        <f t="shared" ref="L36" si="15">L35*$E$10</f>
        <v>0</v>
      </c>
      <c r="M36" s="264">
        <f t="shared" ref="M36" si="16">M35*$E$10</f>
        <v>0</v>
      </c>
      <c r="N36" s="264">
        <f t="shared" ref="N36" si="17">N35*$E$10</f>
        <v>0</v>
      </c>
      <c r="O36" s="264">
        <f t="shared" ref="O36" si="18">O35*$E$10</f>
        <v>0</v>
      </c>
    </row>
    <row r="37" spans="1:15" x14ac:dyDescent="0.3">
      <c r="B37" t="s">
        <v>196</v>
      </c>
      <c r="E37" s="264">
        <f>-MIN(E29,0)*$E$6</f>
        <v>14658300</v>
      </c>
      <c r="F37" s="264">
        <f t="shared" ref="F37:J37" si="19">-MIN(F29,0)*$E$6</f>
        <v>0</v>
      </c>
      <c r="G37" s="264">
        <f t="shared" si="19"/>
        <v>0</v>
      </c>
      <c r="H37" s="264">
        <f t="shared" si="19"/>
        <v>0</v>
      </c>
      <c r="I37" s="264">
        <f t="shared" si="19"/>
        <v>0</v>
      </c>
      <c r="J37" s="264">
        <f t="shared" si="19"/>
        <v>0</v>
      </c>
      <c r="K37" s="264">
        <f t="shared" ref="K37:O37" si="20">-MIN(K29,0)*$E$6</f>
        <v>0</v>
      </c>
      <c r="L37" s="264">
        <f t="shared" si="20"/>
        <v>0</v>
      </c>
      <c r="M37" s="264">
        <f t="shared" si="20"/>
        <v>0</v>
      </c>
      <c r="N37" s="264">
        <f t="shared" si="20"/>
        <v>0</v>
      </c>
      <c r="O37" s="264">
        <f t="shared" si="20"/>
        <v>0</v>
      </c>
    </row>
    <row r="38" spans="1:15" x14ac:dyDescent="0.3">
      <c r="B38" t="s">
        <v>197</v>
      </c>
      <c r="E38" s="264">
        <f>MIN(E35+E36,MAX(E29,0)*$G$10)</f>
        <v>0</v>
      </c>
      <c r="F38" s="264">
        <f t="shared" ref="F38:J38" si="21">MIN(F35+F36,MAX(F29,0)*$G$10)</f>
        <v>412719.74999999988</v>
      </c>
      <c r="G38" s="264">
        <f t="shared" si="21"/>
        <v>570563.4375</v>
      </c>
      <c r="H38" s="264">
        <f t="shared" si="21"/>
        <v>594913.39382812532</v>
      </c>
      <c r="I38" s="264">
        <f t="shared" si="21"/>
        <v>620231.85778271488</v>
      </c>
      <c r="J38" s="264">
        <f t="shared" si="21"/>
        <v>17089622.167189661</v>
      </c>
      <c r="K38" s="264">
        <f t="shared" ref="K38:O38" si="22">MIN(K35+K36,MAX(K29,0)*$G$10)</f>
        <v>0</v>
      </c>
      <c r="L38" s="264">
        <f t="shared" si="22"/>
        <v>0</v>
      </c>
      <c r="M38" s="264">
        <f t="shared" si="22"/>
        <v>0</v>
      </c>
      <c r="N38" s="264">
        <f t="shared" si="22"/>
        <v>0</v>
      </c>
      <c r="O38" s="264">
        <f t="shared" si="22"/>
        <v>0</v>
      </c>
    </row>
    <row r="39" spans="1:15" x14ac:dyDescent="0.3">
      <c r="B39" t="s">
        <v>198</v>
      </c>
      <c r="E39" s="264">
        <f>E35+E36+E37-E38</f>
        <v>14658300</v>
      </c>
      <c r="F39" s="264">
        <f t="shared" ref="F39:J39" si="23">F35+F36+F37-F38</f>
        <v>15125078.25</v>
      </c>
      <c r="G39" s="264">
        <f t="shared" si="23"/>
        <v>15462019.5075</v>
      </c>
      <c r="H39" s="264">
        <f t="shared" si="23"/>
        <v>15794827.284121875</v>
      </c>
      <c r="I39" s="264">
        <f t="shared" si="23"/>
        <v>16122285.063386474</v>
      </c>
      <c r="J39" s="264">
        <f t="shared" si="23"/>
        <v>0</v>
      </c>
      <c r="K39" s="264">
        <f t="shared" ref="K39" si="24">K35+K36+K37-K38</f>
        <v>0</v>
      </c>
      <c r="L39" s="264">
        <f t="shared" ref="L39" si="25">L35+L36+L37-L38</f>
        <v>0</v>
      </c>
      <c r="M39" s="264">
        <f t="shared" ref="M39" si="26">M35+M36+M37-M38</f>
        <v>0</v>
      </c>
      <c r="N39" s="264">
        <f t="shared" ref="N39" si="27">N35+N36+N37-N38</f>
        <v>0</v>
      </c>
      <c r="O39" s="264">
        <f t="shared" ref="O39" si="28">O35+O36+O37-O38</f>
        <v>0</v>
      </c>
    </row>
    <row r="40" spans="1:15" x14ac:dyDescent="0.3">
      <c r="B40" t="s">
        <v>199</v>
      </c>
      <c r="C40" s="266">
        <f>IRR(E40:J40)</f>
        <v>6.0000000000000719E-2</v>
      </c>
      <c r="E40" s="264">
        <f>E37-E38</f>
        <v>14658300</v>
      </c>
      <c r="F40" s="264">
        <f t="shared" ref="F40:J40" si="29">F37-F38</f>
        <v>-412719.74999999988</v>
      </c>
      <c r="G40" s="264">
        <f t="shared" si="29"/>
        <v>-570563.4375</v>
      </c>
      <c r="H40" s="264">
        <f t="shared" si="29"/>
        <v>-594913.39382812532</v>
      </c>
      <c r="I40" s="264">
        <f t="shared" si="29"/>
        <v>-620231.85778271488</v>
      </c>
      <c r="J40" s="264">
        <f t="shared" si="29"/>
        <v>-17089622.167189661</v>
      </c>
      <c r="K40" s="264">
        <f t="shared" ref="K40:O40" si="30">K37-K38</f>
        <v>0</v>
      </c>
      <c r="L40" s="264">
        <f t="shared" si="30"/>
        <v>0</v>
      </c>
      <c r="M40" s="264">
        <f t="shared" si="30"/>
        <v>0</v>
      </c>
      <c r="N40" s="264">
        <f t="shared" si="30"/>
        <v>0</v>
      </c>
      <c r="O40" s="264">
        <f t="shared" si="30"/>
        <v>0</v>
      </c>
    </row>
    <row r="41" spans="1:15" x14ac:dyDescent="0.3"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4"/>
    </row>
    <row r="42" spans="1:15" x14ac:dyDescent="0.3">
      <c r="B42" t="s">
        <v>200</v>
      </c>
      <c r="E42" s="264">
        <f>-MIN(E29,0)-E37</f>
        <v>1628700</v>
      </c>
      <c r="F42" s="264">
        <f t="shared" ref="F42:J42" si="31">-MIN(F29,0)-F37</f>
        <v>0</v>
      </c>
      <c r="G42" s="264">
        <f t="shared" si="31"/>
        <v>0</v>
      </c>
      <c r="H42" s="264">
        <f t="shared" si="31"/>
        <v>0</v>
      </c>
      <c r="I42" s="264">
        <f t="shared" si="31"/>
        <v>0</v>
      </c>
      <c r="J42" s="264">
        <f t="shared" si="31"/>
        <v>0</v>
      </c>
      <c r="K42" s="264">
        <f t="shared" ref="K42:O42" si="32">-MIN(K29,0)-K37</f>
        <v>0</v>
      </c>
      <c r="L42" s="264">
        <f t="shared" si="32"/>
        <v>0</v>
      </c>
      <c r="M42" s="264">
        <f t="shared" si="32"/>
        <v>0</v>
      </c>
      <c r="N42" s="264">
        <f t="shared" si="32"/>
        <v>0</v>
      </c>
      <c r="O42" s="264">
        <f t="shared" si="32"/>
        <v>0</v>
      </c>
    </row>
    <row r="43" spans="1:15" x14ac:dyDescent="0.3">
      <c r="B43" t="s">
        <v>201</v>
      </c>
      <c r="E43" s="264">
        <f>E38/$G$10*$F$10</f>
        <v>0</v>
      </c>
      <c r="F43" s="264">
        <f t="shared" ref="F43:J43" si="33">F38/$G$10*$F$10</f>
        <v>45857.749999999993</v>
      </c>
      <c r="G43" s="264">
        <f t="shared" si="33"/>
        <v>63395.9375</v>
      </c>
      <c r="H43" s="264">
        <f t="shared" si="33"/>
        <v>66101.488203125045</v>
      </c>
      <c r="I43" s="264">
        <f t="shared" si="33"/>
        <v>68914.650864746101</v>
      </c>
      <c r="J43" s="264">
        <f t="shared" si="33"/>
        <v>1898846.907465518</v>
      </c>
      <c r="K43" s="264">
        <f t="shared" ref="K43:O43" si="34">K38/$G$10*$F$10</f>
        <v>0</v>
      </c>
      <c r="L43" s="264">
        <f t="shared" si="34"/>
        <v>0</v>
      </c>
      <c r="M43" s="264">
        <f t="shared" si="34"/>
        <v>0</v>
      </c>
      <c r="N43" s="264">
        <f t="shared" si="34"/>
        <v>0</v>
      </c>
      <c r="O43" s="264">
        <f t="shared" si="34"/>
        <v>0</v>
      </c>
    </row>
    <row r="44" spans="1:15" x14ac:dyDescent="0.3">
      <c r="B44" t="s">
        <v>202</v>
      </c>
      <c r="C44" s="266">
        <f>IRR(E44:J44)</f>
        <v>6.0000000000001164E-2</v>
      </c>
      <c r="E44" s="264">
        <f>-E42+E43</f>
        <v>-1628700</v>
      </c>
      <c r="F44" s="264">
        <f t="shared" ref="F44:J44" si="35">-F42+F43</f>
        <v>45857.749999999993</v>
      </c>
      <c r="G44" s="264">
        <f t="shared" si="35"/>
        <v>63395.9375</v>
      </c>
      <c r="H44" s="264">
        <f t="shared" si="35"/>
        <v>66101.488203125045</v>
      </c>
      <c r="I44" s="264">
        <f t="shared" si="35"/>
        <v>68914.650864746101</v>
      </c>
      <c r="J44" s="264">
        <f t="shared" si="35"/>
        <v>1898846.907465518</v>
      </c>
      <c r="K44" s="264">
        <f t="shared" ref="K44" si="36">-K42+K43</f>
        <v>0</v>
      </c>
      <c r="L44" s="264">
        <f t="shared" ref="L44" si="37">-L42+L43</f>
        <v>0</v>
      </c>
      <c r="M44" s="264">
        <f t="shared" ref="M44" si="38">-M42+M43</f>
        <v>0</v>
      </c>
      <c r="N44" s="264">
        <f t="shared" ref="N44" si="39">-N42+N43</f>
        <v>0</v>
      </c>
      <c r="O44" s="264">
        <f t="shared" ref="O44" si="40">-O42+O43</f>
        <v>0</v>
      </c>
    </row>
    <row r="45" spans="1:15" x14ac:dyDescent="0.3"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</row>
    <row r="46" spans="1:15" s="260" customFormat="1" x14ac:dyDescent="0.3">
      <c r="A46"/>
      <c r="B46" s="257" t="s">
        <v>204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</row>
    <row r="47" spans="1:15" x14ac:dyDescent="0.3">
      <c r="B47" t="s">
        <v>205</v>
      </c>
      <c r="E47" s="264">
        <f>MAX(E29-E38-E43,0)</f>
        <v>0</v>
      </c>
      <c r="F47" s="264">
        <f>MAX(F29-F38-F43,0)</f>
        <v>7.2759576141834259E-12</v>
      </c>
      <c r="G47" s="264">
        <f t="shared" ref="F47:J47" si="41">MAX(G29-G38-G43,0)</f>
        <v>0</v>
      </c>
      <c r="H47" s="264">
        <f t="shared" si="41"/>
        <v>0</v>
      </c>
      <c r="I47" s="264">
        <f t="shared" si="41"/>
        <v>0</v>
      </c>
      <c r="J47" s="264">
        <f>MAX(J29-J38-J43,0)</f>
        <v>167397.78126908047</v>
      </c>
      <c r="K47" s="264">
        <f t="shared" ref="K47:O47" si="42">MAX(K29-K38-K43,0)</f>
        <v>0</v>
      </c>
      <c r="L47" s="264">
        <f t="shared" si="42"/>
        <v>0</v>
      </c>
      <c r="M47" s="264">
        <f t="shared" si="42"/>
        <v>0</v>
      </c>
      <c r="N47" s="264">
        <f t="shared" si="42"/>
        <v>0</v>
      </c>
      <c r="O47" s="264">
        <f t="shared" si="42"/>
        <v>0</v>
      </c>
    </row>
    <row r="48" spans="1:15" x14ac:dyDescent="0.3">
      <c r="B48" t="s">
        <v>206</v>
      </c>
      <c r="E48" s="264">
        <f>E47*$G$11</f>
        <v>0</v>
      </c>
      <c r="F48" s="264">
        <f t="shared" ref="F48:J48" si="43">F47*$G$11</f>
        <v>5.5661075748503209E-12</v>
      </c>
      <c r="G48" s="264">
        <f t="shared" si="43"/>
        <v>0</v>
      </c>
      <c r="H48" s="264">
        <f t="shared" si="43"/>
        <v>0</v>
      </c>
      <c r="I48" s="264">
        <f t="shared" si="43"/>
        <v>0</v>
      </c>
      <c r="J48" s="264">
        <f t="shared" si="43"/>
        <v>128059.30267084656</v>
      </c>
      <c r="K48" s="264">
        <f t="shared" ref="K48" si="44">K47*$G$11</f>
        <v>0</v>
      </c>
      <c r="L48" s="264">
        <f t="shared" ref="L48" si="45">L47*$G$11</f>
        <v>0</v>
      </c>
      <c r="M48" s="264">
        <f t="shared" ref="M48" si="46">M47*$G$11</f>
        <v>0</v>
      </c>
      <c r="N48" s="264">
        <f t="shared" ref="N48" si="47">N47*$G$11</f>
        <v>0</v>
      </c>
      <c r="O48" s="264">
        <f t="shared" ref="O48" si="48">O47*$G$11</f>
        <v>0</v>
      </c>
    </row>
    <row r="49" spans="2:15" x14ac:dyDescent="0.3">
      <c r="B49" t="s">
        <v>201</v>
      </c>
      <c r="E49" s="264">
        <f>$F$11*E47</f>
        <v>0</v>
      </c>
      <c r="F49" s="264">
        <f t="shared" ref="F49:J49" si="49">$F$11*F47</f>
        <v>1.7098500393331052E-12</v>
      </c>
      <c r="G49" s="264">
        <f t="shared" si="49"/>
        <v>0</v>
      </c>
      <c r="H49" s="264">
        <f t="shared" si="49"/>
        <v>0</v>
      </c>
      <c r="I49" s="264">
        <f t="shared" si="49"/>
        <v>0</v>
      </c>
      <c r="J49" s="264">
        <f t="shared" si="49"/>
        <v>39338.478598233916</v>
      </c>
      <c r="K49" s="264">
        <f t="shared" ref="K49:O49" si="50">$F$11*K47</f>
        <v>0</v>
      </c>
      <c r="L49" s="264">
        <f t="shared" si="50"/>
        <v>0</v>
      </c>
      <c r="M49" s="264">
        <f t="shared" si="50"/>
        <v>0</v>
      </c>
      <c r="N49" s="264">
        <f t="shared" si="50"/>
        <v>0</v>
      </c>
      <c r="O49" s="264">
        <f t="shared" si="50"/>
        <v>0</v>
      </c>
    </row>
    <row r="50" spans="2:15" x14ac:dyDescent="0.3">
      <c r="B50" t="s">
        <v>205</v>
      </c>
      <c r="E50" s="264">
        <f>E47-E48-E49</f>
        <v>0</v>
      </c>
      <c r="F50" s="264">
        <f t="shared" ref="F50:J50" si="51">F47-F48-F49</f>
        <v>0</v>
      </c>
      <c r="G50" s="264">
        <f t="shared" si="51"/>
        <v>0</v>
      </c>
      <c r="H50" s="264">
        <f t="shared" si="51"/>
        <v>0</v>
      </c>
      <c r="I50" s="264">
        <f t="shared" si="51"/>
        <v>0</v>
      </c>
      <c r="J50" s="264">
        <f t="shared" si="51"/>
        <v>0</v>
      </c>
      <c r="K50" s="264">
        <f t="shared" ref="K50" si="52">K47-K48-K49</f>
        <v>0</v>
      </c>
      <c r="L50" s="264">
        <f t="shared" ref="L50" si="53">L47-L48-L49</f>
        <v>0</v>
      </c>
      <c r="M50" s="264">
        <f t="shared" ref="M50" si="54">M47-M48-M49</f>
        <v>0</v>
      </c>
      <c r="N50" s="264">
        <f t="shared" ref="N50" si="55">N47-N48-N49</f>
        <v>0</v>
      </c>
      <c r="O50" s="264">
        <f t="shared" ref="O50" si="56">O47-O48-O49</f>
        <v>0</v>
      </c>
    </row>
    <row r="51" spans="2:15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Deal Summary</vt:lpstr>
      <vt:lpstr>Unit List &amp; Rent Roll</vt:lpstr>
      <vt:lpstr>Comps</vt:lpstr>
      <vt:lpstr>Input Assumptions</vt:lpstr>
      <vt:lpstr>Debt Assumptions</vt:lpstr>
      <vt:lpstr>Reversion Proforma</vt:lpstr>
      <vt:lpstr>Monthly Cashflow</vt:lpstr>
      <vt:lpstr>Annual Cashflow</vt:lpstr>
      <vt:lpstr>Partnership Returns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Ben</cp:lastModifiedBy>
  <dcterms:created xsi:type="dcterms:W3CDTF">2021-08-25T14:13:19Z</dcterms:created>
  <dcterms:modified xsi:type="dcterms:W3CDTF">2022-03-04T08:14:24Z</dcterms:modified>
</cp:coreProperties>
</file>