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ij10\Downloads\"/>
    </mc:Choice>
  </mc:AlternateContent>
  <xr:revisionPtr revIDLastSave="0" documentId="8_{DB0CCB5C-5320-4888-9E69-23007E17FA91}" xr6:coauthVersionLast="47" xr6:coauthVersionMax="47" xr10:uidLastSave="{00000000-0000-0000-0000-000000000000}"/>
  <bookViews>
    <workbookView xWindow="13050" yWindow="4785" windowWidth="17115" windowHeight="10200" xr2:uid="{6A43C86C-44A0-4757-8CEB-3DD53CF95188}"/>
  </bookViews>
  <sheets>
    <sheet name="3 Statement 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45091.1858796296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1" i="1" l="1"/>
  <c r="K171" i="1" s="1"/>
  <c r="L171" i="1" s="1"/>
  <c r="M171" i="1" s="1"/>
  <c r="I171" i="1"/>
  <c r="M139" i="1"/>
  <c r="L139" i="1"/>
  <c r="K139" i="1"/>
  <c r="J139" i="1"/>
  <c r="I139" i="1"/>
  <c r="I138" i="1"/>
  <c r="H138" i="1"/>
  <c r="G138" i="1"/>
  <c r="H139" i="1"/>
  <c r="G139" i="1"/>
  <c r="F138" i="1"/>
  <c r="F139" i="1"/>
  <c r="M233" i="1"/>
  <c r="L233" i="1"/>
  <c r="K233" i="1"/>
  <c r="J233" i="1"/>
  <c r="I233" i="1"/>
  <c r="G8" i="1"/>
  <c r="H8" i="1" s="1"/>
  <c r="I8" i="1" s="1"/>
  <c r="J8" i="1" s="1"/>
  <c r="K8" i="1" s="1"/>
  <c r="L8" i="1" s="1"/>
  <c r="M8" i="1" s="1"/>
  <c r="G9" i="1"/>
  <c r="H9" i="1"/>
  <c r="I9" i="1" s="1"/>
  <c r="F10" i="1"/>
  <c r="G10" i="1"/>
  <c r="H10" i="1"/>
  <c r="I10" i="1" s="1"/>
  <c r="J10" i="1" s="1"/>
  <c r="K10" i="1" s="1"/>
  <c r="F11" i="1"/>
  <c r="G11" i="1"/>
  <c r="H11" i="1"/>
  <c r="I11" i="1" s="1"/>
  <c r="G16" i="1"/>
  <c r="H16" i="1" s="1"/>
  <c r="I16" i="1" s="1"/>
  <c r="J16" i="1" s="1"/>
  <c r="K16" i="1" s="1"/>
  <c r="L16" i="1" s="1"/>
  <c r="M16" i="1" s="1"/>
  <c r="G17" i="1"/>
  <c r="H17" i="1"/>
  <c r="I17" i="1" s="1"/>
  <c r="G18" i="1"/>
  <c r="H18" i="1"/>
  <c r="I18" i="1" s="1"/>
  <c r="J18" i="1" s="1"/>
  <c r="K18" i="1" s="1"/>
  <c r="L18" i="1" s="1"/>
  <c r="M18" i="1" s="1"/>
  <c r="G19" i="1"/>
  <c r="H19" i="1"/>
  <c r="I19" i="1"/>
  <c r="J19" i="1" s="1"/>
  <c r="K19" i="1" s="1"/>
  <c r="L19" i="1" s="1"/>
  <c r="M19" i="1" s="1"/>
  <c r="H20" i="1"/>
  <c r="I20" i="1" s="1"/>
  <c r="J20" i="1" s="1"/>
  <c r="G21" i="1"/>
  <c r="H21" i="1"/>
  <c r="I21" i="1" s="1"/>
  <c r="J21" i="1" s="1"/>
  <c r="K21" i="1" s="1"/>
  <c r="G24" i="1"/>
  <c r="H24" i="1"/>
  <c r="I24" i="1" s="1"/>
  <c r="G25" i="1"/>
  <c r="H25" i="1"/>
  <c r="I25" i="1" s="1"/>
  <c r="J25" i="1" s="1"/>
  <c r="K25" i="1" s="1"/>
  <c r="G26" i="1"/>
  <c r="H26" i="1"/>
  <c r="I26" i="1" s="1"/>
  <c r="H27" i="1"/>
  <c r="I27" i="1" s="1"/>
  <c r="J27" i="1" s="1"/>
  <c r="K27" i="1" s="1"/>
  <c r="G29" i="1"/>
  <c r="H29" i="1"/>
  <c r="I29" i="1" s="1"/>
  <c r="J29" i="1" s="1"/>
  <c r="K29" i="1" s="1"/>
  <c r="L29" i="1" s="1"/>
  <c r="I33" i="1"/>
  <c r="G34" i="1"/>
  <c r="H34" i="1"/>
  <c r="I39" i="1"/>
  <c r="I45" i="1" s="1"/>
  <c r="I208" i="1" s="1"/>
  <c r="J39" i="1"/>
  <c r="K39" i="1"/>
  <c r="L39" i="1"/>
  <c r="M39" i="1"/>
  <c r="I40" i="1"/>
  <c r="J40" i="1"/>
  <c r="K40" i="1"/>
  <c r="L40" i="1"/>
  <c r="M40" i="1"/>
  <c r="G48" i="1"/>
  <c r="H48" i="1"/>
  <c r="G51" i="1"/>
  <c r="H51" i="1" s="1"/>
  <c r="I51" i="1" s="1"/>
  <c r="J51" i="1" s="1"/>
  <c r="K51" i="1" s="1"/>
  <c r="L51" i="1" s="1"/>
  <c r="M51" i="1" s="1"/>
  <c r="G56" i="1"/>
  <c r="H56" i="1" s="1"/>
  <c r="I56" i="1" s="1"/>
  <c r="J56" i="1" s="1"/>
  <c r="K56" i="1" s="1"/>
  <c r="L56" i="1" s="1"/>
  <c r="M56" i="1" s="1"/>
  <c r="I59" i="1"/>
  <c r="I230" i="1" s="1"/>
  <c r="J59" i="1"/>
  <c r="J61" i="1" s="1"/>
  <c r="J65" i="1" s="1"/>
  <c r="K59" i="1"/>
  <c r="L59" i="1"/>
  <c r="L230" i="1" s="1"/>
  <c r="M59" i="1"/>
  <c r="I60" i="1"/>
  <c r="J60" i="1"/>
  <c r="K60" i="1"/>
  <c r="K61" i="1" s="1"/>
  <c r="K65" i="1" s="1"/>
  <c r="L60" i="1"/>
  <c r="L234" i="1" s="1"/>
  <c r="M60" i="1"/>
  <c r="M234" i="1" s="1"/>
  <c r="I73" i="1"/>
  <c r="J73" i="1"/>
  <c r="K73" i="1"/>
  <c r="L73" i="1"/>
  <c r="M73" i="1"/>
  <c r="G83" i="1"/>
  <c r="H83" i="1" s="1"/>
  <c r="I83" i="1"/>
  <c r="J83" i="1" s="1"/>
  <c r="K83" i="1" s="1"/>
  <c r="L83" i="1" s="1"/>
  <c r="M83" i="1" s="1"/>
  <c r="I86" i="1"/>
  <c r="I97" i="1"/>
  <c r="I99" i="1"/>
  <c r="I106" i="1"/>
  <c r="I108" i="1"/>
  <c r="I191" i="1" s="1"/>
  <c r="I110" i="1"/>
  <c r="I111" i="1" s="1"/>
  <c r="G116" i="1"/>
  <c r="H116" i="1" s="1"/>
  <c r="I116" i="1" s="1"/>
  <c r="J116" i="1" s="1"/>
  <c r="K116" i="1" s="1"/>
  <c r="L116" i="1" s="1"/>
  <c r="M116" i="1" s="1"/>
  <c r="I118" i="1"/>
  <c r="G127" i="1"/>
  <c r="H127" i="1" s="1"/>
  <c r="I127" i="1" s="1"/>
  <c r="J127" i="1" s="1"/>
  <c r="K127" i="1" s="1"/>
  <c r="L127" i="1" s="1"/>
  <c r="M127" i="1" s="1"/>
  <c r="G130" i="1"/>
  <c r="G134" i="1" s="1"/>
  <c r="H130" i="1"/>
  <c r="H134" i="1" s="1"/>
  <c r="F134" i="1"/>
  <c r="F135" i="1"/>
  <c r="G12" i="1"/>
  <c r="H12" i="1"/>
  <c r="I12" i="1" s="1"/>
  <c r="F140" i="1"/>
  <c r="G140" i="1"/>
  <c r="H140" i="1"/>
  <c r="I141" i="1"/>
  <c r="J141" i="1" s="1"/>
  <c r="K141" i="1"/>
  <c r="L141" i="1" s="1"/>
  <c r="M141" i="1" s="1"/>
  <c r="F155" i="1"/>
  <c r="G155" i="1"/>
  <c r="H155" i="1"/>
  <c r="I156" i="1"/>
  <c r="J156" i="1"/>
  <c r="K156" i="1"/>
  <c r="L156" i="1"/>
  <c r="M156" i="1"/>
  <c r="G159" i="1"/>
  <c r="H159" i="1" s="1"/>
  <c r="I159" i="1" s="1"/>
  <c r="J159" i="1" s="1"/>
  <c r="K159" i="1" s="1"/>
  <c r="L159" i="1" s="1"/>
  <c r="M159" i="1" s="1"/>
  <c r="H162" i="1"/>
  <c r="I72" i="1" s="1"/>
  <c r="G166" i="1"/>
  <c r="G20" i="1" s="1"/>
  <c r="G171" i="1"/>
  <c r="H171" i="1"/>
  <c r="I172" i="1"/>
  <c r="J172" i="1" s="1"/>
  <c r="K172" i="1" s="1"/>
  <c r="L172" i="1" s="1"/>
  <c r="M172" i="1" s="1"/>
  <c r="G174" i="1"/>
  <c r="G22" i="1" s="1"/>
  <c r="H174" i="1"/>
  <c r="G175" i="1"/>
  <c r="G185" i="1"/>
  <c r="H186" i="1"/>
  <c r="G188" i="1"/>
  <c r="G28" i="1" s="1"/>
  <c r="H188" i="1"/>
  <c r="H28" i="1" s="1"/>
  <c r="I28" i="1" s="1"/>
  <c r="G204" i="1"/>
  <c r="H204" i="1"/>
  <c r="I204" i="1" s="1"/>
  <c r="J204" i="1" s="1"/>
  <c r="K204" i="1" s="1"/>
  <c r="L204" i="1" s="1"/>
  <c r="M204" i="1" s="1"/>
  <c r="I209" i="1"/>
  <c r="J209" i="1"/>
  <c r="K209" i="1" s="1"/>
  <c r="L209" i="1" s="1"/>
  <c r="M209" i="1" s="1"/>
  <c r="F210" i="1"/>
  <c r="G210" i="1"/>
  <c r="H210" i="1"/>
  <c r="I210" i="1" s="1"/>
  <c r="J210" i="1" s="1"/>
  <c r="K210" i="1" s="1"/>
  <c r="L210" i="1" s="1"/>
  <c r="M210" i="1" s="1"/>
  <c r="F211" i="1"/>
  <c r="G211" i="1"/>
  <c r="I212" i="1"/>
  <c r="J212" i="1" s="1"/>
  <c r="K212" i="1" s="1"/>
  <c r="L212" i="1" s="1"/>
  <c r="M212" i="1" s="1"/>
  <c r="I217" i="1"/>
  <c r="J217" i="1" s="1"/>
  <c r="K217" i="1" s="1"/>
  <c r="F227" i="1"/>
  <c r="G227" i="1"/>
  <c r="H227" i="1"/>
  <c r="I227" i="1"/>
  <c r="K230" i="1"/>
  <c r="J234" i="1"/>
  <c r="K234" i="1"/>
  <c r="I236" i="1"/>
  <c r="I67" i="1" s="1"/>
  <c r="J236" i="1"/>
  <c r="J67" i="1" s="1"/>
  <c r="K236" i="1"/>
  <c r="K67" i="1" s="1"/>
  <c r="L236" i="1"/>
  <c r="L67" i="1" s="1"/>
  <c r="M236" i="1"/>
  <c r="M67" i="1" s="1"/>
  <c r="I237" i="1"/>
  <c r="J237" i="1" s="1"/>
  <c r="K237" i="1" s="1"/>
  <c r="I238" i="1"/>
  <c r="J238" i="1" s="1"/>
  <c r="K238" i="1" s="1"/>
  <c r="L238" i="1" s="1"/>
  <c r="M238" i="1" s="1"/>
  <c r="F242" i="1"/>
  <c r="G242" i="1"/>
  <c r="H242" i="1"/>
  <c r="F12" i="1" l="1"/>
  <c r="I47" i="1"/>
  <c r="J33" i="1" s="1"/>
  <c r="J106" i="1"/>
  <c r="J108" i="1" s="1"/>
  <c r="G167" i="1"/>
  <c r="G177" i="1" s="1"/>
  <c r="J230" i="1"/>
  <c r="L61" i="1"/>
  <c r="L65" i="1" s="1"/>
  <c r="G192" i="1"/>
  <c r="I170" i="1"/>
  <c r="H167" i="1"/>
  <c r="F143" i="1"/>
  <c r="F154" i="1" s="1"/>
  <c r="F156" i="1" s="1"/>
  <c r="L237" i="1"/>
  <c r="M237" i="1" s="1"/>
  <c r="K20" i="1"/>
  <c r="J26" i="1"/>
  <c r="L27" i="1"/>
  <c r="J24" i="1"/>
  <c r="L10" i="1"/>
  <c r="J97" i="1"/>
  <c r="I101" i="1"/>
  <c r="I102" i="1" s="1"/>
  <c r="I183" i="1"/>
  <c r="J110" i="1"/>
  <c r="J111" i="1" s="1"/>
  <c r="J11" i="1"/>
  <c r="J9" i="1"/>
  <c r="K9" i="1" s="1"/>
  <c r="L9" i="1" s="1"/>
  <c r="M9" i="1" s="1"/>
  <c r="I129" i="1"/>
  <c r="I165" i="1" s="1"/>
  <c r="M61" i="1"/>
  <c r="M65" i="1" s="1"/>
  <c r="M230" i="1"/>
  <c r="G186" i="1"/>
  <c r="G27" i="1"/>
  <c r="H22" i="1"/>
  <c r="I22" i="1" s="1"/>
  <c r="H175" i="1"/>
  <c r="H177" i="1" s="1"/>
  <c r="J12" i="1"/>
  <c r="H135" i="1"/>
  <c r="H143" i="1" s="1"/>
  <c r="M29" i="1"/>
  <c r="J17" i="1"/>
  <c r="L217" i="1"/>
  <c r="M217" i="1" s="1"/>
  <c r="G194" i="1"/>
  <c r="G198" i="1" s="1"/>
  <c r="G135" i="1"/>
  <c r="G143" i="1" s="1"/>
  <c r="I234" i="1"/>
  <c r="I61" i="1"/>
  <c r="I65" i="1" s="1"/>
  <c r="J28" i="1"/>
  <c r="L25" i="1"/>
  <c r="L21" i="1"/>
  <c r="H192" i="1"/>
  <c r="H194" i="1" s="1"/>
  <c r="H198" i="1" s="1"/>
  <c r="F144" i="1" l="1"/>
  <c r="F149" i="1" s="1"/>
  <c r="G200" i="1"/>
  <c r="I132" i="1"/>
  <c r="I164" i="1" s="1"/>
  <c r="I163" i="1"/>
  <c r="J191" i="1"/>
  <c r="K106" i="1"/>
  <c r="K108" i="1" s="1"/>
  <c r="K191" i="1" s="1"/>
  <c r="H200" i="1"/>
  <c r="I181" i="1"/>
  <c r="H154" i="1"/>
  <c r="H156" i="1" s="1"/>
  <c r="H144" i="1"/>
  <c r="H149" i="1" s="1"/>
  <c r="G154" i="1"/>
  <c r="G156" i="1" s="1"/>
  <c r="G144" i="1"/>
  <c r="G149" i="1" s="1"/>
  <c r="J22" i="1"/>
  <c r="I174" i="1"/>
  <c r="I185" i="1"/>
  <c r="I166" i="1"/>
  <c r="I188" i="1"/>
  <c r="M10" i="1"/>
  <c r="I214" i="1"/>
  <c r="K17" i="1"/>
  <c r="I137" i="1"/>
  <c r="K11" i="1"/>
  <c r="K12" i="1"/>
  <c r="I216" i="1"/>
  <c r="I215" i="1"/>
  <c r="K110" i="1"/>
  <c r="K111" i="1" s="1"/>
  <c r="M25" i="1"/>
  <c r="J99" i="1"/>
  <c r="J101" i="1" s="1"/>
  <c r="J102" i="1" s="1"/>
  <c r="K26" i="1"/>
  <c r="L20" i="1"/>
  <c r="I130" i="1"/>
  <c r="I134" i="1" s="1"/>
  <c r="J129" i="1"/>
  <c r="J188" i="1" s="1"/>
  <c r="M27" i="1"/>
  <c r="M21" i="1"/>
  <c r="K28" i="1"/>
  <c r="K24" i="1"/>
  <c r="F152" i="1" l="1"/>
  <c r="F206" i="1" s="1"/>
  <c r="F218" i="1" s="1"/>
  <c r="F244" i="1" s="1"/>
  <c r="F13" i="1"/>
  <c r="L106" i="1"/>
  <c r="I184" i="1"/>
  <c r="I143" i="1"/>
  <c r="I135" i="1"/>
  <c r="L108" i="1"/>
  <c r="L110" i="1" s="1"/>
  <c r="L111" i="1" s="1"/>
  <c r="G152" i="1"/>
  <c r="G13" i="1"/>
  <c r="L24" i="1"/>
  <c r="K22" i="1"/>
  <c r="J174" i="1"/>
  <c r="L26" i="1"/>
  <c r="J137" i="1"/>
  <c r="K97" i="1"/>
  <c r="J183" i="1"/>
  <c r="L11" i="1"/>
  <c r="J34" i="1"/>
  <c r="J130" i="1"/>
  <c r="K129" i="1"/>
  <c r="J165" i="1"/>
  <c r="J185" i="1"/>
  <c r="J132" i="1"/>
  <c r="J166" i="1"/>
  <c r="J163" i="1"/>
  <c r="H13" i="1"/>
  <c r="I13" i="1" s="1"/>
  <c r="H152" i="1"/>
  <c r="M20" i="1"/>
  <c r="J138" i="1"/>
  <c r="L17" i="1"/>
  <c r="K163" i="1"/>
  <c r="L28" i="1"/>
  <c r="L12" i="1"/>
  <c r="K138" i="1"/>
  <c r="F53" i="1" l="1"/>
  <c r="J134" i="1"/>
  <c r="K99" i="1"/>
  <c r="J135" i="1"/>
  <c r="J143" i="1" s="1"/>
  <c r="K34" i="1"/>
  <c r="K130" i="1"/>
  <c r="L129" i="1"/>
  <c r="L137" i="1" s="1"/>
  <c r="K165" i="1"/>
  <c r="K132" i="1"/>
  <c r="K185" i="1"/>
  <c r="K166" i="1"/>
  <c r="M12" i="1"/>
  <c r="M26" i="1"/>
  <c r="M106" i="1"/>
  <c r="L191" i="1"/>
  <c r="H206" i="1"/>
  <c r="H218" i="1" s="1"/>
  <c r="H244" i="1" s="1"/>
  <c r="H53" i="1"/>
  <c r="I53" i="1" s="1"/>
  <c r="J13" i="1"/>
  <c r="K214" i="1"/>
  <c r="J214" i="1"/>
  <c r="L41" i="1"/>
  <c r="J221" i="1"/>
  <c r="J227" i="1" s="1"/>
  <c r="M41" i="1"/>
  <c r="J41" i="1"/>
  <c r="J45" i="1" s="1"/>
  <c r="J208" i="1" s="1"/>
  <c r="K41" i="1"/>
  <c r="M17" i="1"/>
  <c r="K188" i="1"/>
  <c r="K137" i="1"/>
  <c r="K174" i="1"/>
  <c r="L22" i="1"/>
  <c r="G53" i="1"/>
  <c r="G206" i="1"/>
  <c r="G218" i="1" s="1"/>
  <c r="G244" i="1" s="1"/>
  <c r="M28" i="1"/>
  <c r="J164" i="1"/>
  <c r="J184" i="1"/>
  <c r="J181" i="1"/>
  <c r="M11" i="1"/>
  <c r="M24" i="1"/>
  <c r="I144" i="1"/>
  <c r="K134" i="1" l="1"/>
  <c r="L188" i="1"/>
  <c r="L138" i="1"/>
  <c r="L163" i="1"/>
  <c r="J47" i="1"/>
  <c r="K33" i="1" s="1"/>
  <c r="K135" i="1"/>
  <c r="K143" i="1" s="1"/>
  <c r="K45" i="1"/>
  <c r="K208" i="1" s="1"/>
  <c r="J216" i="1"/>
  <c r="J53" i="1"/>
  <c r="K221" i="1"/>
  <c r="K227" i="1" s="1"/>
  <c r="K42" i="1"/>
  <c r="L42" i="1"/>
  <c r="M42" i="1"/>
  <c r="K164" i="1"/>
  <c r="K181" i="1"/>
  <c r="K184" i="1"/>
  <c r="L97" i="1"/>
  <c r="K183" i="1"/>
  <c r="L174" i="1"/>
  <c r="M22" i="1"/>
  <c r="K13" i="1"/>
  <c r="J144" i="1"/>
  <c r="K215" i="1"/>
  <c r="J215" i="1"/>
  <c r="M108" i="1"/>
  <c r="M191" i="1" s="1"/>
  <c r="K101" i="1"/>
  <c r="K102" i="1" s="1"/>
  <c r="L34" i="1"/>
  <c r="L130" i="1"/>
  <c r="M129" i="1"/>
  <c r="M137" i="1" s="1"/>
  <c r="L165" i="1"/>
  <c r="L132" i="1"/>
  <c r="L185" i="1"/>
  <c r="L166" i="1"/>
  <c r="L214" i="1"/>
  <c r="M188" i="1" l="1"/>
  <c r="M138" i="1"/>
  <c r="L134" i="1"/>
  <c r="J170" i="1"/>
  <c r="M174" i="1"/>
  <c r="L135" i="1"/>
  <c r="L143" i="1"/>
  <c r="K216" i="1"/>
  <c r="M34" i="1"/>
  <c r="M130" i="1"/>
  <c r="M134" i="1" s="1"/>
  <c r="M165" i="1"/>
  <c r="M185" i="1"/>
  <c r="M132" i="1"/>
  <c r="M166" i="1"/>
  <c r="L215" i="1"/>
  <c r="M163" i="1"/>
  <c r="M214" i="1" s="1"/>
  <c r="K47" i="1"/>
  <c r="L13" i="1"/>
  <c r="K144" i="1"/>
  <c r="L99" i="1"/>
  <c r="L101" i="1"/>
  <c r="L102" i="1" s="1"/>
  <c r="L164" i="1"/>
  <c r="L184" i="1"/>
  <c r="L181" i="1"/>
  <c r="L221" i="1"/>
  <c r="L227" i="1" s="1"/>
  <c r="L43" i="1"/>
  <c r="L45" i="1" s="1"/>
  <c r="L208" i="1" s="1"/>
  <c r="K53" i="1"/>
  <c r="M110" i="1"/>
  <c r="M111" i="1" s="1"/>
  <c r="K170" i="1" l="1"/>
  <c r="L33" i="1"/>
  <c r="L47" i="1" s="1"/>
  <c r="M97" i="1"/>
  <c r="L183" i="1"/>
  <c r="L53" i="1"/>
  <c r="M13" i="1"/>
  <c r="L144" i="1"/>
  <c r="M221" i="1"/>
  <c r="M227" i="1" s="1"/>
  <c r="M43" i="1"/>
  <c r="M44" i="1"/>
  <c r="M135" i="1"/>
  <c r="M143" i="1" s="1"/>
  <c r="M164" i="1"/>
  <c r="M184" i="1"/>
  <c r="M181" i="1"/>
  <c r="L216" i="1"/>
  <c r="M215" i="1"/>
  <c r="M144" i="1" l="1"/>
  <c r="M53" i="1"/>
  <c r="L170" i="1"/>
  <c r="M33" i="1"/>
  <c r="M45" i="1"/>
  <c r="M208" i="1" s="1"/>
  <c r="M216" i="1"/>
  <c r="M99" i="1"/>
  <c r="M183" i="1" s="1"/>
  <c r="M101" i="1"/>
  <c r="M102" i="1" s="1"/>
  <c r="M47" i="1" l="1"/>
  <c r="M170" i="1" s="1"/>
  <c r="I64" i="1"/>
  <c r="J64" i="1"/>
  <c r="K64" i="1"/>
  <c r="L64" i="1"/>
  <c r="M64" i="1"/>
  <c r="I66" i="1"/>
  <c r="J66" i="1"/>
  <c r="K66" i="1"/>
  <c r="L66" i="1"/>
  <c r="M66" i="1"/>
  <c r="I69" i="1"/>
  <c r="J69" i="1"/>
  <c r="K69" i="1"/>
  <c r="L69" i="1"/>
  <c r="M69" i="1"/>
  <c r="I70" i="1"/>
  <c r="J70" i="1"/>
  <c r="K70" i="1"/>
  <c r="L70" i="1"/>
  <c r="M70" i="1"/>
  <c r="J72" i="1"/>
  <c r="K72" i="1"/>
  <c r="L72" i="1"/>
  <c r="M72" i="1"/>
  <c r="I74" i="1"/>
  <c r="J74" i="1"/>
  <c r="K74" i="1"/>
  <c r="L74" i="1"/>
  <c r="M74" i="1"/>
  <c r="I75" i="1"/>
  <c r="J75" i="1"/>
  <c r="K75" i="1"/>
  <c r="L75" i="1"/>
  <c r="M75" i="1"/>
  <c r="J86" i="1"/>
  <c r="K86" i="1"/>
  <c r="L86" i="1"/>
  <c r="M86" i="1"/>
  <c r="I87" i="1"/>
  <c r="J87" i="1"/>
  <c r="K87" i="1"/>
  <c r="L87" i="1"/>
  <c r="M87" i="1"/>
  <c r="I88" i="1"/>
  <c r="J88" i="1"/>
  <c r="K88" i="1"/>
  <c r="L88" i="1"/>
  <c r="M88" i="1"/>
  <c r="I90" i="1"/>
  <c r="J90" i="1"/>
  <c r="K90" i="1"/>
  <c r="L90" i="1"/>
  <c r="M90" i="1"/>
  <c r="I91" i="1"/>
  <c r="J91" i="1"/>
  <c r="K91" i="1"/>
  <c r="L91" i="1"/>
  <c r="M91" i="1"/>
  <c r="I94" i="1"/>
  <c r="J94" i="1"/>
  <c r="K94" i="1"/>
  <c r="L94" i="1"/>
  <c r="M94" i="1"/>
  <c r="J118" i="1"/>
  <c r="K118" i="1"/>
  <c r="L118" i="1"/>
  <c r="M118" i="1"/>
  <c r="I119" i="1"/>
  <c r="J119" i="1"/>
  <c r="K119" i="1"/>
  <c r="L119" i="1"/>
  <c r="M119" i="1"/>
  <c r="I121" i="1"/>
  <c r="J121" i="1"/>
  <c r="K121" i="1"/>
  <c r="L121" i="1"/>
  <c r="M121" i="1"/>
  <c r="I122" i="1"/>
  <c r="J122" i="1"/>
  <c r="K122" i="1"/>
  <c r="L122" i="1"/>
  <c r="M122" i="1"/>
  <c r="I146" i="1"/>
  <c r="J146" i="1"/>
  <c r="K146" i="1"/>
  <c r="L146" i="1"/>
  <c r="M146" i="1"/>
  <c r="I147" i="1"/>
  <c r="J147" i="1"/>
  <c r="K147" i="1"/>
  <c r="L147" i="1"/>
  <c r="M147" i="1"/>
  <c r="I149" i="1"/>
  <c r="J149" i="1"/>
  <c r="K149" i="1"/>
  <c r="L149" i="1"/>
  <c r="M149" i="1"/>
  <c r="I150" i="1"/>
  <c r="J150" i="1"/>
  <c r="K150" i="1"/>
  <c r="L150" i="1"/>
  <c r="M150" i="1"/>
  <c r="I152" i="1"/>
  <c r="J152" i="1"/>
  <c r="K152" i="1"/>
  <c r="L152" i="1"/>
  <c r="M152" i="1"/>
  <c r="I162" i="1"/>
  <c r="J162" i="1"/>
  <c r="K162" i="1"/>
  <c r="L162" i="1"/>
  <c r="M162" i="1"/>
  <c r="I167" i="1"/>
  <c r="J167" i="1"/>
  <c r="K167" i="1"/>
  <c r="L167" i="1"/>
  <c r="M167" i="1"/>
  <c r="I173" i="1"/>
  <c r="J173" i="1"/>
  <c r="K173" i="1"/>
  <c r="L173" i="1"/>
  <c r="M173" i="1"/>
  <c r="I175" i="1"/>
  <c r="J175" i="1"/>
  <c r="K175" i="1"/>
  <c r="L175" i="1"/>
  <c r="M175" i="1"/>
  <c r="I177" i="1"/>
  <c r="J177" i="1"/>
  <c r="K177" i="1"/>
  <c r="L177" i="1"/>
  <c r="M177" i="1"/>
  <c r="I182" i="1"/>
  <c r="J182" i="1"/>
  <c r="K182" i="1"/>
  <c r="L182" i="1"/>
  <c r="M182" i="1"/>
  <c r="I186" i="1"/>
  <c r="J186" i="1"/>
  <c r="K186" i="1"/>
  <c r="L186" i="1"/>
  <c r="M186" i="1"/>
  <c r="I189" i="1"/>
  <c r="J189" i="1"/>
  <c r="K189" i="1"/>
  <c r="L189" i="1"/>
  <c r="M189" i="1"/>
  <c r="I192" i="1"/>
  <c r="J192" i="1"/>
  <c r="K192" i="1"/>
  <c r="L192" i="1"/>
  <c r="M192" i="1"/>
  <c r="I194" i="1"/>
  <c r="J194" i="1"/>
  <c r="K194" i="1"/>
  <c r="L194" i="1"/>
  <c r="M194" i="1"/>
  <c r="I196" i="1"/>
  <c r="J196" i="1"/>
  <c r="K196" i="1"/>
  <c r="L196" i="1"/>
  <c r="M196" i="1"/>
  <c r="I198" i="1"/>
  <c r="J198" i="1"/>
  <c r="K198" i="1"/>
  <c r="L198" i="1"/>
  <c r="M198" i="1"/>
  <c r="I200" i="1"/>
  <c r="J200" i="1"/>
  <c r="K200" i="1"/>
  <c r="L200" i="1"/>
  <c r="M200" i="1"/>
  <c r="I206" i="1"/>
  <c r="J206" i="1"/>
  <c r="K206" i="1"/>
  <c r="L206" i="1"/>
  <c r="M206" i="1"/>
  <c r="I218" i="1"/>
  <c r="J218" i="1"/>
  <c r="K218" i="1"/>
  <c r="L218" i="1"/>
  <c r="M218" i="1"/>
  <c r="I239" i="1"/>
  <c r="J239" i="1"/>
  <c r="K239" i="1"/>
  <c r="L239" i="1"/>
  <c r="M239" i="1"/>
  <c r="I242" i="1"/>
  <c r="J242" i="1"/>
  <c r="K242" i="1"/>
  <c r="L242" i="1"/>
  <c r="M242" i="1"/>
  <c r="I244" i="1"/>
  <c r="J244" i="1"/>
  <c r="K244" i="1"/>
  <c r="L244" i="1"/>
  <c r="M2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Salim, Joshua</author>
  </authors>
  <commentList>
    <comment ref="I34" authorId="0" shapeId="0" xr:uid="{3E0BEE73-AE21-4614-ADDF-B5F81DA98747}">
      <text>
        <r>
          <rPr>
            <b/>
            <sz val="9"/>
            <color indexed="81"/>
            <rFont val="Tahoma"/>
            <family val="2"/>
          </rPr>
          <t>Salim, Joshua:</t>
        </r>
        <r>
          <rPr>
            <sz val="9"/>
            <color indexed="81"/>
            <rFont val="Tahoma"/>
            <family val="2"/>
          </rPr>
          <t xml:space="preserve">
650 in filings</t>
        </r>
      </text>
    </comment>
  </commentList>
</comments>
</file>

<file path=xl/sharedStrings.xml><?xml version="1.0" encoding="utf-8"?>
<sst xmlns="http://schemas.openxmlformats.org/spreadsheetml/2006/main" count="296" uniqueCount="169">
  <si>
    <t>Income Statement</t>
  </si>
  <si>
    <t>Historical</t>
  </si>
  <si>
    <t>Projected</t>
  </si>
  <si>
    <t>Balance Sheet</t>
  </si>
  <si>
    <t>Cash Flow Statement</t>
  </si>
  <si>
    <t>Revenue</t>
  </si>
  <si>
    <t>Gross Profit</t>
  </si>
  <si>
    <t>Equity in earnings of nonconsolidated affiliates</t>
  </si>
  <si>
    <t>Operating Profit (EBIT)</t>
  </si>
  <si>
    <t>Interest Expense</t>
  </si>
  <si>
    <t>Net Income</t>
  </si>
  <si>
    <t>Cash and cash equivalents</t>
  </si>
  <si>
    <t>Accounts Receivable (net)</t>
  </si>
  <si>
    <t>Inventories</t>
  </si>
  <si>
    <t>Prepaid Expenses</t>
  </si>
  <si>
    <t>Total Current Assets</t>
  </si>
  <si>
    <t>PP&amp;E (net)</t>
  </si>
  <si>
    <t>EBIT</t>
  </si>
  <si>
    <t>EBITDA</t>
  </si>
  <si>
    <t>Goodwill/Intangibles</t>
  </si>
  <si>
    <t>Restricted Cash</t>
  </si>
  <si>
    <t>Total Assets</t>
  </si>
  <si>
    <t>Accounts Payable</t>
  </si>
  <si>
    <t>Income Taxes Payable</t>
  </si>
  <si>
    <t>Other long-term assets</t>
  </si>
  <si>
    <t>Short-term Debt</t>
  </si>
  <si>
    <t>Accrued liabilities</t>
  </si>
  <si>
    <t>Other current assets</t>
  </si>
  <si>
    <t>Other current liabilities</t>
  </si>
  <si>
    <t>Current Liabilities</t>
  </si>
  <si>
    <t>Other non-current liabilities</t>
  </si>
  <si>
    <t>Long-Term Debt</t>
  </si>
  <si>
    <t>Balance Check</t>
  </si>
  <si>
    <t>Deferred Tax Assets</t>
  </si>
  <si>
    <t>Deferred Tax Liabilities</t>
  </si>
  <si>
    <t>Income Statement Drivers</t>
  </si>
  <si>
    <t>Revenue Growth YoY</t>
  </si>
  <si>
    <t>COGS % of Revenue</t>
  </si>
  <si>
    <t>SG&amp;A % of Revenue</t>
  </si>
  <si>
    <t>R&amp;D % of Revenue</t>
  </si>
  <si>
    <t>Income Tax Rate</t>
  </si>
  <si>
    <t>Balance Sheet Drivers</t>
  </si>
  <si>
    <t>Accounts Receivable Days</t>
  </si>
  <si>
    <t>Inventory Turns</t>
  </si>
  <si>
    <t>Other current assets % of revenue</t>
  </si>
  <si>
    <t>Prepaid Expenses % of revenue</t>
  </si>
  <si>
    <t>DTA % of book taxes</t>
  </si>
  <si>
    <t>Other long term assets % of revenue</t>
  </si>
  <si>
    <t>Accounts Payable % of COGS</t>
  </si>
  <si>
    <t>Income Taxes Payable % of book taxes</t>
  </si>
  <si>
    <t>Accrued Liabilities % of total expenses</t>
  </si>
  <si>
    <t>Other current liabilities % of revenue</t>
  </si>
  <si>
    <t>($ in Millions)</t>
  </si>
  <si>
    <t>(-) Cost of Sales</t>
  </si>
  <si>
    <t>(-) R&amp;D</t>
  </si>
  <si>
    <t>(-) SG&amp;A</t>
  </si>
  <si>
    <t>(-) Non-Recurring Charges</t>
  </si>
  <si>
    <t>(+) Interest Income (expense) - net</t>
  </si>
  <si>
    <t>(-) Interest Expense</t>
  </si>
  <si>
    <t>(-) Taxes</t>
  </si>
  <si>
    <t>(+/-) Income (loss) from discontinued operations, net of tax</t>
  </si>
  <si>
    <t>(+) D&amp;A</t>
  </si>
  <si>
    <t>Units:</t>
  </si>
  <si>
    <t>$ M</t>
  </si>
  <si>
    <t>%</t>
  </si>
  <si>
    <t>Pre-Tax Income</t>
  </si>
  <si>
    <t>Revenue Growth</t>
  </si>
  <si>
    <t>Gross Margin</t>
  </si>
  <si>
    <t>Operating (EBIT) Margin</t>
  </si>
  <si>
    <t>Current Assets</t>
  </si>
  <si>
    <t>Non-Current Assets</t>
  </si>
  <si>
    <t>Total Non-Current Assets</t>
  </si>
  <si>
    <t>ASSETS</t>
  </si>
  <si>
    <t>LIABILITIES AND EQUITY</t>
  </si>
  <si>
    <t>Total Current Liabilities</t>
  </si>
  <si>
    <t>Total Non-Current Liabilities</t>
  </si>
  <si>
    <t xml:space="preserve">Total Liabilities    </t>
  </si>
  <si>
    <t>Shareholder's Equity</t>
  </si>
  <si>
    <t>Total Liabilities and Equity</t>
  </si>
  <si>
    <t>Adjustments for Non-Cash Charges</t>
  </si>
  <si>
    <t>Changes in Operating Assets and Liabilities</t>
  </si>
  <si>
    <t>Net Cash Provided by Operating Activities</t>
  </si>
  <si>
    <t>CASH FLOWS FROM OPERATING ACTIVITIES</t>
  </si>
  <si>
    <t>CASH FLOWS FROM INVESTING ACTIVITIES</t>
  </si>
  <si>
    <t>(+) Other non-cash items</t>
  </si>
  <si>
    <t>(+) Non-recurring non-cash charges</t>
  </si>
  <si>
    <t>(+) Other net loss</t>
  </si>
  <si>
    <t>(+/-) Accounts Receivable</t>
  </si>
  <si>
    <t>(+/-) Inventory</t>
  </si>
  <si>
    <t>(+/-) Accounts Payable</t>
  </si>
  <si>
    <t>(+/-) Other assets and liabilities</t>
  </si>
  <si>
    <t>(-) Capital Expenditures</t>
  </si>
  <si>
    <t>(+) Proceeds from sales of property, business, ownership interests</t>
  </si>
  <si>
    <t>(+/-) Acquisitions of property and businesses, net of cash acquired</t>
  </si>
  <si>
    <t>(-) Purchases of Investments</t>
  </si>
  <si>
    <t>(+) Proceeds from sales and maturities of investments</t>
  </si>
  <si>
    <t>(+) Other investing activities (net)</t>
  </si>
  <si>
    <t>Net Cash Used in Investing Activities</t>
  </si>
  <si>
    <t>CASH FLOWS FROM FINANCING ACTIVITIES</t>
  </si>
  <si>
    <t>(+/-) Borrowings/(Repayments) for short-term borrowings</t>
  </si>
  <si>
    <t>(+) Proceeds from issuance of long-term debt</t>
  </si>
  <si>
    <t>(+) Purchases of common stock and forward contracts</t>
  </si>
  <si>
    <t>(+) Proceeds from issuance of common stock</t>
  </si>
  <si>
    <t>(+) Proceeds from issuance of long term debt transferred to IFF at split off</t>
  </si>
  <si>
    <t>(-) Long-Term debt repayments</t>
  </si>
  <si>
    <t>(-) Employee taxes paid for share-based payment arrangements</t>
  </si>
  <si>
    <t>(-) Distributions to noncontrolling interests</t>
  </si>
  <si>
    <t>(-) Dividends Paid</t>
  </si>
  <si>
    <t>(-) Cash transferred to IFF and subsequent adjustments</t>
  </si>
  <si>
    <t>(+/-) Other financing activities, net</t>
  </si>
  <si>
    <t>Net Cash Provided by Financing Activities</t>
  </si>
  <si>
    <t>Net Change in Cash</t>
  </si>
  <si>
    <t>Cash Flow Statement Drivers</t>
  </si>
  <si>
    <t>x</t>
  </si>
  <si>
    <t>Step</t>
  </si>
  <si>
    <t>PP&amp;E Schedule</t>
  </si>
  <si>
    <t>(+) Capital Expenditures</t>
  </si>
  <si>
    <t>Ending PP&amp;E</t>
  </si>
  <si>
    <t>(+) Amortization</t>
  </si>
  <si>
    <t>(+) Depreciation</t>
  </si>
  <si>
    <t>Beginning PP&amp;E (net)</t>
  </si>
  <si>
    <t>Depreciation % - Starting Net PP&amp;E</t>
  </si>
  <si>
    <t>Depreciation % - New CapEx:</t>
  </si>
  <si>
    <t>Depreciation - Starting Balance</t>
  </si>
  <si>
    <t>Depreciation - Year 1 Additions</t>
  </si>
  <si>
    <t>Depreciation - Year 2 Additions</t>
  </si>
  <si>
    <t>Depreciation - Year 3 Additions</t>
  </si>
  <si>
    <t>Depreciation - Year 4 Additions</t>
  </si>
  <si>
    <t>Depreciation - Year 5 Additions</t>
  </si>
  <si>
    <t>Capex % Revenue</t>
  </si>
  <si>
    <t>Total Depreciation</t>
  </si>
  <si>
    <t>Other non-current liabilities % of revenue</t>
  </si>
  <si>
    <t>DTL % of book taxes</t>
  </si>
  <si>
    <t>Dividends % Net Income</t>
  </si>
  <si>
    <t>Debt Waterfall</t>
  </si>
  <si>
    <t>Mandatory Debt Repayments</t>
  </si>
  <si>
    <t>Total Mandatory Debt Repayments</t>
  </si>
  <si>
    <t>Excess Cash Flow Calculations</t>
  </si>
  <si>
    <t>CFO+CFI</t>
  </si>
  <si>
    <t>Excess Cash Flow (Before Equity Items)</t>
  </si>
  <si>
    <t>Short-Term Debt</t>
  </si>
  <si>
    <t>(-) Long-Term Debt</t>
  </si>
  <si>
    <t>(-) Short-Term Debt</t>
  </si>
  <si>
    <t>(-) Mandatory Payments</t>
  </si>
  <si>
    <t>(+) Common Stock Issuances</t>
  </si>
  <si>
    <t>(-) Stock Repurchases</t>
  </si>
  <si>
    <t>Excess Cash Flow (After Equity Items)</t>
  </si>
  <si>
    <t>Beginning Cash Balance</t>
  </si>
  <si>
    <t>(-) Minimum Cash Balance</t>
  </si>
  <si>
    <t>(+) Excess Cash Flow (After Equity Items)</t>
  </si>
  <si>
    <t>Cash Available for Optional Debt Repayment</t>
  </si>
  <si>
    <t>Revolving Credit Facility</t>
  </si>
  <si>
    <t>(+/-) Optional Debt (Repayments) / Borrowing</t>
  </si>
  <si>
    <t>(+/-) Total Optional Debt (Repayments) / Borrowing</t>
  </si>
  <si>
    <t>Debt Tables</t>
  </si>
  <si>
    <t>BOP Balance</t>
  </si>
  <si>
    <t>EOP Balance</t>
  </si>
  <si>
    <t>(+/-) Borrowing / (Repayment)</t>
  </si>
  <si>
    <t>Average Balance</t>
  </si>
  <si>
    <t>RCF Capacity</t>
  </si>
  <si>
    <t>Interest Rate</t>
  </si>
  <si>
    <t>RCF Overdraw Check</t>
  </si>
  <si>
    <t>Mandatory Repayments</t>
  </si>
  <si>
    <t>Interest Income</t>
  </si>
  <si>
    <t>Interest Earned on Cash %</t>
  </si>
  <si>
    <t>Minimum Cash Balance</t>
  </si>
  <si>
    <t>Average Interest Trigger</t>
  </si>
  <si>
    <t>(-) Short-Term debt repayments</t>
  </si>
  <si>
    <t>(-) D&amp;A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</si>
</sst>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FY&quot;\ yy"/>
    <numFmt numFmtId="165" formatCode="_([$$-409]* #,##0.00_);_([$$-409]* \(#,##0.00\);_([$$-409]* &quot;-&quot;??_);_(@_)"/>
    <numFmt numFmtId="166" formatCode="_([$$-409]* #,##0_);_([$$-409]* \(#,##0\);_([$$-409]* &quot;-&quot;??_);_(@_)"/>
    <numFmt numFmtId="167" formatCode="0\ &quot;days&quot;"/>
    <numFmt numFmtId="168" formatCode="0.0\ &quot;x&quot;"/>
    <numFmt numFmtId="169" formatCode="_(* #,##0_);_(* \(#,##0\);_(* &quot;-&quot;??_);_(@_)"/>
    <numFmt numFmtId="170" formatCode="0.0%"/>
    <numFmt numFmtId="171" formatCode="_(&quot;$&quot;* #,##0.0_);_(&quot;$&quot;* \(#,##0.0\);_(&quot;$&quot;* &quot;-&quot;?_);_(@_)"/>
    <numFmt numFmtId="172" formatCode="&quot;ON&quot;;\ &quot;N/A&quot;;\ &quot;Off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2" xfId="0" applyBorder="1"/>
    <xf numFmtId="0" fontId="1" fillId="0" borderId="0" xfId="0" applyFont="1" applyFill="1" applyBorder="1"/>
    <xf numFmtId="0" fontId="1" fillId="0" borderId="2" xfId="0" applyFont="1" applyFill="1" applyBorder="1"/>
    <xf numFmtId="0" fontId="0" fillId="0" borderId="0" xfId="0" applyBorder="1"/>
    <xf numFmtId="0" fontId="0" fillId="0" borderId="0" xfId="0" applyFont="1" applyBorder="1"/>
    <xf numFmtId="0" fontId="0" fillId="0" borderId="0" xfId="0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1" fillId="0" borderId="2" xfId="0" applyFont="1" applyFill="1" applyBorder="1" applyAlignment="1">
      <alignment horizontal="left"/>
    </xf>
    <xf numFmtId="41" fontId="0" fillId="0" borderId="0" xfId="0" applyNumberFormat="1" applyBorder="1"/>
    <xf numFmtId="41" fontId="0" fillId="0" borderId="1" xfId="0" applyNumberFormat="1" applyBorder="1"/>
    <xf numFmtId="9" fontId="0" fillId="0" borderId="0" xfId="1" applyFont="1"/>
    <xf numFmtId="9" fontId="0" fillId="0" borderId="1" xfId="1" applyFont="1" applyBorder="1"/>
    <xf numFmtId="9" fontId="0" fillId="0" borderId="0" xfId="0" applyNumberFormat="1"/>
    <xf numFmtId="0" fontId="0" fillId="0" borderId="0" xfId="0" applyFont="1"/>
    <xf numFmtId="0" fontId="0" fillId="0" borderId="0" xfId="0" applyFill="1" applyBorder="1"/>
    <xf numFmtId="0" fontId="0" fillId="3" borderId="0" xfId="0" applyFill="1"/>
    <xf numFmtId="41" fontId="4" fillId="0" borderId="0" xfId="0" applyNumberFormat="1" applyFont="1"/>
    <xf numFmtId="41" fontId="4" fillId="0" borderId="1" xfId="0" applyNumberFormat="1" applyFont="1" applyBorder="1"/>
    <xf numFmtId="41" fontId="1" fillId="0" borderId="0" xfId="0" applyNumberFormat="1" applyFont="1"/>
    <xf numFmtId="41" fontId="5" fillId="0" borderId="0" xfId="0" applyNumberFormat="1" applyFont="1"/>
    <xf numFmtId="41" fontId="5" fillId="0" borderId="1" xfId="0" applyNumberFormat="1" applyFont="1" applyBorder="1"/>
    <xf numFmtId="41" fontId="0" fillId="0" borderId="0" xfId="0" applyNumberFormat="1"/>
    <xf numFmtId="41" fontId="1" fillId="0" borderId="2" xfId="0" applyNumberFormat="1" applyFont="1" applyBorder="1"/>
    <xf numFmtId="41" fontId="1" fillId="0" borderId="3" xfId="0" applyNumberFormat="1" applyFont="1" applyBorder="1"/>
    <xf numFmtId="41" fontId="0" fillId="0" borderId="0" xfId="0" applyNumberFormat="1" applyFont="1"/>
    <xf numFmtId="41" fontId="0" fillId="0" borderId="0" xfId="0" applyNumberFormat="1" applyFill="1" applyBorder="1"/>
    <xf numFmtId="41" fontId="5" fillId="0" borderId="0" xfId="0" applyNumberFormat="1" applyFont="1" applyFill="1" applyBorder="1"/>
    <xf numFmtId="41" fontId="4" fillId="0" borderId="0" xfId="0" applyNumberFormat="1" applyFont="1" applyFill="1" applyBorder="1"/>
    <xf numFmtId="0" fontId="0" fillId="0" borderId="0" xfId="0" applyAlignment="1">
      <alignment horizontal="left" indent="1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1" xfId="0" applyNumberFormat="1" applyFont="1" applyFill="1" applyBorder="1"/>
    <xf numFmtId="2" fontId="3" fillId="2" borderId="5" xfId="0" applyNumberFormat="1" applyFont="1" applyFill="1" applyBorder="1" applyAlignment="1">
      <alignment horizontal="centerContinuous"/>
    </xf>
    <xf numFmtId="2" fontId="3" fillId="2" borderId="4" xfId="0" applyNumberFormat="1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Continuous"/>
    </xf>
    <xf numFmtId="0" fontId="6" fillId="0" borderId="0" xfId="0" applyFont="1"/>
    <xf numFmtId="0" fontId="6" fillId="0" borderId="5" xfId="0" applyFont="1" applyBorder="1"/>
    <xf numFmtId="41" fontId="1" fillId="0" borderId="0" xfId="0" applyNumberFormat="1" applyFont="1" applyBorder="1"/>
    <xf numFmtId="41" fontId="1" fillId="0" borderId="1" xfId="0" applyNumberFormat="1" applyFont="1" applyBorder="1"/>
    <xf numFmtId="0" fontId="0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6" fillId="0" borderId="0" xfId="0" applyFont="1" applyBorder="1"/>
    <xf numFmtId="0" fontId="0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0" borderId="2" xfId="0" applyFont="1" applyBorder="1"/>
    <xf numFmtId="9" fontId="8" fillId="0" borderId="0" xfId="1" applyFont="1"/>
    <xf numFmtId="9" fontId="8" fillId="0" borderId="1" xfId="1" applyFont="1" applyBorder="1"/>
    <xf numFmtId="41" fontId="0" fillId="0" borderId="0" xfId="0" applyNumberFormat="1" applyFill="1"/>
    <xf numFmtId="166" fontId="4" fillId="0" borderId="0" xfId="0" applyNumberFormat="1" applyFont="1"/>
    <xf numFmtId="166" fontId="4" fillId="0" borderId="1" xfId="0" applyNumberFormat="1" applyFont="1" applyBorder="1"/>
    <xf numFmtId="166" fontId="1" fillId="0" borderId="0" xfId="0" applyNumberFormat="1" applyFont="1"/>
    <xf numFmtId="41" fontId="0" fillId="0" borderId="2" xfId="0" applyNumberFormat="1" applyBorder="1"/>
    <xf numFmtId="41" fontId="0" fillId="0" borderId="3" xfId="0" applyNumberFormat="1" applyBorder="1"/>
    <xf numFmtId="0" fontId="0" fillId="3" borderId="1" xfId="0" applyFill="1" applyBorder="1"/>
    <xf numFmtId="0" fontId="1" fillId="3" borderId="0" xfId="0" applyFont="1" applyFill="1"/>
    <xf numFmtId="0" fontId="1" fillId="3" borderId="5" xfId="0" applyFont="1" applyFill="1" applyBorder="1"/>
    <xf numFmtId="0" fontId="0" fillId="3" borderId="5" xfId="0" applyFill="1" applyBorder="1"/>
    <xf numFmtId="0" fontId="0" fillId="3" borderId="4" xfId="0" applyFill="1" applyBorder="1"/>
    <xf numFmtId="0" fontId="0" fillId="0" borderId="1" xfId="0" applyFill="1" applyBorder="1"/>
    <xf numFmtId="0" fontId="9" fillId="2" borderId="0" xfId="0" applyFont="1" applyFill="1"/>
    <xf numFmtId="0" fontId="1" fillId="0" borderId="0" xfId="0" applyFont="1" applyAlignment="1">
      <alignment horizontal="left"/>
    </xf>
    <xf numFmtId="42" fontId="5" fillId="0" borderId="0" xfId="0" applyNumberFormat="1" applyFont="1"/>
    <xf numFmtId="42" fontId="5" fillId="0" borderId="1" xfId="0" applyNumberFormat="1" applyFont="1" applyBorder="1"/>
    <xf numFmtId="42" fontId="0" fillId="0" borderId="0" xfId="0" applyNumberFormat="1"/>
    <xf numFmtId="41" fontId="5" fillId="0" borderId="0" xfId="0" applyNumberFormat="1" applyFont="1" applyBorder="1"/>
    <xf numFmtId="42" fontId="1" fillId="0" borderId="0" xfId="0" applyNumberFormat="1" applyFont="1" applyBorder="1"/>
    <xf numFmtId="42" fontId="1" fillId="0" borderId="1" xfId="0" applyNumberFormat="1" applyFont="1" applyBorder="1"/>
    <xf numFmtId="41" fontId="1" fillId="3" borderId="0" xfId="0" applyNumberFormat="1" applyFont="1" applyFill="1"/>
    <xf numFmtId="41" fontId="1" fillId="3" borderId="1" xfId="0" applyNumberFormat="1" applyFont="1" applyFill="1" applyBorder="1"/>
    <xf numFmtId="0" fontId="1" fillId="0" borderId="0" xfId="0" applyFont="1" applyFill="1" applyBorder="1" applyAlignment="1">
      <alignment horizontal="left"/>
    </xf>
    <xf numFmtId="42" fontId="4" fillId="0" borderId="0" xfId="0" applyNumberFormat="1" applyFont="1"/>
    <xf numFmtId="42" fontId="4" fillId="0" borderId="1" xfId="0" applyNumberFormat="1" applyFont="1" applyBorder="1"/>
    <xf numFmtId="165" fontId="0" fillId="0" borderId="0" xfId="0" applyNumberFormat="1"/>
    <xf numFmtId="167" fontId="0" fillId="0" borderId="0" xfId="0" applyNumberFormat="1"/>
    <xf numFmtId="167" fontId="0" fillId="0" borderId="1" xfId="0" applyNumberFormat="1" applyBorder="1"/>
    <xf numFmtId="168" fontId="0" fillId="0" borderId="0" xfId="0" applyNumberFormat="1"/>
    <xf numFmtId="168" fontId="0" fillId="0" borderId="1" xfId="0" applyNumberFormat="1" applyBorder="1"/>
    <xf numFmtId="9" fontId="5" fillId="4" borderId="7" xfId="0" applyNumberFormat="1" applyFont="1" applyFill="1" applyBorder="1"/>
    <xf numFmtId="169" fontId="5" fillId="4" borderId="7" xfId="2" applyNumberFormat="1" applyFont="1" applyFill="1" applyBorder="1"/>
    <xf numFmtId="0" fontId="5" fillId="4" borderId="7" xfId="0" applyFont="1" applyFill="1" applyBorder="1"/>
    <xf numFmtId="9" fontId="5" fillId="0" borderId="0" xfId="0" applyNumberFormat="1" applyFont="1" applyFill="1" applyBorder="1"/>
    <xf numFmtId="0" fontId="1" fillId="0" borderId="5" xfId="0" applyFont="1" applyBorder="1"/>
    <xf numFmtId="0" fontId="0" fillId="0" borderId="5" xfId="0" applyBorder="1"/>
    <xf numFmtId="0" fontId="0" fillId="0" borderId="4" xfId="0" applyBorder="1"/>
    <xf numFmtId="0" fontId="7" fillId="0" borderId="0" xfId="0" applyFont="1"/>
    <xf numFmtId="0" fontId="7" fillId="0" borderId="2" xfId="0" applyFont="1" applyBorder="1"/>
    <xf numFmtId="0" fontId="0" fillId="0" borderId="0" xfId="0" applyFont="1" applyFill="1" applyBorder="1" applyAlignment="1">
      <alignment horizontal="left" indent="1"/>
    </xf>
    <xf numFmtId="170" fontId="5" fillId="4" borderId="7" xfId="1" applyNumberFormat="1" applyFont="1" applyFill="1" applyBorder="1"/>
    <xf numFmtId="0" fontId="1" fillId="0" borderId="2" xfId="0" applyFont="1" applyBorder="1" applyAlignment="1">
      <alignment horizontal="left"/>
    </xf>
    <xf numFmtId="9" fontId="5" fillId="0" borderId="0" xfId="1" applyFont="1"/>
    <xf numFmtId="0" fontId="12" fillId="0" borderId="0" xfId="0" applyFont="1"/>
    <xf numFmtId="0" fontId="0" fillId="0" borderId="1" xfId="0" applyFont="1" applyBorder="1"/>
    <xf numFmtId="0" fontId="0" fillId="0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5" xfId="0" applyFont="1" applyBorder="1"/>
    <xf numFmtId="0" fontId="0" fillId="0" borderId="4" xfId="0" applyFont="1" applyBorder="1"/>
    <xf numFmtId="0" fontId="1" fillId="0" borderId="4" xfId="0" applyFont="1" applyBorder="1"/>
    <xf numFmtId="0" fontId="0" fillId="0" borderId="2" xfId="0" applyFont="1" applyBorder="1"/>
    <xf numFmtId="0" fontId="0" fillId="0" borderId="3" xfId="0" applyFont="1" applyBorder="1"/>
    <xf numFmtId="41" fontId="0" fillId="0" borderId="0" xfId="0" applyNumberFormat="1" applyFont="1" applyBorder="1"/>
    <xf numFmtId="41" fontId="0" fillId="0" borderId="1" xfId="0" applyNumberFormat="1" applyFont="1" applyBorder="1"/>
    <xf numFmtId="0" fontId="0" fillId="0" borderId="5" xfId="0" applyBorder="1" applyAlignment="1">
      <alignment horizontal="left" indent="1"/>
    </xf>
    <xf numFmtId="0" fontId="0" fillId="0" borderId="7" xfId="0" applyBorder="1"/>
    <xf numFmtId="9" fontId="1" fillId="0" borderId="2" xfId="1" applyFont="1" applyBorder="1"/>
    <xf numFmtId="9" fontId="1" fillId="0" borderId="3" xfId="1" applyFont="1" applyBorder="1"/>
    <xf numFmtId="41" fontId="1" fillId="0" borderId="2" xfId="1" applyNumberFormat="1" applyFont="1" applyBorder="1"/>
    <xf numFmtId="41" fontId="0" fillId="0" borderId="5" xfId="0" applyNumberFormat="1" applyFont="1" applyBorder="1"/>
    <xf numFmtId="41" fontId="0" fillId="0" borderId="2" xfId="0" applyNumberFormat="1" applyFont="1" applyBorder="1"/>
    <xf numFmtId="170" fontId="5" fillId="0" borderId="7" xfId="0" applyNumberFormat="1" applyFont="1" applyBorder="1"/>
    <xf numFmtId="171" fontId="5" fillId="0" borderId="7" xfId="0" applyNumberFormat="1" applyFont="1" applyBorder="1"/>
    <xf numFmtId="172" fontId="0" fillId="0" borderId="0" xfId="0" applyNumberForma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77AD6-E3C0-4FC7-BF1D-3160C9336CCD}">
  <dimension ref="B1:O244"/>
  <sheetViews>
    <sheetView showGridLines="0" tabSelected="1" zoomScale="70" zoomScaleNormal="70" workbookViewId="0">
      <selection activeCell="K26" sqref="K26"/>
    </sheetView>
  </sheetViews>
  <sheetFormatPr defaultRowHeight="15" x14ac:dyDescent="0.25"/>
  <cols>
    <col min="1" max="1" width="2.5703125" customWidth="1"/>
    <col min="2" max="2" width="68.85546875" bestFit="1" customWidth="1"/>
    <col min="3" max="3" width="22.85546875" bestFit="1" customWidth="1"/>
    <col min="4" max="4" width="15.5703125" customWidth="1"/>
    <col min="6" max="7" width="11.85546875" bestFit="1" customWidth="1"/>
    <col min="8" max="8" width="11.85546875" style="1" bestFit="1" customWidth="1"/>
    <col min="9" max="13" width="15.5703125" customWidth="1"/>
  </cols>
  <sheetData>
    <row r="1" spans="2:15" x14ac:dyDescent="0.25">
      <c r="B1" s="2"/>
      <c r="C1" s="2"/>
      <c r="D1" s="2"/>
    </row>
    <row r="2" spans="2:15" x14ac:dyDescent="0.25">
      <c r="B2" t="s">
        <v>52</v>
      </c>
    </row>
    <row r="4" spans="2:15" x14ac:dyDescent="0.25">
      <c r="B4" t="s">
        <v>165</v>
      </c>
      <c r="C4" s="110">
        <v>0</v>
      </c>
    </row>
    <row r="5" spans="2:15" x14ac:dyDescent="0.25">
      <c r="B5" t="s">
        <v>166</v>
      </c>
      <c r="C5" s="118">
        <v>1</v>
      </c>
    </row>
    <row r="7" spans="2:15" x14ac:dyDescent="0.25">
      <c r="B7" s="36"/>
      <c r="C7" s="36"/>
      <c r="D7" s="36"/>
      <c r="E7" s="36"/>
      <c r="F7" s="39" t="s">
        <v>1</v>
      </c>
      <c r="G7" s="39"/>
      <c r="H7" s="40"/>
      <c r="I7" s="41" t="s">
        <v>2</v>
      </c>
      <c r="J7" s="42"/>
      <c r="K7" s="42"/>
      <c r="L7" s="42"/>
      <c r="M7" s="42"/>
      <c r="O7" s="87" t="s">
        <v>114</v>
      </c>
    </row>
    <row r="8" spans="2:15" x14ac:dyDescent="0.25">
      <c r="B8" s="36" t="s">
        <v>35</v>
      </c>
      <c r="C8" s="36"/>
      <c r="D8" s="36"/>
      <c r="E8" s="36" t="s">
        <v>62</v>
      </c>
      <c r="F8" s="37">
        <v>44196</v>
      </c>
      <c r="G8" s="37">
        <f>+EOMONTH(F8,12)</f>
        <v>44561</v>
      </c>
      <c r="H8" s="38">
        <f t="shared" ref="H8" si="0">+EOMONTH(G8,12)</f>
        <v>44926</v>
      </c>
      <c r="I8" s="37">
        <f t="shared" ref="I8" si="1">+EOMONTH(H8,12)</f>
        <v>45291</v>
      </c>
      <c r="J8" s="37">
        <f t="shared" ref="J8" si="2">+EOMONTH(I8,12)</f>
        <v>45657</v>
      </c>
      <c r="K8" s="37">
        <f t="shared" ref="K8" si="3">+EOMONTH(J8,12)</f>
        <v>46022</v>
      </c>
      <c r="L8" s="37">
        <f t="shared" ref="L8" si="4">+EOMONTH(K8,12)</f>
        <v>46387</v>
      </c>
      <c r="M8" s="37">
        <f t="shared" ref="M8" si="5">+EOMONTH(L8,12)</f>
        <v>46752</v>
      </c>
    </row>
    <row r="9" spans="2:15" x14ac:dyDescent="0.25">
      <c r="B9" t="s">
        <v>36</v>
      </c>
      <c r="E9" t="s">
        <v>64</v>
      </c>
      <c r="G9" s="17">
        <f>+G129/F129-1</f>
        <v>0.1292235801581596</v>
      </c>
      <c r="H9" s="18">
        <f>+H129/G129-1</f>
        <v>3.5890498169664165E-2</v>
      </c>
      <c r="I9" s="19">
        <f>+H9+$O$9</f>
        <v>3.5890498169664165E-2</v>
      </c>
      <c r="J9" s="19">
        <f t="shared" ref="J9:M9" si="6">+I9+$O$9</f>
        <v>3.5890498169664165E-2</v>
      </c>
      <c r="K9" s="19">
        <f t="shared" si="6"/>
        <v>3.5890498169664165E-2</v>
      </c>
      <c r="L9" s="19">
        <f t="shared" si="6"/>
        <v>3.5890498169664165E-2</v>
      </c>
      <c r="M9" s="19">
        <f t="shared" si="6"/>
        <v>3.5890498169664165E-2</v>
      </c>
      <c r="O9" s="85">
        <v>0</v>
      </c>
    </row>
    <row r="10" spans="2:15" x14ac:dyDescent="0.25">
      <c r="B10" t="s">
        <v>37</v>
      </c>
      <c r="E10" t="s">
        <v>64</v>
      </c>
      <c r="F10" s="17">
        <f>-F132/F129</f>
        <v>0.63470524802300499</v>
      </c>
      <c r="G10" s="17">
        <f t="shared" ref="G10:H10" si="7">-G132/G129</f>
        <v>0.63433073372592708</v>
      </c>
      <c r="H10" s="18">
        <f t="shared" si="7"/>
        <v>0.64546362449105021</v>
      </c>
      <c r="I10" s="19">
        <f>+H10+$O$10</f>
        <v>0.64546362449105021</v>
      </c>
      <c r="J10" s="19">
        <f t="shared" ref="J10:M10" si="8">+I10+$O$10</f>
        <v>0.64546362449105021</v>
      </c>
      <c r="K10" s="19">
        <f t="shared" si="8"/>
        <v>0.64546362449105021</v>
      </c>
      <c r="L10" s="19">
        <f t="shared" si="8"/>
        <v>0.64546362449105021</v>
      </c>
      <c r="M10" s="19">
        <f t="shared" si="8"/>
        <v>0.64546362449105021</v>
      </c>
      <c r="O10" s="85">
        <v>0</v>
      </c>
    </row>
    <row r="11" spans="2:15" x14ac:dyDescent="0.25">
      <c r="B11" t="s">
        <v>39</v>
      </c>
      <c r="E11" t="s">
        <v>64</v>
      </c>
      <c r="F11" s="17">
        <f>-F137/F129</f>
        <v>5.0772825305535584E-2</v>
      </c>
      <c r="G11" s="17">
        <f t="shared" ref="G11:H11" si="9">-G137/G129</f>
        <v>4.4325958936813625E-2</v>
      </c>
      <c r="H11" s="18">
        <f t="shared" si="9"/>
        <v>4.1176922485979872E-2</v>
      </c>
      <c r="I11" s="19">
        <f>+H11+$O$11</f>
        <v>4.1176922485979872E-2</v>
      </c>
      <c r="J11" s="19">
        <f t="shared" ref="J11:M11" si="10">+I11+$O$11</f>
        <v>4.1176922485979872E-2</v>
      </c>
      <c r="K11" s="19">
        <f t="shared" si="10"/>
        <v>4.1176922485979872E-2</v>
      </c>
      <c r="L11" s="19">
        <f t="shared" si="10"/>
        <v>4.1176922485979872E-2</v>
      </c>
      <c r="M11" s="19">
        <f t="shared" si="10"/>
        <v>4.1176922485979872E-2</v>
      </c>
      <c r="O11" s="85">
        <v>0</v>
      </c>
    </row>
    <row r="12" spans="2:15" x14ac:dyDescent="0.25">
      <c r="B12" t="s">
        <v>38</v>
      </c>
      <c r="E12" t="s">
        <v>64</v>
      </c>
      <c r="F12" s="17">
        <f>-F138/F129</f>
        <v>-9.5255212077641982E-2</v>
      </c>
      <c r="G12" s="17">
        <f t="shared" ref="G12:H12" si="11">-G138/G129</f>
        <v>4.5837975489415886E-2</v>
      </c>
      <c r="H12" s="18">
        <f t="shared" si="11"/>
        <v>6.5606514557885839E-2</v>
      </c>
      <c r="I12" s="19">
        <f>+H12+$O$12</f>
        <v>6.5606514557885839E-2</v>
      </c>
      <c r="J12" s="19">
        <f t="shared" ref="J12:M12" si="12">+I12+$O$12</f>
        <v>6.5606514557885839E-2</v>
      </c>
      <c r="K12" s="19">
        <f t="shared" si="12"/>
        <v>6.5606514557885839E-2</v>
      </c>
      <c r="L12" s="19">
        <f t="shared" si="12"/>
        <v>6.5606514557885839E-2</v>
      </c>
      <c r="M12" s="19">
        <f t="shared" si="12"/>
        <v>6.5606514557885839E-2</v>
      </c>
      <c r="O12" s="85">
        <v>0</v>
      </c>
    </row>
    <row r="13" spans="2:15" x14ac:dyDescent="0.25">
      <c r="B13" t="s">
        <v>40</v>
      </c>
      <c r="E13" t="s">
        <v>64</v>
      </c>
      <c r="F13" s="17">
        <f>-F150/F149</f>
        <v>-7.1499832024695772E-2</v>
      </c>
      <c r="G13" s="17">
        <f t="shared" ref="G13:H13" si="13">-G150/G149</f>
        <v>0.1501282019020895</v>
      </c>
      <c r="H13" s="18">
        <f t="shared" si="13"/>
        <v>0.26299218975292671</v>
      </c>
      <c r="I13" s="19">
        <f>+H13+$O$13</f>
        <v>0.26299218975292671</v>
      </c>
      <c r="J13" s="19">
        <f t="shared" ref="J13:M13" si="14">+I13+$O$13</f>
        <v>0.26299218975292671</v>
      </c>
      <c r="K13" s="19">
        <f t="shared" si="14"/>
        <v>0.26299218975292671</v>
      </c>
      <c r="L13" s="19">
        <f t="shared" si="14"/>
        <v>0.26299218975292671</v>
      </c>
      <c r="M13" s="19">
        <f t="shared" si="14"/>
        <v>0.26299218975292671</v>
      </c>
      <c r="O13" s="85">
        <v>0</v>
      </c>
    </row>
    <row r="15" spans="2:15" x14ac:dyDescent="0.25">
      <c r="B15" s="36"/>
      <c r="C15" s="36"/>
      <c r="D15" s="36"/>
      <c r="E15" s="36"/>
      <c r="F15" s="39" t="s">
        <v>1</v>
      </c>
      <c r="G15" s="39"/>
      <c r="H15" s="40"/>
      <c r="I15" s="41" t="s">
        <v>2</v>
      </c>
      <c r="J15" s="42"/>
      <c r="K15" s="42"/>
      <c r="L15" s="42"/>
      <c r="M15" s="42"/>
    </row>
    <row r="16" spans="2:15" x14ac:dyDescent="0.25">
      <c r="B16" s="36" t="s">
        <v>41</v>
      </c>
      <c r="C16" s="36"/>
      <c r="D16" s="36"/>
      <c r="E16" s="36" t="s">
        <v>62</v>
      </c>
      <c r="F16" s="37">
        <v>44196</v>
      </c>
      <c r="G16" s="37">
        <f>+EOMONTH(F16,12)</f>
        <v>44561</v>
      </c>
      <c r="H16" s="38">
        <f t="shared" ref="H16" si="15">+EOMONTH(G16,12)</f>
        <v>44926</v>
      </c>
      <c r="I16" s="37">
        <f t="shared" ref="I16" si="16">+EOMONTH(H16,12)</f>
        <v>45291</v>
      </c>
      <c r="J16" s="37">
        <f t="shared" ref="J16" si="17">+EOMONTH(I16,12)</f>
        <v>45657</v>
      </c>
      <c r="K16" s="37">
        <f t="shared" ref="K16" si="18">+EOMONTH(J16,12)</f>
        <v>46022</v>
      </c>
      <c r="L16" s="37">
        <f t="shared" ref="L16" si="19">+EOMONTH(K16,12)</f>
        <v>46387</v>
      </c>
      <c r="M16" s="37">
        <f t="shared" ref="M16" si="20">+EOMONTH(L16,12)</f>
        <v>46752</v>
      </c>
    </row>
    <row r="17" spans="2:15" x14ac:dyDescent="0.25">
      <c r="B17" t="s">
        <v>42</v>
      </c>
      <c r="E17" t="s">
        <v>64</v>
      </c>
      <c r="G17" s="81">
        <f>+G163/G129*365</f>
        <v>62.711682317364314</v>
      </c>
      <c r="H17" s="82">
        <f>+H163/H129*365</f>
        <v>70.605362218637168</v>
      </c>
      <c r="I17" s="81">
        <f>+H17+$O$17</f>
        <v>70.605362218637168</v>
      </c>
      <c r="J17" s="81">
        <f t="shared" ref="J17:M17" si="21">+I17+$O$17</f>
        <v>70.605362218637168</v>
      </c>
      <c r="K17" s="81">
        <f t="shared" si="21"/>
        <v>70.605362218637168</v>
      </c>
      <c r="L17" s="81">
        <f t="shared" si="21"/>
        <v>70.605362218637168</v>
      </c>
      <c r="M17" s="81">
        <f t="shared" si="21"/>
        <v>70.605362218637168</v>
      </c>
      <c r="O17" s="86">
        <v>0</v>
      </c>
    </row>
    <row r="18" spans="2:15" x14ac:dyDescent="0.25">
      <c r="B18" t="s">
        <v>43</v>
      </c>
      <c r="E18" s="43" t="s">
        <v>113</v>
      </c>
      <c r="G18" s="83">
        <f>-G132/G164</f>
        <v>3.8211888782358581</v>
      </c>
      <c r="H18" s="84">
        <f>-H132/H164</f>
        <v>3.6075568913696867</v>
      </c>
      <c r="I18" s="83">
        <f>+H18+O18</f>
        <v>3.6075568913696867</v>
      </c>
      <c r="J18" s="83">
        <f t="shared" ref="J18:M18" si="22">+I18+P18</f>
        <v>3.6075568913696867</v>
      </c>
      <c r="K18" s="83">
        <f t="shared" si="22"/>
        <v>3.6075568913696867</v>
      </c>
      <c r="L18" s="83">
        <f t="shared" si="22"/>
        <v>3.6075568913696867</v>
      </c>
      <c r="M18" s="83">
        <f t="shared" si="22"/>
        <v>3.6075568913696867</v>
      </c>
      <c r="O18" s="86">
        <v>0</v>
      </c>
    </row>
    <row r="19" spans="2:15" x14ac:dyDescent="0.25">
      <c r="B19" t="s">
        <v>45</v>
      </c>
      <c r="E19" t="s">
        <v>64</v>
      </c>
      <c r="G19" s="17">
        <f>+G165/G129</f>
        <v>1.4085627884768423E-2</v>
      </c>
      <c r="H19" s="18">
        <f t="shared" ref="H19" si="23">+H165/H129</f>
        <v>1.290619958515787E-2</v>
      </c>
      <c r="I19" s="17">
        <f>+H19+$O19</f>
        <v>1.290619958515787E-2</v>
      </c>
      <c r="J19" s="17">
        <f t="shared" ref="J19:M19" si="24">+I19+$O19</f>
        <v>1.290619958515787E-2</v>
      </c>
      <c r="K19" s="17">
        <f t="shared" si="24"/>
        <v>1.290619958515787E-2</v>
      </c>
      <c r="L19" s="17">
        <f t="shared" si="24"/>
        <v>1.290619958515787E-2</v>
      </c>
      <c r="M19" s="17">
        <f t="shared" si="24"/>
        <v>1.290619958515787E-2</v>
      </c>
      <c r="O19" s="85">
        <v>0</v>
      </c>
    </row>
    <row r="20" spans="2:15" x14ac:dyDescent="0.25">
      <c r="B20" t="s">
        <v>44</v>
      </c>
      <c r="E20" t="s">
        <v>64</v>
      </c>
      <c r="G20" s="17">
        <f>+G166/G129</f>
        <v>0.62939678497533025</v>
      </c>
      <c r="H20" s="18">
        <f t="shared" ref="H20" si="25">+H166/H129</f>
        <v>9.917799800261197E-2</v>
      </c>
      <c r="I20" s="17">
        <f t="shared" ref="I20:M24" si="26">+H20+$O20</f>
        <v>9.917799800261197E-2</v>
      </c>
      <c r="J20" s="17">
        <f t="shared" si="26"/>
        <v>9.917799800261197E-2</v>
      </c>
      <c r="K20" s="17">
        <f t="shared" si="26"/>
        <v>9.917799800261197E-2</v>
      </c>
      <c r="L20" s="17">
        <f t="shared" si="26"/>
        <v>9.917799800261197E-2</v>
      </c>
      <c r="M20" s="17">
        <f t="shared" si="26"/>
        <v>9.917799800261197E-2</v>
      </c>
      <c r="O20" s="85">
        <v>0</v>
      </c>
    </row>
    <row r="21" spans="2:15" x14ac:dyDescent="0.25">
      <c r="B21" t="s">
        <v>46</v>
      </c>
      <c r="E21" t="s">
        <v>64</v>
      </c>
      <c r="G21" s="17">
        <f>+G173/-G150</f>
        <v>0.48945147679324896</v>
      </c>
      <c r="H21" s="18">
        <f>+H173/-H150</f>
        <v>0.28165374677002586</v>
      </c>
      <c r="I21" s="17">
        <f t="shared" si="26"/>
        <v>0.28165374677002586</v>
      </c>
      <c r="J21" s="17">
        <f t="shared" si="26"/>
        <v>0.28165374677002586</v>
      </c>
      <c r="K21" s="17">
        <f t="shared" si="26"/>
        <v>0.28165374677002586</v>
      </c>
      <c r="L21" s="17">
        <f t="shared" si="26"/>
        <v>0.28165374677002586</v>
      </c>
      <c r="M21" s="17">
        <f t="shared" si="26"/>
        <v>0.28165374677002586</v>
      </c>
      <c r="O21" s="85">
        <v>0</v>
      </c>
    </row>
    <row r="22" spans="2:15" x14ac:dyDescent="0.25">
      <c r="B22" t="s">
        <v>47</v>
      </c>
      <c r="E22" t="s">
        <v>64</v>
      </c>
      <c r="G22" s="17">
        <f>+G174/G129</f>
        <v>0.18136240649371319</v>
      </c>
      <c r="H22" s="18">
        <f>+H174/H129</f>
        <v>0.15241607129138818</v>
      </c>
      <c r="I22" s="17">
        <f t="shared" si="26"/>
        <v>0.15241607129138818</v>
      </c>
      <c r="J22" s="17">
        <f t="shared" si="26"/>
        <v>0.15241607129138818</v>
      </c>
      <c r="K22" s="17">
        <f t="shared" si="26"/>
        <v>0.15241607129138818</v>
      </c>
      <c r="L22" s="17">
        <f t="shared" si="26"/>
        <v>0.15241607129138818</v>
      </c>
      <c r="M22" s="17">
        <f t="shared" si="26"/>
        <v>0.15241607129138818</v>
      </c>
      <c r="O22" s="85">
        <v>0</v>
      </c>
    </row>
    <row r="23" spans="2:15" x14ac:dyDescent="0.25">
      <c r="O23" s="88"/>
    </row>
    <row r="24" spans="2:15" x14ac:dyDescent="0.25">
      <c r="B24" t="s">
        <v>48</v>
      </c>
      <c r="E24" t="s">
        <v>64</v>
      </c>
      <c r="G24" s="17">
        <f>+G181/-G132</f>
        <v>0.26370593401078912</v>
      </c>
      <c r="H24" s="18">
        <f>+H181/-H132</f>
        <v>0.25029754820280886</v>
      </c>
      <c r="I24" s="19">
        <f t="shared" si="26"/>
        <v>0.25029754820280886</v>
      </c>
      <c r="J24" s="19">
        <f t="shared" ref="J24:M24" si="27">+I24+$O24</f>
        <v>0.25029754820280886</v>
      </c>
      <c r="K24" s="19">
        <f t="shared" si="27"/>
        <v>0.25029754820280886</v>
      </c>
      <c r="L24" s="19">
        <f t="shared" si="27"/>
        <v>0.25029754820280886</v>
      </c>
      <c r="M24" s="19">
        <f t="shared" si="27"/>
        <v>0.25029754820280886</v>
      </c>
      <c r="O24" s="85">
        <v>0</v>
      </c>
    </row>
    <row r="25" spans="2:15" x14ac:dyDescent="0.25">
      <c r="B25" t="s">
        <v>49</v>
      </c>
      <c r="E25" t="s">
        <v>64</v>
      </c>
      <c r="G25" s="17">
        <f>+G182/-G150</f>
        <v>0.84810126582278478</v>
      </c>
      <c r="H25" s="18">
        <f>+H182/-H150</f>
        <v>0.6020671834625323</v>
      </c>
      <c r="I25" s="19">
        <f t="shared" ref="I25:M25" si="28">+H25+$O25</f>
        <v>0.6020671834625323</v>
      </c>
      <c r="J25" s="19">
        <f t="shared" si="28"/>
        <v>0.6020671834625323</v>
      </c>
      <c r="K25" s="19">
        <f t="shared" si="28"/>
        <v>0.6020671834625323</v>
      </c>
      <c r="L25" s="19">
        <f t="shared" si="28"/>
        <v>0.6020671834625323</v>
      </c>
      <c r="M25" s="19">
        <f t="shared" si="28"/>
        <v>0.6020671834625323</v>
      </c>
      <c r="O25" s="85">
        <v>0</v>
      </c>
    </row>
    <row r="26" spans="2:15" x14ac:dyDescent="0.25">
      <c r="B26" t="s">
        <v>50</v>
      </c>
      <c r="E26" t="s">
        <v>64</v>
      </c>
      <c r="G26" s="17">
        <f>+G184/G129</f>
        <v>8.2763011300334241E-2</v>
      </c>
      <c r="H26" s="18">
        <f>+H184/H129</f>
        <v>7.3058308365982941E-2</v>
      </c>
      <c r="I26" s="19">
        <f t="shared" ref="I26:M26" si="29">+H26+$O26</f>
        <v>7.3058308365982941E-2</v>
      </c>
      <c r="J26" s="19">
        <f t="shared" si="29"/>
        <v>7.3058308365982941E-2</v>
      </c>
      <c r="K26" s="19">
        <f t="shared" si="29"/>
        <v>7.3058308365982941E-2</v>
      </c>
      <c r="L26" s="19">
        <f t="shared" si="29"/>
        <v>7.3058308365982941E-2</v>
      </c>
      <c r="M26" s="19">
        <f t="shared" si="29"/>
        <v>7.3058308365982941E-2</v>
      </c>
      <c r="O26" s="85">
        <v>0</v>
      </c>
    </row>
    <row r="27" spans="2:15" x14ac:dyDescent="0.25">
      <c r="B27" t="s">
        <v>51</v>
      </c>
      <c r="E27" t="s">
        <v>64</v>
      </c>
      <c r="G27" s="17">
        <f>+G185/G129</f>
        <v>0.11443577908642369</v>
      </c>
      <c r="H27" s="18">
        <f>+H185/H129</f>
        <v>1.1216102020434816E-2</v>
      </c>
      <c r="I27" s="19">
        <f t="shared" ref="I27:M27" si="30">+H27+$O27</f>
        <v>1.1216102020434816E-2</v>
      </c>
      <c r="J27" s="19">
        <f t="shared" si="30"/>
        <v>1.1216102020434816E-2</v>
      </c>
      <c r="K27" s="19">
        <f t="shared" si="30"/>
        <v>1.1216102020434816E-2</v>
      </c>
      <c r="L27" s="19">
        <f t="shared" si="30"/>
        <v>1.1216102020434816E-2</v>
      </c>
      <c r="M27" s="19">
        <f t="shared" si="30"/>
        <v>1.1216102020434816E-2</v>
      </c>
      <c r="O27" s="85">
        <v>0</v>
      </c>
    </row>
    <row r="28" spans="2:15" x14ac:dyDescent="0.25">
      <c r="B28" t="s">
        <v>131</v>
      </c>
      <c r="E28" t="s">
        <v>64</v>
      </c>
      <c r="G28" s="17">
        <f>+G188/G129</f>
        <v>0.13011300334235237</v>
      </c>
      <c r="H28" s="18">
        <f>+H188/H129</f>
        <v>0.12852423753553047</v>
      </c>
      <c r="I28" s="19">
        <f t="shared" ref="I28:M28" si="31">+H28+$O28</f>
        <v>0.12852423753553047</v>
      </c>
      <c r="J28" s="19">
        <f t="shared" si="31"/>
        <v>0.12852423753553047</v>
      </c>
      <c r="K28" s="19">
        <f t="shared" si="31"/>
        <v>0.12852423753553047</v>
      </c>
      <c r="L28" s="19">
        <f t="shared" si="31"/>
        <v>0.12852423753553047</v>
      </c>
      <c r="M28" s="19">
        <f t="shared" si="31"/>
        <v>0.12852423753553047</v>
      </c>
      <c r="O28" s="85">
        <v>0</v>
      </c>
    </row>
    <row r="29" spans="2:15" x14ac:dyDescent="0.25">
      <c r="B29" t="s">
        <v>132</v>
      </c>
      <c r="G29" s="17">
        <f>+G189/-G150</f>
        <v>6.1561181434599153</v>
      </c>
      <c r="H29" s="18">
        <f>+H189/-H150</f>
        <v>2.9922480620155039</v>
      </c>
      <c r="I29" s="19">
        <f t="shared" ref="I29:M29" si="32">+H29+$O29</f>
        <v>2.9922480620155039</v>
      </c>
      <c r="J29" s="19">
        <f t="shared" si="32"/>
        <v>2.9922480620155039</v>
      </c>
      <c r="K29" s="19">
        <f t="shared" si="32"/>
        <v>2.9922480620155039</v>
      </c>
      <c r="L29" s="19">
        <f t="shared" si="32"/>
        <v>2.9922480620155039</v>
      </c>
      <c r="M29" s="19">
        <f t="shared" si="32"/>
        <v>2.9922480620155039</v>
      </c>
      <c r="O29" s="85">
        <v>0</v>
      </c>
    </row>
    <row r="30" spans="2:15" x14ac:dyDescent="0.25">
      <c r="G30" s="17"/>
      <c r="H30" s="18"/>
      <c r="I30" s="19"/>
      <c r="J30" s="19"/>
      <c r="K30" s="19"/>
      <c r="L30" s="19"/>
      <c r="M30" s="19"/>
      <c r="O30" s="88"/>
    </row>
    <row r="32" spans="2:15" x14ac:dyDescent="0.25">
      <c r="B32" s="89" t="s">
        <v>115</v>
      </c>
      <c r="C32" s="89"/>
      <c r="D32" s="89"/>
      <c r="E32" s="90"/>
      <c r="F32" s="90"/>
      <c r="G32" s="90"/>
      <c r="H32" s="91"/>
      <c r="I32" s="90"/>
      <c r="J32" s="90"/>
      <c r="K32" s="90"/>
      <c r="L32" s="90"/>
      <c r="M32" s="90"/>
    </row>
    <row r="33" spans="2:15" x14ac:dyDescent="0.25">
      <c r="B33" s="2" t="s">
        <v>120</v>
      </c>
      <c r="C33" s="2"/>
      <c r="D33" s="2"/>
      <c r="E33" s="92" t="s">
        <v>63</v>
      </c>
      <c r="F33" s="25"/>
      <c r="G33" s="25"/>
      <c r="H33" s="46"/>
      <c r="I33" s="25">
        <f>+H170</f>
        <v>5731</v>
      </c>
      <c r="J33" s="25">
        <f>+I47</f>
        <v>5169.8</v>
      </c>
      <c r="K33" s="25">
        <f t="shared" ref="K33:M33" si="33">+J47</f>
        <v>5484.7209381791026</v>
      </c>
      <c r="L33" s="25">
        <f t="shared" si="33"/>
        <v>5838.8983572847828</v>
      </c>
      <c r="M33" s="25">
        <f t="shared" si="33"/>
        <v>6228.5989808486247</v>
      </c>
    </row>
    <row r="34" spans="2:15" x14ac:dyDescent="0.25">
      <c r="B34" s="35" t="s">
        <v>116</v>
      </c>
      <c r="C34" s="35"/>
      <c r="D34" s="35"/>
      <c r="E34" s="43" t="s">
        <v>63</v>
      </c>
      <c r="F34" s="28"/>
      <c r="G34" s="28">
        <f>-G221</f>
        <v>891</v>
      </c>
      <c r="H34" s="16">
        <f>-H221</f>
        <v>743</v>
      </c>
      <c r="I34" s="26">
        <v>650</v>
      </c>
      <c r="J34" s="28">
        <f>+J48*J129</f>
        <v>1536.4954868656696</v>
      </c>
      <c r="K34" s="28">
        <f>+K48*K129</f>
        <v>1591.6410753247192</v>
      </c>
      <c r="L34" s="28">
        <f>+L48*L129</f>
        <v>1648.7658664254234</v>
      </c>
      <c r="M34" s="28">
        <f>+M48*M129</f>
        <v>1707.9408947365698</v>
      </c>
    </row>
    <row r="35" spans="2:15" x14ac:dyDescent="0.25">
      <c r="B35" s="35"/>
      <c r="C35" s="35"/>
      <c r="D35" s="35"/>
      <c r="E35" s="43"/>
      <c r="F35" s="28"/>
      <c r="G35" s="28"/>
      <c r="H35" s="16"/>
      <c r="I35" s="28"/>
      <c r="J35" s="28"/>
      <c r="K35" s="28"/>
      <c r="L35" s="28"/>
      <c r="M35" s="28"/>
    </row>
    <row r="36" spans="2:15" x14ac:dyDescent="0.25">
      <c r="B36" s="35" t="s">
        <v>121</v>
      </c>
      <c r="C36" s="35"/>
      <c r="D36" s="35"/>
      <c r="E36" s="43" t="s">
        <v>64</v>
      </c>
      <c r="F36" s="28"/>
      <c r="G36" s="28"/>
      <c r="H36" s="16"/>
      <c r="I36" s="95">
        <v>0.2</v>
      </c>
      <c r="J36" s="95">
        <v>0.17499999999999999</v>
      </c>
      <c r="K36" s="95">
        <v>0.15</v>
      </c>
      <c r="L36" s="95">
        <v>0.125</v>
      </c>
      <c r="M36" s="95">
        <v>0.1</v>
      </c>
    </row>
    <row r="37" spans="2:15" x14ac:dyDescent="0.25">
      <c r="B37" s="35" t="s">
        <v>122</v>
      </c>
      <c r="C37" s="35"/>
      <c r="D37" s="35"/>
      <c r="E37" s="43" t="s">
        <v>64</v>
      </c>
      <c r="F37" s="28"/>
      <c r="G37" s="28"/>
      <c r="H37" s="16"/>
      <c r="I37" s="95">
        <v>0.1</v>
      </c>
      <c r="J37" s="95">
        <v>0.1</v>
      </c>
      <c r="K37" s="95">
        <v>0.1</v>
      </c>
      <c r="L37" s="95">
        <v>0.1</v>
      </c>
      <c r="M37" s="95">
        <v>0.1</v>
      </c>
    </row>
    <row r="38" spans="2:15" x14ac:dyDescent="0.25">
      <c r="B38" s="35"/>
      <c r="C38" s="35"/>
      <c r="D38" s="35"/>
      <c r="E38" s="43"/>
      <c r="F38" s="28"/>
      <c r="G38" s="28"/>
      <c r="H38" s="16"/>
      <c r="I38" s="28"/>
      <c r="J38" s="28"/>
      <c r="K38" s="28"/>
      <c r="L38" s="28"/>
      <c r="M38" s="28"/>
    </row>
    <row r="39" spans="2:15" x14ac:dyDescent="0.25">
      <c r="B39" s="35" t="s">
        <v>123</v>
      </c>
      <c r="C39" s="35"/>
      <c r="D39" s="35"/>
      <c r="E39" s="43" t="s">
        <v>63</v>
      </c>
      <c r="F39" s="28"/>
      <c r="G39" s="28"/>
      <c r="H39" s="16"/>
      <c r="I39" s="28">
        <f>+$H$170*I36</f>
        <v>1146.2</v>
      </c>
      <c r="J39" s="28">
        <f>+$H$170*J36</f>
        <v>1002.925</v>
      </c>
      <c r="K39" s="28">
        <f>+$H$170*K36</f>
        <v>859.65</v>
      </c>
      <c r="L39" s="28">
        <f>+$H$170*L36</f>
        <v>716.375</v>
      </c>
      <c r="M39" s="28">
        <f>+$H$170*M36</f>
        <v>573.1</v>
      </c>
    </row>
    <row r="40" spans="2:15" x14ac:dyDescent="0.25">
      <c r="B40" s="35" t="s">
        <v>124</v>
      </c>
      <c r="C40" s="35"/>
      <c r="D40" s="35"/>
      <c r="E40" s="43" t="s">
        <v>63</v>
      </c>
      <c r="F40" s="28"/>
      <c r="G40" s="28"/>
      <c r="H40" s="16"/>
      <c r="I40" s="28">
        <f>+I$34*I$37</f>
        <v>65</v>
      </c>
      <c r="J40" s="28">
        <f t="shared" ref="J40:M40" si="34">+$I34*J37</f>
        <v>65</v>
      </c>
      <c r="K40" s="28">
        <f t="shared" si="34"/>
        <v>65</v>
      </c>
      <c r="L40" s="28">
        <f t="shared" si="34"/>
        <v>65</v>
      </c>
      <c r="M40" s="28">
        <f t="shared" si="34"/>
        <v>65</v>
      </c>
    </row>
    <row r="41" spans="2:15" x14ac:dyDescent="0.25">
      <c r="B41" s="35" t="s">
        <v>125</v>
      </c>
      <c r="C41" s="35"/>
      <c r="D41" s="35"/>
      <c r="E41" s="43" t="s">
        <v>63</v>
      </c>
      <c r="F41" s="28"/>
      <c r="G41" s="28"/>
      <c r="H41" s="16"/>
      <c r="I41" s="28"/>
      <c r="J41" s="28">
        <f>+$J$34*I$37</f>
        <v>153.64954868656696</v>
      </c>
      <c r="K41" s="28">
        <f t="shared" ref="K41:M41" si="35">+$J$34*J$37</f>
        <v>153.64954868656696</v>
      </c>
      <c r="L41" s="28">
        <f t="shared" si="35"/>
        <v>153.64954868656696</v>
      </c>
      <c r="M41" s="28">
        <f t="shared" si="35"/>
        <v>153.64954868656696</v>
      </c>
    </row>
    <row r="42" spans="2:15" x14ac:dyDescent="0.25">
      <c r="B42" s="35" t="s">
        <v>126</v>
      </c>
      <c r="C42" s="35"/>
      <c r="D42" s="35"/>
      <c r="E42" s="43" t="s">
        <v>63</v>
      </c>
      <c r="F42" s="28"/>
      <c r="G42" s="28"/>
      <c r="H42" s="16"/>
      <c r="I42" s="28"/>
      <c r="J42" s="28"/>
      <c r="K42" s="28">
        <f>+$K$34*I$37</f>
        <v>159.16410753247192</v>
      </c>
      <c r="L42" s="28">
        <f t="shared" ref="L42:M42" si="36">+$K$34*J$37</f>
        <v>159.16410753247192</v>
      </c>
      <c r="M42" s="28">
        <f t="shared" si="36"/>
        <v>159.16410753247192</v>
      </c>
    </row>
    <row r="43" spans="2:15" x14ac:dyDescent="0.25">
      <c r="B43" s="35" t="s">
        <v>127</v>
      </c>
      <c r="C43" s="35"/>
      <c r="D43" s="35"/>
      <c r="E43" s="43" t="s">
        <v>63</v>
      </c>
      <c r="F43" s="28"/>
      <c r="G43" s="28"/>
      <c r="H43" s="16"/>
      <c r="I43" s="28"/>
      <c r="J43" s="28"/>
      <c r="K43" s="28"/>
      <c r="L43" s="28">
        <f>+L$34*I$37</f>
        <v>164.87658664254235</v>
      </c>
      <c r="M43" s="28">
        <f>+M$34*J$37</f>
        <v>170.79408947365698</v>
      </c>
    </row>
    <row r="44" spans="2:15" x14ac:dyDescent="0.25">
      <c r="B44" s="35" t="s">
        <v>128</v>
      </c>
      <c r="C44" s="35"/>
      <c r="D44" s="35"/>
      <c r="E44" s="43" t="s">
        <v>63</v>
      </c>
      <c r="F44" s="28"/>
      <c r="G44" s="28"/>
      <c r="H44" s="16"/>
      <c r="I44" s="28"/>
      <c r="J44" s="28"/>
      <c r="K44" s="28"/>
      <c r="L44" s="28"/>
      <c r="M44" s="28">
        <f>+M$34*I$37</f>
        <v>170.79408947365698</v>
      </c>
    </row>
    <row r="45" spans="2:15" x14ac:dyDescent="0.25">
      <c r="B45" s="96" t="s">
        <v>130</v>
      </c>
      <c r="C45" s="96"/>
      <c r="D45" s="96"/>
      <c r="E45" s="93"/>
      <c r="F45" s="29"/>
      <c r="G45" s="29"/>
      <c r="H45" s="30"/>
      <c r="I45" s="29">
        <f>SUM(I39:I44)</f>
        <v>1211.2</v>
      </c>
      <c r="J45" s="29">
        <f t="shared" ref="J45:M45" si="37">SUM(J39:J44)</f>
        <v>1221.5745486865669</v>
      </c>
      <c r="K45" s="29">
        <f t="shared" si="37"/>
        <v>1237.463656219039</v>
      </c>
      <c r="L45" s="29">
        <f t="shared" si="37"/>
        <v>1259.0652428615813</v>
      </c>
      <c r="M45" s="29">
        <f t="shared" si="37"/>
        <v>1292.501835166353</v>
      </c>
    </row>
    <row r="46" spans="2:15" x14ac:dyDescent="0.25">
      <c r="B46" s="35"/>
      <c r="C46" s="35"/>
      <c r="D46" s="35"/>
      <c r="E46" s="43"/>
      <c r="F46" s="28"/>
      <c r="G46" s="28"/>
      <c r="H46" s="16"/>
      <c r="I46" s="28"/>
      <c r="J46" s="28"/>
      <c r="K46" s="28"/>
      <c r="L46" s="28"/>
      <c r="M46" s="28"/>
      <c r="O46" s="21"/>
    </row>
    <row r="47" spans="2:15" x14ac:dyDescent="0.25">
      <c r="B47" s="5" t="s">
        <v>117</v>
      </c>
      <c r="C47" s="5"/>
      <c r="D47" s="5"/>
      <c r="E47" s="93" t="s">
        <v>63</v>
      </c>
      <c r="F47" s="29"/>
      <c r="G47" s="29"/>
      <c r="H47" s="30"/>
      <c r="I47" s="29">
        <f>+I33+I34-I45</f>
        <v>5169.8</v>
      </c>
      <c r="J47" s="29">
        <f t="shared" ref="J47:M47" si="38">+J33+J34-J45</f>
        <v>5484.7209381791026</v>
      </c>
      <c r="K47" s="29">
        <f t="shared" si="38"/>
        <v>5838.8983572847828</v>
      </c>
      <c r="L47" s="29">
        <f t="shared" si="38"/>
        <v>6228.5989808486247</v>
      </c>
      <c r="M47" s="29">
        <f t="shared" si="38"/>
        <v>6644.0380404188418</v>
      </c>
      <c r="O47" s="21"/>
    </row>
    <row r="48" spans="2:15" x14ac:dyDescent="0.25">
      <c r="B48" s="94" t="s">
        <v>129</v>
      </c>
      <c r="C48" s="94"/>
      <c r="D48" s="94"/>
      <c r="E48" t="s">
        <v>64</v>
      </c>
      <c r="F48" s="80"/>
      <c r="G48" s="17">
        <f>-F221/F129</f>
        <v>0.10729690869877785</v>
      </c>
      <c r="H48" s="18">
        <f>-G221/G129</f>
        <v>7.0905618335190199E-2</v>
      </c>
      <c r="I48" s="97">
        <v>0.11</v>
      </c>
      <c r="J48" s="97">
        <v>0.11</v>
      </c>
      <c r="K48" s="97">
        <v>0.11</v>
      </c>
      <c r="L48" s="97">
        <v>0.11</v>
      </c>
      <c r="M48" s="97">
        <v>0.11</v>
      </c>
      <c r="O48" s="88"/>
    </row>
    <row r="49" spans="2:15" x14ac:dyDescent="0.25">
      <c r="O49" s="21"/>
    </row>
    <row r="50" spans="2:15" x14ac:dyDescent="0.25">
      <c r="B50" s="36"/>
      <c r="C50" s="36"/>
      <c r="D50" s="36"/>
      <c r="E50" s="36"/>
      <c r="F50" s="39" t="s">
        <v>1</v>
      </c>
      <c r="G50" s="39"/>
      <c r="H50" s="40"/>
      <c r="I50" s="41" t="s">
        <v>2</v>
      </c>
      <c r="J50" s="42"/>
      <c r="K50" s="42"/>
      <c r="L50" s="42"/>
      <c r="M50" s="42"/>
      <c r="O50" s="21"/>
    </row>
    <row r="51" spans="2:15" x14ac:dyDescent="0.25">
      <c r="B51" s="36" t="s">
        <v>112</v>
      </c>
      <c r="C51" s="36"/>
      <c r="D51" s="36"/>
      <c r="E51" s="36" t="s">
        <v>62</v>
      </c>
      <c r="F51" s="37">
        <v>44196</v>
      </c>
      <c r="G51" s="37">
        <f>+EOMONTH(F51,12)</f>
        <v>44561</v>
      </c>
      <c r="H51" s="38">
        <f t="shared" ref="H51" si="39">+EOMONTH(G51,12)</f>
        <v>44926</v>
      </c>
      <c r="I51" s="37">
        <f t="shared" ref="I51" si="40">+EOMONTH(H51,12)</f>
        <v>45291</v>
      </c>
      <c r="J51" s="37">
        <f t="shared" ref="J51" si="41">+EOMONTH(I51,12)</f>
        <v>45657</v>
      </c>
      <c r="K51" s="37">
        <f t="shared" ref="K51" si="42">+EOMONTH(J51,12)</f>
        <v>46022</v>
      </c>
      <c r="L51" s="37">
        <f t="shared" ref="L51" si="43">+EOMONTH(K51,12)</f>
        <v>46387</v>
      </c>
      <c r="M51" s="37">
        <f t="shared" ref="M51" si="44">+EOMONTH(L51,12)</f>
        <v>46752</v>
      </c>
    </row>
    <row r="53" spans="2:15" x14ac:dyDescent="0.25">
      <c r="B53" t="s">
        <v>133</v>
      </c>
      <c r="E53" t="s">
        <v>64</v>
      </c>
      <c r="F53" s="17">
        <f>-F239/F152</f>
        <v>-0.30177118996497421</v>
      </c>
      <c r="G53" s="17">
        <f>-G239/G152</f>
        <v>9.4741817691947117E-2</v>
      </c>
      <c r="H53" s="18">
        <f>-H239/H152</f>
        <v>0.10975457986742003</v>
      </c>
      <c r="I53" s="17">
        <f>+H53</f>
        <v>0.10975457986742003</v>
      </c>
      <c r="J53" s="17">
        <f t="shared" ref="J53:M53" si="45">+I53</f>
        <v>0.10975457986742003</v>
      </c>
      <c r="K53" s="17">
        <f t="shared" si="45"/>
        <v>0.10975457986742003</v>
      </c>
      <c r="L53" s="17">
        <f t="shared" si="45"/>
        <v>0.10975457986742003</v>
      </c>
      <c r="M53" s="17">
        <f t="shared" si="45"/>
        <v>0.10975457986742003</v>
      </c>
    </row>
    <row r="55" spans="2:15" x14ac:dyDescent="0.25">
      <c r="B55" s="36"/>
      <c r="C55" s="36"/>
      <c r="D55" s="36"/>
      <c r="E55" s="36"/>
      <c r="F55" s="39" t="s">
        <v>1</v>
      </c>
      <c r="G55" s="39"/>
      <c r="H55" s="40"/>
      <c r="I55" s="41" t="s">
        <v>2</v>
      </c>
      <c r="J55" s="42"/>
      <c r="K55" s="42"/>
      <c r="L55" s="42"/>
      <c r="M55" s="42"/>
    </row>
    <row r="56" spans="2:15" x14ac:dyDescent="0.25">
      <c r="B56" s="36" t="s">
        <v>134</v>
      </c>
      <c r="C56" s="36"/>
      <c r="D56" s="36"/>
      <c r="E56" s="36" t="s">
        <v>62</v>
      </c>
      <c r="F56" s="37">
        <v>44196</v>
      </c>
      <c r="G56" s="37">
        <f>+EOMONTH(F56,12)</f>
        <v>44561</v>
      </c>
      <c r="H56" s="38">
        <f t="shared" ref="H56" si="46">+EOMONTH(G56,12)</f>
        <v>44926</v>
      </c>
      <c r="I56" s="37">
        <f t="shared" ref="I56" si="47">+EOMONTH(H56,12)</f>
        <v>45291</v>
      </c>
      <c r="J56" s="37">
        <f t="shared" ref="J56" si="48">+EOMONTH(I56,12)</f>
        <v>45657</v>
      </c>
      <c r="K56" s="37">
        <f t="shared" ref="K56" si="49">+EOMONTH(J56,12)</f>
        <v>46022</v>
      </c>
      <c r="L56" s="37">
        <f t="shared" ref="L56" si="50">+EOMONTH(K56,12)</f>
        <v>46387</v>
      </c>
      <c r="M56" s="37">
        <f t="shared" ref="M56" si="51">+EOMONTH(L56,12)</f>
        <v>46752</v>
      </c>
    </row>
    <row r="57" spans="2:15" x14ac:dyDescent="0.25">
      <c r="F57" s="28"/>
      <c r="G57" s="28"/>
      <c r="H57" s="16"/>
      <c r="I57" s="28"/>
      <c r="J57" s="28"/>
      <c r="K57" s="28"/>
      <c r="L57" s="28"/>
      <c r="M57" s="28"/>
    </row>
    <row r="58" spans="2:15" x14ac:dyDescent="0.25">
      <c r="B58" t="s">
        <v>135</v>
      </c>
      <c r="F58" s="28"/>
      <c r="G58" s="28"/>
      <c r="H58" s="16"/>
      <c r="I58" s="28"/>
      <c r="J58" s="28"/>
      <c r="K58" s="28"/>
      <c r="L58" s="28"/>
      <c r="M58" s="28"/>
    </row>
    <row r="59" spans="2:15" x14ac:dyDescent="0.25">
      <c r="B59" s="35" t="s">
        <v>142</v>
      </c>
      <c r="C59" s="35"/>
      <c r="D59" s="35"/>
      <c r="F59" s="28"/>
      <c r="G59" s="28"/>
      <c r="H59" s="16"/>
      <c r="I59" s="28">
        <f>+I98</f>
        <v>-20</v>
      </c>
      <c r="J59" s="28">
        <f t="shared" ref="J59:M59" si="52">+J98</f>
        <v>-20</v>
      </c>
      <c r="K59" s="28">
        <f t="shared" si="52"/>
        <v>-20</v>
      </c>
      <c r="L59" s="28">
        <f t="shared" si="52"/>
        <v>-20</v>
      </c>
      <c r="M59" s="28">
        <f t="shared" si="52"/>
        <v>-20</v>
      </c>
    </row>
    <row r="60" spans="2:15" x14ac:dyDescent="0.25">
      <c r="B60" s="35" t="s">
        <v>141</v>
      </c>
      <c r="C60" s="35"/>
      <c r="D60" s="35"/>
      <c r="F60" s="28"/>
      <c r="G60" s="28"/>
      <c r="H60" s="16"/>
      <c r="I60" s="28">
        <f>+I107</f>
        <v>-500</v>
      </c>
      <c r="J60" s="28">
        <f>+J107</f>
        <v>-500</v>
      </c>
      <c r="K60" s="28">
        <f>+K107</f>
        <v>-500</v>
      </c>
      <c r="L60" s="28">
        <f>+L107</f>
        <v>-500</v>
      </c>
      <c r="M60" s="28">
        <f>+M107</f>
        <v>-500</v>
      </c>
    </row>
    <row r="61" spans="2:15" x14ac:dyDescent="0.25">
      <c r="B61" s="5" t="s">
        <v>136</v>
      </c>
      <c r="C61" s="5"/>
      <c r="D61" s="5"/>
      <c r="E61" s="7"/>
      <c r="F61" s="29"/>
      <c r="G61" s="29"/>
      <c r="H61" s="30"/>
      <c r="I61" s="29">
        <f>SUM(I59:I60)</f>
        <v>-520</v>
      </c>
      <c r="J61" s="29">
        <f t="shared" ref="J61:M61" si="53">SUM(J59:J60)</f>
        <v>-520</v>
      </c>
      <c r="K61" s="29">
        <f t="shared" si="53"/>
        <v>-520</v>
      </c>
      <c r="L61" s="29">
        <f t="shared" si="53"/>
        <v>-520</v>
      </c>
      <c r="M61" s="29">
        <f t="shared" si="53"/>
        <v>-520</v>
      </c>
    </row>
    <row r="62" spans="2:15" x14ac:dyDescent="0.25">
      <c r="F62" s="28"/>
      <c r="G62" s="28"/>
      <c r="H62" s="16"/>
      <c r="I62" s="28"/>
      <c r="J62" s="28"/>
      <c r="K62" s="28"/>
      <c r="L62" s="28"/>
      <c r="M62" s="28"/>
    </row>
    <row r="63" spans="2:15" x14ac:dyDescent="0.25">
      <c r="B63" s="98" t="s">
        <v>137</v>
      </c>
      <c r="C63" s="98"/>
      <c r="D63" s="98"/>
      <c r="F63" s="28"/>
      <c r="G63" s="28"/>
      <c r="H63" s="16"/>
      <c r="I63" s="28"/>
      <c r="J63" s="28"/>
      <c r="K63" s="28"/>
      <c r="L63" s="28"/>
      <c r="M63" s="28"/>
    </row>
    <row r="64" spans="2:15" x14ac:dyDescent="0.25">
      <c r="B64" s="35" t="s">
        <v>138</v>
      </c>
      <c r="C64" s="35"/>
      <c r="D64" s="35"/>
      <c r="F64" s="28"/>
      <c r="G64" s="28"/>
      <c r="H64" s="16"/>
      <c r="I64" s="28">
        <f ca="1">+SUM(I227+I218)</f>
        <v>-2101.7487982746538</v>
      </c>
      <c r="J64" s="28">
        <f t="shared" ref="J64:M64" ca="1" si="54">+SUM(J227+J218)</f>
        <v>-1217.1580002509559</v>
      </c>
      <c r="K64" s="28">
        <f t="shared" ca="1" si="54"/>
        <v>-1173.1486965462013</v>
      </c>
      <c r="L64" s="28">
        <f t="shared" ca="1" si="54"/>
        <v>-1033.0044486344948</v>
      </c>
      <c r="M64" s="28">
        <f t="shared" ca="1" si="54"/>
        <v>-1041.7853305532637</v>
      </c>
    </row>
    <row r="65" spans="2:13" x14ac:dyDescent="0.25">
      <c r="B65" s="35" t="s">
        <v>143</v>
      </c>
      <c r="C65" s="35"/>
      <c r="D65" s="35"/>
      <c r="F65" s="28"/>
      <c r="G65" s="28"/>
      <c r="H65" s="16"/>
      <c r="I65" s="28">
        <f>+I61</f>
        <v>-520</v>
      </c>
      <c r="J65" s="28">
        <f t="shared" ref="J65:M65" si="55">+J61</f>
        <v>-520</v>
      </c>
      <c r="K65" s="28">
        <f t="shared" si="55"/>
        <v>-520</v>
      </c>
      <c r="L65" s="28">
        <f t="shared" si="55"/>
        <v>-520</v>
      </c>
      <c r="M65" s="28">
        <f t="shared" si="55"/>
        <v>-520</v>
      </c>
    </row>
    <row r="66" spans="2:13" x14ac:dyDescent="0.25">
      <c r="B66" s="5" t="s">
        <v>139</v>
      </c>
      <c r="C66" s="5"/>
      <c r="D66" s="5"/>
      <c r="E66" s="5"/>
      <c r="F66" s="29"/>
      <c r="G66" s="29"/>
      <c r="H66" s="30"/>
      <c r="I66" s="29">
        <f ca="1">SUM(I64:I65)</f>
        <v>-2621.7487982746538</v>
      </c>
      <c r="J66" s="29">
        <f t="shared" ref="J66:M66" ca="1" si="56">SUM(J64:J65)</f>
        <v>-1737.1580002509559</v>
      </c>
      <c r="K66" s="29">
        <f t="shared" ca="1" si="56"/>
        <v>-1693.1486965462013</v>
      </c>
      <c r="L66" s="29">
        <f t="shared" ca="1" si="56"/>
        <v>-1553.0044486344948</v>
      </c>
      <c r="M66" s="29">
        <f t="shared" ca="1" si="56"/>
        <v>-1561.7853305532637</v>
      </c>
    </row>
    <row r="67" spans="2:13" x14ac:dyDescent="0.25">
      <c r="B67" s="47" t="s">
        <v>144</v>
      </c>
      <c r="C67" s="47"/>
      <c r="D67" s="47"/>
      <c r="E67" s="4"/>
      <c r="F67" s="45"/>
      <c r="G67" s="45"/>
      <c r="H67" s="46"/>
      <c r="I67" s="45">
        <f>+I236</f>
        <v>86.666666666666671</v>
      </c>
      <c r="J67" s="45">
        <f t="shared" ref="J67:M67" si="57">+J236</f>
        <v>86.666666666666671</v>
      </c>
      <c r="K67" s="45">
        <f t="shared" si="57"/>
        <v>86.666666666666671</v>
      </c>
      <c r="L67" s="45">
        <f t="shared" si="57"/>
        <v>86.666666666666671</v>
      </c>
      <c r="M67" s="45">
        <f t="shared" si="57"/>
        <v>86.666666666666671</v>
      </c>
    </row>
    <row r="68" spans="2:13" x14ac:dyDescent="0.25">
      <c r="B68" s="47" t="s">
        <v>145</v>
      </c>
      <c r="C68" s="47"/>
      <c r="D68" s="47"/>
      <c r="E68" s="4"/>
      <c r="F68" s="45"/>
      <c r="G68" s="45"/>
      <c r="H68" s="46"/>
      <c r="I68" s="45">
        <v>0</v>
      </c>
      <c r="J68" s="45">
        <v>0</v>
      </c>
      <c r="K68" s="45">
        <v>0</v>
      </c>
      <c r="L68" s="45">
        <v>0</v>
      </c>
      <c r="M68" s="45">
        <v>0</v>
      </c>
    </row>
    <row r="69" spans="2:13" x14ac:dyDescent="0.25">
      <c r="B69" s="47" t="s">
        <v>107</v>
      </c>
      <c r="C69" s="47"/>
      <c r="D69" s="47"/>
      <c r="E69" s="4"/>
      <c r="F69" s="45"/>
      <c r="G69" s="45"/>
      <c r="H69" s="46"/>
      <c r="I69" s="45">
        <f ca="1">+I239</f>
        <v>-104.83772783756061</v>
      </c>
      <c r="J69" s="45">
        <f t="shared" ref="J69:M69" ca="1" si="58">+J239</f>
        <v>-112.13394972353049</v>
      </c>
      <c r="K69" s="45">
        <f t="shared" ca="1" si="58"/>
        <v>-117.35816377618134</v>
      </c>
      <c r="L69" s="45">
        <f t="shared" ca="1" si="58"/>
        <v>-116.57100928094448</v>
      </c>
      <c r="M69" s="45">
        <f t="shared" ca="1" si="58"/>
        <v>-108.57399908683324</v>
      </c>
    </row>
    <row r="70" spans="2:13" x14ac:dyDescent="0.25">
      <c r="B70" s="5" t="s">
        <v>146</v>
      </c>
      <c r="C70" s="5"/>
      <c r="D70" s="5"/>
      <c r="E70" s="5"/>
      <c r="F70" s="29"/>
      <c r="G70" s="29"/>
      <c r="H70" s="30"/>
      <c r="I70" s="29">
        <f ca="1">SUM(I66:I69)</f>
        <v>-2639.9198594455479</v>
      </c>
      <c r="J70" s="29">
        <f t="shared" ref="J70:M70" ca="1" si="59">SUM(J66:J69)</f>
        <v>-1762.6252833078197</v>
      </c>
      <c r="K70" s="29">
        <f t="shared" ca="1" si="59"/>
        <v>-1723.8401936557159</v>
      </c>
      <c r="L70" s="29">
        <f t="shared" ca="1" si="59"/>
        <v>-1582.9087912487726</v>
      </c>
      <c r="M70" s="29">
        <f t="shared" ca="1" si="59"/>
        <v>-1583.6926629734303</v>
      </c>
    </row>
    <row r="71" spans="2:13" x14ac:dyDescent="0.25">
      <c r="B71" s="4"/>
      <c r="C71" s="4"/>
      <c r="D71" s="4"/>
      <c r="E71" s="4"/>
      <c r="F71" s="45"/>
      <c r="G71" s="45"/>
      <c r="H71" s="46"/>
      <c r="I71" s="45"/>
      <c r="J71" s="45"/>
      <c r="K71" s="45"/>
      <c r="L71" s="45"/>
      <c r="M71" s="45"/>
    </row>
    <row r="72" spans="2:13" x14ac:dyDescent="0.25">
      <c r="B72" s="100" t="s">
        <v>147</v>
      </c>
      <c r="C72" s="100"/>
      <c r="D72" s="100"/>
      <c r="E72" s="11"/>
      <c r="F72" s="107"/>
      <c r="G72" s="107"/>
      <c r="H72" s="108"/>
      <c r="I72" s="107">
        <f>+H162</f>
        <v>4964</v>
      </c>
      <c r="J72" s="107">
        <f t="shared" ref="J72:M72" ca="1" si="60">+I162</f>
        <v>2241.0801405544526</v>
      </c>
      <c r="K72" s="107">
        <f t="shared" ca="1" si="60"/>
        <v>395.45485724663286</v>
      </c>
      <c r="L72" s="107">
        <f t="shared" ca="1" si="60"/>
        <v>-1411.385336409083</v>
      </c>
      <c r="M72" s="107">
        <f t="shared" ca="1" si="60"/>
        <v>-3077.2941276578558</v>
      </c>
    </row>
    <row r="73" spans="2:13" x14ac:dyDescent="0.25">
      <c r="B73" s="47" t="s">
        <v>148</v>
      </c>
      <c r="C73" s="47"/>
      <c r="D73" s="47"/>
      <c r="E73" s="11"/>
      <c r="F73" s="107"/>
      <c r="G73" s="107"/>
      <c r="H73" s="108"/>
      <c r="I73" s="107">
        <f>+$C$4</f>
        <v>0</v>
      </c>
      <c r="J73" s="107">
        <f t="shared" ref="J73:M73" si="61">+$C$4</f>
        <v>0</v>
      </c>
      <c r="K73" s="107">
        <f t="shared" si="61"/>
        <v>0</v>
      </c>
      <c r="L73" s="107">
        <f t="shared" si="61"/>
        <v>0</v>
      </c>
      <c r="M73" s="107">
        <f t="shared" si="61"/>
        <v>0</v>
      </c>
    </row>
    <row r="74" spans="2:13" x14ac:dyDescent="0.25">
      <c r="B74" s="47" t="s">
        <v>149</v>
      </c>
      <c r="C74" s="47"/>
      <c r="D74" s="47"/>
      <c r="E74" s="11"/>
      <c r="F74" s="107"/>
      <c r="G74" s="107"/>
      <c r="H74" s="108"/>
      <c r="I74" s="107">
        <f ca="1">+I70</f>
        <v>-2639.9198594455479</v>
      </c>
      <c r="J74" s="107">
        <f t="shared" ref="J74:M74" ca="1" si="62">+J70</f>
        <v>-1762.6252833078197</v>
      </c>
      <c r="K74" s="107">
        <f t="shared" ca="1" si="62"/>
        <v>-1723.8401936557159</v>
      </c>
      <c r="L74" s="107">
        <f t="shared" ca="1" si="62"/>
        <v>-1582.9087912487726</v>
      </c>
      <c r="M74" s="107">
        <f t="shared" ca="1" si="62"/>
        <v>-1583.6926629734303</v>
      </c>
    </row>
    <row r="75" spans="2:13" x14ac:dyDescent="0.25">
      <c r="B75" s="111" t="s">
        <v>150</v>
      </c>
      <c r="C75" s="111"/>
      <c r="D75" s="111"/>
      <c r="E75" s="111"/>
      <c r="F75" s="111"/>
      <c r="G75" s="111"/>
      <c r="H75" s="112"/>
      <c r="I75" s="113">
        <f ca="1">SUM(I72:I74)</f>
        <v>2324.0801405544521</v>
      </c>
      <c r="J75" s="113">
        <f t="shared" ref="J75:M75" ca="1" si="63">SUM(J72:J74)</f>
        <v>478.45485724663286</v>
      </c>
      <c r="K75" s="113">
        <f t="shared" ca="1" si="63"/>
        <v>-1328.385336409083</v>
      </c>
      <c r="L75" s="113">
        <f t="shared" ca="1" si="63"/>
        <v>-2994.2941276578558</v>
      </c>
      <c r="M75" s="113">
        <f t="shared" ca="1" si="63"/>
        <v>-4660.9867906312866</v>
      </c>
    </row>
    <row r="76" spans="2:13" x14ac:dyDescent="0.25">
      <c r="B76" s="11"/>
      <c r="C76" s="11"/>
      <c r="D76" s="11"/>
      <c r="E76" s="11"/>
      <c r="F76" s="107"/>
      <c r="G76" s="107"/>
      <c r="H76" s="108"/>
      <c r="I76" s="107"/>
      <c r="J76" s="107"/>
      <c r="K76" s="107"/>
      <c r="L76" s="107"/>
      <c r="M76" s="107"/>
    </row>
    <row r="77" spans="2:13" x14ac:dyDescent="0.25">
      <c r="B77" s="101" t="s">
        <v>152</v>
      </c>
      <c r="C77" s="101"/>
      <c r="D77" s="101"/>
      <c r="E77" s="11"/>
      <c r="F77" s="107"/>
      <c r="G77" s="107"/>
      <c r="H77" s="108"/>
      <c r="I77" s="107"/>
      <c r="J77" s="107"/>
      <c r="K77" s="107"/>
      <c r="L77" s="107"/>
      <c r="M77" s="107"/>
    </row>
    <row r="78" spans="2:13" x14ac:dyDescent="0.25">
      <c r="B78" s="47" t="s">
        <v>151</v>
      </c>
      <c r="C78" s="47"/>
      <c r="D78" s="47"/>
      <c r="E78" s="11"/>
      <c r="F78" s="107"/>
      <c r="G78" s="107"/>
      <c r="H78" s="108"/>
      <c r="I78" s="107"/>
      <c r="J78" s="107"/>
      <c r="K78" s="107"/>
      <c r="L78" s="107"/>
      <c r="M78" s="107"/>
    </row>
    <row r="79" spans="2:13" x14ac:dyDescent="0.25">
      <c r="B79" s="11" t="s">
        <v>153</v>
      </c>
      <c r="C79" s="11"/>
      <c r="D79" s="11"/>
      <c r="E79" s="11"/>
      <c r="F79" s="107"/>
      <c r="G79" s="107"/>
      <c r="H79" s="108"/>
      <c r="I79" s="107"/>
      <c r="J79" s="107"/>
      <c r="K79" s="107"/>
      <c r="L79" s="107"/>
      <c r="M79" s="107"/>
    </row>
    <row r="80" spans="2:13" x14ac:dyDescent="0.25">
      <c r="B80" s="11"/>
      <c r="C80" s="11"/>
      <c r="D80" s="11"/>
      <c r="E80" s="11"/>
      <c r="F80" s="11"/>
      <c r="G80" s="11"/>
      <c r="H80" s="99"/>
      <c r="I80" s="11"/>
      <c r="J80" s="11"/>
      <c r="K80" s="11"/>
      <c r="L80" s="11"/>
      <c r="M80" s="11"/>
    </row>
    <row r="81" spans="2:13" x14ac:dyDescent="0.25">
      <c r="B81" s="11"/>
      <c r="C81" s="11"/>
      <c r="D81" s="11"/>
      <c r="E81" s="11"/>
      <c r="F81" s="11"/>
      <c r="G81" s="11"/>
      <c r="H81" s="99"/>
      <c r="I81" s="11"/>
      <c r="J81" s="11"/>
      <c r="K81" s="11"/>
      <c r="L81" s="11"/>
      <c r="M81" s="11"/>
    </row>
    <row r="82" spans="2:13" x14ac:dyDescent="0.25">
      <c r="B82" s="36"/>
      <c r="C82" s="36"/>
      <c r="D82" s="36"/>
      <c r="E82" s="36"/>
      <c r="F82" s="39" t="s">
        <v>1</v>
      </c>
      <c r="G82" s="39"/>
      <c r="H82" s="40"/>
      <c r="I82" s="41" t="s">
        <v>2</v>
      </c>
      <c r="J82" s="42"/>
      <c r="K82" s="42"/>
      <c r="L82" s="42"/>
      <c r="M82" s="42"/>
    </row>
    <row r="83" spans="2:13" x14ac:dyDescent="0.25">
      <c r="B83" s="36" t="s">
        <v>154</v>
      </c>
      <c r="C83" s="36"/>
      <c r="D83" s="36"/>
      <c r="E83" s="36" t="s">
        <v>62</v>
      </c>
      <c r="F83" s="37">
        <v>44196</v>
      </c>
      <c r="G83" s="37">
        <f>+EOMONTH(F83,12)</f>
        <v>44561</v>
      </c>
      <c r="H83" s="38">
        <f t="shared" ref="H83" si="64">+EOMONTH(G83,12)</f>
        <v>44926</v>
      </c>
      <c r="I83" s="37">
        <f t="shared" ref="I83" si="65">+EOMONTH(H83,12)</f>
        <v>45291</v>
      </c>
      <c r="J83" s="37">
        <f t="shared" ref="J83" si="66">+EOMONTH(I83,12)</f>
        <v>45657</v>
      </c>
      <c r="K83" s="37">
        <f t="shared" ref="K83" si="67">+EOMONTH(J83,12)</f>
        <v>46022</v>
      </c>
      <c r="L83" s="37">
        <f t="shared" ref="L83" si="68">+EOMONTH(K83,12)</f>
        <v>46387</v>
      </c>
      <c r="M83" s="37">
        <f t="shared" ref="M83" si="69">+EOMONTH(L83,12)</f>
        <v>46752</v>
      </c>
    </row>
    <row r="84" spans="2:13" x14ac:dyDescent="0.25">
      <c r="B84" s="20"/>
      <c r="C84" s="20"/>
      <c r="D84" s="20"/>
      <c r="E84" s="20"/>
      <c r="F84" s="20"/>
      <c r="G84" s="20"/>
      <c r="H84" s="99"/>
      <c r="I84" s="20"/>
      <c r="J84" s="20"/>
      <c r="K84" s="20"/>
      <c r="L84" s="20"/>
      <c r="M84" s="20"/>
    </row>
    <row r="85" spans="2:13" x14ac:dyDescent="0.25">
      <c r="B85" s="89" t="s">
        <v>151</v>
      </c>
      <c r="C85" s="89"/>
      <c r="D85" s="89"/>
      <c r="E85" s="89"/>
      <c r="F85" s="89"/>
      <c r="G85" s="89"/>
      <c r="H85" s="104"/>
      <c r="I85" s="89"/>
      <c r="J85" s="89"/>
      <c r="K85" s="89"/>
      <c r="L85" s="89"/>
      <c r="M85" s="89"/>
    </row>
    <row r="86" spans="2:13" x14ac:dyDescent="0.25">
      <c r="B86" s="50" t="s">
        <v>155</v>
      </c>
      <c r="C86" s="50"/>
      <c r="D86" s="50"/>
      <c r="E86" s="20"/>
      <c r="F86" s="20"/>
      <c r="G86" s="20"/>
      <c r="H86" s="99"/>
      <c r="I86" s="31">
        <f>+H190</f>
        <v>0</v>
      </c>
      <c r="J86" s="31">
        <f ca="1">+I88</f>
        <v>0</v>
      </c>
      <c r="K86" s="31">
        <f t="shared" ref="K86:M86" ca="1" si="70">+J88</f>
        <v>0</v>
      </c>
      <c r="L86" s="31">
        <f t="shared" ca="1" si="70"/>
        <v>1328.385336409083</v>
      </c>
      <c r="M86" s="31">
        <f t="shared" ca="1" si="70"/>
        <v>4322.6794640669386</v>
      </c>
    </row>
    <row r="87" spans="2:13" x14ac:dyDescent="0.25">
      <c r="B87" s="50" t="s">
        <v>157</v>
      </c>
      <c r="C87" s="50"/>
      <c r="D87" s="50"/>
      <c r="E87" s="20"/>
      <c r="F87" s="20"/>
      <c r="G87" s="20"/>
      <c r="H87" s="99"/>
      <c r="I87" s="31">
        <f ca="1">-MIN(I86,I75)</f>
        <v>0</v>
      </c>
      <c r="J87" s="31">
        <f t="shared" ref="J87:M87" ca="1" si="71">-MIN(J86,J75)</f>
        <v>0</v>
      </c>
      <c r="K87" s="31">
        <f t="shared" ca="1" si="71"/>
        <v>1328.385336409083</v>
      </c>
      <c r="L87" s="31">
        <f t="shared" ca="1" si="71"/>
        <v>2994.2941276578558</v>
      </c>
      <c r="M87" s="31">
        <f t="shared" ca="1" si="71"/>
        <v>4660.9867906312866</v>
      </c>
    </row>
    <row r="88" spans="2:13" x14ac:dyDescent="0.25">
      <c r="B88" s="5" t="s">
        <v>156</v>
      </c>
      <c r="C88" s="5"/>
      <c r="D88" s="5"/>
      <c r="E88" s="5"/>
      <c r="F88" s="5"/>
      <c r="G88" s="5"/>
      <c r="H88" s="6"/>
      <c r="I88" s="29">
        <f ca="1">SUM(I86:I87)</f>
        <v>0</v>
      </c>
      <c r="J88" s="29">
        <f t="shared" ref="J88:M88" ca="1" si="72">SUM(J86:J87)</f>
        <v>0</v>
      </c>
      <c r="K88" s="29">
        <f t="shared" ca="1" si="72"/>
        <v>1328.385336409083</v>
      </c>
      <c r="L88" s="29">
        <f t="shared" ca="1" si="72"/>
        <v>4322.6794640669386</v>
      </c>
      <c r="M88" s="29">
        <f t="shared" ca="1" si="72"/>
        <v>8983.6662546982261</v>
      </c>
    </row>
    <row r="89" spans="2:13" x14ac:dyDescent="0.25">
      <c r="B89" s="20"/>
      <c r="C89" s="20"/>
      <c r="D89" s="20"/>
      <c r="E89" s="20"/>
      <c r="F89" s="20"/>
      <c r="G89" s="20"/>
      <c r="H89" s="99"/>
      <c r="I89" s="31"/>
      <c r="J89" s="31"/>
      <c r="K89" s="31"/>
      <c r="L89" s="31"/>
      <c r="M89" s="31"/>
    </row>
    <row r="90" spans="2:13" x14ac:dyDescent="0.25">
      <c r="B90" s="20" t="s">
        <v>158</v>
      </c>
      <c r="C90" s="20" t="s">
        <v>159</v>
      </c>
      <c r="D90" s="117">
        <v>1000</v>
      </c>
      <c r="E90" s="20"/>
      <c r="F90" s="20"/>
      <c r="G90" s="20"/>
      <c r="H90" s="99"/>
      <c r="I90" s="31">
        <f ca="1">+AVERAGE(I86,I88)</f>
        <v>0</v>
      </c>
      <c r="J90" s="31">
        <f t="shared" ref="J90:M90" ca="1" si="73">+AVERAGE(J86,J88)</f>
        <v>0</v>
      </c>
      <c r="K90" s="31">
        <f t="shared" ca="1" si="73"/>
        <v>664.19266820454152</v>
      </c>
      <c r="L90" s="31">
        <f t="shared" ca="1" si="73"/>
        <v>2825.5324002380107</v>
      </c>
      <c r="M90" s="31">
        <f t="shared" ca="1" si="73"/>
        <v>6653.1728593825828</v>
      </c>
    </row>
    <row r="91" spans="2:13" x14ac:dyDescent="0.25">
      <c r="B91" s="11" t="s">
        <v>9</v>
      </c>
      <c r="C91" s="11" t="s">
        <v>160</v>
      </c>
      <c r="D91" s="116">
        <v>0.05</v>
      </c>
      <c r="E91" s="11"/>
      <c r="F91" s="11"/>
      <c r="G91" s="11"/>
      <c r="H91" s="99"/>
      <c r="I91" s="107">
        <f ca="1">+IF($C$5=1,I90,0)*$D$91</f>
        <v>0</v>
      </c>
      <c r="J91" s="107">
        <f t="shared" ref="J91:M91" ca="1" si="74">+IF($C$5=1,J90,0)*$D$91</f>
        <v>0</v>
      </c>
      <c r="K91" s="107">
        <f t="shared" ca="1" si="74"/>
        <v>33.209633410227077</v>
      </c>
      <c r="L91" s="107">
        <f t="shared" ca="1" si="74"/>
        <v>141.27662001190055</v>
      </c>
      <c r="M91" s="107">
        <f t="shared" ca="1" si="74"/>
        <v>332.65864296912918</v>
      </c>
    </row>
    <row r="92" spans="2:13" ht="5.0999999999999996" customHeight="1" x14ac:dyDescent="0.25">
      <c r="B92" s="102"/>
      <c r="C92" s="102"/>
      <c r="D92" s="102"/>
      <c r="E92" s="102"/>
      <c r="F92" s="102"/>
      <c r="G92" s="102"/>
      <c r="H92" s="103"/>
      <c r="I92" s="114"/>
      <c r="J92" s="114"/>
      <c r="K92" s="114"/>
      <c r="L92" s="114"/>
      <c r="M92" s="114"/>
    </row>
    <row r="93" spans="2:13" x14ac:dyDescent="0.25">
      <c r="B93" s="11"/>
      <c r="C93" s="11"/>
      <c r="D93" s="11"/>
      <c r="E93" s="11"/>
      <c r="F93" s="11"/>
      <c r="G93" s="11"/>
      <c r="H93" s="99"/>
      <c r="I93" s="107"/>
      <c r="J93" s="107"/>
      <c r="K93" s="107"/>
      <c r="L93" s="107"/>
      <c r="M93" s="107"/>
    </row>
    <row r="94" spans="2:13" x14ac:dyDescent="0.25">
      <c r="B94" s="20" t="s">
        <v>161</v>
      </c>
      <c r="C94" s="20"/>
      <c r="D94" s="20"/>
      <c r="E94" s="20"/>
      <c r="F94" s="20"/>
      <c r="G94" s="20"/>
      <c r="H94" s="99"/>
      <c r="I94" s="31">
        <f ca="1">+IF(I88&gt;$D$90,1,0)</f>
        <v>0</v>
      </c>
      <c r="J94" s="31">
        <f t="shared" ref="J94:M94" ca="1" si="75">+IF(J88&gt;$D$90,1,0)</f>
        <v>0</v>
      </c>
      <c r="K94" s="31">
        <f t="shared" ca="1" si="75"/>
        <v>1</v>
      </c>
      <c r="L94" s="31">
        <f t="shared" ca="1" si="75"/>
        <v>1</v>
      </c>
      <c r="M94" s="31">
        <f t="shared" ca="1" si="75"/>
        <v>1</v>
      </c>
    </row>
    <row r="95" spans="2:13" x14ac:dyDescent="0.25">
      <c r="B95" s="20"/>
      <c r="C95" s="20"/>
      <c r="D95" s="20"/>
      <c r="E95" s="20"/>
      <c r="F95" s="20"/>
      <c r="G95" s="20"/>
      <c r="H95" s="99"/>
      <c r="I95" s="31"/>
      <c r="J95" s="31"/>
      <c r="K95" s="31"/>
      <c r="L95" s="31"/>
      <c r="M95" s="31"/>
    </row>
    <row r="96" spans="2:13" x14ac:dyDescent="0.25">
      <c r="B96" s="89" t="s">
        <v>140</v>
      </c>
      <c r="C96" s="102"/>
      <c r="D96" s="102"/>
      <c r="E96" s="102"/>
      <c r="F96" s="102"/>
      <c r="G96" s="102"/>
      <c r="H96" s="103"/>
      <c r="I96" s="114"/>
      <c r="J96" s="114"/>
      <c r="K96" s="114"/>
      <c r="L96" s="114"/>
      <c r="M96" s="114"/>
    </row>
    <row r="97" spans="2:13" x14ac:dyDescent="0.25">
      <c r="B97" s="20" t="s">
        <v>155</v>
      </c>
      <c r="C97" s="20"/>
      <c r="D97" s="20"/>
      <c r="E97" s="20"/>
      <c r="F97" s="20"/>
      <c r="G97" s="20"/>
      <c r="H97" s="99"/>
      <c r="I97" s="31">
        <f>+H183</f>
        <v>300</v>
      </c>
      <c r="J97" s="31">
        <f>+I99</f>
        <v>280</v>
      </c>
      <c r="K97" s="31">
        <f t="shared" ref="K97:M97" si="76">+J99</f>
        <v>260</v>
      </c>
      <c r="L97" s="31">
        <f t="shared" si="76"/>
        <v>240</v>
      </c>
      <c r="M97" s="31">
        <f t="shared" si="76"/>
        <v>220</v>
      </c>
    </row>
    <row r="98" spans="2:13" x14ac:dyDescent="0.25">
      <c r="B98" s="20" t="s">
        <v>162</v>
      </c>
      <c r="C98" s="20"/>
      <c r="D98" s="20"/>
      <c r="E98" s="20"/>
      <c r="F98" s="20"/>
      <c r="G98" s="20"/>
      <c r="H98" s="99"/>
      <c r="I98" s="26">
        <v>-20</v>
      </c>
      <c r="J98" s="26">
        <v>-20</v>
      </c>
      <c r="K98" s="26">
        <v>-20</v>
      </c>
      <c r="L98" s="26">
        <v>-20</v>
      </c>
      <c r="M98" s="26">
        <v>-20</v>
      </c>
    </row>
    <row r="99" spans="2:13" x14ac:dyDescent="0.25">
      <c r="B99" s="105" t="s">
        <v>156</v>
      </c>
      <c r="C99" s="105"/>
      <c r="D99" s="105"/>
      <c r="E99" s="105"/>
      <c r="F99" s="105"/>
      <c r="G99" s="105"/>
      <c r="H99" s="106"/>
      <c r="I99" s="115">
        <f>SUM(I97:I98)</f>
        <v>280</v>
      </c>
      <c r="J99" s="115">
        <f t="shared" ref="J99" si="77">SUM(J97:J98)</f>
        <v>260</v>
      </c>
      <c r="K99" s="115">
        <f t="shared" ref="K99" si="78">SUM(K97:K98)</f>
        <v>240</v>
      </c>
      <c r="L99" s="115">
        <f t="shared" ref="L99" si="79">SUM(L97:L98)</f>
        <v>220</v>
      </c>
      <c r="M99" s="115">
        <f t="shared" ref="M99" si="80">SUM(M97:M98)</f>
        <v>200</v>
      </c>
    </row>
    <row r="100" spans="2:13" x14ac:dyDescent="0.25">
      <c r="B100" s="20"/>
      <c r="C100" s="20"/>
      <c r="D100" s="20"/>
      <c r="E100" s="20"/>
      <c r="F100" s="20"/>
      <c r="G100" s="20"/>
      <c r="H100" s="99"/>
      <c r="I100" s="31"/>
      <c r="J100" s="31"/>
      <c r="K100" s="31"/>
      <c r="L100" s="31"/>
      <c r="M100" s="31"/>
    </row>
    <row r="101" spans="2:13" x14ac:dyDescent="0.25">
      <c r="B101" s="20" t="s">
        <v>158</v>
      </c>
      <c r="C101" s="20"/>
      <c r="D101" s="20"/>
      <c r="E101" s="20"/>
      <c r="F101" s="20"/>
      <c r="G101" s="20"/>
      <c r="H101" s="99"/>
      <c r="I101" s="31">
        <f>+AVERAGE(I97,I99)</f>
        <v>290</v>
      </c>
      <c r="J101" s="31">
        <f t="shared" ref="J101:M101" si="81">+AVERAGE(J97,J99)</f>
        <v>270</v>
      </c>
      <c r="K101" s="31">
        <f t="shared" si="81"/>
        <v>250</v>
      </c>
      <c r="L101" s="31">
        <f t="shared" si="81"/>
        <v>230</v>
      </c>
      <c r="M101" s="31">
        <f t="shared" si="81"/>
        <v>210</v>
      </c>
    </row>
    <row r="102" spans="2:13" x14ac:dyDescent="0.25">
      <c r="B102" s="20" t="s">
        <v>9</v>
      </c>
      <c r="C102" s="20" t="s">
        <v>160</v>
      </c>
      <c r="D102" s="116">
        <v>0.05</v>
      </c>
      <c r="E102" s="20"/>
      <c r="F102" s="20"/>
      <c r="G102" s="20"/>
      <c r="H102" s="99"/>
      <c r="I102" s="107">
        <f>+IF($C$5=1,I101,0)*$D$102</f>
        <v>14.5</v>
      </c>
      <c r="J102" s="31">
        <f t="shared" ref="J102:M102" si="82">+IF($C$5=1,J101,0)*$D$102</f>
        <v>13.5</v>
      </c>
      <c r="K102" s="31">
        <f t="shared" si="82"/>
        <v>12.5</v>
      </c>
      <c r="L102" s="31">
        <f t="shared" si="82"/>
        <v>11.5</v>
      </c>
      <c r="M102" s="31">
        <f t="shared" si="82"/>
        <v>10.5</v>
      </c>
    </row>
    <row r="103" spans="2:13" x14ac:dyDescent="0.25">
      <c r="B103" s="102"/>
      <c r="C103" s="102"/>
      <c r="D103" s="102"/>
      <c r="E103" s="102"/>
      <c r="F103" s="102"/>
      <c r="G103" s="102"/>
      <c r="H103" s="103"/>
      <c r="I103" s="114"/>
      <c r="J103" s="114"/>
      <c r="K103" s="114"/>
      <c r="L103" s="114"/>
      <c r="M103" s="114"/>
    </row>
    <row r="104" spans="2:13" x14ac:dyDescent="0.25">
      <c r="B104" s="20"/>
      <c r="C104" s="20"/>
      <c r="D104" s="20"/>
      <c r="E104" s="20"/>
      <c r="F104" s="20"/>
      <c r="G104" s="20"/>
      <c r="H104" s="99"/>
      <c r="I104" s="31"/>
      <c r="J104" s="31"/>
      <c r="K104" s="31"/>
      <c r="L104" s="31"/>
      <c r="M104" s="31"/>
    </row>
    <row r="105" spans="2:13" x14ac:dyDescent="0.25">
      <c r="B105" s="89" t="s">
        <v>31</v>
      </c>
      <c r="C105" s="102"/>
      <c r="D105" s="102"/>
      <c r="E105" s="102"/>
      <c r="F105" s="102"/>
      <c r="G105" s="102"/>
      <c r="H105" s="103"/>
      <c r="I105" s="114"/>
      <c r="J105" s="114"/>
      <c r="K105" s="114"/>
      <c r="L105" s="114"/>
      <c r="M105" s="114"/>
    </row>
    <row r="106" spans="2:13" x14ac:dyDescent="0.25">
      <c r="B106" s="20" t="s">
        <v>155</v>
      </c>
      <c r="C106" s="20"/>
      <c r="D106" s="20"/>
      <c r="E106" s="20"/>
      <c r="F106" s="20"/>
      <c r="G106" s="20"/>
      <c r="H106" s="99"/>
      <c r="I106" s="31">
        <f>+H191</f>
        <v>7774</v>
      </c>
      <c r="J106" s="31">
        <f>+I108</f>
        <v>7274</v>
      </c>
      <c r="K106" s="31">
        <f t="shared" ref="K106:M106" si="83">+J108</f>
        <v>6774</v>
      </c>
      <c r="L106" s="31">
        <f t="shared" si="83"/>
        <v>6274</v>
      </c>
      <c r="M106" s="31">
        <f t="shared" si="83"/>
        <v>5774</v>
      </c>
    </row>
    <row r="107" spans="2:13" x14ac:dyDescent="0.25">
      <c r="B107" s="20" t="s">
        <v>162</v>
      </c>
      <c r="C107" s="20"/>
      <c r="D107" s="20"/>
      <c r="E107" s="20"/>
      <c r="F107" s="20"/>
      <c r="G107" s="20"/>
      <c r="H107" s="99"/>
      <c r="I107" s="26">
        <v>-500</v>
      </c>
      <c r="J107" s="26">
        <v>-500</v>
      </c>
      <c r="K107" s="26">
        <v>-500</v>
      </c>
      <c r="L107" s="26">
        <v>-500</v>
      </c>
      <c r="M107" s="26">
        <v>-500</v>
      </c>
    </row>
    <row r="108" spans="2:13" x14ac:dyDescent="0.25">
      <c r="B108" s="105" t="s">
        <v>156</v>
      </c>
      <c r="C108" s="105"/>
      <c r="D108" s="105"/>
      <c r="E108" s="105"/>
      <c r="F108" s="105"/>
      <c r="G108" s="105"/>
      <c r="H108" s="106"/>
      <c r="I108" s="115">
        <f>SUM(I106:I107)</f>
        <v>7274</v>
      </c>
      <c r="J108" s="115">
        <f t="shared" ref="J108:M108" si="84">SUM(J106:J107)</f>
        <v>6774</v>
      </c>
      <c r="K108" s="115">
        <f t="shared" si="84"/>
        <v>6274</v>
      </c>
      <c r="L108" s="115">
        <f t="shared" si="84"/>
        <v>5774</v>
      </c>
      <c r="M108" s="115">
        <f t="shared" si="84"/>
        <v>5274</v>
      </c>
    </row>
    <row r="109" spans="2:13" x14ac:dyDescent="0.25">
      <c r="B109" s="20"/>
      <c r="C109" s="20"/>
      <c r="D109" s="20"/>
      <c r="E109" s="20"/>
      <c r="F109" s="20"/>
      <c r="G109" s="20"/>
      <c r="H109" s="99"/>
      <c r="I109" s="31"/>
      <c r="J109" s="31"/>
      <c r="K109" s="31"/>
      <c r="L109" s="31"/>
      <c r="M109" s="31"/>
    </row>
    <row r="110" spans="2:13" x14ac:dyDescent="0.25">
      <c r="B110" s="20" t="s">
        <v>158</v>
      </c>
      <c r="C110" s="20"/>
      <c r="D110" s="20"/>
      <c r="E110" s="20"/>
      <c r="F110" s="20"/>
      <c r="G110" s="20"/>
      <c r="H110" s="99"/>
      <c r="I110" s="31">
        <f>+AVERAGE(I106,I108)</f>
        <v>7524</v>
      </c>
      <c r="J110" s="31">
        <f t="shared" ref="J110:M110" si="85">+AVERAGE(J106,J108)</f>
        <v>7024</v>
      </c>
      <c r="K110" s="31">
        <f t="shared" si="85"/>
        <v>6524</v>
      </c>
      <c r="L110" s="31">
        <f t="shared" si="85"/>
        <v>6024</v>
      </c>
      <c r="M110" s="31">
        <f t="shared" si="85"/>
        <v>5524</v>
      </c>
    </row>
    <row r="111" spans="2:13" x14ac:dyDescent="0.25">
      <c r="B111" s="20" t="s">
        <v>9</v>
      </c>
      <c r="C111" s="20" t="s">
        <v>160</v>
      </c>
      <c r="D111" s="116">
        <v>0.05</v>
      </c>
      <c r="E111" s="20"/>
      <c r="F111" s="20"/>
      <c r="G111" s="20"/>
      <c r="H111" s="99"/>
      <c r="I111" s="107">
        <f>+IF($C$5=1,I110,0)*$D$111</f>
        <v>376.20000000000005</v>
      </c>
      <c r="J111" s="31">
        <f t="shared" ref="J111:M111" si="86">+IF($C$5=1,J110,0)*$D$111</f>
        <v>351.20000000000005</v>
      </c>
      <c r="K111" s="31">
        <f t="shared" si="86"/>
        <v>326.20000000000005</v>
      </c>
      <c r="L111" s="31">
        <f t="shared" si="86"/>
        <v>301.2</v>
      </c>
      <c r="M111" s="31">
        <f t="shared" si="86"/>
        <v>276.2</v>
      </c>
    </row>
    <row r="112" spans="2:13" ht="5.0999999999999996" customHeight="1" x14ac:dyDescent="0.25">
      <c r="B112" s="102"/>
      <c r="C112" s="102"/>
      <c r="D112" s="102"/>
      <c r="E112" s="102"/>
      <c r="F112" s="102"/>
      <c r="G112" s="102"/>
      <c r="H112" s="103"/>
      <c r="I112" s="114"/>
      <c r="J112" s="114"/>
      <c r="K112" s="114"/>
      <c r="L112" s="114"/>
      <c r="M112" s="114"/>
    </row>
    <row r="113" spans="2:13" x14ac:dyDescent="0.25">
      <c r="B113" s="20"/>
      <c r="C113" s="20"/>
      <c r="D113" s="20"/>
      <c r="E113" s="20"/>
      <c r="F113" s="20"/>
      <c r="G113" s="20"/>
      <c r="H113" s="99"/>
      <c r="I113" s="20"/>
      <c r="J113" s="20"/>
      <c r="K113" s="20"/>
      <c r="L113" s="20"/>
      <c r="M113" s="20"/>
    </row>
    <row r="114" spans="2:13" x14ac:dyDescent="0.25">
      <c r="B114" s="20"/>
      <c r="C114" s="20"/>
      <c r="D114" s="20"/>
      <c r="E114" s="20"/>
      <c r="F114" s="20"/>
      <c r="G114" s="20"/>
      <c r="H114" s="99"/>
      <c r="I114" s="20"/>
      <c r="J114" s="20"/>
      <c r="K114" s="20"/>
      <c r="L114" s="20"/>
      <c r="M114" s="20"/>
    </row>
    <row r="115" spans="2:13" x14ac:dyDescent="0.25">
      <c r="B115" s="36"/>
      <c r="C115" s="36"/>
      <c r="D115" s="36"/>
      <c r="E115" s="36"/>
      <c r="F115" s="39" t="s">
        <v>1</v>
      </c>
      <c r="G115" s="39"/>
      <c r="H115" s="40"/>
      <c r="I115" s="41" t="s">
        <v>2</v>
      </c>
      <c r="J115" s="42"/>
      <c r="K115" s="42"/>
      <c r="L115" s="42"/>
      <c r="M115" s="42"/>
    </row>
    <row r="116" spans="2:13" x14ac:dyDescent="0.25">
      <c r="B116" s="36" t="s">
        <v>163</v>
      </c>
      <c r="C116" s="36"/>
      <c r="D116" s="36"/>
      <c r="E116" s="36" t="s">
        <v>62</v>
      </c>
      <c r="F116" s="37">
        <v>44196</v>
      </c>
      <c r="G116" s="37">
        <f>+EOMONTH(F116,12)</f>
        <v>44561</v>
      </c>
      <c r="H116" s="38">
        <f t="shared" ref="H116" si="87">+EOMONTH(G116,12)</f>
        <v>44926</v>
      </c>
      <c r="I116" s="37">
        <f t="shared" ref="I116" si="88">+EOMONTH(H116,12)</f>
        <v>45291</v>
      </c>
      <c r="J116" s="37">
        <f t="shared" ref="J116" si="89">+EOMONTH(I116,12)</f>
        <v>45657</v>
      </c>
      <c r="K116" s="37">
        <f t="shared" ref="K116" si="90">+EOMONTH(J116,12)</f>
        <v>46022</v>
      </c>
      <c r="L116" s="37">
        <f t="shared" ref="L116" si="91">+EOMONTH(K116,12)</f>
        <v>46387</v>
      </c>
      <c r="M116" s="37">
        <f t="shared" ref="M116" si="92">+EOMONTH(L116,12)</f>
        <v>46752</v>
      </c>
    </row>
    <row r="117" spans="2:13" x14ac:dyDescent="0.25">
      <c r="B117" s="20"/>
      <c r="C117" s="20"/>
      <c r="D117" s="20"/>
      <c r="E117" s="20"/>
      <c r="F117" s="20"/>
      <c r="G117" s="20"/>
      <c r="H117" s="99"/>
      <c r="I117" s="20"/>
      <c r="J117" s="20"/>
      <c r="K117" s="20"/>
      <c r="L117" s="20"/>
      <c r="M117" s="20"/>
    </row>
    <row r="118" spans="2:13" x14ac:dyDescent="0.25">
      <c r="B118" s="102" t="s">
        <v>155</v>
      </c>
      <c r="C118" s="102"/>
      <c r="D118" s="102"/>
      <c r="E118" s="102"/>
      <c r="F118" s="102"/>
      <c r="G118" s="102"/>
      <c r="H118" s="103"/>
      <c r="I118" s="114">
        <f>+H162</f>
        <v>4964</v>
      </c>
      <c r="J118" s="114">
        <f t="shared" ref="J118:M118" ca="1" si="93">+I162</f>
        <v>2241.0801405544526</v>
      </c>
      <c r="K118" s="114">
        <f t="shared" ca="1" si="93"/>
        <v>395.45485724663286</v>
      </c>
      <c r="L118" s="114">
        <f t="shared" ca="1" si="93"/>
        <v>-1411.385336409083</v>
      </c>
      <c r="M118" s="114">
        <f t="shared" ca="1" si="93"/>
        <v>-3077.2941276578558</v>
      </c>
    </row>
    <row r="119" spans="2:13" x14ac:dyDescent="0.25">
      <c r="B119" s="2" t="s">
        <v>156</v>
      </c>
      <c r="C119" s="20"/>
      <c r="D119" s="20"/>
      <c r="E119" s="20"/>
      <c r="F119" s="2"/>
      <c r="G119" s="2"/>
      <c r="H119" s="3"/>
      <c r="I119" s="25">
        <f ca="1">+I162</f>
        <v>2241.0801405544526</v>
      </c>
      <c r="J119" s="25">
        <f t="shared" ref="J119:M119" ca="1" si="94">+J162</f>
        <v>395.45485724663286</v>
      </c>
      <c r="K119" s="25">
        <f t="shared" ca="1" si="94"/>
        <v>-1411.385336409083</v>
      </c>
      <c r="L119" s="25">
        <f t="shared" ca="1" si="94"/>
        <v>-3077.2941276578558</v>
      </c>
      <c r="M119" s="25">
        <f t="shared" ca="1" si="94"/>
        <v>-4743.9867906312866</v>
      </c>
    </row>
    <row r="120" spans="2:13" x14ac:dyDescent="0.25">
      <c r="B120" s="20"/>
      <c r="C120" s="20"/>
      <c r="D120" s="20"/>
      <c r="E120" s="20"/>
      <c r="F120" s="20"/>
      <c r="G120" s="20"/>
      <c r="H120" s="99"/>
      <c r="I120" s="20"/>
      <c r="J120" s="20"/>
      <c r="K120" s="20"/>
      <c r="L120" s="20"/>
      <c r="M120" s="20"/>
    </row>
    <row r="121" spans="2:13" x14ac:dyDescent="0.25">
      <c r="B121" s="20" t="s">
        <v>158</v>
      </c>
      <c r="C121" s="20"/>
      <c r="D121" s="20"/>
      <c r="E121" s="20"/>
      <c r="F121" s="20"/>
      <c r="G121" s="20"/>
      <c r="H121" s="99"/>
      <c r="I121" s="31">
        <f ca="1">+AVERAGE(I118,I119)</f>
        <v>3602.5400702772263</v>
      </c>
      <c r="J121" s="31">
        <f t="shared" ref="J121:M121" ca="1" si="95">+AVERAGE(J118,J119)</f>
        <v>1318.2674989005427</v>
      </c>
      <c r="K121" s="31">
        <f t="shared" ca="1" si="95"/>
        <v>-507.96523958122509</v>
      </c>
      <c r="L121" s="31">
        <f t="shared" ca="1" si="95"/>
        <v>-2244.3397320334693</v>
      </c>
      <c r="M121" s="31">
        <f t="shared" ca="1" si="95"/>
        <v>-3910.6404591445712</v>
      </c>
    </row>
    <row r="122" spans="2:13" x14ac:dyDescent="0.25">
      <c r="B122" s="20" t="s">
        <v>163</v>
      </c>
      <c r="C122" s="20" t="s">
        <v>164</v>
      </c>
      <c r="D122" s="116">
        <v>0.02</v>
      </c>
      <c r="E122" s="20"/>
      <c r="F122" s="20"/>
      <c r="G122" s="20"/>
      <c r="H122" s="99"/>
      <c r="I122" s="31">
        <f ca="1">+IF($C$5=1,I121,0)*$D$122</f>
        <v>72.050801405544533</v>
      </c>
      <c r="J122" s="31">
        <f t="shared" ref="J122:M122" ca="1" si="96">+IF($C$5=1,J121,0)*$D$122</f>
        <v>26.365349978010855</v>
      </c>
      <c r="K122" s="31">
        <f ca="1">+IF($C$5=1,K121,0)*$D$122</f>
        <v>-10.159304791624502</v>
      </c>
      <c r="L122" s="31">
        <f t="shared" ca="1" si="96"/>
        <v>-44.886794640669386</v>
      </c>
      <c r="M122" s="31">
        <f t="shared" ca="1" si="96"/>
        <v>-78.212809182891419</v>
      </c>
    </row>
    <row r="123" spans="2:13" ht="5.0999999999999996" customHeight="1" x14ac:dyDescent="0.25">
      <c r="B123" s="102"/>
      <c r="C123" s="102"/>
      <c r="D123" s="102"/>
      <c r="E123" s="102"/>
      <c r="F123" s="102"/>
      <c r="G123" s="102"/>
      <c r="H123" s="103"/>
      <c r="I123" s="102"/>
      <c r="J123" s="102"/>
      <c r="K123" s="102"/>
      <c r="L123" s="102"/>
      <c r="M123" s="102"/>
    </row>
    <row r="124" spans="2:13" x14ac:dyDescent="0.25">
      <c r="B124" s="20"/>
      <c r="C124" s="20"/>
      <c r="D124" s="20"/>
      <c r="E124" s="20"/>
      <c r="F124" s="20"/>
      <c r="G124" s="20"/>
      <c r="H124" s="99"/>
      <c r="I124" s="20"/>
      <c r="J124" s="20"/>
      <c r="K124" s="20"/>
      <c r="L124" s="20"/>
      <c r="M124" s="20"/>
    </row>
    <row r="125" spans="2:13" x14ac:dyDescent="0.25">
      <c r="B125" s="20"/>
      <c r="C125" s="20"/>
      <c r="D125" s="20"/>
      <c r="E125" s="20"/>
      <c r="F125" s="20"/>
      <c r="G125" s="20"/>
      <c r="H125" s="99"/>
      <c r="I125" s="20"/>
      <c r="J125" s="20"/>
      <c r="K125" s="20"/>
      <c r="L125" s="20"/>
      <c r="M125" s="20"/>
    </row>
    <row r="126" spans="2:13" x14ac:dyDescent="0.25">
      <c r="B126" s="36"/>
      <c r="C126" s="36"/>
      <c r="D126" s="36"/>
      <c r="E126" s="36"/>
      <c r="F126" s="39" t="s">
        <v>1</v>
      </c>
      <c r="G126" s="39"/>
      <c r="H126" s="40"/>
      <c r="I126" s="41" t="s">
        <v>2</v>
      </c>
      <c r="J126" s="42"/>
      <c r="K126" s="42"/>
      <c r="L126" s="42"/>
      <c r="M126" s="42"/>
    </row>
    <row r="127" spans="2:13" x14ac:dyDescent="0.25">
      <c r="B127" s="36" t="s">
        <v>0</v>
      </c>
      <c r="C127" s="36"/>
      <c r="D127" s="36"/>
      <c r="E127" s="36" t="s">
        <v>62</v>
      </c>
      <c r="F127" s="37">
        <v>44196</v>
      </c>
      <c r="G127" s="37">
        <f>+EOMONTH(F127,12)</f>
        <v>44561</v>
      </c>
      <c r="H127" s="38">
        <f t="shared" ref="H127:M127" si="97">+EOMONTH(G127,12)</f>
        <v>44926</v>
      </c>
      <c r="I127" s="37">
        <f t="shared" si="97"/>
        <v>45291</v>
      </c>
      <c r="J127" s="37">
        <f t="shared" si="97"/>
        <v>45657</v>
      </c>
      <c r="K127" s="37">
        <f t="shared" si="97"/>
        <v>46022</v>
      </c>
      <c r="L127" s="37">
        <f t="shared" si="97"/>
        <v>46387</v>
      </c>
      <c r="M127" s="37">
        <f t="shared" si="97"/>
        <v>46752</v>
      </c>
    </row>
    <row r="129" spans="2:13" s="2" customFormat="1" x14ac:dyDescent="0.25">
      <c r="B129" s="2" t="s">
        <v>5</v>
      </c>
      <c r="E129" s="43" t="s">
        <v>63</v>
      </c>
      <c r="F129" s="56">
        <v>11128</v>
      </c>
      <c r="G129" s="56">
        <v>12566</v>
      </c>
      <c r="H129" s="57">
        <v>13017</v>
      </c>
      <c r="I129" s="58">
        <f>+H129*(1+I9)</f>
        <v>13484.186614674518</v>
      </c>
      <c r="J129" s="58">
        <f>+I129*(1+J9)</f>
        <v>13968.140789687905</v>
      </c>
      <c r="K129" s="58">
        <f>+J129*(1+K9)</f>
        <v>14469.46432113381</v>
      </c>
      <c r="L129" s="58">
        <f>+K129*(1+L9)</f>
        <v>14988.780603867484</v>
      </c>
      <c r="M129" s="58">
        <f>+L129*(1+M9)</f>
        <v>15526.735406696089</v>
      </c>
    </row>
    <row r="130" spans="2:13" s="2" customFormat="1" x14ac:dyDescent="0.25">
      <c r="B130" s="51" t="s">
        <v>66</v>
      </c>
      <c r="C130" s="51"/>
      <c r="D130" s="51"/>
      <c r="E130" s="43" t="s">
        <v>64</v>
      </c>
      <c r="F130" s="23"/>
      <c r="G130" s="53">
        <f>+G129/F129-1</f>
        <v>0.1292235801581596</v>
      </c>
      <c r="H130" s="54">
        <f t="shared" ref="H130:M130" si="98">+H129/G129-1</f>
        <v>3.5890498169664165E-2</v>
      </c>
      <c r="I130" s="53">
        <f t="shared" si="98"/>
        <v>3.5890498169664165E-2</v>
      </c>
      <c r="J130" s="53">
        <f t="shared" si="98"/>
        <v>3.5890498169664165E-2</v>
      </c>
      <c r="K130" s="53">
        <f t="shared" si="98"/>
        <v>3.5890498169664165E-2</v>
      </c>
      <c r="L130" s="53">
        <f t="shared" si="98"/>
        <v>3.5890498169664165E-2</v>
      </c>
      <c r="M130" s="53">
        <f t="shared" si="98"/>
        <v>3.5890498169664165E-2</v>
      </c>
    </row>
    <row r="131" spans="2:13" s="2" customFormat="1" x14ac:dyDescent="0.25">
      <c r="B131" s="51"/>
      <c r="C131" s="51"/>
      <c r="D131" s="51"/>
      <c r="E131" s="43"/>
      <c r="F131" s="23"/>
      <c r="G131" s="23"/>
      <c r="H131" s="24"/>
      <c r="I131" s="25"/>
      <c r="J131" s="25"/>
      <c r="K131" s="25"/>
      <c r="L131" s="25"/>
      <c r="M131" s="25"/>
    </row>
    <row r="132" spans="2:13" x14ac:dyDescent="0.25">
      <c r="B132" s="35" t="s">
        <v>53</v>
      </c>
      <c r="C132" s="35"/>
      <c r="D132" s="35"/>
      <c r="E132" s="49" t="s">
        <v>63</v>
      </c>
      <c r="F132" s="26">
        <v>-7063</v>
      </c>
      <c r="G132" s="26">
        <v>-7971</v>
      </c>
      <c r="H132" s="27">
        <v>-8402</v>
      </c>
      <c r="I132" s="28">
        <f>-I10*I129</f>
        <v>-8703.5519656215183</v>
      </c>
      <c r="J132" s="28">
        <f>-J10*J129</f>
        <v>-9015.9267815132353</v>
      </c>
      <c r="K132" s="28">
        <f>-K10*K129</f>
        <v>-9339.5128851629615</v>
      </c>
      <c r="L132" s="28">
        <f>-L10*L129</f>
        <v>-9674.7126552734589</v>
      </c>
      <c r="M132" s="28">
        <f>-M10*M129</f>
        <v>-10021.942912119579</v>
      </c>
    </row>
    <row r="133" spans="2:13" x14ac:dyDescent="0.25">
      <c r="B133" s="35"/>
      <c r="C133" s="35"/>
      <c r="D133" s="35"/>
      <c r="E133" s="49"/>
      <c r="F133" s="26"/>
      <c r="G133" s="26"/>
      <c r="H133" s="27"/>
      <c r="I133" s="28"/>
      <c r="J133" s="28"/>
      <c r="K133" s="28"/>
      <c r="L133" s="28"/>
      <c r="M133" s="28"/>
    </row>
    <row r="134" spans="2:13" s="4" customFormat="1" x14ac:dyDescent="0.25">
      <c r="B134" s="4" t="s">
        <v>6</v>
      </c>
      <c r="E134" s="49" t="s">
        <v>63</v>
      </c>
      <c r="F134" s="45">
        <f t="shared" ref="F134:M134" si="99">SUM(F129:F132)</f>
        <v>4065</v>
      </c>
      <c r="G134" s="45">
        <f t="shared" si="99"/>
        <v>4595.1292235801575</v>
      </c>
      <c r="H134" s="46">
        <f t="shared" si="99"/>
        <v>4615.0358904981695</v>
      </c>
      <c r="I134" s="45">
        <f t="shared" si="99"/>
        <v>4780.670539551169</v>
      </c>
      <c r="J134" s="45">
        <f t="shared" si="99"/>
        <v>4952.2498986728388</v>
      </c>
      <c r="K134" s="45">
        <f t="shared" si="99"/>
        <v>5129.9873264690177</v>
      </c>
      <c r="L134" s="45">
        <f t="shared" si="99"/>
        <v>5314.1038390921949</v>
      </c>
      <c r="M134" s="45">
        <f t="shared" si="99"/>
        <v>5504.8283850746793</v>
      </c>
    </row>
    <row r="135" spans="2:13" s="4" customFormat="1" x14ac:dyDescent="0.25">
      <c r="B135" s="48" t="s">
        <v>67</v>
      </c>
      <c r="C135" s="48"/>
      <c r="D135" s="48"/>
      <c r="E135" s="43" t="s">
        <v>64</v>
      </c>
      <c r="F135" s="53">
        <f>+F134/F129</f>
        <v>0.36529475197699496</v>
      </c>
      <c r="G135" s="53">
        <f t="shared" ref="G135:M135" si="100">+G134/G129</f>
        <v>0.36567954986313522</v>
      </c>
      <c r="H135" s="54">
        <f t="shared" si="100"/>
        <v>0.35453913271092952</v>
      </c>
      <c r="I135" s="53">
        <f t="shared" si="100"/>
        <v>0.35453903718215229</v>
      </c>
      <c r="J135" s="53">
        <f t="shared" si="100"/>
        <v>0.35453894496316063</v>
      </c>
      <c r="K135" s="53">
        <f t="shared" si="100"/>
        <v>0.35453885593928042</v>
      </c>
      <c r="L135" s="53">
        <f t="shared" si="100"/>
        <v>0.35453876999981049</v>
      </c>
      <c r="M135" s="53">
        <f t="shared" si="100"/>
        <v>0.35453868703788544</v>
      </c>
    </row>
    <row r="136" spans="2:13" s="4" customFormat="1" x14ac:dyDescent="0.25">
      <c r="B136" s="48"/>
      <c r="C136" s="48"/>
      <c r="D136" s="48"/>
      <c r="E136" s="43"/>
      <c r="F136" s="45"/>
      <c r="G136" s="45"/>
      <c r="H136" s="46"/>
      <c r="I136" s="45"/>
      <c r="J136" s="45"/>
      <c r="K136" s="45"/>
      <c r="L136" s="45"/>
      <c r="M136" s="45"/>
    </row>
    <row r="137" spans="2:13" x14ac:dyDescent="0.25">
      <c r="B137" s="35" t="s">
        <v>54</v>
      </c>
      <c r="C137" s="35"/>
      <c r="D137" s="35"/>
      <c r="E137" s="43" t="s">
        <v>63</v>
      </c>
      <c r="F137" s="26">
        <v>-565</v>
      </c>
      <c r="G137" s="26">
        <v>-557</v>
      </c>
      <c r="H137" s="27">
        <v>-536</v>
      </c>
      <c r="I137" s="28">
        <f>-I11*I129</f>
        <v>-555.23730701893999</v>
      </c>
      <c r="J137" s="28">
        <f>-J11*J129</f>
        <v>-575.16505057023255</v>
      </c>
      <c r="K137" s="28">
        <f>-K11*K129</f>
        <v>-595.80801076497823</v>
      </c>
      <c r="L137" s="28">
        <f>-L11*L129</f>
        <v>-617.19185708480995</v>
      </c>
      <c r="M137" s="28">
        <f>-M11*M129</f>
        <v>-639.34318030184397</v>
      </c>
    </row>
    <row r="138" spans="2:13" x14ac:dyDescent="0.25">
      <c r="B138" s="35" t="s">
        <v>55</v>
      </c>
      <c r="C138" s="35"/>
      <c r="D138" s="35"/>
      <c r="E138" s="43" t="s">
        <v>63</v>
      </c>
      <c r="F138" s="33">
        <f>-1492+-542-F139</f>
        <v>1060</v>
      </c>
      <c r="G138" s="33">
        <f t="shared" ref="G138:H138" si="101">-1492+-542-G139</f>
        <v>-576</v>
      </c>
      <c r="H138" s="27">
        <f t="shared" si="101"/>
        <v>-854</v>
      </c>
      <c r="I138" s="28">
        <f>-I12*I129</f>
        <v>-884.65048543689318</v>
      </c>
      <c r="J138" s="28">
        <f>-J12*J129</f>
        <v>-916.40103206525851</v>
      </c>
      <c r="K138" s="28">
        <f>-K12*K129</f>
        <v>-949.29112162927504</v>
      </c>
      <c r="L138" s="28">
        <f>-L12*L129</f>
        <v>-983.36165289258906</v>
      </c>
      <c r="M138" s="28">
        <f>-M12*M129</f>
        <v>-1018.6549924958484</v>
      </c>
    </row>
    <row r="139" spans="2:13" x14ac:dyDescent="0.25">
      <c r="B139" s="35" t="s">
        <v>168</v>
      </c>
      <c r="C139" s="35"/>
      <c r="D139" s="35"/>
      <c r="E139" s="43" t="s">
        <v>63</v>
      </c>
      <c r="F139" s="33">
        <f>-F155</f>
        <v>-3094</v>
      </c>
      <c r="G139" s="33">
        <f t="shared" ref="G139:H139" si="102">-G155</f>
        <v>-1458</v>
      </c>
      <c r="H139" s="27">
        <f t="shared" si="102"/>
        <v>-1180</v>
      </c>
      <c r="I139" s="28">
        <f>-SUM(I45+I209)</f>
        <v>-1801.2</v>
      </c>
      <c r="J139" s="28">
        <f t="shared" ref="J139:M139" si="103">-SUM(J45+J209)</f>
        <v>-1811.5745486865669</v>
      </c>
      <c r="K139" s="28">
        <f t="shared" si="103"/>
        <v>-1827.463656219039</v>
      </c>
      <c r="L139" s="28">
        <f t="shared" si="103"/>
        <v>-1849.0652428615813</v>
      </c>
      <c r="M139" s="28">
        <f t="shared" si="103"/>
        <v>-1882.501835166353</v>
      </c>
    </row>
    <row r="140" spans="2:13" x14ac:dyDescent="0.25">
      <c r="B140" s="35" t="s">
        <v>56</v>
      </c>
      <c r="C140" s="35"/>
      <c r="D140" s="35"/>
      <c r="E140" s="43" t="s">
        <v>63</v>
      </c>
      <c r="F140" s="26">
        <f>-(1862+177+814)</f>
        <v>-2853</v>
      </c>
      <c r="G140" s="33">
        <f>-81-50</f>
        <v>-131</v>
      </c>
      <c r="H140" s="27">
        <f>-193-155</f>
        <v>-348</v>
      </c>
      <c r="I140" s="28">
        <v>0</v>
      </c>
      <c r="J140" s="28">
        <v>0</v>
      </c>
      <c r="K140" s="28">
        <v>0</v>
      </c>
      <c r="L140" s="28">
        <v>0</v>
      </c>
      <c r="M140" s="28">
        <v>0</v>
      </c>
    </row>
    <row r="141" spans="2:13" x14ac:dyDescent="0.25">
      <c r="B141" s="35" t="s">
        <v>7</v>
      </c>
      <c r="C141" s="35"/>
      <c r="D141" s="35"/>
      <c r="E141" s="49" t="s">
        <v>63</v>
      </c>
      <c r="F141" s="26">
        <v>168</v>
      </c>
      <c r="G141" s="26">
        <v>85</v>
      </c>
      <c r="H141" s="27">
        <v>75</v>
      </c>
      <c r="I141" s="32">
        <f>+H141</f>
        <v>75</v>
      </c>
      <c r="J141" s="32">
        <f t="shared" ref="J141:M141" si="104">+I141</f>
        <v>75</v>
      </c>
      <c r="K141" s="32">
        <f t="shared" si="104"/>
        <v>75</v>
      </c>
      <c r="L141" s="32">
        <f t="shared" si="104"/>
        <v>75</v>
      </c>
      <c r="M141" s="32">
        <f t="shared" si="104"/>
        <v>75</v>
      </c>
    </row>
    <row r="142" spans="2:13" x14ac:dyDescent="0.25">
      <c r="B142" s="35"/>
      <c r="C142" s="35"/>
      <c r="D142" s="35"/>
      <c r="E142" s="49"/>
      <c r="F142" s="26"/>
      <c r="G142" s="26"/>
      <c r="H142" s="27"/>
      <c r="I142" s="32"/>
      <c r="J142" s="32"/>
      <c r="K142" s="32"/>
      <c r="L142" s="32"/>
      <c r="M142" s="32"/>
    </row>
    <row r="143" spans="2:13" x14ac:dyDescent="0.25">
      <c r="B143" s="4" t="s">
        <v>8</v>
      </c>
      <c r="C143" s="4"/>
      <c r="D143" s="4"/>
      <c r="E143" s="49" t="s">
        <v>63</v>
      </c>
      <c r="F143" s="45">
        <f>SUM(F134:F141)</f>
        <v>-1218.6347052480232</v>
      </c>
      <c r="G143" s="45">
        <f>SUM(G134:G141)</f>
        <v>1958.4949031300202</v>
      </c>
      <c r="H143" s="46">
        <f>SUM(H134:H141)</f>
        <v>1772.3904296308801</v>
      </c>
      <c r="I143" s="45">
        <f>+SUM(I134,I137:I141)</f>
        <v>1614.5827470953361</v>
      </c>
      <c r="J143" s="45">
        <f>SUM(J134:J141)</f>
        <v>1724.4638062957431</v>
      </c>
      <c r="K143" s="45">
        <f>SUM(K134:K141)</f>
        <v>1832.7790767116649</v>
      </c>
      <c r="L143" s="45">
        <f>SUM(L134:L141)</f>
        <v>1939.839625023214</v>
      </c>
      <c r="M143" s="45">
        <f>SUM(M134:M141)</f>
        <v>2039.6829157976722</v>
      </c>
    </row>
    <row r="144" spans="2:13" x14ac:dyDescent="0.25">
      <c r="B144" s="48" t="s">
        <v>68</v>
      </c>
      <c r="C144" s="48"/>
      <c r="D144" s="48"/>
      <c r="E144" s="43" t="s">
        <v>64</v>
      </c>
      <c r="F144" s="53">
        <f>+F143/F129</f>
        <v>-0.10951066725808979</v>
      </c>
      <c r="G144" s="53">
        <f t="shared" ref="G144:M144" si="105">+G143/G129</f>
        <v>0.15585666903788162</v>
      </c>
      <c r="H144" s="54">
        <f t="shared" si="105"/>
        <v>0.13615967040261812</v>
      </c>
      <c r="I144" s="53">
        <f t="shared" si="105"/>
        <v>0.11973897968292907</v>
      </c>
      <c r="J144" s="53">
        <f t="shared" si="105"/>
        <v>0.12345693190383954</v>
      </c>
      <c r="K144" s="53">
        <f t="shared" si="105"/>
        <v>0.12666530260106065</v>
      </c>
      <c r="L144" s="53">
        <f t="shared" si="105"/>
        <v>0.12941944220083429</v>
      </c>
      <c r="M144" s="53">
        <f t="shared" si="105"/>
        <v>0.13136585781696483</v>
      </c>
    </row>
    <row r="145" spans="2:13" x14ac:dyDescent="0.25">
      <c r="B145" s="48"/>
      <c r="C145" s="48"/>
      <c r="D145" s="48"/>
      <c r="E145" s="43"/>
      <c r="F145" s="45"/>
      <c r="G145" s="45"/>
      <c r="H145" s="46"/>
      <c r="I145" s="45"/>
      <c r="J145" s="45"/>
      <c r="K145" s="45"/>
      <c r="L145" s="45"/>
      <c r="M145" s="45"/>
    </row>
    <row r="146" spans="2:13" x14ac:dyDescent="0.25">
      <c r="B146" t="s">
        <v>57</v>
      </c>
      <c r="E146" s="43" t="s">
        <v>63</v>
      </c>
      <c r="F146" s="26">
        <v>632</v>
      </c>
      <c r="G146" s="26">
        <v>145</v>
      </c>
      <c r="H146" s="27">
        <v>191</v>
      </c>
      <c r="I146" s="55">
        <f ca="1">+I122</f>
        <v>72.050801405544533</v>
      </c>
      <c r="J146" s="55">
        <f t="shared" ref="J146:M146" ca="1" si="106">+J122</f>
        <v>26.365349978010855</v>
      </c>
      <c r="K146" s="55">
        <f t="shared" ca="1" si="106"/>
        <v>-10.159304791624502</v>
      </c>
      <c r="L146" s="55">
        <f t="shared" ca="1" si="106"/>
        <v>-44.886794640669386</v>
      </c>
      <c r="M146" s="55">
        <f t="shared" ca="1" si="106"/>
        <v>-78.212809182891419</v>
      </c>
    </row>
    <row r="147" spans="2:13" x14ac:dyDescent="0.25">
      <c r="B147" t="s">
        <v>58</v>
      </c>
      <c r="E147" s="49" t="s">
        <v>63</v>
      </c>
      <c r="F147" s="26">
        <v>-672</v>
      </c>
      <c r="G147" s="33">
        <v>-525</v>
      </c>
      <c r="H147" s="27">
        <v>-492</v>
      </c>
      <c r="I147" s="55">
        <f ca="1">-(+I102+I111+I91)</f>
        <v>-390.70000000000005</v>
      </c>
      <c r="J147" s="55">
        <f t="shared" ref="J147:M147" ca="1" si="107">-(+J102+J111+J91)</f>
        <v>-364.70000000000005</v>
      </c>
      <c r="K147" s="55">
        <f t="shared" ca="1" si="107"/>
        <v>-371.90963341022712</v>
      </c>
      <c r="L147" s="55">
        <f t="shared" ca="1" si="107"/>
        <v>-453.97662001190054</v>
      </c>
      <c r="M147" s="55">
        <f t="shared" ca="1" si="107"/>
        <v>-619.35864296912916</v>
      </c>
    </row>
    <row r="148" spans="2:13" x14ac:dyDescent="0.25">
      <c r="E148" s="49"/>
      <c r="F148" s="26"/>
      <c r="G148" s="33"/>
      <c r="H148" s="27"/>
      <c r="I148" s="55"/>
      <c r="J148" s="55"/>
      <c r="K148" s="55"/>
      <c r="L148" s="55"/>
      <c r="M148" s="55"/>
    </row>
    <row r="149" spans="2:13" x14ac:dyDescent="0.25">
      <c r="B149" s="4" t="s">
        <v>65</v>
      </c>
      <c r="C149" s="4"/>
      <c r="D149" s="4"/>
      <c r="E149" s="49" t="s">
        <v>63</v>
      </c>
      <c r="F149" s="45">
        <f t="shared" ref="F149:M149" si="108">SUM(F143:F147)</f>
        <v>-1258.7442159152813</v>
      </c>
      <c r="G149" s="45">
        <f t="shared" si="108"/>
        <v>1578.6507597990581</v>
      </c>
      <c r="H149" s="46">
        <f t="shared" si="108"/>
        <v>1471.5265893012827</v>
      </c>
      <c r="I149" s="45">
        <f t="shared" ca="1" si="108"/>
        <v>1296.0532874805635</v>
      </c>
      <c r="J149" s="45">
        <f t="shared" ca="1" si="108"/>
        <v>1386.2526132056578</v>
      </c>
      <c r="K149" s="45">
        <f t="shared" ca="1" si="108"/>
        <v>1450.8368038124145</v>
      </c>
      <c r="L149" s="45">
        <f t="shared" ca="1" si="108"/>
        <v>1441.1056298128447</v>
      </c>
      <c r="M149" s="45">
        <f t="shared" ca="1" si="108"/>
        <v>1342.2428295034688</v>
      </c>
    </row>
    <row r="150" spans="2:13" x14ac:dyDescent="0.25">
      <c r="B150" s="35" t="s">
        <v>59</v>
      </c>
      <c r="C150" s="35"/>
      <c r="D150" s="35"/>
      <c r="E150" s="43" t="s">
        <v>63</v>
      </c>
      <c r="F150" s="26">
        <v>-90</v>
      </c>
      <c r="G150" s="34">
        <v>-237</v>
      </c>
      <c r="H150" s="27">
        <v>-387</v>
      </c>
      <c r="I150" s="28">
        <f ca="1">-I13*I149</f>
        <v>-340.85189211099282</v>
      </c>
      <c r="J150" s="28">
        <f ca="1">-J13*J149</f>
        <v>-364.57361029767287</v>
      </c>
      <c r="K150" s="28">
        <f ca="1">-K13*K149</f>
        <v>-381.55874800876421</v>
      </c>
      <c r="L150" s="28">
        <f ca="1">-L13*L149</f>
        <v>-378.9995252497506</v>
      </c>
      <c r="M150" s="28">
        <f ca="1">-M13*M149</f>
        <v>-352.99938091128149</v>
      </c>
    </row>
    <row r="151" spans="2:13" x14ac:dyDescent="0.25">
      <c r="B151" s="35" t="s">
        <v>60</v>
      </c>
      <c r="C151" s="35"/>
      <c r="D151" s="35"/>
      <c r="E151" s="43" t="s">
        <v>63</v>
      </c>
      <c r="F151" s="26">
        <v>-1574</v>
      </c>
      <c r="G151" s="34">
        <v>5308</v>
      </c>
      <c r="H151" s="27">
        <v>4856</v>
      </c>
      <c r="I151" s="32">
        <v>0</v>
      </c>
      <c r="J151" s="32">
        <v>0</v>
      </c>
      <c r="K151" s="32">
        <v>0</v>
      </c>
      <c r="L151" s="32">
        <v>0</v>
      </c>
      <c r="M151" s="32">
        <v>0</v>
      </c>
    </row>
    <row r="152" spans="2:13" x14ac:dyDescent="0.25">
      <c r="B152" s="5" t="s">
        <v>10</v>
      </c>
      <c r="C152" s="5"/>
      <c r="D152" s="5"/>
      <c r="E152" s="5"/>
      <c r="F152" s="29">
        <f>SUM(F149:F151)</f>
        <v>-2922.7442159152815</v>
      </c>
      <c r="G152" s="29">
        <f t="shared" ref="G152:H152" si="109">SUM(G149:G151)</f>
        <v>6649.6507597990585</v>
      </c>
      <c r="H152" s="30">
        <f t="shared" si="109"/>
        <v>5940.5265893012829</v>
      </c>
      <c r="I152" s="29">
        <f ca="1">SUM(I149:I151)</f>
        <v>955.20139536957072</v>
      </c>
      <c r="J152" s="29">
        <f t="shared" ref="J152:M152" ca="1" si="110">SUM(J149:J151)</f>
        <v>1021.6790029079849</v>
      </c>
      <c r="K152" s="29">
        <f t="shared" ca="1" si="110"/>
        <v>1069.2780558036502</v>
      </c>
      <c r="L152" s="29">
        <f t="shared" ca="1" si="110"/>
        <v>1062.106104563094</v>
      </c>
      <c r="M152" s="29">
        <f t="shared" ca="1" si="110"/>
        <v>989.24344859218729</v>
      </c>
    </row>
    <row r="154" spans="2:13" x14ac:dyDescent="0.25">
      <c r="B154" s="8" t="s">
        <v>17</v>
      </c>
      <c r="C154" s="8"/>
      <c r="D154" s="8"/>
      <c r="E154" s="43" t="s">
        <v>63</v>
      </c>
      <c r="F154" s="28">
        <f>+F143</f>
        <v>-1218.6347052480232</v>
      </c>
      <c r="G154" s="28">
        <f>+G143</f>
        <v>1958.4949031300202</v>
      </c>
      <c r="H154" s="16">
        <f>+H143</f>
        <v>1772.3904296308801</v>
      </c>
    </row>
    <row r="155" spans="2:13" x14ac:dyDescent="0.25">
      <c r="B155" s="35" t="s">
        <v>61</v>
      </c>
      <c r="C155" s="109"/>
      <c r="D155" s="109"/>
      <c r="E155" s="44" t="s">
        <v>63</v>
      </c>
      <c r="F155" s="28">
        <f>+SUM(F208:F209)</f>
        <v>3094</v>
      </c>
      <c r="G155" s="28">
        <f t="shared" ref="G155:H155" si="111">+SUM(G208:G209)</f>
        <v>1458</v>
      </c>
      <c r="H155" s="16">
        <f t="shared" si="111"/>
        <v>1180</v>
      </c>
    </row>
    <row r="156" spans="2:13" x14ac:dyDescent="0.25">
      <c r="B156" s="9" t="s">
        <v>18</v>
      </c>
      <c r="C156" s="8"/>
      <c r="D156" s="8"/>
      <c r="E156" s="43" t="s">
        <v>63</v>
      </c>
      <c r="F156" s="59">
        <f>+SUM(F154:F155)</f>
        <v>1875.3652947519768</v>
      </c>
      <c r="G156" s="59">
        <f t="shared" ref="G156:M156" si="112">+SUM(G154:G155)</f>
        <v>3416.4949031300202</v>
      </c>
      <c r="H156" s="60">
        <f t="shared" si="112"/>
        <v>2952.3904296308801</v>
      </c>
      <c r="I156" s="7">
        <f t="shared" si="112"/>
        <v>0</v>
      </c>
      <c r="J156" s="7">
        <f t="shared" si="112"/>
        <v>0</v>
      </c>
      <c r="K156" s="7">
        <f t="shared" si="112"/>
        <v>0</v>
      </c>
      <c r="L156" s="7">
        <f t="shared" si="112"/>
        <v>0</v>
      </c>
      <c r="M156" s="7">
        <f t="shared" si="112"/>
        <v>0</v>
      </c>
    </row>
    <row r="158" spans="2:13" x14ac:dyDescent="0.25">
      <c r="B158" s="36"/>
      <c r="C158" s="36"/>
      <c r="D158" s="36"/>
      <c r="E158" s="36"/>
      <c r="F158" s="39" t="s">
        <v>1</v>
      </c>
      <c r="G158" s="39"/>
      <c r="H158" s="40"/>
      <c r="I158" s="41" t="s">
        <v>2</v>
      </c>
      <c r="J158" s="42"/>
      <c r="K158" s="42"/>
      <c r="L158" s="42"/>
      <c r="M158" s="42"/>
    </row>
    <row r="159" spans="2:13" x14ac:dyDescent="0.25">
      <c r="B159" s="36" t="s">
        <v>3</v>
      </c>
      <c r="C159" s="36"/>
      <c r="D159" s="36"/>
      <c r="E159" s="67" t="s">
        <v>62</v>
      </c>
      <c r="F159" s="37">
        <v>44196</v>
      </c>
      <c r="G159" s="37">
        <f>+EOMONTH(F159,12)</f>
        <v>44561</v>
      </c>
      <c r="H159" s="38">
        <f t="shared" ref="H159:M159" si="113">+EOMONTH(G159,12)</f>
        <v>44926</v>
      </c>
      <c r="I159" s="37">
        <f t="shared" si="113"/>
        <v>45291</v>
      </c>
      <c r="J159" s="37">
        <f t="shared" si="113"/>
        <v>45657</v>
      </c>
      <c r="K159" s="37">
        <f t="shared" si="113"/>
        <v>46022</v>
      </c>
      <c r="L159" s="37">
        <f t="shared" si="113"/>
        <v>46387</v>
      </c>
      <c r="M159" s="37">
        <f t="shared" si="113"/>
        <v>46752</v>
      </c>
    </row>
    <row r="160" spans="2:13" x14ac:dyDescent="0.25">
      <c r="B160" s="63" t="s">
        <v>72</v>
      </c>
      <c r="C160" s="63"/>
      <c r="D160" s="63"/>
      <c r="E160" s="64"/>
      <c r="F160" s="64"/>
      <c r="G160" s="64"/>
      <c r="H160" s="65"/>
      <c r="I160" s="64"/>
      <c r="J160" s="64"/>
      <c r="K160" s="64"/>
      <c r="L160" s="64"/>
      <c r="M160" s="64"/>
    </row>
    <row r="161" spans="2:13" x14ac:dyDescent="0.25">
      <c r="B161" s="8" t="s">
        <v>69</v>
      </c>
      <c r="C161" s="8"/>
      <c r="D161" s="8"/>
      <c r="E161" s="21"/>
      <c r="F161" s="21"/>
      <c r="G161" s="21"/>
      <c r="H161" s="66"/>
      <c r="I161" s="21"/>
      <c r="J161" s="21"/>
      <c r="K161" s="21"/>
      <c r="L161" s="21"/>
      <c r="M161" s="21"/>
    </row>
    <row r="162" spans="2:13" x14ac:dyDescent="0.25">
      <c r="B162" s="35" t="s">
        <v>11</v>
      </c>
      <c r="C162" s="35"/>
      <c r="D162" s="35"/>
      <c r="E162" s="43" t="s">
        <v>63</v>
      </c>
      <c r="F162" s="78"/>
      <c r="G162" s="78">
        <v>1972</v>
      </c>
      <c r="H162" s="79">
        <f>3662+1302</f>
        <v>4964</v>
      </c>
      <c r="I162" s="71">
        <f ca="1">+H162+I244</f>
        <v>2241.0801405544526</v>
      </c>
      <c r="J162" s="71">
        <f ca="1">+I162+J244</f>
        <v>395.45485724663286</v>
      </c>
      <c r="K162" s="71">
        <f ca="1">+J162+K244</f>
        <v>-1411.385336409083</v>
      </c>
      <c r="L162" s="71">
        <f ca="1">+K162+L244</f>
        <v>-3077.2941276578558</v>
      </c>
      <c r="M162" s="71">
        <f ca="1">+L162+M244</f>
        <v>-4743.9867906312866</v>
      </c>
    </row>
    <row r="163" spans="2:13" x14ac:dyDescent="0.25">
      <c r="B163" s="35" t="s">
        <v>12</v>
      </c>
      <c r="C163" s="35"/>
      <c r="D163" s="35"/>
      <c r="E163" s="43" t="s">
        <v>63</v>
      </c>
      <c r="F163" s="28"/>
      <c r="G163" s="26">
        <v>2159</v>
      </c>
      <c r="H163" s="27">
        <v>2518</v>
      </c>
      <c r="I163" s="28">
        <f>+I17/365*I129</f>
        <v>2608.372274391214</v>
      </c>
      <c r="J163" s="28">
        <f>+J17/365*J129</f>
        <v>2701.9880547310549</v>
      </c>
      <c r="K163" s="28">
        <f>+K17/365*K129</f>
        <v>2798.9637520638344</v>
      </c>
      <c r="L163" s="28">
        <f>+L17/365*L129</f>
        <v>2899.419955484238</v>
      </c>
      <c r="M163" s="28">
        <f>+M17/365*M129</f>
        <v>3003.4815820896329</v>
      </c>
    </row>
    <row r="164" spans="2:13" x14ac:dyDescent="0.25">
      <c r="B164" s="35" t="s">
        <v>13</v>
      </c>
      <c r="C164" s="35"/>
      <c r="D164" s="35"/>
      <c r="E164" s="43" t="s">
        <v>63</v>
      </c>
      <c r="F164" s="28"/>
      <c r="G164" s="26">
        <v>2086</v>
      </c>
      <c r="H164" s="27">
        <v>2329</v>
      </c>
      <c r="I164" s="28">
        <f>-I132/I18</f>
        <v>2412.5889702371478</v>
      </c>
      <c r="J164" s="28">
        <f>-J132/J18</f>
        <v>2499.1779902575963</v>
      </c>
      <c r="K164" s="28">
        <f>-K132/K18</f>
        <v>2588.8747333426013</v>
      </c>
      <c r="L164" s="28">
        <f>-L132/L18</f>
        <v>2681.7907372211243</v>
      </c>
      <c r="M164" s="28">
        <f>-M132/M18</f>
        <v>2778.0415427667817</v>
      </c>
    </row>
    <row r="165" spans="2:13" x14ac:dyDescent="0.25">
      <c r="B165" s="35" t="s">
        <v>14</v>
      </c>
      <c r="C165" s="35"/>
      <c r="D165" s="35"/>
      <c r="E165" s="43" t="s">
        <v>63</v>
      </c>
      <c r="F165" s="28"/>
      <c r="G165" s="26">
        <v>177</v>
      </c>
      <c r="H165" s="27">
        <v>168</v>
      </c>
      <c r="I165" s="28">
        <f>+I19*I129</f>
        <v>174.02960369250357</v>
      </c>
      <c r="J165" s="28">
        <f>+J19*J129</f>
        <v>180.27561286529675</v>
      </c>
      <c r="K165" s="28">
        <f>+K19*K129</f>
        <v>186.74579441887377</v>
      </c>
      <c r="L165" s="28">
        <f>+L19*L129</f>
        <v>193.44819401165685</v>
      </c>
      <c r="M165" s="28">
        <f>+M19*M129</f>
        <v>200.39114606475707</v>
      </c>
    </row>
    <row r="166" spans="2:13" x14ac:dyDescent="0.25">
      <c r="B166" s="35" t="s">
        <v>27</v>
      </c>
      <c r="C166" s="35"/>
      <c r="D166" s="35"/>
      <c r="E166" s="43" t="s">
        <v>63</v>
      </c>
      <c r="F166" s="28"/>
      <c r="G166" s="26">
        <f>245+7664</f>
        <v>7909</v>
      </c>
      <c r="H166" s="27">
        <v>1291</v>
      </c>
      <c r="I166" s="28">
        <f>+I20*I129</f>
        <v>1337.3346331370365</v>
      </c>
      <c r="J166" s="28">
        <f>+J20*J129</f>
        <v>1385.3322393398698</v>
      </c>
      <c r="K166" s="28">
        <f>+K20*K129</f>
        <v>1435.0525035402741</v>
      </c>
      <c r="L166" s="28">
        <f>+L20*L129</f>
        <v>1486.5572527919585</v>
      </c>
      <c r="M166" s="28">
        <f>+M20*M129</f>
        <v>1539.9105331523892</v>
      </c>
    </row>
    <row r="167" spans="2:13" x14ac:dyDescent="0.25">
      <c r="B167" s="5" t="s">
        <v>15</v>
      </c>
      <c r="C167" s="5"/>
      <c r="D167" s="5"/>
      <c r="E167" s="52" t="s">
        <v>63</v>
      </c>
      <c r="F167" s="29"/>
      <c r="G167" s="29">
        <f>SUM(G162:G166)</f>
        <v>14303</v>
      </c>
      <c r="H167" s="30">
        <f>SUM(H162:H166)</f>
        <v>11270</v>
      </c>
      <c r="I167" s="29">
        <f t="shared" ref="I167:M167" ca="1" si="114">SUM(I162:I166)</f>
        <v>8773.4056220123548</v>
      </c>
      <c r="J167" s="29">
        <f t="shared" ca="1" si="114"/>
        <v>7162.2287544404498</v>
      </c>
      <c r="K167" s="29">
        <f t="shared" ca="1" si="114"/>
        <v>5598.2514469565003</v>
      </c>
      <c r="L167" s="29">
        <f t="shared" ca="1" si="114"/>
        <v>4183.9220118511221</v>
      </c>
      <c r="M167" s="29">
        <f t="shared" ca="1" si="114"/>
        <v>2777.8380134422741</v>
      </c>
    </row>
    <row r="168" spans="2:13" x14ac:dyDescent="0.25">
      <c r="B168" s="4"/>
      <c r="C168" s="4"/>
      <c r="D168" s="4"/>
      <c r="E168" s="4"/>
      <c r="F168" s="45"/>
      <c r="G168" s="45"/>
      <c r="H168" s="46"/>
      <c r="I168" s="45"/>
      <c r="J168" s="45"/>
      <c r="K168" s="45"/>
      <c r="L168" s="45"/>
      <c r="M168" s="45"/>
    </row>
    <row r="169" spans="2:13" x14ac:dyDescent="0.25">
      <c r="B169" s="68" t="s">
        <v>70</v>
      </c>
      <c r="C169" s="68"/>
      <c r="D169" s="68"/>
      <c r="F169" s="28"/>
      <c r="G169" s="28"/>
      <c r="H169" s="16"/>
      <c r="I169" s="28"/>
      <c r="J169" s="28"/>
      <c r="K169" s="28"/>
      <c r="L169" s="28"/>
      <c r="M169" s="28"/>
    </row>
    <row r="170" spans="2:13" x14ac:dyDescent="0.25">
      <c r="B170" s="35" t="s">
        <v>16</v>
      </c>
      <c r="C170" s="35"/>
      <c r="D170" s="35"/>
      <c r="E170" s="43" t="s">
        <v>63</v>
      </c>
      <c r="F170" s="28"/>
      <c r="G170" s="28">
        <v>5753</v>
      </c>
      <c r="H170" s="16">
        <v>5731</v>
      </c>
      <c r="I170" s="28">
        <f>+I47</f>
        <v>5169.8</v>
      </c>
      <c r="J170" s="28">
        <f>+J47</f>
        <v>5484.7209381791026</v>
      </c>
      <c r="K170" s="28">
        <f>+K47</f>
        <v>5838.8983572847828</v>
      </c>
      <c r="L170" s="28">
        <f>+L47</f>
        <v>6228.5989808486247</v>
      </c>
      <c r="M170" s="28">
        <f>+M47</f>
        <v>6644.0380404188418</v>
      </c>
    </row>
    <row r="171" spans="2:13" x14ac:dyDescent="0.25">
      <c r="B171" s="35" t="s">
        <v>19</v>
      </c>
      <c r="C171" s="35"/>
      <c r="D171" s="35"/>
      <c r="E171" s="43" t="s">
        <v>63</v>
      </c>
      <c r="F171" s="28"/>
      <c r="G171" s="28">
        <f>16981+6222</f>
        <v>23203</v>
      </c>
      <c r="H171" s="16">
        <f>5495+16663</f>
        <v>22158</v>
      </c>
      <c r="I171" s="28">
        <f>+H171-I209</f>
        <v>21568</v>
      </c>
      <c r="J171" s="28">
        <f t="shared" ref="J171:M171" si="115">+I171-J209</f>
        <v>20978</v>
      </c>
      <c r="K171" s="28">
        <f t="shared" si="115"/>
        <v>20388</v>
      </c>
      <c r="L171" s="28">
        <f t="shared" si="115"/>
        <v>19798</v>
      </c>
      <c r="M171" s="28">
        <f t="shared" si="115"/>
        <v>19208</v>
      </c>
    </row>
    <row r="172" spans="2:13" x14ac:dyDescent="0.25">
      <c r="B172" s="35" t="s">
        <v>20</v>
      </c>
      <c r="C172" s="35"/>
      <c r="D172" s="35"/>
      <c r="E172" s="43" t="s">
        <v>63</v>
      </c>
      <c r="F172" s="28"/>
      <c r="G172" s="28">
        <v>53</v>
      </c>
      <c r="H172" s="16">
        <v>103</v>
      </c>
      <c r="I172" s="28">
        <f>+H172</f>
        <v>103</v>
      </c>
      <c r="J172" s="28">
        <f t="shared" ref="J172:M172" si="116">+I172</f>
        <v>103</v>
      </c>
      <c r="K172" s="28">
        <f t="shared" si="116"/>
        <v>103</v>
      </c>
      <c r="L172" s="28">
        <f t="shared" si="116"/>
        <v>103</v>
      </c>
      <c r="M172" s="28">
        <f t="shared" si="116"/>
        <v>103</v>
      </c>
    </row>
    <row r="173" spans="2:13" x14ac:dyDescent="0.25">
      <c r="B173" s="35" t="s">
        <v>33</v>
      </c>
      <c r="C173" s="35"/>
      <c r="D173" s="35"/>
      <c r="E173" s="43" t="s">
        <v>63</v>
      </c>
      <c r="F173" s="28"/>
      <c r="G173" s="28">
        <v>116</v>
      </c>
      <c r="H173" s="16">
        <v>109</v>
      </c>
      <c r="I173" s="28">
        <f ca="1">+I21*-I150</f>
        <v>96.002212506713747</v>
      </c>
      <c r="J173" s="28">
        <f ca="1">+J21*-J150</f>
        <v>102.68352331381485</v>
      </c>
      <c r="K173" s="28">
        <f ca="1">+K21*-K150</f>
        <v>107.46745098954858</v>
      </c>
      <c r="L173" s="28">
        <f ca="1">+L21*-L150</f>
        <v>106.74663631065327</v>
      </c>
      <c r="M173" s="28">
        <f ca="1">+M21*-M150</f>
        <v>99.423598241161983</v>
      </c>
    </row>
    <row r="174" spans="2:13" x14ac:dyDescent="0.25">
      <c r="B174" s="35" t="s">
        <v>24</v>
      </c>
      <c r="C174" s="35"/>
      <c r="D174" s="35"/>
      <c r="E174" s="43" t="s">
        <v>63</v>
      </c>
      <c r="F174" s="28"/>
      <c r="G174" s="28">
        <f>919+1360</f>
        <v>2279</v>
      </c>
      <c r="H174" s="16">
        <f>1251+733</f>
        <v>1984</v>
      </c>
      <c r="I174" s="28">
        <f>+I22*I129</f>
        <v>2055.2067483686137</v>
      </c>
      <c r="J174" s="28">
        <f>+J22*J129</f>
        <v>2128.9691424092189</v>
      </c>
      <c r="K174" s="28">
        <f>+K22*K129</f>
        <v>2205.3789055181282</v>
      </c>
      <c r="L174" s="28">
        <f>+L22*L129</f>
        <v>2284.5310530900429</v>
      </c>
      <c r="M174" s="28">
        <f>+M22*M129</f>
        <v>2366.5240106695119</v>
      </c>
    </row>
    <row r="175" spans="2:13" x14ac:dyDescent="0.25">
      <c r="B175" s="5" t="s">
        <v>71</v>
      </c>
      <c r="C175" s="5"/>
      <c r="D175" s="5"/>
      <c r="E175" s="52" t="s">
        <v>63</v>
      </c>
      <c r="F175" s="29"/>
      <c r="G175" s="29">
        <f>+SUM(G170:G174)</f>
        <v>31404</v>
      </c>
      <c r="H175" s="30">
        <f t="shared" ref="H175:M175" si="117">+SUM(H170:H174)</f>
        <v>30085</v>
      </c>
      <c r="I175" s="29">
        <f t="shared" ca="1" si="117"/>
        <v>28992.00896087533</v>
      </c>
      <c r="J175" s="29">
        <f t="shared" ca="1" si="117"/>
        <v>28797.373603902139</v>
      </c>
      <c r="K175" s="29">
        <f t="shared" ca="1" si="117"/>
        <v>28642.744713792461</v>
      </c>
      <c r="L175" s="29">
        <f t="shared" ca="1" si="117"/>
        <v>28520.876670249323</v>
      </c>
      <c r="M175" s="29">
        <f t="shared" ca="1" si="117"/>
        <v>28420.985649329516</v>
      </c>
    </row>
    <row r="176" spans="2:13" x14ac:dyDescent="0.25">
      <c r="B176" s="4"/>
      <c r="C176" s="4"/>
      <c r="D176" s="4"/>
      <c r="E176" s="4"/>
      <c r="F176" s="45"/>
      <c r="G176" s="45"/>
      <c r="H176" s="46"/>
      <c r="I176" s="45"/>
      <c r="J176" s="45"/>
      <c r="K176" s="45"/>
      <c r="L176" s="45"/>
      <c r="M176" s="45"/>
    </row>
    <row r="177" spans="2:13" x14ac:dyDescent="0.25">
      <c r="B177" s="68" t="s">
        <v>21</v>
      </c>
      <c r="C177" s="68"/>
      <c r="D177" s="68"/>
      <c r="E177" s="43" t="s">
        <v>63</v>
      </c>
      <c r="F177" s="28"/>
      <c r="G177" s="25">
        <f>+G175+G167</f>
        <v>45707</v>
      </c>
      <c r="H177" s="46">
        <f>+H175+H167</f>
        <v>41355</v>
      </c>
      <c r="I177" s="25">
        <f ca="1">+SUM(I175,I167)</f>
        <v>37765.414582887686</v>
      </c>
      <c r="J177" s="25">
        <f t="shared" ref="J177:M177" ca="1" si="118">+SUM(J175,J167)</f>
        <v>35959.602358342585</v>
      </c>
      <c r="K177" s="25">
        <f t="shared" ca="1" si="118"/>
        <v>34240.99616074896</v>
      </c>
      <c r="L177" s="25">
        <f t="shared" ca="1" si="118"/>
        <v>32704.798682100445</v>
      </c>
      <c r="M177" s="25">
        <f t="shared" ca="1" si="118"/>
        <v>31198.823662771789</v>
      </c>
    </row>
    <row r="178" spans="2:13" x14ac:dyDescent="0.25">
      <c r="B178" s="68"/>
      <c r="C178" s="68"/>
      <c r="D178" s="68"/>
      <c r="E178" s="43"/>
      <c r="F178" s="28"/>
      <c r="G178" s="25"/>
      <c r="H178" s="46"/>
      <c r="I178" s="25"/>
      <c r="J178" s="25"/>
      <c r="K178" s="25"/>
      <c r="L178" s="25"/>
      <c r="M178" s="25"/>
    </row>
    <row r="179" spans="2:13" x14ac:dyDescent="0.25">
      <c r="B179" s="63" t="s">
        <v>73</v>
      </c>
      <c r="C179" s="63"/>
      <c r="D179" s="63"/>
      <c r="E179" s="64"/>
      <c r="F179" s="64"/>
      <c r="G179" s="64"/>
      <c r="H179" s="65"/>
      <c r="I179" s="64"/>
      <c r="J179" s="64"/>
      <c r="K179" s="64"/>
      <c r="L179" s="64"/>
      <c r="M179" s="64"/>
    </row>
    <row r="180" spans="2:13" x14ac:dyDescent="0.25">
      <c r="B180" s="8" t="s">
        <v>29</v>
      </c>
      <c r="C180" s="8"/>
      <c r="D180" s="8"/>
      <c r="E180" s="21"/>
      <c r="F180" s="21"/>
      <c r="G180" s="21"/>
      <c r="H180" s="66"/>
      <c r="I180" s="21"/>
      <c r="J180" s="21"/>
      <c r="K180" s="21"/>
      <c r="L180" s="21"/>
      <c r="M180" s="21"/>
    </row>
    <row r="181" spans="2:13" x14ac:dyDescent="0.25">
      <c r="B181" s="35" t="s">
        <v>22</v>
      </c>
      <c r="C181" s="35"/>
      <c r="D181" s="35"/>
      <c r="E181" s="43" t="s">
        <v>63</v>
      </c>
      <c r="F181" s="28"/>
      <c r="G181" s="69">
        <v>2102</v>
      </c>
      <c r="H181" s="70">
        <v>2103</v>
      </c>
      <c r="I181" s="71">
        <f>+I24*-I132</f>
        <v>2178.4777176508037</v>
      </c>
      <c r="J181" s="71">
        <f>+J24*-J132</f>
        <v>2256.6643681888045</v>
      </c>
      <c r="K181" s="71">
        <f>+K24*-K132</f>
        <v>2337.6571765648309</v>
      </c>
      <c r="L181" s="71">
        <f>+L24*-L132</f>
        <v>2421.5568571816334</v>
      </c>
      <c r="M181" s="71">
        <f>+M24*-M132</f>
        <v>2508.4677391320488</v>
      </c>
    </row>
    <row r="182" spans="2:13" x14ac:dyDescent="0.25">
      <c r="B182" s="35" t="s">
        <v>23</v>
      </c>
      <c r="C182" s="35"/>
      <c r="D182" s="35"/>
      <c r="E182" s="43" t="s">
        <v>63</v>
      </c>
      <c r="F182" s="28"/>
      <c r="G182" s="26">
        <v>201</v>
      </c>
      <c r="H182" s="27">
        <v>233</v>
      </c>
      <c r="I182" s="28">
        <f ca="1">+I25*-I150</f>
        <v>205.21573866114039</v>
      </c>
      <c r="J182" s="28">
        <f ca="1">+J25*-J150</f>
        <v>219.49780671668677</v>
      </c>
      <c r="K182" s="28">
        <f ca="1">+K25*-K150</f>
        <v>229.72400073912678</v>
      </c>
      <c r="L182" s="28">
        <f ca="1">+L25*-L150</f>
        <v>228.18317670075425</v>
      </c>
      <c r="M182" s="28">
        <f ca="1">+M25*-M150</f>
        <v>212.52934302927284</v>
      </c>
    </row>
    <row r="183" spans="2:13" x14ac:dyDescent="0.25">
      <c r="B183" s="35" t="s">
        <v>25</v>
      </c>
      <c r="C183" s="35"/>
      <c r="D183" s="35"/>
      <c r="E183" s="43" t="s">
        <v>63</v>
      </c>
      <c r="F183" s="28"/>
      <c r="G183" s="26">
        <v>150</v>
      </c>
      <c r="H183" s="27">
        <v>300</v>
      </c>
      <c r="I183" s="55">
        <f>+I99</f>
        <v>280</v>
      </c>
      <c r="J183" s="55">
        <f t="shared" ref="J183:M183" si="119">+J99</f>
        <v>260</v>
      </c>
      <c r="K183" s="55">
        <f t="shared" si="119"/>
        <v>240</v>
      </c>
      <c r="L183" s="55">
        <f t="shared" si="119"/>
        <v>220</v>
      </c>
      <c r="M183" s="55">
        <f t="shared" si="119"/>
        <v>200</v>
      </c>
    </row>
    <row r="184" spans="2:13" x14ac:dyDescent="0.25">
      <c r="B184" s="35" t="s">
        <v>26</v>
      </c>
      <c r="C184" s="35"/>
      <c r="D184" s="35"/>
      <c r="E184" s="43" t="s">
        <v>63</v>
      </c>
      <c r="F184" s="28"/>
      <c r="G184" s="26">
        <v>1040</v>
      </c>
      <c r="H184" s="27">
        <v>951</v>
      </c>
      <c r="I184" s="28">
        <f>+I26*-SUM(I132+I138+I137)</f>
        <v>741.06254973738669</v>
      </c>
      <c r="J184" s="28">
        <f>+J26*-SUM(J132+J138+J137)</f>
        <v>767.65965382234288</v>
      </c>
      <c r="K184" s="28">
        <f>+K26*-SUM(K132+K138+K137)</f>
        <v>795.21134122277886</v>
      </c>
      <c r="L184" s="28">
        <f>+L26*-SUM(L132+L138+L137)</f>
        <v>823.75187240943114</v>
      </c>
      <c r="M184" s="28">
        <f>+M26*-SUM(M132+M138+M137)</f>
        <v>853.31673747839943</v>
      </c>
    </row>
    <row r="185" spans="2:13" x14ac:dyDescent="0.25">
      <c r="B185" s="35" t="s">
        <v>28</v>
      </c>
      <c r="C185" s="35"/>
      <c r="D185" s="35"/>
      <c r="E185" s="43" t="s">
        <v>63</v>
      </c>
      <c r="F185" s="28"/>
      <c r="G185" s="26">
        <f>25+1413</f>
        <v>1438</v>
      </c>
      <c r="H185" s="27">
        <v>146</v>
      </c>
      <c r="I185" s="28">
        <f>+I27*I129</f>
        <v>151.24001273277096</v>
      </c>
      <c r="J185" s="28">
        <f>+J27*J129</f>
        <v>156.66809213293647</v>
      </c>
      <c r="K185" s="28">
        <f>+K27*K129</f>
        <v>162.29098800687839</v>
      </c>
      <c r="L185" s="28">
        <f>+L27*L129</f>
        <v>168.11569241489227</v>
      </c>
      <c r="M185" s="28">
        <f>+M27*M129</f>
        <v>174.14944836580079</v>
      </c>
    </row>
    <row r="186" spans="2:13" x14ac:dyDescent="0.25">
      <c r="B186" s="5" t="s">
        <v>74</v>
      </c>
      <c r="C186" s="5"/>
      <c r="D186" s="5"/>
      <c r="E186" s="52" t="s">
        <v>63</v>
      </c>
      <c r="F186" s="29"/>
      <c r="G186" s="29">
        <f>SUM(G181:G185)</f>
        <v>4931</v>
      </c>
      <c r="H186" s="30">
        <f>SUM(H181:H185)</f>
        <v>3733</v>
      </c>
      <c r="I186" s="29">
        <f ca="1">SUM(I181:I185)</f>
        <v>3555.9960187821016</v>
      </c>
      <c r="J186" s="29">
        <f t="shared" ref="J186:M186" ca="1" si="120">SUM(J181:J185)</f>
        <v>3660.4899208607708</v>
      </c>
      <c r="K186" s="29">
        <f t="shared" ca="1" si="120"/>
        <v>3764.8835065336152</v>
      </c>
      <c r="L186" s="29">
        <f t="shared" ca="1" si="120"/>
        <v>3861.6075987067111</v>
      </c>
      <c r="M186" s="29">
        <f t="shared" ca="1" si="120"/>
        <v>3948.4632680055215</v>
      </c>
    </row>
    <row r="187" spans="2:13" x14ac:dyDescent="0.25">
      <c r="F187" s="28"/>
      <c r="G187" s="28"/>
      <c r="H187" s="16"/>
      <c r="I187" s="28"/>
      <c r="J187" s="28"/>
      <c r="K187" s="28"/>
      <c r="L187" s="28"/>
      <c r="M187" s="28"/>
    </row>
    <row r="188" spans="2:13" x14ac:dyDescent="0.25">
      <c r="B188" s="35" t="s">
        <v>30</v>
      </c>
      <c r="C188" s="35"/>
      <c r="D188" s="35"/>
      <c r="E188" s="43" t="s">
        <v>63</v>
      </c>
      <c r="F188" s="28"/>
      <c r="G188" s="26">
        <f>762+873</f>
        <v>1635</v>
      </c>
      <c r="H188" s="27">
        <f>522+1151</f>
        <v>1673</v>
      </c>
      <c r="I188" s="28">
        <f>+I28*I129</f>
        <v>1733.0448034378483</v>
      </c>
      <c r="J188" s="28">
        <f>+J28*J129</f>
        <v>1795.2446447835803</v>
      </c>
      <c r="K188" s="28">
        <f>+K28*K129</f>
        <v>1859.6768694212849</v>
      </c>
      <c r="L188" s="28">
        <f>+L28*L129</f>
        <v>1926.4215986994163</v>
      </c>
      <c r="M188" s="28">
        <f>+M28*M129</f>
        <v>1995.5618295615393</v>
      </c>
    </row>
    <row r="189" spans="2:13" x14ac:dyDescent="0.25">
      <c r="B189" s="35" t="s">
        <v>34</v>
      </c>
      <c r="C189" s="35"/>
      <c r="D189" s="35"/>
      <c r="E189" s="43" t="s">
        <v>63</v>
      </c>
      <c r="F189" s="28"/>
      <c r="G189" s="26">
        <v>1459</v>
      </c>
      <c r="H189" s="27">
        <v>1158</v>
      </c>
      <c r="I189" s="28">
        <f ca="1">+I29*-I150</f>
        <v>1019.9134136034359</v>
      </c>
      <c r="J189" s="28">
        <f ca="1">+J29*-J150</f>
        <v>1090.8946788752071</v>
      </c>
      <c r="K189" s="28">
        <f ca="1">+K29*-K150</f>
        <v>1141.7184242742867</v>
      </c>
      <c r="L189" s="28">
        <f ca="1">+L29*-L150</f>
        <v>1134.0605949333624</v>
      </c>
      <c r="M189" s="28">
        <f ca="1">+M29*-M150</f>
        <v>1056.2617134244547</v>
      </c>
    </row>
    <row r="190" spans="2:13" x14ac:dyDescent="0.25">
      <c r="B190" s="35" t="s">
        <v>151</v>
      </c>
      <c r="C190" s="35"/>
      <c r="D190" s="35"/>
      <c r="E190" s="43" t="s">
        <v>63</v>
      </c>
      <c r="F190" s="28"/>
      <c r="G190" s="26">
        <v>0</v>
      </c>
      <c r="H190" s="27">
        <v>0</v>
      </c>
      <c r="I190" s="28">
        <v>0</v>
      </c>
      <c r="J190" s="28">
        <v>0</v>
      </c>
      <c r="K190" s="28">
        <v>0</v>
      </c>
      <c r="L190" s="28">
        <v>0</v>
      </c>
      <c r="M190" s="28">
        <v>0</v>
      </c>
    </row>
    <row r="191" spans="2:13" x14ac:dyDescent="0.25">
      <c r="B191" s="35" t="s">
        <v>31</v>
      </c>
      <c r="C191" s="35"/>
      <c r="D191" s="35"/>
      <c r="E191" s="43" t="s">
        <v>63</v>
      </c>
      <c r="F191" s="28"/>
      <c r="G191" s="26">
        <v>10632</v>
      </c>
      <c r="H191" s="27">
        <v>7774</v>
      </c>
      <c r="I191" s="55">
        <f>+I108</f>
        <v>7274</v>
      </c>
      <c r="J191" s="55">
        <f t="shared" ref="J191:M191" si="121">+J108</f>
        <v>6774</v>
      </c>
      <c r="K191" s="55">
        <f t="shared" si="121"/>
        <v>6274</v>
      </c>
      <c r="L191" s="55">
        <f t="shared" si="121"/>
        <v>5774</v>
      </c>
      <c r="M191" s="55">
        <f t="shared" si="121"/>
        <v>5274</v>
      </c>
    </row>
    <row r="192" spans="2:13" x14ac:dyDescent="0.25">
      <c r="B192" s="5" t="s">
        <v>75</v>
      </c>
      <c r="C192" s="5"/>
      <c r="D192" s="5"/>
      <c r="E192" s="52" t="s">
        <v>63</v>
      </c>
      <c r="F192" s="29"/>
      <c r="G192" s="29">
        <f>+G191+G189+G188</f>
        <v>13726</v>
      </c>
      <c r="H192" s="30">
        <f>+SUM(H188:H191)</f>
        <v>10605</v>
      </c>
      <c r="I192" s="29">
        <f ca="1">SUM(I188:I191)</f>
        <v>10026.958217041283</v>
      </c>
      <c r="J192" s="29">
        <f t="shared" ref="J192:M192" ca="1" si="122">SUM(J188:J191)</f>
        <v>9660.1393236587865</v>
      </c>
      <c r="K192" s="29">
        <f t="shared" ca="1" si="122"/>
        <v>9275.395293695572</v>
      </c>
      <c r="L192" s="29">
        <f t="shared" ca="1" si="122"/>
        <v>8834.4821936327789</v>
      </c>
      <c r="M192" s="29">
        <f t="shared" ca="1" si="122"/>
        <v>8325.8235429859942</v>
      </c>
    </row>
    <row r="193" spans="2:13" x14ac:dyDescent="0.25">
      <c r="B193" s="4"/>
      <c r="C193" s="4"/>
      <c r="D193" s="4"/>
      <c r="E193" s="49"/>
      <c r="F193" s="45"/>
      <c r="G193" s="45"/>
      <c r="H193" s="46"/>
      <c r="I193" s="45"/>
      <c r="J193" s="45"/>
      <c r="K193" s="45"/>
      <c r="L193" s="45"/>
      <c r="M193" s="45"/>
    </row>
    <row r="194" spans="2:13" x14ac:dyDescent="0.25">
      <c r="B194" s="4" t="s">
        <v>76</v>
      </c>
      <c r="C194" s="4"/>
      <c r="D194" s="4"/>
      <c r="E194" s="43" t="s">
        <v>63</v>
      </c>
      <c r="F194" s="45"/>
      <c r="G194" s="45">
        <f>+G192+G186</f>
        <v>18657</v>
      </c>
      <c r="H194" s="46">
        <f t="shared" ref="H194:M194" si="123">+H192+H186</f>
        <v>14338</v>
      </c>
      <c r="I194" s="45">
        <f t="shared" ca="1" si="123"/>
        <v>13582.954235823385</v>
      </c>
      <c r="J194" s="45">
        <f t="shared" ca="1" si="123"/>
        <v>13320.629244519558</v>
      </c>
      <c r="K194" s="45">
        <f t="shared" ca="1" si="123"/>
        <v>13040.278800229187</v>
      </c>
      <c r="L194" s="45">
        <f t="shared" ca="1" si="123"/>
        <v>12696.08979233949</v>
      </c>
      <c r="M194" s="45">
        <f t="shared" ca="1" si="123"/>
        <v>12274.286810991516</v>
      </c>
    </row>
    <row r="195" spans="2:13" x14ac:dyDescent="0.25">
      <c r="B195" s="4"/>
      <c r="C195" s="4"/>
      <c r="D195" s="4"/>
      <c r="E195" s="49"/>
      <c r="F195" s="45"/>
      <c r="G195" s="45"/>
      <c r="H195" s="46"/>
      <c r="I195" s="45"/>
      <c r="J195" s="45"/>
      <c r="K195" s="45"/>
      <c r="L195" s="45"/>
      <c r="M195" s="45"/>
    </row>
    <row r="196" spans="2:13" x14ac:dyDescent="0.25">
      <c r="B196" s="4" t="s">
        <v>77</v>
      </c>
      <c r="C196" s="4"/>
      <c r="D196" s="4"/>
      <c r="E196" s="43" t="s">
        <v>63</v>
      </c>
      <c r="F196" s="15"/>
      <c r="G196" s="72">
        <v>27050</v>
      </c>
      <c r="H196" s="27">
        <v>27017</v>
      </c>
      <c r="I196" s="15">
        <f ca="1">+H196+I238+I239+I206+I210+I212+I236+I237+I217</f>
        <v>22481.363667532012</v>
      </c>
      <c r="J196" s="15">
        <f t="shared" ref="J196:M196" ca="1" si="124">+I196+J238+J239+J206+J210+J212+J236+J237+J217</f>
        <v>17929.686498494244</v>
      </c>
      <c r="K196" s="15">
        <f t="shared" ca="1" si="124"/>
        <v>13349.421205336526</v>
      </c>
      <c r="L196" s="15">
        <f t="shared" ca="1" si="124"/>
        <v>8835.153831482874</v>
      </c>
      <c r="M196" s="15">
        <f t="shared" ca="1" si="124"/>
        <v>4231.4199888071589</v>
      </c>
    </row>
    <row r="197" spans="2:13" x14ac:dyDescent="0.25">
      <c r="B197" s="4"/>
      <c r="C197" s="4"/>
      <c r="D197" s="4"/>
      <c r="E197" s="10"/>
      <c r="F197" s="15"/>
      <c r="G197" s="15"/>
      <c r="H197" s="16"/>
      <c r="I197" s="15"/>
      <c r="J197" s="15"/>
      <c r="K197" s="15"/>
      <c r="L197" s="15"/>
      <c r="M197" s="15"/>
    </row>
    <row r="198" spans="2:13" x14ac:dyDescent="0.25">
      <c r="B198" s="8" t="s">
        <v>78</v>
      </c>
      <c r="C198" s="8"/>
      <c r="D198" s="8"/>
      <c r="E198" s="43" t="s">
        <v>63</v>
      </c>
      <c r="F198" s="15"/>
      <c r="G198" s="73">
        <f t="shared" ref="G198:M198" si="125">+SUM(G194,G196)</f>
        <v>45707</v>
      </c>
      <c r="H198" s="74">
        <f t="shared" si="125"/>
        <v>41355</v>
      </c>
      <c r="I198" s="73">
        <f t="shared" ca="1" si="125"/>
        <v>36064.317903355397</v>
      </c>
      <c r="J198" s="73">
        <f t="shared" ca="1" si="125"/>
        <v>31250.315743013802</v>
      </c>
      <c r="K198" s="73">
        <f t="shared" ca="1" si="125"/>
        <v>26389.700005565712</v>
      </c>
      <c r="L198" s="73">
        <f t="shared" ca="1" si="125"/>
        <v>21531.243623822364</v>
      </c>
      <c r="M198" s="73">
        <f t="shared" ca="1" si="125"/>
        <v>16505.706799798674</v>
      </c>
    </row>
    <row r="199" spans="2:13" x14ac:dyDescent="0.25">
      <c r="B199" s="8"/>
      <c r="C199" s="8"/>
      <c r="D199" s="8"/>
      <c r="E199" s="10"/>
      <c r="F199" s="10"/>
      <c r="G199" s="10"/>
      <c r="I199" s="10"/>
      <c r="J199" s="10"/>
      <c r="K199" s="10"/>
      <c r="L199" s="10"/>
      <c r="M199" s="10"/>
    </row>
    <row r="200" spans="2:13" x14ac:dyDescent="0.25">
      <c r="B200" s="8" t="s">
        <v>32</v>
      </c>
      <c r="C200" s="8"/>
      <c r="D200" s="8"/>
      <c r="E200" s="10"/>
      <c r="F200" s="10"/>
      <c r="G200" s="15">
        <f t="shared" ref="G200:M200" si="126">+IF(ABS(G177-G198)&gt;0.0001,G177-G198,0)</f>
        <v>0</v>
      </c>
      <c r="H200" s="16">
        <f t="shared" si="126"/>
        <v>0</v>
      </c>
      <c r="I200" s="15">
        <f t="shared" ca="1" si="126"/>
        <v>1701.0966795322893</v>
      </c>
      <c r="J200" s="15">
        <f t="shared" ca="1" si="126"/>
        <v>4709.2866153287832</v>
      </c>
      <c r="K200" s="15">
        <f t="shared" ca="1" si="126"/>
        <v>7851.2961551832486</v>
      </c>
      <c r="L200" s="15">
        <f t="shared" ca="1" si="126"/>
        <v>11173.555058278082</v>
      </c>
      <c r="M200" s="15">
        <f t="shared" ca="1" si="126"/>
        <v>14693.116862973115</v>
      </c>
    </row>
    <row r="201" spans="2:13" x14ac:dyDescent="0.25">
      <c r="B201" s="8"/>
      <c r="C201" s="8"/>
      <c r="D201" s="8"/>
      <c r="E201" s="10"/>
      <c r="F201" s="10"/>
      <c r="G201" s="10"/>
      <c r="I201" s="10"/>
      <c r="J201" s="10"/>
      <c r="K201" s="10"/>
      <c r="L201" s="10"/>
      <c r="M201" s="10"/>
    </row>
    <row r="203" spans="2:13" x14ac:dyDescent="0.25">
      <c r="B203" s="36"/>
      <c r="C203" s="36"/>
      <c r="D203" s="36"/>
      <c r="E203" s="36"/>
      <c r="F203" s="39" t="s">
        <v>1</v>
      </c>
      <c r="G203" s="39"/>
      <c r="H203" s="40"/>
      <c r="I203" s="41" t="s">
        <v>2</v>
      </c>
      <c r="J203" s="42"/>
      <c r="K203" s="42"/>
      <c r="L203" s="42"/>
      <c r="M203" s="42"/>
    </row>
    <row r="204" spans="2:13" x14ac:dyDescent="0.25">
      <c r="B204" s="36" t="s">
        <v>4</v>
      </c>
      <c r="C204" s="36"/>
      <c r="D204" s="36"/>
      <c r="E204" s="67" t="s">
        <v>62</v>
      </c>
      <c r="F204" s="37">
        <v>44196</v>
      </c>
      <c r="G204" s="37">
        <f>+EOMONTH(F204,12)</f>
        <v>44561</v>
      </c>
      <c r="H204" s="38">
        <f t="shared" ref="H204:M204" si="127">+EOMONTH(G204,12)</f>
        <v>44926</v>
      </c>
      <c r="I204" s="37">
        <f t="shared" si="127"/>
        <v>45291</v>
      </c>
      <c r="J204" s="37">
        <f t="shared" si="127"/>
        <v>45657</v>
      </c>
      <c r="K204" s="37">
        <f t="shared" si="127"/>
        <v>46022</v>
      </c>
      <c r="L204" s="37">
        <f t="shared" si="127"/>
        <v>46387</v>
      </c>
      <c r="M204" s="37">
        <f t="shared" si="127"/>
        <v>46752</v>
      </c>
    </row>
    <row r="205" spans="2:13" x14ac:dyDescent="0.25">
      <c r="B205" s="62" t="s">
        <v>82</v>
      </c>
      <c r="C205" s="62"/>
      <c r="D205" s="62"/>
      <c r="E205" s="22"/>
      <c r="F205" s="22"/>
      <c r="G205" s="22"/>
      <c r="H205" s="61"/>
      <c r="I205" s="22"/>
      <c r="J205" s="22"/>
      <c r="K205" s="22"/>
      <c r="L205" s="22"/>
      <c r="M205" s="22"/>
    </row>
    <row r="206" spans="2:13" x14ac:dyDescent="0.25">
      <c r="B206" s="2" t="s">
        <v>10</v>
      </c>
      <c r="C206" s="2"/>
      <c r="D206" s="2"/>
      <c r="E206" s="43" t="s">
        <v>63</v>
      </c>
      <c r="F206" s="25">
        <f>+F152</f>
        <v>-2922.7442159152815</v>
      </c>
      <c r="G206" s="25">
        <f>+G152</f>
        <v>6649.6507597990585</v>
      </c>
      <c r="H206" s="46">
        <f>+H152</f>
        <v>5940.5265893012829</v>
      </c>
      <c r="I206" s="25">
        <f ca="1">+I152</f>
        <v>955.20139536957072</v>
      </c>
      <c r="J206" s="25">
        <f t="shared" ref="J206:M206" ca="1" si="128">+J152</f>
        <v>1021.6790029079849</v>
      </c>
      <c r="K206" s="25">
        <f t="shared" ca="1" si="128"/>
        <v>1069.2780558036502</v>
      </c>
      <c r="L206" s="25">
        <f t="shared" ca="1" si="128"/>
        <v>1062.106104563094</v>
      </c>
      <c r="M206" s="25">
        <f t="shared" ca="1" si="128"/>
        <v>989.24344859218729</v>
      </c>
    </row>
    <row r="207" spans="2:13" x14ac:dyDescent="0.25">
      <c r="B207" s="2" t="s">
        <v>79</v>
      </c>
      <c r="C207" s="2"/>
      <c r="D207" s="2"/>
      <c r="E207" s="43"/>
      <c r="F207" s="25"/>
      <c r="G207" s="25"/>
      <c r="H207" s="46"/>
      <c r="I207" s="25"/>
      <c r="J207" s="25"/>
      <c r="K207" s="25"/>
      <c r="L207" s="25"/>
      <c r="M207" s="25"/>
    </row>
    <row r="208" spans="2:13" x14ac:dyDescent="0.25">
      <c r="B208" s="12" t="s">
        <v>119</v>
      </c>
      <c r="C208" s="12"/>
      <c r="D208" s="12"/>
      <c r="E208" s="43" t="s">
        <v>63</v>
      </c>
      <c r="F208" s="26">
        <v>2552</v>
      </c>
      <c r="G208" s="26">
        <v>892</v>
      </c>
      <c r="H208" s="27">
        <v>590</v>
      </c>
      <c r="I208" s="28">
        <f>+I45</f>
        <v>1211.2</v>
      </c>
      <c r="J208" s="28">
        <f>+J45</f>
        <v>1221.5745486865669</v>
      </c>
      <c r="K208" s="28">
        <f>+K45</f>
        <v>1237.463656219039</v>
      </c>
      <c r="L208" s="28">
        <f>+L45</f>
        <v>1259.0652428615813</v>
      </c>
      <c r="M208" s="28">
        <f>+M45</f>
        <v>1292.501835166353</v>
      </c>
    </row>
    <row r="209" spans="2:13" x14ac:dyDescent="0.25">
      <c r="B209" s="12" t="s">
        <v>118</v>
      </c>
      <c r="C209" s="12"/>
      <c r="D209" s="12"/>
      <c r="E209" s="43"/>
      <c r="F209" s="26">
        <v>542</v>
      </c>
      <c r="G209" s="26">
        <v>566</v>
      </c>
      <c r="H209" s="27">
        <v>590</v>
      </c>
      <c r="I209" s="28">
        <f>+H209</f>
        <v>590</v>
      </c>
      <c r="J209" s="28">
        <f t="shared" ref="J209:M209" si="129">+I209</f>
        <v>590</v>
      </c>
      <c r="K209" s="28">
        <f t="shared" si="129"/>
        <v>590</v>
      </c>
      <c r="L209" s="28">
        <f t="shared" si="129"/>
        <v>590</v>
      </c>
      <c r="M209" s="28">
        <f t="shared" si="129"/>
        <v>590</v>
      </c>
    </row>
    <row r="210" spans="2:13" x14ac:dyDescent="0.25">
      <c r="B210" s="12" t="s">
        <v>84</v>
      </c>
      <c r="C210" s="12"/>
      <c r="D210" s="12"/>
      <c r="E210" s="43" t="s">
        <v>63</v>
      </c>
      <c r="F210" s="26">
        <f>-692-87+37-98-642</f>
        <v>-1482</v>
      </c>
      <c r="G210" s="26">
        <f>-323+9-1-85-5092</f>
        <v>-5492</v>
      </c>
      <c r="H210" s="27">
        <f>-214+59-7-79-5103</f>
        <v>-5344</v>
      </c>
      <c r="I210" s="28">
        <f>+H210</f>
        <v>-5344</v>
      </c>
      <c r="J210" s="28">
        <f t="shared" ref="J210:M210" si="130">+I210</f>
        <v>-5344</v>
      </c>
      <c r="K210" s="28">
        <f t="shared" si="130"/>
        <v>-5344</v>
      </c>
      <c r="L210" s="28">
        <f t="shared" si="130"/>
        <v>-5344</v>
      </c>
      <c r="M210" s="28">
        <f t="shared" si="130"/>
        <v>-5344</v>
      </c>
    </row>
    <row r="211" spans="2:13" x14ac:dyDescent="0.25">
      <c r="B211" s="12" t="s">
        <v>85</v>
      </c>
      <c r="C211" s="12"/>
      <c r="D211" s="12"/>
      <c r="E211" s="43" t="s">
        <v>63</v>
      </c>
      <c r="F211" s="26">
        <f>849+3214</f>
        <v>4063</v>
      </c>
      <c r="G211" s="26">
        <f>57+12</f>
        <v>69</v>
      </c>
      <c r="H211" s="27">
        <v>155</v>
      </c>
      <c r="I211" s="26">
        <v>0</v>
      </c>
      <c r="J211" s="26">
        <v>0</v>
      </c>
      <c r="K211" s="26">
        <v>0</v>
      </c>
      <c r="L211" s="26">
        <v>0</v>
      </c>
      <c r="M211" s="26">
        <v>0</v>
      </c>
    </row>
    <row r="212" spans="2:13" x14ac:dyDescent="0.25">
      <c r="B212" s="12" t="s">
        <v>86</v>
      </c>
      <c r="C212" s="12"/>
      <c r="D212" s="12"/>
      <c r="E212" s="43" t="s">
        <v>63</v>
      </c>
      <c r="F212" s="26">
        <v>175</v>
      </c>
      <c r="G212" s="26">
        <v>181</v>
      </c>
      <c r="H212" s="27">
        <v>47</v>
      </c>
      <c r="I212" s="28">
        <f>+H212</f>
        <v>47</v>
      </c>
      <c r="J212" s="28">
        <f t="shared" ref="J212:M212" si="131">+I212</f>
        <v>47</v>
      </c>
      <c r="K212" s="28">
        <f t="shared" si="131"/>
        <v>47</v>
      </c>
      <c r="L212" s="28">
        <f t="shared" si="131"/>
        <v>47</v>
      </c>
      <c r="M212" s="28">
        <f t="shared" si="131"/>
        <v>47</v>
      </c>
    </row>
    <row r="213" spans="2:13" x14ac:dyDescent="0.25">
      <c r="B213" s="77" t="s">
        <v>80</v>
      </c>
      <c r="C213" s="77"/>
      <c r="D213" s="77"/>
      <c r="F213" s="28"/>
      <c r="G213" s="28"/>
      <c r="H213" s="16"/>
      <c r="I213" s="28"/>
      <c r="J213" s="28"/>
      <c r="K213" s="28"/>
      <c r="L213" s="28"/>
      <c r="M213" s="28"/>
    </row>
    <row r="214" spans="2:13" x14ac:dyDescent="0.25">
      <c r="B214" s="13" t="s">
        <v>87</v>
      </c>
      <c r="C214" s="13"/>
      <c r="D214" s="13"/>
      <c r="E214" s="43" t="s">
        <v>63</v>
      </c>
      <c r="F214" s="26">
        <v>308</v>
      </c>
      <c r="G214" s="26">
        <v>-255</v>
      </c>
      <c r="H214" s="27">
        <v>-191</v>
      </c>
      <c r="I214" s="28">
        <f t="shared" ref="I214:M215" si="132">+H163-I163</f>
        <v>-90.372274391213978</v>
      </c>
      <c r="J214" s="28">
        <f t="shared" si="132"/>
        <v>-93.615780339840967</v>
      </c>
      <c r="K214" s="28">
        <f t="shared" si="132"/>
        <v>-96.975697332779419</v>
      </c>
      <c r="L214" s="28">
        <f t="shared" si="132"/>
        <v>-100.45620342040365</v>
      </c>
      <c r="M214" s="28">
        <f t="shared" si="132"/>
        <v>-104.06162660539485</v>
      </c>
    </row>
    <row r="215" spans="2:13" x14ac:dyDescent="0.25">
      <c r="B215" s="13" t="s">
        <v>88</v>
      </c>
      <c r="C215" s="13"/>
      <c r="D215" s="13"/>
      <c r="E215" s="43" t="s">
        <v>63</v>
      </c>
      <c r="F215" s="26">
        <v>570</v>
      </c>
      <c r="G215" s="26">
        <v>-537</v>
      </c>
      <c r="H215" s="27">
        <v>-569</v>
      </c>
      <c r="I215" s="28">
        <f t="shared" si="132"/>
        <v>-83.588970237147805</v>
      </c>
      <c r="J215" s="28">
        <f t="shared" si="132"/>
        <v>-86.589020020448515</v>
      </c>
      <c r="K215" s="28">
        <f t="shared" si="132"/>
        <v>-89.696743085004982</v>
      </c>
      <c r="L215" s="28">
        <f t="shared" si="132"/>
        <v>-92.916003878523043</v>
      </c>
      <c r="M215" s="28">
        <f t="shared" si="132"/>
        <v>-96.250805545657386</v>
      </c>
    </row>
    <row r="216" spans="2:13" x14ac:dyDescent="0.25">
      <c r="B216" s="13" t="s">
        <v>89</v>
      </c>
      <c r="C216" s="13"/>
      <c r="D216" s="13"/>
      <c r="E216" s="43" t="s">
        <v>63</v>
      </c>
      <c r="F216" s="26">
        <v>177</v>
      </c>
      <c r="G216" s="26">
        <v>317</v>
      </c>
      <c r="H216" s="27">
        <v>-131</v>
      </c>
      <c r="I216" s="28">
        <f>+I181-H181</f>
        <v>75.477717650803697</v>
      </c>
      <c r="J216" s="28">
        <f>+J181-I181</f>
        <v>78.186650538000777</v>
      </c>
      <c r="K216" s="28">
        <f>+K181-J181</f>
        <v>80.99280837602646</v>
      </c>
      <c r="L216" s="28">
        <f>+L181-K181</f>
        <v>83.89968061680247</v>
      </c>
      <c r="M216" s="28">
        <f>+M181-L181</f>
        <v>86.910881950415387</v>
      </c>
    </row>
    <row r="217" spans="2:13" x14ac:dyDescent="0.25">
      <c r="B217" s="13" t="s">
        <v>90</v>
      </c>
      <c r="C217" s="13"/>
      <c r="D217" s="13"/>
      <c r="E217" s="43" t="s">
        <v>63</v>
      </c>
      <c r="F217" s="26">
        <v>113</v>
      </c>
      <c r="G217" s="26">
        <v>25</v>
      </c>
      <c r="H217" s="27">
        <v>-476</v>
      </c>
      <c r="I217" s="28">
        <f>+AVERAGE(F217:H217)</f>
        <v>-112.66666666666667</v>
      </c>
      <c r="J217" s="28">
        <f t="shared" ref="J217:M217" si="133">+AVERAGE(G217:I217)</f>
        <v>-187.88888888888889</v>
      </c>
      <c r="K217" s="28">
        <f t="shared" si="133"/>
        <v>-258.85185185185185</v>
      </c>
      <c r="L217" s="28">
        <f t="shared" si="133"/>
        <v>-186.46913580246914</v>
      </c>
      <c r="M217" s="28">
        <f t="shared" si="133"/>
        <v>-211.06995884773664</v>
      </c>
    </row>
    <row r="218" spans="2:13" x14ac:dyDescent="0.25">
      <c r="B218" s="14" t="s">
        <v>81</v>
      </c>
      <c r="C218" s="14"/>
      <c r="D218" s="14"/>
      <c r="E218" s="52" t="s">
        <v>63</v>
      </c>
      <c r="F218" s="29">
        <f>+SUM(F214:F217,SUM(F206:F212))</f>
        <v>4095.2557840847185</v>
      </c>
      <c r="G218" s="29">
        <f>+SUM(G214:G217,SUM(G206:G212))</f>
        <v>2415.6507597990585</v>
      </c>
      <c r="H218" s="30">
        <f>+SUM(H214:H217,SUM(H206:H212))</f>
        <v>611.52658930128291</v>
      </c>
      <c r="I218" s="29">
        <f ca="1">+SUM(I206:I217)</f>
        <v>-2751.7487982746538</v>
      </c>
      <c r="J218" s="29">
        <f t="shared" ref="J218:M218" ca="1" si="134">+SUM(J206:J217)</f>
        <v>-2753.6534871166255</v>
      </c>
      <c r="K218" s="29">
        <f t="shared" ca="1" si="134"/>
        <v>-2764.7897718709205</v>
      </c>
      <c r="L218" s="29">
        <f t="shared" ca="1" si="134"/>
        <v>-2681.7703150599182</v>
      </c>
      <c r="M218" s="29">
        <f t="shared" ca="1" si="134"/>
        <v>-2749.7262252898336</v>
      </c>
    </row>
    <row r="219" spans="2:13" x14ac:dyDescent="0.25">
      <c r="B219" s="77"/>
      <c r="C219" s="77"/>
      <c r="D219" s="77"/>
      <c r="E219" s="49"/>
      <c r="F219" s="45"/>
      <c r="G219" s="45"/>
      <c r="H219" s="46"/>
      <c r="I219" s="45"/>
      <c r="J219" s="45"/>
      <c r="K219" s="45"/>
      <c r="L219" s="45"/>
      <c r="M219" s="45"/>
    </row>
    <row r="220" spans="2:13" x14ac:dyDescent="0.25">
      <c r="B220" s="62" t="s">
        <v>83</v>
      </c>
      <c r="C220" s="62"/>
      <c r="D220" s="62"/>
      <c r="E220" s="62"/>
      <c r="F220" s="75"/>
      <c r="G220" s="75"/>
      <c r="H220" s="76"/>
      <c r="I220" s="75"/>
      <c r="J220" s="75"/>
      <c r="K220" s="75"/>
      <c r="L220" s="75"/>
      <c r="M220" s="75"/>
    </row>
    <row r="221" spans="2:13" x14ac:dyDescent="0.25">
      <c r="B221" s="13" t="s">
        <v>91</v>
      </c>
      <c r="C221" s="13"/>
      <c r="D221" s="13"/>
      <c r="F221" s="26">
        <v>-1194</v>
      </c>
      <c r="G221" s="26">
        <v>-891</v>
      </c>
      <c r="H221" s="27">
        <v>-743</v>
      </c>
      <c r="I221" s="26">
        <v>650</v>
      </c>
      <c r="J221" s="28">
        <f>+J34</f>
        <v>1536.4954868656696</v>
      </c>
      <c r="K221" s="28">
        <f>+K34</f>
        <v>1591.6410753247192</v>
      </c>
      <c r="L221" s="28">
        <f>+L34</f>
        <v>1648.7658664254234</v>
      </c>
      <c r="M221" s="28">
        <f>+M34</f>
        <v>1707.9408947365698</v>
      </c>
    </row>
    <row r="222" spans="2:13" x14ac:dyDescent="0.25">
      <c r="B222" s="13" t="s">
        <v>92</v>
      </c>
      <c r="C222" s="13"/>
      <c r="D222" s="13"/>
      <c r="F222" s="26">
        <v>1033</v>
      </c>
      <c r="G222" s="26">
        <v>797</v>
      </c>
      <c r="H222" s="27">
        <v>10951</v>
      </c>
      <c r="I222" s="26">
        <v>0</v>
      </c>
      <c r="J222" s="26">
        <v>0</v>
      </c>
      <c r="K222" s="26">
        <v>0</v>
      </c>
      <c r="L222" s="26">
        <v>0</v>
      </c>
      <c r="M222" s="26">
        <v>0</v>
      </c>
    </row>
    <row r="223" spans="2:13" x14ac:dyDescent="0.25">
      <c r="B223" s="13" t="s">
        <v>93</v>
      </c>
      <c r="C223" s="13"/>
      <c r="D223" s="13"/>
      <c r="F223" s="26">
        <v>-70</v>
      </c>
      <c r="G223" s="26">
        <v>-2346</v>
      </c>
      <c r="H223" s="27">
        <v>5</v>
      </c>
      <c r="I223" s="26">
        <v>0</v>
      </c>
      <c r="J223" s="26">
        <v>0</v>
      </c>
      <c r="K223" s="26">
        <v>0</v>
      </c>
      <c r="L223" s="26">
        <v>0</v>
      </c>
      <c r="M223" s="26">
        <v>0</v>
      </c>
    </row>
    <row r="224" spans="2:13" x14ac:dyDescent="0.25">
      <c r="B224" s="13" t="s">
        <v>94</v>
      </c>
      <c r="C224" s="13"/>
      <c r="D224" s="13"/>
      <c r="F224" s="26">
        <v>-1</v>
      </c>
      <c r="G224" s="26">
        <v>-2001</v>
      </c>
      <c r="H224" s="27">
        <v>-1317</v>
      </c>
      <c r="I224" s="26">
        <v>0</v>
      </c>
      <c r="J224" s="26">
        <v>0</v>
      </c>
      <c r="K224" s="26">
        <v>0</v>
      </c>
      <c r="L224" s="26">
        <v>0</v>
      </c>
      <c r="M224" s="26">
        <v>0</v>
      </c>
    </row>
    <row r="225" spans="2:13" x14ac:dyDescent="0.25">
      <c r="B225" s="13" t="s">
        <v>95</v>
      </c>
      <c r="C225" s="13"/>
      <c r="D225" s="13"/>
      <c r="F225" s="26">
        <v>1</v>
      </c>
      <c r="G225" s="26">
        <v>2001</v>
      </c>
      <c r="H225" s="27">
        <v>15</v>
      </c>
      <c r="I225" s="26">
        <v>0</v>
      </c>
      <c r="J225" s="26">
        <v>0</v>
      </c>
      <c r="K225" s="26">
        <v>0</v>
      </c>
      <c r="L225" s="26">
        <v>0</v>
      </c>
      <c r="M225" s="26">
        <v>0</v>
      </c>
    </row>
    <row r="226" spans="2:13" x14ac:dyDescent="0.25">
      <c r="B226" s="13" t="s">
        <v>96</v>
      </c>
      <c r="C226" s="13"/>
      <c r="D226" s="13"/>
      <c r="F226" s="26">
        <v>29</v>
      </c>
      <c r="G226" s="26">
        <v>39</v>
      </c>
      <c r="H226" s="27">
        <v>12</v>
      </c>
      <c r="I226" s="28">
        <v>0</v>
      </c>
      <c r="J226" s="28">
        <v>0</v>
      </c>
      <c r="K226" s="28">
        <v>0</v>
      </c>
      <c r="L226" s="28">
        <v>0</v>
      </c>
      <c r="M226" s="28">
        <v>0</v>
      </c>
    </row>
    <row r="227" spans="2:13" x14ac:dyDescent="0.25">
      <c r="B227" s="14" t="s">
        <v>97</v>
      </c>
      <c r="C227" s="14"/>
      <c r="D227" s="14"/>
      <c r="E227" s="5"/>
      <c r="F227" s="29">
        <f>SUM(F221:F226)</f>
        <v>-202</v>
      </c>
      <c r="G227" s="29">
        <f>SUM(G221:G226)</f>
        <v>-2401</v>
      </c>
      <c r="H227" s="30">
        <f>SUM(H221:H226)</f>
        <v>8923</v>
      </c>
      <c r="I227" s="29">
        <f>SUM(I221:I226)</f>
        <v>650</v>
      </c>
      <c r="J227" s="29">
        <f t="shared" ref="J227:M227" si="135">SUM(J221:J226)</f>
        <v>1536.4954868656696</v>
      </c>
      <c r="K227" s="29">
        <f t="shared" si="135"/>
        <v>1591.6410753247192</v>
      </c>
      <c r="L227" s="29">
        <f t="shared" si="135"/>
        <v>1648.7658664254234</v>
      </c>
      <c r="M227" s="29">
        <f t="shared" si="135"/>
        <v>1707.9408947365698</v>
      </c>
    </row>
    <row r="228" spans="2:13" x14ac:dyDescent="0.25">
      <c r="B228" s="77"/>
      <c r="C228" s="77"/>
      <c r="D228" s="77"/>
      <c r="E228" s="4"/>
      <c r="F228" s="45"/>
      <c r="G228" s="45"/>
      <c r="H228" s="46"/>
      <c r="I228" s="45"/>
      <c r="J228" s="45"/>
      <c r="K228" s="45"/>
      <c r="L228" s="45"/>
      <c r="M228" s="45"/>
    </row>
    <row r="229" spans="2:13" x14ac:dyDescent="0.25">
      <c r="B229" s="62" t="s">
        <v>98</v>
      </c>
      <c r="C229" s="62"/>
      <c r="D229" s="62"/>
      <c r="E229" s="62"/>
      <c r="F229" s="75"/>
      <c r="G229" s="75"/>
      <c r="H229" s="76"/>
      <c r="I229" s="75"/>
      <c r="J229" s="75"/>
      <c r="K229" s="75"/>
      <c r="L229" s="75"/>
      <c r="M229" s="75"/>
    </row>
    <row r="230" spans="2:13" x14ac:dyDescent="0.25">
      <c r="B230" s="13" t="s">
        <v>99</v>
      </c>
      <c r="C230" s="13"/>
      <c r="D230" s="13"/>
      <c r="F230" s="26">
        <v>-1829</v>
      </c>
      <c r="G230" s="26">
        <v>150</v>
      </c>
      <c r="H230" s="27">
        <v>-150</v>
      </c>
      <c r="I230" s="28">
        <f>+I59</f>
        <v>-20</v>
      </c>
      <c r="J230" s="28">
        <f>+J59</f>
        <v>-20</v>
      </c>
      <c r="K230" s="28">
        <f>+K59</f>
        <v>-20</v>
      </c>
      <c r="L230" s="28">
        <f>+L59</f>
        <v>-20</v>
      </c>
      <c r="M230" s="28">
        <f>+M59</f>
        <v>-20</v>
      </c>
    </row>
    <row r="231" spans="2:13" x14ac:dyDescent="0.25">
      <c r="B231" s="13" t="s">
        <v>100</v>
      </c>
      <c r="C231" s="13"/>
      <c r="D231" s="13"/>
      <c r="F231" s="26">
        <v>8275</v>
      </c>
      <c r="G231" s="26">
        <v>0</v>
      </c>
      <c r="H231" s="27">
        <v>0</v>
      </c>
      <c r="I231" s="28">
        <v>0</v>
      </c>
      <c r="J231" s="28">
        <v>0</v>
      </c>
      <c r="K231" s="28">
        <v>0</v>
      </c>
      <c r="L231" s="28">
        <v>0</v>
      </c>
      <c r="M231" s="28">
        <v>0</v>
      </c>
    </row>
    <row r="232" spans="2:13" x14ac:dyDescent="0.25">
      <c r="B232" s="13" t="s">
        <v>103</v>
      </c>
      <c r="C232" s="13"/>
      <c r="D232" s="13"/>
      <c r="F232" s="26">
        <v>0</v>
      </c>
      <c r="G232" s="26">
        <v>1250</v>
      </c>
      <c r="H232" s="27">
        <v>0</v>
      </c>
      <c r="I232" s="28">
        <v>0</v>
      </c>
      <c r="J232" s="28">
        <v>0</v>
      </c>
      <c r="K232" s="28">
        <v>0</v>
      </c>
      <c r="L232" s="28">
        <v>0</v>
      </c>
      <c r="M232" s="28">
        <v>0</v>
      </c>
    </row>
    <row r="233" spans="2:13" x14ac:dyDescent="0.25">
      <c r="B233" s="13" t="s">
        <v>167</v>
      </c>
      <c r="C233" s="13"/>
      <c r="D233" s="13"/>
      <c r="F233" s="26"/>
      <c r="G233" s="26"/>
      <c r="H233" s="27"/>
      <c r="I233" s="28">
        <f>I98</f>
        <v>-20</v>
      </c>
      <c r="J233" s="28">
        <f t="shared" ref="J233:M233" si="136">J98</f>
        <v>-20</v>
      </c>
      <c r="K233" s="28">
        <f t="shared" si="136"/>
        <v>-20</v>
      </c>
      <c r="L233" s="28">
        <f t="shared" si="136"/>
        <v>-20</v>
      </c>
      <c r="M233" s="28">
        <f t="shared" si="136"/>
        <v>-20</v>
      </c>
    </row>
    <row r="234" spans="2:13" x14ac:dyDescent="0.25">
      <c r="B234" s="13" t="s">
        <v>104</v>
      </c>
      <c r="C234" s="13"/>
      <c r="D234" s="13"/>
      <c r="F234" s="26">
        <v>-2031</v>
      </c>
      <c r="G234" s="26">
        <v>-5000</v>
      </c>
      <c r="H234" s="27">
        <v>-2500</v>
      </c>
      <c r="I234" s="28">
        <f>+I60</f>
        <v>-500</v>
      </c>
      <c r="J234" s="28">
        <f>+J60</f>
        <v>-500</v>
      </c>
      <c r="K234" s="28">
        <f>+K60</f>
        <v>-500</v>
      </c>
      <c r="L234" s="28">
        <f>+L60</f>
        <v>-500</v>
      </c>
      <c r="M234" s="28">
        <f>+M60</f>
        <v>-500</v>
      </c>
    </row>
    <row r="235" spans="2:13" x14ac:dyDescent="0.25">
      <c r="B235" s="13" t="s">
        <v>101</v>
      </c>
      <c r="C235" s="13"/>
      <c r="D235" s="13"/>
      <c r="F235" s="26">
        <v>-232</v>
      </c>
      <c r="G235" s="26">
        <v>-2143</v>
      </c>
      <c r="H235" s="27">
        <v>-4375</v>
      </c>
      <c r="I235" s="28">
        <v>0</v>
      </c>
      <c r="J235" s="28">
        <v>0</v>
      </c>
      <c r="K235" s="28">
        <v>0</v>
      </c>
      <c r="L235" s="28">
        <v>0</v>
      </c>
      <c r="M235" s="28">
        <v>0</v>
      </c>
    </row>
    <row r="236" spans="2:13" x14ac:dyDescent="0.25">
      <c r="B236" s="13" t="s">
        <v>102</v>
      </c>
      <c r="C236" s="13"/>
      <c r="D236" s="13"/>
      <c r="F236" s="26">
        <v>57</v>
      </c>
      <c r="G236" s="26">
        <v>115</v>
      </c>
      <c r="H236" s="27">
        <v>88</v>
      </c>
      <c r="I236" s="28">
        <f>+AVERAGE($F$236:$H$236)</f>
        <v>86.666666666666671</v>
      </c>
      <c r="J236" s="28">
        <f t="shared" ref="J236:M236" si="137">+AVERAGE($F$236:$H$236)</f>
        <v>86.666666666666671</v>
      </c>
      <c r="K236" s="28">
        <f t="shared" si="137"/>
        <v>86.666666666666671</v>
      </c>
      <c r="L236" s="28">
        <f t="shared" si="137"/>
        <v>86.666666666666671</v>
      </c>
      <c r="M236" s="28">
        <f t="shared" si="137"/>
        <v>86.666666666666671</v>
      </c>
    </row>
    <row r="237" spans="2:13" x14ac:dyDescent="0.25">
      <c r="B237" s="13" t="s">
        <v>105</v>
      </c>
      <c r="C237" s="13"/>
      <c r="D237" s="13"/>
      <c r="F237" s="26">
        <v>-15</v>
      </c>
      <c r="G237" s="26">
        <v>-26</v>
      </c>
      <c r="H237" s="27">
        <v>-27</v>
      </c>
      <c r="I237" s="28">
        <f>+H237</f>
        <v>-27</v>
      </c>
      <c r="J237" s="28">
        <f t="shared" ref="J237:M237" si="138">+I237</f>
        <v>-27</v>
      </c>
      <c r="K237" s="28">
        <f t="shared" si="138"/>
        <v>-27</v>
      </c>
      <c r="L237" s="28">
        <f t="shared" si="138"/>
        <v>-27</v>
      </c>
      <c r="M237" s="28">
        <f t="shared" si="138"/>
        <v>-27</v>
      </c>
    </row>
    <row r="238" spans="2:13" x14ac:dyDescent="0.25">
      <c r="B238" s="13" t="s">
        <v>106</v>
      </c>
      <c r="C238" s="13"/>
      <c r="D238" s="13"/>
      <c r="F238" s="26">
        <v>-50</v>
      </c>
      <c r="G238" s="26">
        <v>-41</v>
      </c>
      <c r="H238" s="27">
        <v>-36</v>
      </c>
      <c r="I238" s="28">
        <f>+H238</f>
        <v>-36</v>
      </c>
      <c r="J238" s="28">
        <f t="shared" ref="J238:M238" si="139">+I238</f>
        <v>-36</v>
      </c>
      <c r="K238" s="28">
        <f t="shared" si="139"/>
        <v>-36</v>
      </c>
      <c r="L238" s="28">
        <f t="shared" si="139"/>
        <v>-36</v>
      </c>
      <c r="M238" s="28">
        <f t="shared" si="139"/>
        <v>-36</v>
      </c>
    </row>
    <row r="239" spans="2:13" x14ac:dyDescent="0.25">
      <c r="B239" s="13" t="s">
        <v>107</v>
      </c>
      <c r="C239" s="13"/>
      <c r="D239" s="13"/>
      <c r="F239" s="26">
        <v>-882</v>
      </c>
      <c r="G239" s="26">
        <v>-630</v>
      </c>
      <c r="H239" s="27">
        <v>-652</v>
      </c>
      <c r="I239" s="28">
        <f ca="1">-I53*I152</f>
        <v>-104.83772783756061</v>
      </c>
      <c r="J239" s="28">
        <f ca="1">-J53*J152</f>
        <v>-112.13394972353049</v>
      </c>
      <c r="K239" s="28">
        <f ca="1">-K53*K152</f>
        <v>-117.35816377618134</v>
      </c>
      <c r="L239" s="28">
        <f ca="1">-L53*L152</f>
        <v>-116.57100928094448</v>
      </c>
      <c r="M239" s="28">
        <f ca="1">-M53*M152</f>
        <v>-108.57399908683324</v>
      </c>
    </row>
    <row r="240" spans="2:13" x14ac:dyDescent="0.25">
      <c r="B240" s="13" t="s">
        <v>108</v>
      </c>
      <c r="C240" s="13"/>
      <c r="D240" s="13"/>
      <c r="F240" s="26">
        <v>0</v>
      </c>
      <c r="G240" s="26">
        <v>-153</v>
      </c>
      <c r="H240" s="27">
        <v>-11</v>
      </c>
      <c r="I240" s="28">
        <v>0</v>
      </c>
      <c r="J240" s="28">
        <v>0</v>
      </c>
      <c r="K240" s="28">
        <v>0</v>
      </c>
      <c r="L240" s="28">
        <v>0</v>
      </c>
      <c r="M240" s="28">
        <v>0</v>
      </c>
    </row>
    <row r="241" spans="2:13" x14ac:dyDescent="0.25">
      <c r="B241" s="13" t="s">
        <v>109</v>
      </c>
      <c r="C241" s="13"/>
      <c r="D241" s="13"/>
      <c r="F241" s="26">
        <v>-55</v>
      </c>
      <c r="G241" s="26">
        <v>-29</v>
      </c>
      <c r="H241" s="27">
        <v>-4</v>
      </c>
      <c r="I241" s="28">
        <v>0</v>
      </c>
      <c r="J241" s="28">
        <v>0</v>
      </c>
      <c r="K241" s="28">
        <v>0</v>
      </c>
      <c r="L241" s="28">
        <v>0</v>
      </c>
      <c r="M241" s="28">
        <v>0</v>
      </c>
    </row>
    <row r="242" spans="2:13" x14ac:dyDescent="0.25">
      <c r="B242" s="14" t="s">
        <v>110</v>
      </c>
      <c r="C242" s="14"/>
      <c r="D242" s="14"/>
      <c r="E242" s="7"/>
      <c r="F242" s="59">
        <f>SUM(F230:F241)</f>
        <v>3238</v>
      </c>
      <c r="G242" s="59">
        <f t="shared" ref="G242:H242" si="140">SUM(G230:G241)</f>
        <v>-6507</v>
      </c>
      <c r="H242" s="60">
        <f t="shared" si="140"/>
        <v>-7667</v>
      </c>
      <c r="I242" s="59">
        <f ca="1">SUM(I230:I241)</f>
        <v>-621.17106117089384</v>
      </c>
      <c r="J242" s="59">
        <f t="shared" ref="J242:M242" ca="1" si="141">SUM(J230:J241)</f>
        <v>-628.46728305686372</v>
      </c>
      <c r="K242" s="59">
        <f t="shared" ca="1" si="141"/>
        <v>-633.69149710951456</v>
      </c>
      <c r="L242" s="59">
        <f t="shared" ca="1" si="141"/>
        <v>-632.90434261427777</v>
      </c>
      <c r="M242" s="59">
        <f t="shared" ca="1" si="141"/>
        <v>-624.90733242016654</v>
      </c>
    </row>
    <row r="243" spans="2:13" x14ac:dyDescent="0.25">
      <c r="F243" s="28"/>
      <c r="G243" s="28"/>
      <c r="H243" s="16"/>
      <c r="I243" s="28"/>
      <c r="J243" s="28"/>
      <c r="K243" s="28"/>
      <c r="L243" s="28"/>
      <c r="M243" s="28"/>
    </row>
    <row r="244" spans="2:13" x14ac:dyDescent="0.25">
      <c r="B244" s="77" t="s">
        <v>111</v>
      </c>
      <c r="C244" s="77"/>
      <c r="D244" s="77"/>
      <c r="E244" s="2"/>
      <c r="F244" s="25">
        <f>+F242+F227+F218</f>
        <v>7131.2557840847185</v>
      </c>
      <c r="G244" s="25">
        <f>+G242+G227+G218</f>
        <v>-6492.3492402009415</v>
      </c>
      <c r="H244" s="46">
        <f>+H242+H227+H218</f>
        <v>1867.5265893012829</v>
      </c>
      <c r="I244" s="25">
        <f t="shared" ref="I244:M244" ca="1" si="142">+I242+I227+I218</f>
        <v>-2722.9198594455474</v>
      </c>
      <c r="J244" s="25">
        <f t="shared" ca="1" si="142"/>
        <v>-1845.6252833078197</v>
      </c>
      <c r="K244" s="25">
        <f t="shared" ca="1" si="142"/>
        <v>-1806.8401936557159</v>
      </c>
      <c r="L244" s="25">
        <f t="shared" ca="1" si="142"/>
        <v>-1665.9087912487726</v>
      </c>
      <c r="M244" s="25">
        <f t="shared" ca="1" si="142"/>
        <v>-1666.6926629734303</v>
      </c>
    </row>
  </sheetData>
  <pageMargins left="0.7" right="0.7" top="0.75" bottom="0.75" header="0.3" footer="0.3"/>
  <pageSetup orientation="portrait" horizontalDpi="90" verticalDpi="9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Statement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Salim, Joshua</dc:creator>
  <cp:lastModifiedBy>Salim, Joshua</cp:lastModifiedBy>
  <dcterms:created xsi:type="dcterms:W3CDTF">2023-06-19T01:54:09Z</dcterms:created>
  <dcterms:modified xsi:type="dcterms:W3CDTF">2023-07-21T20:45:15Z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{AD8D25F8-B034-48F9-BD23-79B7D282FCE5}</vt:lpwstr>
  </property>
</Properties>
</file>