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chrisluyckx/Desktop/ENDEAVOUR/"/>
    </mc:Choice>
  </mc:AlternateContent>
  <xr:revisionPtr revIDLastSave="0" documentId="13_ncr:1_{A6C40A35-EA62-7347-AED2-3FF1B1B69DA5}" xr6:coauthVersionLast="47" xr6:coauthVersionMax="47" xr10:uidLastSave="{00000000-0000-0000-0000-000000000000}"/>
  <bookViews>
    <workbookView xWindow="-34300" yWindow="-2220" windowWidth="28500" windowHeight="18600" activeTab="4" xr2:uid="{00000000-000D-0000-FFFF-FFFF00000000}"/>
  </bookViews>
  <sheets>
    <sheet name="SUMMARY" sheetId="2" r:id="rId1"/>
    <sheet name="Income Statement" sheetId="10" r:id="rId2"/>
    <sheet name="Balance Sheet" sheetId="16" r:id="rId3"/>
    <sheet name="Cash Flow Statement" sheetId="20" r:id="rId4"/>
    <sheet name="Assumptions" sheetId="8" r:id="rId5"/>
    <sheet name="Boungou " sheetId="9" r:id="rId6"/>
    <sheet name="Mana " sheetId="15" r:id="rId7"/>
    <sheet name="Ity " sheetId="13" r:id="rId8"/>
    <sheet name="Karma " sheetId="14" r:id="rId9"/>
    <sheet name="Hounde " sheetId="12" r:id="rId10"/>
    <sheet name="Sabodala" sheetId="18" r:id="rId11"/>
    <sheet name="Wahgnion" sheetId="19" r:id="rId12"/>
    <sheet name="Reserves and Resources" sheetId="11" r:id="rId13"/>
    <sheet name="Financials &amp; Valuation" sheetId="6" r:id="rId14"/>
    <sheet name="Charts" sheetId="7" r:id="rId15"/>
  </sheet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9" l="1"/>
  <c r="G4" i="18"/>
  <c r="H4" i="12"/>
  <c r="H4" i="14"/>
  <c r="F4" i="13"/>
  <c r="E4" i="15"/>
  <c r="G4" i="9"/>
  <c r="E4" i="16"/>
  <c r="E3" i="16"/>
  <c r="W6" i="10"/>
  <c r="E5" i="10"/>
  <c r="C5" i="8"/>
  <c r="F112" i="16"/>
  <c r="F109" i="16"/>
  <c r="F108" i="16"/>
  <c r="F39" i="16"/>
  <c r="G39" i="16" s="1"/>
  <c r="H39" i="16" s="1"/>
  <c r="I39" i="16" s="1"/>
  <c r="J39" i="16" s="1"/>
  <c r="G105" i="16"/>
  <c r="H105" i="16" s="1"/>
  <c r="I105" i="16" s="1"/>
  <c r="J105" i="16" s="1"/>
  <c r="J112" i="16" s="1"/>
  <c r="D103" i="16"/>
  <c r="E101" i="16" s="1"/>
  <c r="E103" i="16"/>
  <c r="F101" i="16" s="1"/>
  <c r="C103" i="16"/>
  <c r="D101" i="16" s="1"/>
  <c r="G98" i="16"/>
  <c r="H98" i="16" s="1"/>
  <c r="I98" i="16" s="1"/>
  <c r="J98" i="16" s="1"/>
  <c r="J109" i="16" s="1"/>
  <c r="D96" i="16"/>
  <c r="E96" i="16"/>
  <c r="F94" i="16" s="1"/>
  <c r="C96" i="16"/>
  <c r="D94" i="16" s="1"/>
  <c r="G91" i="16"/>
  <c r="H91" i="16" s="1"/>
  <c r="I91" i="16" s="1"/>
  <c r="J91" i="16" s="1"/>
  <c r="J108" i="16" s="1"/>
  <c r="E89" i="16"/>
  <c r="D89" i="16"/>
  <c r="E87" i="16" s="1"/>
  <c r="F87" i="16" s="1"/>
  <c r="G87" i="16" s="1"/>
  <c r="H87" i="16" s="1"/>
  <c r="I87" i="16" s="1"/>
  <c r="J87" i="16" s="1"/>
  <c r="C89" i="16"/>
  <c r="D87" i="16" s="1"/>
  <c r="F30" i="20"/>
  <c r="F29" i="20"/>
  <c r="E39" i="20"/>
  <c r="F37" i="20" s="1"/>
  <c r="G81" i="16"/>
  <c r="G29" i="20" s="1"/>
  <c r="F36" i="16"/>
  <c r="G36" i="16" s="1"/>
  <c r="H36" i="16" s="1"/>
  <c r="I36" i="16" s="1"/>
  <c r="J36" i="16" s="1"/>
  <c r="I108" i="16" l="1"/>
  <c r="F110" i="16"/>
  <c r="F113" i="16" s="1"/>
  <c r="I109" i="16"/>
  <c r="J110" i="16"/>
  <c r="J113" i="16" s="1"/>
  <c r="H108" i="16"/>
  <c r="G112" i="16"/>
  <c r="H112" i="16"/>
  <c r="G108" i="16"/>
  <c r="H109" i="16"/>
  <c r="G109" i="16"/>
  <c r="I112" i="16"/>
  <c r="D95" i="16"/>
  <c r="E102" i="16"/>
  <c r="D102" i="16"/>
  <c r="E94" i="16"/>
  <c r="E95" i="16" s="1"/>
  <c r="D88" i="16"/>
  <c r="E88" i="16"/>
  <c r="H81" i="16"/>
  <c r="I110" i="16" l="1"/>
  <c r="I113" i="16" s="1"/>
  <c r="H110" i="16"/>
  <c r="H113" i="16" s="1"/>
  <c r="G110" i="16"/>
  <c r="G113" i="16" s="1"/>
  <c r="I81" i="16"/>
  <c r="H29" i="20"/>
  <c r="G78" i="10"/>
  <c r="H78" i="10"/>
  <c r="I78" i="10"/>
  <c r="J78" i="10"/>
  <c r="F78" i="10"/>
  <c r="G75" i="10"/>
  <c r="H75" i="10"/>
  <c r="I75" i="10"/>
  <c r="J75" i="10"/>
  <c r="F75" i="10"/>
  <c r="F71" i="10"/>
  <c r="E50" i="10"/>
  <c r="D50" i="10"/>
  <c r="E44" i="10"/>
  <c r="D44" i="10"/>
  <c r="E40" i="10"/>
  <c r="F40" i="10"/>
  <c r="G40" i="10"/>
  <c r="H40" i="10"/>
  <c r="I40" i="10"/>
  <c r="J40" i="10"/>
  <c r="E41" i="10"/>
  <c r="F41" i="10"/>
  <c r="G41" i="10"/>
  <c r="H41" i="10"/>
  <c r="I41" i="10"/>
  <c r="J41" i="10"/>
  <c r="D41" i="10"/>
  <c r="D40" i="10"/>
  <c r="D37" i="10"/>
  <c r="E37" i="10"/>
  <c r="D38" i="10"/>
  <c r="E38" i="10"/>
  <c r="E36" i="10"/>
  <c r="D36" i="10"/>
  <c r="E32" i="10"/>
  <c r="F32" i="10"/>
  <c r="D32" i="10"/>
  <c r="D22" i="10"/>
  <c r="E22" i="10"/>
  <c r="F22" i="10"/>
  <c r="D23" i="10"/>
  <c r="E23" i="10"/>
  <c r="F23" i="10"/>
  <c r="I23" i="10"/>
  <c r="J23" i="10"/>
  <c r="D24" i="10"/>
  <c r="E24" i="10"/>
  <c r="F24" i="10"/>
  <c r="D25" i="10"/>
  <c r="E25" i="10"/>
  <c r="F25" i="10"/>
  <c r="D26" i="10"/>
  <c r="E26" i="10"/>
  <c r="F26" i="10"/>
  <c r="D27" i="10"/>
  <c r="E27" i="10"/>
  <c r="F27" i="10"/>
  <c r="D28" i="10"/>
  <c r="E28" i="10"/>
  <c r="F28" i="10"/>
  <c r="G28" i="10"/>
  <c r="H28" i="10"/>
  <c r="I28" i="10"/>
  <c r="J28" i="10"/>
  <c r="E21" i="10"/>
  <c r="F21" i="10"/>
  <c r="D21" i="10"/>
  <c r="E9" i="10"/>
  <c r="F9" i="10"/>
  <c r="E10" i="10"/>
  <c r="F10" i="10"/>
  <c r="E11" i="10"/>
  <c r="F11" i="10"/>
  <c r="I11" i="10"/>
  <c r="J11" i="10"/>
  <c r="E12" i="10"/>
  <c r="F12" i="10"/>
  <c r="E13" i="10"/>
  <c r="F13" i="10"/>
  <c r="E14" i="10"/>
  <c r="F14" i="10"/>
  <c r="E15" i="10"/>
  <c r="F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D10" i="10"/>
  <c r="D11" i="10"/>
  <c r="D12" i="10"/>
  <c r="D13" i="10"/>
  <c r="D14" i="10"/>
  <c r="D15" i="10"/>
  <c r="D16" i="10"/>
  <c r="D17" i="10"/>
  <c r="D9" i="10"/>
  <c r="D33" i="10"/>
  <c r="Y78" i="10"/>
  <c r="Z78" i="10"/>
  <c r="AA78" i="10" s="1"/>
  <c r="AB78" i="10" s="1"/>
  <c r="AC78" i="10" s="1"/>
  <c r="AD78" i="10" s="1"/>
  <c r="AE78" i="10" s="1"/>
  <c r="AF78" i="10" s="1"/>
  <c r="AG78" i="10" s="1"/>
  <c r="AH78" i="10" s="1"/>
  <c r="AI78" i="10" s="1"/>
  <c r="AJ78" i="10" s="1"/>
  <c r="AK78" i="10" s="1"/>
  <c r="AL78" i="10" s="1"/>
  <c r="AM78" i="10" s="1"/>
  <c r="AN78" i="10" s="1"/>
  <c r="X78" i="10"/>
  <c r="Y75" i="10"/>
  <c r="Z75" i="10" s="1"/>
  <c r="AA75" i="10" s="1"/>
  <c r="AB75" i="10" s="1"/>
  <c r="AC75" i="10" s="1"/>
  <c r="AD75" i="10" s="1"/>
  <c r="AE75" i="10" s="1"/>
  <c r="AF75" i="10" s="1"/>
  <c r="AG75" i="10" s="1"/>
  <c r="AH75" i="10" s="1"/>
  <c r="AI75" i="10" s="1"/>
  <c r="AJ75" i="10" s="1"/>
  <c r="AK75" i="10" s="1"/>
  <c r="AL75" i="10" s="1"/>
  <c r="AM75" i="10" s="1"/>
  <c r="AN75" i="10" s="1"/>
  <c r="X75" i="10"/>
  <c r="X71" i="10"/>
  <c r="Y71" i="10" s="1"/>
  <c r="Z71" i="10" s="1"/>
  <c r="AA71" i="10" s="1"/>
  <c r="AB71" i="10" s="1"/>
  <c r="AC71" i="10" s="1"/>
  <c r="AD71" i="10" s="1"/>
  <c r="AE71" i="10" s="1"/>
  <c r="AF71" i="10" s="1"/>
  <c r="AG71" i="10" s="1"/>
  <c r="AH71" i="10" s="1"/>
  <c r="AI71" i="10" s="1"/>
  <c r="AJ71" i="10" s="1"/>
  <c r="AK71" i="10" s="1"/>
  <c r="AL71" i="10" s="1"/>
  <c r="AM71" i="10" s="1"/>
  <c r="AN71" i="10" s="1"/>
  <c r="Z66" i="10"/>
  <c r="AA66" i="10"/>
  <c r="AB66" i="10" s="1"/>
  <c r="AC66" i="10" s="1"/>
  <c r="AD66" i="10" s="1"/>
  <c r="AE66" i="10" s="1"/>
  <c r="AF66" i="10" s="1"/>
  <c r="AG66" i="10" s="1"/>
  <c r="AH66" i="10" s="1"/>
  <c r="AI66" i="10" s="1"/>
  <c r="AJ66" i="10" s="1"/>
  <c r="AK66" i="10" s="1"/>
  <c r="AL66" i="10" s="1"/>
  <c r="AM66" i="10" s="1"/>
  <c r="AN66" i="10" s="1"/>
  <c r="Y66" i="10"/>
  <c r="R32" i="18"/>
  <c r="Q32" i="18"/>
  <c r="P32" i="18"/>
  <c r="O32" i="18"/>
  <c r="N32" i="18"/>
  <c r="M32" i="18"/>
  <c r="L32" i="18"/>
  <c r="K32" i="18"/>
  <c r="J32" i="18"/>
  <c r="I32" i="18"/>
  <c r="H32" i="18"/>
  <c r="Q39" i="12"/>
  <c r="P39" i="12"/>
  <c r="O39" i="12"/>
  <c r="N39" i="12"/>
  <c r="M39" i="12"/>
  <c r="L39" i="12"/>
  <c r="K39" i="12"/>
  <c r="J39" i="12"/>
  <c r="I39" i="12"/>
  <c r="Q38" i="12"/>
  <c r="P38" i="12"/>
  <c r="O38" i="12"/>
  <c r="N38" i="12"/>
  <c r="M38" i="12"/>
  <c r="L38" i="12"/>
  <c r="K38" i="12"/>
  <c r="J38" i="12"/>
  <c r="I38" i="12"/>
  <c r="Q36" i="12"/>
  <c r="P36" i="12"/>
  <c r="O36" i="12"/>
  <c r="N36" i="12"/>
  <c r="M36" i="12"/>
  <c r="L36" i="12"/>
  <c r="K36" i="12"/>
  <c r="J36" i="12"/>
  <c r="I36" i="12"/>
  <c r="K33" i="12"/>
  <c r="J33" i="12"/>
  <c r="I33" i="12"/>
  <c r="K29" i="12"/>
  <c r="J29" i="12"/>
  <c r="I29" i="12"/>
  <c r="K28" i="12"/>
  <c r="J28" i="12"/>
  <c r="I28" i="12"/>
  <c r="F32" i="14"/>
  <c r="E32" i="14"/>
  <c r="F42" i="15"/>
  <c r="E42" i="15"/>
  <c r="F41" i="15"/>
  <c r="E41" i="15"/>
  <c r="F35" i="15"/>
  <c r="E35" i="15"/>
  <c r="F37" i="15"/>
  <c r="E37" i="15"/>
  <c r="E40" i="15"/>
  <c r="O40" i="15"/>
  <c r="N40" i="15"/>
  <c r="M40" i="15"/>
  <c r="L40" i="15"/>
  <c r="K40" i="15"/>
  <c r="J40" i="15"/>
  <c r="I40" i="15"/>
  <c r="H40" i="15"/>
  <c r="G40" i="15"/>
  <c r="F40" i="15"/>
  <c r="Y65" i="10"/>
  <c r="Z65" i="10" s="1"/>
  <c r="AA65" i="10" s="1"/>
  <c r="AB65" i="10" s="1"/>
  <c r="AC65" i="10" s="1"/>
  <c r="AD65" i="10" s="1"/>
  <c r="AE65" i="10" s="1"/>
  <c r="AF65" i="10" s="1"/>
  <c r="AG65" i="10" s="1"/>
  <c r="AH65" i="10" s="1"/>
  <c r="AI65" i="10" s="1"/>
  <c r="AJ65" i="10" s="1"/>
  <c r="AK65" i="10" s="1"/>
  <c r="AL65" i="10" s="1"/>
  <c r="AM65" i="10" s="1"/>
  <c r="AN65" i="10" s="1"/>
  <c r="X40" i="10"/>
  <c r="Y40" i="10" s="1"/>
  <c r="Z40" i="10" s="1"/>
  <c r="AA40" i="10" s="1"/>
  <c r="AB40" i="10" s="1"/>
  <c r="AC40" i="10" s="1"/>
  <c r="AD40" i="10" s="1"/>
  <c r="AE40" i="10" s="1"/>
  <c r="AF40" i="10" s="1"/>
  <c r="AG40" i="10" s="1"/>
  <c r="AH40" i="10" s="1"/>
  <c r="AI40" i="10" s="1"/>
  <c r="AJ40" i="10" s="1"/>
  <c r="AK40" i="10" s="1"/>
  <c r="AL40" i="10" s="1"/>
  <c r="AM40" i="10" s="1"/>
  <c r="AN40" i="10" s="1"/>
  <c r="Y64" i="10"/>
  <c r="Z64" i="10" s="1"/>
  <c r="AA64" i="10" s="1"/>
  <c r="AB64" i="10" s="1"/>
  <c r="AC64" i="10" s="1"/>
  <c r="AD64" i="10" s="1"/>
  <c r="AE64" i="10" s="1"/>
  <c r="AF64" i="10" s="1"/>
  <c r="AG64" i="10" s="1"/>
  <c r="AH64" i="10" s="1"/>
  <c r="AI64" i="10" s="1"/>
  <c r="AJ64" i="10" s="1"/>
  <c r="AK64" i="10" s="1"/>
  <c r="AL64" i="10" s="1"/>
  <c r="AM64" i="10" s="1"/>
  <c r="AN64" i="10" s="1"/>
  <c r="Y63" i="10"/>
  <c r="Z63" i="10" s="1"/>
  <c r="AA63" i="10" s="1"/>
  <c r="AB63" i="10" s="1"/>
  <c r="AC63" i="10" s="1"/>
  <c r="AD63" i="10" s="1"/>
  <c r="AE63" i="10" s="1"/>
  <c r="AF63" i="10" s="1"/>
  <c r="AG63" i="10" s="1"/>
  <c r="AH63" i="10" s="1"/>
  <c r="AI63" i="10" s="1"/>
  <c r="AJ63" i="10" s="1"/>
  <c r="AK63" i="10" s="1"/>
  <c r="AL63" i="10" s="1"/>
  <c r="AM63" i="10" s="1"/>
  <c r="AN63" i="10" s="1"/>
  <c r="N56" i="10"/>
  <c r="O56" i="10"/>
  <c r="P56" i="10"/>
  <c r="Q56" i="10"/>
  <c r="R56" i="10"/>
  <c r="S56" i="10"/>
  <c r="T56" i="10"/>
  <c r="U56" i="10"/>
  <c r="V56" i="10"/>
  <c r="W56" i="10"/>
  <c r="M56" i="10"/>
  <c r="V27" i="10"/>
  <c r="W27" i="10"/>
  <c r="X27" i="10"/>
  <c r="U27" i="10"/>
  <c r="W15" i="10"/>
  <c r="X15" i="10"/>
  <c r="V15" i="10"/>
  <c r="J81" i="16" l="1"/>
  <c r="J29" i="20" s="1"/>
  <c r="I29" i="20"/>
  <c r="Q54" i="10"/>
  <c r="R54" i="10"/>
  <c r="S54" i="10"/>
  <c r="T54" i="10"/>
  <c r="U54" i="10"/>
  <c r="V54" i="10"/>
  <c r="W54" i="10"/>
  <c r="N54" i="10"/>
  <c r="O54" i="10"/>
  <c r="P54" i="10"/>
  <c r="M54" i="10"/>
  <c r="AH33" i="10"/>
  <c r="AH54" i="10" s="1"/>
  <c r="AI33" i="10"/>
  <c r="AI54" i="10" s="1"/>
  <c r="AJ33" i="10"/>
  <c r="AJ54" i="10" s="1"/>
  <c r="AK33" i="10"/>
  <c r="AL33" i="10"/>
  <c r="AL54" i="10" s="1"/>
  <c r="AM33" i="10"/>
  <c r="AM54" i="10" s="1"/>
  <c r="AN33" i="10"/>
  <c r="AN54" i="10" s="1"/>
  <c r="AG33" i="10"/>
  <c r="AC33" i="10"/>
  <c r="AD33" i="10"/>
  <c r="AD54" i="10" s="1"/>
  <c r="AE33" i="10"/>
  <c r="AE54" i="10" s="1"/>
  <c r="AF33" i="10"/>
  <c r="AF54" i="10" s="1"/>
  <c r="AA33" i="10"/>
  <c r="AA54" i="10" s="1"/>
  <c r="AB33" i="10"/>
  <c r="AB54" i="10" s="1"/>
  <c r="Z33" i="10"/>
  <c r="Z54" i="10" s="1"/>
  <c r="Y33" i="10"/>
  <c r="H36" i="19"/>
  <c r="I36" i="19"/>
  <c r="J36" i="19"/>
  <c r="K36" i="19"/>
  <c r="L36" i="19"/>
  <c r="M36" i="19"/>
  <c r="N36" i="19"/>
  <c r="O36" i="19"/>
  <c r="P36" i="19"/>
  <c r="Q36" i="19"/>
  <c r="G36" i="19"/>
  <c r="I36" i="18"/>
  <c r="J36" i="18"/>
  <c r="K36" i="18"/>
  <c r="L36" i="18"/>
  <c r="M36" i="18"/>
  <c r="N36" i="18"/>
  <c r="O36" i="18"/>
  <c r="P36" i="18"/>
  <c r="Q36" i="18"/>
  <c r="R36" i="18"/>
  <c r="H36" i="18"/>
  <c r="X33" i="10"/>
  <c r="Q51" i="12"/>
  <c r="P51" i="12"/>
  <c r="O51" i="12"/>
  <c r="N51" i="12"/>
  <c r="M51" i="12"/>
  <c r="L51" i="12"/>
  <c r="K51" i="12"/>
  <c r="J51" i="12"/>
  <c r="I51" i="12"/>
  <c r="H51" i="12"/>
  <c r="G51" i="12"/>
  <c r="Q47" i="12"/>
  <c r="P47" i="12"/>
  <c r="O47" i="12"/>
  <c r="N47" i="12"/>
  <c r="M47" i="12"/>
  <c r="L47" i="12"/>
  <c r="K47" i="12"/>
  <c r="J47" i="12"/>
  <c r="I47" i="12"/>
  <c r="H47" i="12"/>
  <c r="G47" i="12"/>
  <c r="H36" i="12"/>
  <c r="G36" i="12"/>
  <c r="E36" i="12"/>
  <c r="E36" i="13"/>
  <c r="H36" i="14"/>
  <c r="I36" i="14"/>
  <c r="J36" i="14"/>
  <c r="K36" i="14"/>
  <c r="G36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F37" i="13"/>
  <c r="G37" i="13"/>
  <c r="E37" i="13"/>
  <c r="G35" i="13"/>
  <c r="F35" i="13"/>
  <c r="E35" i="13"/>
  <c r="H51" i="19"/>
  <c r="I51" i="19"/>
  <c r="J51" i="19"/>
  <c r="K51" i="19"/>
  <c r="L51" i="19"/>
  <c r="M51" i="19"/>
  <c r="N51" i="19"/>
  <c r="O51" i="19"/>
  <c r="P51" i="19"/>
  <c r="Q51" i="19"/>
  <c r="G51" i="19"/>
  <c r="Q48" i="19"/>
  <c r="P48" i="19"/>
  <c r="O48" i="19"/>
  <c r="N48" i="19"/>
  <c r="M48" i="19"/>
  <c r="L48" i="19"/>
  <c r="K48" i="19"/>
  <c r="J48" i="19"/>
  <c r="I48" i="19"/>
  <c r="H48" i="19"/>
  <c r="G48" i="19"/>
  <c r="Q47" i="19"/>
  <c r="P47" i="19"/>
  <c r="O47" i="19"/>
  <c r="N47" i="19"/>
  <c r="M47" i="19"/>
  <c r="L47" i="19"/>
  <c r="K47" i="19"/>
  <c r="J47" i="19"/>
  <c r="I47" i="19"/>
  <c r="H47" i="19"/>
  <c r="G47" i="19"/>
  <c r="W37" i="19"/>
  <c r="V37" i="19"/>
  <c r="U37" i="19"/>
  <c r="T37" i="19"/>
  <c r="Y51" i="19"/>
  <c r="Z51" i="19"/>
  <c r="AA51" i="19" s="1"/>
  <c r="X51" i="19"/>
  <c r="X36" i="19"/>
  <c r="Y36" i="19"/>
  <c r="Z36" i="19"/>
  <c r="U51" i="19"/>
  <c r="V51" i="19"/>
  <c r="T51" i="19"/>
  <c r="W36" i="19"/>
  <c r="I51" i="18"/>
  <c r="J51" i="18"/>
  <c r="K51" i="18"/>
  <c r="L51" i="18"/>
  <c r="M51" i="18"/>
  <c r="N51" i="18"/>
  <c r="O51" i="18"/>
  <c r="P51" i="18"/>
  <c r="Q51" i="18"/>
  <c r="R51" i="18"/>
  <c r="H51" i="18"/>
  <c r="AE36" i="18"/>
  <c r="BP36" i="18"/>
  <c r="BO36" i="18"/>
  <c r="BN36" i="18"/>
  <c r="BM36" i="18"/>
  <c r="BL36" i="18"/>
  <c r="BK36" i="18"/>
  <c r="BJ36" i="18"/>
  <c r="BI36" i="18"/>
  <c r="BH36" i="18"/>
  <c r="BG36" i="18"/>
  <c r="BF36" i="18"/>
  <c r="BE36" i="18"/>
  <c r="BD36" i="18"/>
  <c r="BC36" i="18"/>
  <c r="BB36" i="18"/>
  <c r="BA36" i="18"/>
  <c r="AZ36" i="18"/>
  <c r="AY36" i="18"/>
  <c r="AX36" i="18"/>
  <c r="AW36" i="18"/>
  <c r="AV36" i="18"/>
  <c r="AU36" i="18"/>
  <c r="AT36" i="18"/>
  <c r="AS36" i="18"/>
  <c r="AR36" i="18"/>
  <c r="AQ36" i="18"/>
  <c r="AP36" i="18"/>
  <c r="AO36" i="18"/>
  <c r="AN36" i="18"/>
  <c r="AM36" i="18"/>
  <c r="AL36" i="18"/>
  <c r="AK36" i="18"/>
  <c r="AJ36" i="18"/>
  <c r="AI36" i="18"/>
  <c r="AH36" i="18"/>
  <c r="AG36" i="18"/>
  <c r="AF36" i="18"/>
  <c r="AD36" i="18"/>
  <c r="AC36" i="18"/>
  <c r="AB36" i="18"/>
  <c r="AA36" i="18"/>
  <c r="Z36" i="18"/>
  <c r="Y36" i="18"/>
  <c r="BP51" i="18"/>
  <c r="BC51" i="18"/>
  <c r="BD51" i="18" s="1"/>
  <c r="BE51" i="18" s="1"/>
  <c r="BF51" i="18" s="1"/>
  <c r="BG51" i="18" s="1"/>
  <c r="BH51" i="18" s="1"/>
  <c r="BI51" i="18" s="1"/>
  <c r="BJ51" i="18" s="1"/>
  <c r="BK51" i="18" s="1"/>
  <c r="BL51" i="18" s="1"/>
  <c r="BM51" i="18" s="1"/>
  <c r="BN51" i="18" s="1"/>
  <c r="BO51" i="18" s="1"/>
  <c r="BB51" i="18"/>
  <c r="Z51" i="18"/>
  <c r="AA51" i="18" s="1"/>
  <c r="AB51" i="18" s="1"/>
  <c r="AC51" i="18" s="1"/>
  <c r="AD51" i="18" s="1"/>
  <c r="AE51" i="18" s="1"/>
  <c r="AF51" i="18" s="1"/>
  <c r="AG51" i="18" s="1"/>
  <c r="AH51" i="18" s="1"/>
  <c r="AI51" i="18" s="1"/>
  <c r="AJ51" i="18" s="1"/>
  <c r="AK51" i="18" s="1"/>
  <c r="AL51" i="18" s="1"/>
  <c r="AM51" i="18" s="1"/>
  <c r="AN51" i="18" s="1"/>
  <c r="AO51" i="18" s="1"/>
  <c r="AP51" i="18" s="1"/>
  <c r="AQ51" i="18" s="1"/>
  <c r="AR51" i="18" s="1"/>
  <c r="AS51" i="18" s="1"/>
  <c r="AT51" i="18" s="1"/>
  <c r="AU51" i="18" s="1"/>
  <c r="AV51" i="18" s="1"/>
  <c r="AW51" i="18" s="1"/>
  <c r="AX51" i="18" s="1"/>
  <c r="AY51" i="18" s="1"/>
  <c r="AZ51" i="18" s="1"/>
  <c r="Y51" i="18"/>
  <c r="X36" i="18"/>
  <c r="V51" i="18"/>
  <c r="W51" i="18"/>
  <c r="U51" i="18"/>
  <c r="O48" i="12"/>
  <c r="N48" i="12"/>
  <c r="M48" i="12"/>
  <c r="L48" i="12"/>
  <c r="K48" i="12"/>
  <c r="J48" i="12"/>
  <c r="I48" i="12"/>
  <c r="H48" i="12"/>
  <c r="G48" i="12"/>
  <c r="F36" i="12"/>
  <c r="BK36" i="12"/>
  <c r="BJ36" i="12"/>
  <c r="BI36" i="12"/>
  <c r="BH36" i="12"/>
  <c r="BG36" i="12"/>
  <c r="BF36" i="12"/>
  <c r="BE36" i="12"/>
  <c r="BD36" i="12"/>
  <c r="BC36" i="12"/>
  <c r="BB36" i="12"/>
  <c r="BA36" i="12"/>
  <c r="AZ36" i="12"/>
  <c r="AY36" i="12"/>
  <c r="AX36" i="12"/>
  <c r="AW36" i="12"/>
  <c r="AV36" i="12"/>
  <c r="AU36" i="12"/>
  <c r="AT36" i="12"/>
  <c r="AS36" i="12"/>
  <c r="AR36" i="12"/>
  <c r="AQ36" i="12"/>
  <c r="AP36" i="12"/>
  <c r="AO36" i="12"/>
  <c r="AN36" i="12"/>
  <c r="AM36" i="12"/>
  <c r="AL36" i="12"/>
  <c r="AK36" i="12"/>
  <c r="AJ36" i="12"/>
  <c r="AI36" i="12"/>
  <c r="AH36" i="12"/>
  <c r="AG36" i="12"/>
  <c r="AF36" i="12"/>
  <c r="BF51" i="12"/>
  <c r="BG51" i="12"/>
  <c r="BH51" i="12"/>
  <c r="BI51" i="12"/>
  <c r="BJ51" i="12" s="1"/>
  <c r="BK51" i="12" s="1"/>
  <c r="BE51" i="12"/>
  <c r="BA51" i="12"/>
  <c r="BB51" i="12" s="1"/>
  <c r="BC51" i="12" s="1"/>
  <c r="AT51" i="12"/>
  <c r="AU51" i="12" s="1"/>
  <c r="AV51" i="12" s="1"/>
  <c r="AW51" i="12" s="1"/>
  <c r="AX51" i="12" s="1"/>
  <c r="AY51" i="12" s="1"/>
  <c r="AZ51" i="12" s="1"/>
  <c r="AG51" i="12"/>
  <c r="AH51" i="12"/>
  <c r="AI51" i="12"/>
  <c r="AJ51" i="12"/>
  <c r="AK51" i="12" s="1"/>
  <c r="AL51" i="12" s="1"/>
  <c r="AM51" i="12" s="1"/>
  <c r="AN51" i="12" s="1"/>
  <c r="AO51" i="12" s="1"/>
  <c r="AP51" i="12" s="1"/>
  <c r="AQ51" i="12" s="1"/>
  <c r="AR51" i="12" s="1"/>
  <c r="AS51" i="12" s="1"/>
  <c r="AF51" i="12"/>
  <c r="AE36" i="12"/>
  <c r="U51" i="12"/>
  <c r="V51" i="12"/>
  <c r="W51" i="12"/>
  <c r="X51" i="12"/>
  <c r="Y51" i="12"/>
  <c r="Z51" i="12"/>
  <c r="AA51" i="12"/>
  <c r="AB51" i="12"/>
  <c r="AC51" i="12"/>
  <c r="AD51" i="12"/>
  <c r="T51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AA36" i="12"/>
  <c r="W36" i="12"/>
  <c r="H51" i="14"/>
  <c r="I51" i="14"/>
  <c r="J51" i="14"/>
  <c r="K51" i="14"/>
  <c r="G51" i="14"/>
  <c r="H48" i="14"/>
  <c r="I48" i="14"/>
  <c r="J48" i="14"/>
  <c r="K48" i="14"/>
  <c r="G48" i="14"/>
  <c r="H47" i="14"/>
  <c r="I47" i="14"/>
  <c r="J47" i="14"/>
  <c r="K47" i="14"/>
  <c r="G47" i="14"/>
  <c r="F51" i="13"/>
  <c r="G51" i="13"/>
  <c r="H51" i="13"/>
  <c r="I51" i="13"/>
  <c r="J51" i="13"/>
  <c r="K51" i="13"/>
  <c r="L51" i="13"/>
  <c r="M51" i="13"/>
  <c r="N51" i="13"/>
  <c r="O51" i="13"/>
  <c r="P51" i="13"/>
  <c r="E51" i="13"/>
  <c r="AD37" i="13"/>
  <c r="AC37" i="13"/>
  <c r="AB37" i="13"/>
  <c r="AA37" i="13"/>
  <c r="Z37" i="13"/>
  <c r="Y37" i="13"/>
  <c r="X37" i="13"/>
  <c r="W37" i="13"/>
  <c r="V37" i="13"/>
  <c r="U37" i="13"/>
  <c r="T37" i="13"/>
  <c r="Y37" i="15"/>
  <c r="X37" i="15"/>
  <c r="W37" i="15"/>
  <c r="V37" i="15"/>
  <c r="U37" i="15"/>
  <c r="T37" i="15"/>
  <c r="X37" i="9"/>
  <c r="W37" i="9"/>
  <c r="V37" i="9"/>
  <c r="U37" i="9"/>
  <c r="T37" i="9"/>
  <c r="S37" i="9"/>
  <c r="F37" i="14"/>
  <c r="E37" i="14"/>
  <c r="AG36" i="14"/>
  <c r="AF36" i="14"/>
  <c r="AE36" i="14"/>
  <c r="AD36" i="14"/>
  <c r="AC36" i="14"/>
  <c r="AB36" i="14"/>
  <c r="AA36" i="14"/>
  <c r="Z36" i="14"/>
  <c r="Y36" i="14"/>
  <c r="O51" i="14"/>
  <c r="P51" i="14"/>
  <c r="Q51" i="14"/>
  <c r="R51" i="14"/>
  <c r="S51" i="14"/>
  <c r="T51" i="14"/>
  <c r="U51" i="14"/>
  <c r="V51" i="14"/>
  <c r="W51" i="14"/>
  <c r="X51" i="14"/>
  <c r="N51" i="14"/>
  <c r="U36" i="14"/>
  <c r="Q36" i="14"/>
  <c r="F51" i="15"/>
  <c r="G51" i="15"/>
  <c r="H51" i="15"/>
  <c r="I51" i="15"/>
  <c r="J51" i="15"/>
  <c r="K51" i="15"/>
  <c r="L51" i="15"/>
  <c r="M51" i="15"/>
  <c r="N51" i="15"/>
  <c r="O51" i="15"/>
  <c r="E51" i="15"/>
  <c r="F36" i="15"/>
  <c r="G36" i="15"/>
  <c r="H36" i="15"/>
  <c r="I36" i="15"/>
  <c r="J36" i="15"/>
  <c r="K36" i="15"/>
  <c r="L36" i="15"/>
  <c r="M36" i="15"/>
  <c r="N36" i="15"/>
  <c r="O36" i="15"/>
  <c r="E36" i="15"/>
  <c r="AZ51" i="15"/>
  <c r="BA51" i="15"/>
  <c r="BB51" i="15" s="1"/>
  <c r="AY51" i="15"/>
  <c r="AA51" i="15"/>
  <c r="AB51" i="15" s="1"/>
  <c r="Z36" i="15"/>
  <c r="AA36" i="15"/>
  <c r="Z51" i="15"/>
  <c r="Y36" i="15"/>
  <c r="U36" i="15"/>
  <c r="V51" i="15"/>
  <c r="W51" i="15"/>
  <c r="X51" i="15"/>
  <c r="U51" i="15"/>
  <c r="T51" i="15"/>
  <c r="F36" i="13"/>
  <c r="G36" i="13"/>
  <c r="H36" i="13"/>
  <c r="I36" i="13"/>
  <c r="J36" i="13"/>
  <c r="K36" i="13"/>
  <c r="L36" i="13"/>
  <c r="M36" i="13"/>
  <c r="N36" i="13"/>
  <c r="O36" i="13"/>
  <c r="P36" i="13"/>
  <c r="BE51" i="13"/>
  <c r="BF51" i="13" s="1"/>
  <c r="BD51" i="13"/>
  <c r="BE36" i="13"/>
  <c r="BD36" i="13"/>
  <c r="BC36" i="13"/>
  <c r="BB36" i="13"/>
  <c r="BA36" i="13"/>
  <c r="AZ36" i="13"/>
  <c r="AY36" i="13"/>
  <c r="AX36" i="13"/>
  <c r="AW36" i="13"/>
  <c r="AV36" i="13"/>
  <c r="AU36" i="13"/>
  <c r="AT36" i="13"/>
  <c r="AS36" i="13"/>
  <c r="AR36" i="13"/>
  <c r="AQ36" i="13"/>
  <c r="AP36" i="13"/>
  <c r="AO36" i="13"/>
  <c r="AN36" i="13"/>
  <c r="AM36" i="13"/>
  <c r="AL36" i="13"/>
  <c r="AK36" i="13"/>
  <c r="AJ36" i="13"/>
  <c r="AI36" i="13"/>
  <c r="AH36" i="13"/>
  <c r="AG36" i="13"/>
  <c r="AF36" i="13"/>
  <c r="AE36" i="13"/>
  <c r="AF51" i="13"/>
  <c r="AG51" i="13" s="1"/>
  <c r="AH51" i="13" s="1"/>
  <c r="AI51" i="13" s="1"/>
  <c r="AJ51" i="13" s="1"/>
  <c r="AK51" i="13" s="1"/>
  <c r="AL51" i="13" s="1"/>
  <c r="AM51" i="13" s="1"/>
  <c r="AN51" i="13" s="1"/>
  <c r="AO51" i="13" s="1"/>
  <c r="AP51" i="13" s="1"/>
  <c r="AQ51" i="13" s="1"/>
  <c r="AR51" i="13" s="1"/>
  <c r="AS51" i="13" s="1"/>
  <c r="AT51" i="13" s="1"/>
  <c r="AU51" i="13" s="1"/>
  <c r="AV51" i="13" s="1"/>
  <c r="AW51" i="13" s="1"/>
  <c r="AX51" i="13" s="1"/>
  <c r="AY51" i="13" s="1"/>
  <c r="AZ51" i="13" s="1"/>
  <c r="BA51" i="13" s="1"/>
  <c r="BB51" i="13" s="1"/>
  <c r="AE51" i="13"/>
  <c r="AD36" i="13"/>
  <c r="U51" i="13"/>
  <c r="V51" i="13"/>
  <c r="W51" i="13"/>
  <c r="X51" i="13"/>
  <c r="Y51" i="13"/>
  <c r="Z51" i="13"/>
  <c r="AA51" i="13"/>
  <c r="AB51" i="13"/>
  <c r="AC51" i="13"/>
  <c r="T51" i="13"/>
  <c r="Z36" i="13"/>
  <c r="V36" i="13"/>
  <c r="H36" i="9"/>
  <c r="I36" i="9"/>
  <c r="J36" i="9"/>
  <c r="K36" i="9"/>
  <c r="L36" i="9"/>
  <c r="M36" i="9"/>
  <c r="N36" i="9"/>
  <c r="G36" i="9"/>
  <c r="H51" i="9"/>
  <c r="I51" i="9"/>
  <c r="J51" i="9"/>
  <c r="K51" i="9"/>
  <c r="L51" i="9"/>
  <c r="M51" i="9"/>
  <c r="N51" i="9"/>
  <c r="AU36" i="9"/>
  <c r="AV36" i="9"/>
  <c r="AR36" i="9"/>
  <c r="AS36" i="9"/>
  <c r="AT36" i="9"/>
  <c r="AO36" i="9"/>
  <c r="AP36" i="9"/>
  <c r="AQ36" i="9"/>
  <c r="AM36" i="9"/>
  <c r="AN36" i="9"/>
  <c r="AI36" i="9"/>
  <c r="AJ36" i="9"/>
  <c r="AK36" i="9"/>
  <c r="AL36" i="9"/>
  <c r="AB36" i="9"/>
  <c r="AC36" i="9"/>
  <c r="AD36" i="9"/>
  <c r="AE36" i="9"/>
  <c r="AF36" i="9"/>
  <c r="AG36" i="9"/>
  <c r="AH36" i="9"/>
  <c r="AB51" i="9"/>
  <c r="AC51" i="9" s="1"/>
  <c r="AD51" i="9" s="1"/>
  <c r="AE51" i="9" s="1"/>
  <c r="AF51" i="9" s="1"/>
  <c r="AG51" i="9" s="1"/>
  <c r="AH51" i="9" s="1"/>
  <c r="AI51" i="9" s="1"/>
  <c r="AJ51" i="9" s="1"/>
  <c r="AK51" i="9" s="1"/>
  <c r="AL51" i="9" s="1"/>
  <c r="AM51" i="9" s="1"/>
  <c r="AN51" i="9" s="1"/>
  <c r="AP51" i="9" s="1"/>
  <c r="AQ51" i="9" s="1"/>
  <c r="AR51" i="9" s="1"/>
  <c r="AS51" i="9" s="1"/>
  <c r="AT51" i="9" s="1"/>
  <c r="AU51" i="9" s="1"/>
  <c r="AV51" i="9" s="1"/>
  <c r="Z36" i="9"/>
  <c r="AA36" i="9"/>
  <c r="AA51" i="9"/>
  <c r="Z51" i="9"/>
  <c r="Y51" i="9"/>
  <c r="Y36" i="9"/>
  <c r="X36" i="9"/>
  <c r="X47" i="9"/>
  <c r="W51" i="9"/>
  <c r="T51" i="9"/>
  <c r="G51" i="9" s="1"/>
  <c r="U51" i="9"/>
  <c r="V51" i="9"/>
  <c r="S51" i="9"/>
  <c r="S47" i="9"/>
  <c r="E20" i="19"/>
  <c r="G26" i="19"/>
  <c r="G38" i="19"/>
  <c r="G34" i="19"/>
  <c r="T10" i="19"/>
  <c r="W39" i="19"/>
  <c r="G39" i="19" s="1"/>
  <c r="W38" i="19"/>
  <c r="T35" i="19"/>
  <c r="AH17" i="12"/>
  <c r="AI17" i="12" s="1"/>
  <c r="AJ17" i="12" s="1"/>
  <c r="AK17" i="12" s="1"/>
  <c r="AL17" i="12" s="1"/>
  <c r="AM17" i="12" s="1"/>
  <c r="AN17" i="12" s="1"/>
  <c r="AO17" i="12" s="1"/>
  <c r="AP17" i="12" s="1"/>
  <c r="AQ17" i="12" s="1"/>
  <c r="AR17" i="12" s="1"/>
  <c r="AS17" i="12" s="1"/>
  <c r="AT17" i="12" s="1"/>
  <c r="AU17" i="12" s="1"/>
  <c r="AV17" i="12" s="1"/>
  <c r="AW17" i="12" s="1"/>
  <c r="AX17" i="12" s="1"/>
  <c r="AY17" i="12" s="1"/>
  <c r="AZ17" i="12" s="1"/>
  <c r="BA17" i="12" s="1"/>
  <c r="BB17" i="12" s="1"/>
  <c r="BC17" i="12" s="1"/>
  <c r="BD17" i="12" s="1"/>
  <c r="BE17" i="12" s="1"/>
  <c r="BF17" i="12" s="1"/>
  <c r="BG17" i="12" s="1"/>
  <c r="BH17" i="12" s="1"/>
  <c r="BI17" i="12" s="1"/>
  <c r="BJ17" i="12" s="1"/>
  <c r="BK17" i="12" s="1"/>
  <c r="AG17" i="12"/>
  <c r="Z17" i="14"/>
  <c r="AA17" i="14" s="1"/>
  <c r="AB17" i="14" s="1"/>
  <c r="AC17" i="14" s="1"/>
  <c r="AD17" i="14" s="1"/>
  <c r="AE17" i="14" s="1"/>
  <c r="AF17" i="14" s="1"/>
  <c r="AG17" i="14" s="1"/>
  <c r="Z17" i="15"/>
  <c r="AA17" i="15" s="1"/>
  <c r="AB17" i="15" s="1"/>
  <c r="AC17" i="15" s="1"/>
  <c r="AD17" i="15" s="1"/>
  <c r="AE17" i="15" s="1"/>
  <c r="AF17" i="15" s="1"/>
  <c r="AG17" i="15" s="1"/>
  <c r="AH17" i="15" s="1"/>
  <c r="AI17" i="15" s="1"/>
  <c r="AJ17" i="15" s="1"/>
  <c r="AK17" i="15" s="1"/>
  <c r="AL17" i="15" s="1"/>
  <c r="AM17" i="15" s="1"/>
  <c r="AN17" i="15" s="1"/>
  <c r="AO17" i="15" s="1"/>
  <c r="AP17" i="15" s="1"/>
  <c r="AQ17" i="15" s="1"/>
  <c r="AR17" i="15" s="1"/>
  <c r="AS17" i="15" s="1"/>
  <c r="AT17" i="15" s="1"/>
  <c r="AU17" i="15" s="1"/>
  <c r="AV17" i="15" s="1"/>
  <c r="AW17" i="15" s="1"/>
  <c r="AX17" i="15" s="1"/>
  <c r="AY17" i="15" s="1"/>
  <c r="AZ17" i="15" s="1"/>
  <c r="BA17" i="15" s="1"/>
  <c r="BB17" i="15" s="1"/>
  <c r="BC17" i="15" s="1"/>
  <c r="BD17" i="15" s="1"/>
  <c r="BE17" i="15" s="1"/>
  <c r="BF17" i="15" s="1"/>
  <c r="BG17" i="15" s="1"/>
  <c r="BH17" i="15" s="1"/>
  <c r="Z17" i="9"/>
  <c r="AA17" i="9" s="1"/>
  <c r="G71" i="10"/>
  <c r="H71" i="10" s="1"/>
  <c r="I71" i="10" s="1"/>
  <c r="J71" i="10" s="1"/>
  <c r="F20" i="19"/>
  <c r="E10" i="19"/>
  <c r="F10" i="19" s="1"/>
  <c r="E4" i="19"/>
  <c r="F77" i="11"/>
  <c r="F76" i="11"/>
  <c r="F78" i="11" s="1"/>
  <c r="F73" i="11"/>
  <c r="D48" i="10"/>
  <c r="D82" i="16"/>
  <c r="E82" i="16"/>
  <c r="F78" i="16" s="1"/>
  <c r="C82" i="16"/>
  <c r="D38" i="16"/>
  <c r="D40" i="16" s="1"/>
  <c r="E38" i="16"/>
  <c r="E40" i="16" s="1"/>
  <c r="C38" i="16"/>
  <c r="C40" i="16" s="1"/>
  <c r="U15" i="10"/>
  <c r="E74" i="16"/>
  <c r="F71" i="16" s="1"/>
  <c r="D74" i="16"/>
  <c r="C74" i="16"/>
  <c r="E60" i="16"/>
  <c r="D60" i="16"/>
  <c r="C60" i="16"/>
  <c r="E58" i="16"/>
  <c r="F48" i="16" s="1"/>
  <c r="D58" i="16"/>
  <c r="C58" i="16"/>
  <c r="Y48" i="19"/>
  <c r="V48" i="19"/>
  <c r="U48" i="19"/>
  <c r="T48" i="19"/>
  <c r="Y47" i="19"/>
  <c r="Z47" i="19" s="1"/>
  <c r="AA47" i="19" s="1"/>
  <c r="V47" i="19"/>
  <c r="U47" i="19"/>
  <c r="T47" i="19"/>
  <c r="V40" i="19"/>
  <c r="U40" i="19"/>
  <c r="T40" i="19"/>
  <c r="V35" i="19"/>
  <c r="V43" i="19" s="1"/>
  <c r="U35" i="19"/>
  <c r="U43" i="19" s="1"/>
  <c r="AA34" i="19"/>
  <c r="H34" i="19" s="1"/>
  <c r="AD32" i="19"/>
  <c r="AE32" i="19" s="1"/>
  <c r="I32" i="19" s="1"/>
  <c r="Z32" i="19"/>
  <c r="AA32" i="19" s="1"/>
  <c r="X32" i="19"/>
  <c r="V32" i="19"/>
  <c r="U32" i="19"/>
  <c r="T32" i="19"/>
  <c r="G32" i="19" s="1"/>
  <c r="Q32" i="19"/>
  <c r="P32" i="19"/>
  <c r="O32" i="19"/>
  <c r="N32" i="19"/>
  <c r="M32" i="19"/>
  <c r="L32" i="19"/>
  <c r="K32" i="19"/>
  <c r="J32" i="19"/>
  <c r="W26" i="19"/>
  <c r="V26" i="19"/>
  <c r="U26" i="19"/>
  <c r="T26" i="19"/>
  <c r="T20" i="19"/>
  <c r="U20" i="19" s="1"/>
  <c r="V20" i="19" s="1"/>
  <c r="X17" i="19"/>
  <c r="Y17" i="19" s="1"/>
  <c r="Z17" i="19" s="1"/>
  <c r="AA17" i="19" s="1"/>
  <c r="AB17" i="19" s="1"/>
  <c r="H17" i="19"/>
  <c r="V14" i="19"/>
  <c r="U14" i="19"/>
  <c r="T14" i="19"/>
  <c r="F14" i="19"/>
  <c r="E14" i="19"/>
  <c r="E15" i="19" s="1"/>
  <c r="W12" i="19"/>
  <c r="X12" i="19" s="1"/>
  <c r="Y12" i="19" s="1"/>
  <c r="Z12" i="19" s="1"/>
  <c r="AA12" i="19" s="1"/>
  <c r="AB12" i="19" s="1"/>
  <c r="U10" i="19"/>
  <c r="V10" i="19" s="1"/>
  <c r="W8" i="19" s="1"/>
  <c r="G8" i="19" s="1"/>
  <c r="U10" i="18"/>
  <c r="V26" i="10"/>
  <c r="W26" i="10"/>
  <c r="U26" i="10"/>
  <c r="V14" i="10"/>
  <c r="W14" i="10"/>
  <c r="U14" i="10"/>
  <c r="AA32" i="18"/>
  <c r="AB32" i="18" s="1"/>
  <c r="Y32" i="18"/>
  <c r="F14" i="18"/>
  <c r="G14" i="18"/>
  <c r="X8" i="18"/>
  <c r="X12" i="18"/>
  <c r="Y12" i="18" s="1"/>
  <c r="Z12" i="18" s="1"/>
  <c r="AA12" i="18" s="1"/>
  <c r="AB12" i="18" s="1"/>
  <c r="AC12" i="18" s="1"/>
  <c r="AD12" i="18" s="1"/>
  <c r="AE12" i="18" s="1"/>
  <c r="AF12" i="18" s="1"/>
  <c r="AG12" i="18" s="1"/>
  <c r="AH12" i="18" s="1"/>
  <c r="AI12" i="18" s="1"/>
  <c r="AJ12" i="18" s="1"/>
  <c r="AK12" i="18" s="1"/>
  <c r="AL12" i="18" s="1"/>
  <c r="AM12" i="18" s="1"/>
  <c r="AN12" i="18" s="1"/>
  <c r="AO12" i="18" s="1"/>
  <c r="AP12" i="18" s="1"/>
  <c r="AQ12" i="18" s="1"/>
  <c r="AR12" i="18" s="1"/>
  <c r="AS12" i="18" s="1"/>
  <c r="AT12" i="18" s="1"/>
  <c r="AU12" i="18" s="1"/>
  <c r="AV12" i="18" s="1"/>
  <c r="AW12" i="18" s="1"/>
  <c r="AX12" i="18" s="1"/>
  <c r="AY12" i="18" s="1"/>
  <c r="AZ12" i="18" s="1"/>
  <c r="BA12" i="18" s="1"/>
  <c r="H34" i="18"/>
  <c r="Z48" i="18"/>
  <c r="Z47" i="18"/>
  <c r="X39" i="18"/>
  <c r="H39" i="18" s="1"/>
  <c r="X38" i="18"/>
  <c r="U47" i="18"/>
  <c r="V47" i="18"/>
  <c r="U48" i="18"/>
  <c r="V48" i="18"/>
  <c r="V40" i="18"/>
  <c r="V35" i="18"/>
  <c r="V37" i="18" s="1"/>
  <c r="V32" i="18"/>
  <c r="U32" i="18"/>
  <c r="U40" i="18"/>
  <c r="U35" i="18"/>
  <c r="U41" i="18" s="1"/>
  <c r="U26" i="18"/>
  <c r="V26" i="18"/>
  <c r="W26" i="18"/>
  <c r="X26" i="18"/>
  <c r="Z17" i="18"/>
  <c r="AA17" i="18" s="1"/>
  <c r="AB17" i="18" s="1"/>
  <c r="AC17" i="18" s="1"/>
  <c r="Y17" i="18"/>
  <c r="U14" i="18"/>
  <c r="U15" i="18" s="1"/>
  <c r="V10" i="18"/>
  <c r="W10" i="18" s="1"/>
  <c r="H17" i="18"/>
  <c r="E14" i="18"/>
  <c r="E15" i="18" s="1"/>
  <c r="H12" i="18"/>
  <c r="E10" i="18"/>
  <c r="F10" i="18" s="1"/>
  <c r="G10" i="18" s="1"/>
  <c r="V14" i="18"/>
  <c r="W14" i="18"/>
  <c r="U20" i="18"/>
  <c r="V20" i="18" s="1"/>
  <c r="W20" i="18" s="1"/>
  <c r="W32" i="18"/>
  <c r="W35" i="18"/>
  <c r="W41" i="18" s="1"/>
  <c r="W40" i="18"/>
  <c r="W47" i="18"/>
  <c r="F63" i="11"/>
  <c r="F67" i="11"/>
  <c r="F66" i="11"/>
  <c r="F68" i="11" s="1"/>
  <c r="AB34" i="18"/>
  <c r="AC34" i="18" s="1"/>
  <c r="H26" i="18"/>
  <c r="H4" i="18"/>
  <c r="I4" i="18" s="1"/>
  <c r="J4" i="18" s="1"/>
  <c r="K4" i="18" s="1"/>
  <c r="L4" i="18" s="1"/>
  <c r="M4" i="18" s="1"/>
  <c r="N4" i="18" s="1"/>
  <c r="O4" i="18" s="1"/>
  <c r="P4" i="18" s="1"/>
  <c r="Q4" i="18" s="1"/>
  <c r="R4" i="18" s="1"/>
  <c r="E48" i="10"/>
  <c r="G57" i="16" l="1"/>
  <c r="Y54" i="10"/>
  <c r="I57" i="16"/>
  <c r="AG54" i="10"/>
  <c r="J57" i="16"/>
  <c r="AK54" i="10"/>
  <c r="F57" i="16"/>
  <c r="X54" i="10"/>
  <c r="H57" i="16"/>
  <c r="AC54" i="10"/>
  <c r="AA36" i="19"/>
  <c r="AB51" i="19"/>
  <c r="V41" i="19"/>
  <c r="X40" i="18"/>
  <c r="BC51" i="15"/>
  <c r="BB36" i="15"/>
  <c r="AB36" i="15"/>
  <c r="AC51" i="15"/>
  <c r="BG51" i="13"/>
  <c r="BF36" i="13"/>
  <c r="W14" i="19"/>
  <c r="W19" i="19" s="1"/>
  <c r="W47" i="19" s="1"/>
  <c r="T15" i="19"/>
  <c r="H12" i="19"/>
  <c r="G12" i="19"/>
  <c r="G10" i="19"/>
  <c r="G4" i="19"/>
  <c r="H4" i="19" s="1"/>
  <c r="I4" i="19" s="1"/>
  <c r="J4" i="19" s="1"/>
  <c r="K4" i="19" s="1"/>
  <c r="L4" i="19" s="1"/>
  <c r="M4" i="19" s="1"/>
  <c r="N4" i="19" s="1"/>
  <c r="O4" i="19" s="1"/>
  <c r="P4" i="19" s="1"/>
  <c r="Q4" i="19" s="1"/>
  <c r="AC17" i="19"/>
  <c r="AD17" i="19" s="1"/>
  <c r="AE17" i="19" s="1"/>
  <c r="AF17" i="19" s="1"/>
  <c r="U15" i="19"/>
  <c r="V15" i="19" s="1"/>
  <c r="W15" i="19" s="1"/>
  <c r="F15" i="19"/>
  <c r="AC12" i="19"/>
  <c r="AD12" i="19" s="1"/>
  <c r="AE12" i="19" s="1"/>
  <c r="AF12" i="19" s="1"/>
  <c r="W10" i="19"/>
  <c r="X8" i="19" s="1"/>
  <c r="AB34" i="19"/>
  <c r="AB47" i="19"/>
  <c r="T41" i="19"/>
  <c r="T43" i="19"/>
  <c r="H32" i="19"/>
  <c r="W40" i="19"/>
  <c r="G40" i="19" s="1"/>
  <c r="F56" i="16" s="1"/>
  <c r="U41" i="19"/>
  <c r="Z48" i="19"/>
  <c r="H38" i="18"/>
  <c r="V43" i="18"/>
  <c r="U43" i="18"/>
  <c r="AA47" i="18"/>
  <c r="AB47" i="18" s="1"/>
  <c r="AC47" i="18" s="1"/>
  <c r="AD47" i="18" s="1"/>
  <c r="H40" i="18"/>
  <c r="F55" i="16" s="1"/>
  <c r="X14" i="18"/>
  <c r="X19" i="18" s="1"/>
  <c r="V41" i="18"/>
  <c r="V42" i="18" s="1"/>
  <c r="U42" i="18"/>
  <c r="U44" i="18"/>
  <c r="U37" i="18"/>
  <c r="I34" i="18"/>
  <c r="AA48" i="18"/>
  <c r="AB48" i="18" s="1"/>
  <c r="AC48" i="18" s="1"/>
  <c r="AE32" i="18"/>
  <c r="AF32" i="18" s="1"/>
  <c r="BB12" i="18"/>
  <c r="BC12" i="18" s="1"/>
  <c r="BD12" i="18" s="1"/>
  <c r="BE12" i="18" s="1"/>
  <c r="V44" i="18"/>
  <c r="AD17" i="18"/>
  <c r="AE17" i="18" s="1"/>
  <c r="AF17" i="18" s="1"/>
  <c r="AG17" i="18" s="1"/>
  <c r="W43" i="18"/>
  <c r="W37" i="18"/>
  <c r="H8" i="18"/>
  <c r="X10" i="18"/>
  <c r="Y8" i="18" s="1"/>
  <c r="W48" i="18"/>
  <c r="W42" i="18"/>
  <c r="F4" i="18"/>
  <c r="E4" i="18" s="1"/>
  <c r="W44" i="18"/>
  <c r="F15" i="18"/>
  <c r="V15" i="18"/>
  <c r="W15" i="18" s="1"/>
  <c r="AD34" i="18"/>
  <c r="AE34" i="18" s="1"/>
  <c r="AF34" i="18" s="1"/>
  <c r="AG34" i="18" s="1"/>
  <c r="AC51" i="19" l="1"/>
  <c r="AB36" i="19"/>
  <c r="W22" i="19"/>
  <c r="W28" i="19" s="1"/>
  <c r="I48" i="18"/>
  <c r="X47" i="18"/>
  <c r="H47" i="18" s="1"/>
  <c r="X22" i="18"/>
  <c r="X28" i="18" s="1"/>
  <c r="I47" i="18"/>
  <c r="BD51" i="15"/>
  <c r="BC36" i="15"/>
  <c r="AC36" i="15"/>
  <c r="AD51" i="15"/>
  <c r="BG36" i="13"/>
  <c r="BH51" i="13"/>
  <c r="G14" i="19"/>
  <c r="G15" i="19" s="1"/>
  <c r="I12" i="19"/>
  <c r="G19" i="19"/>
  <c r="W48" i="19"/>
  <c r="AA48" i="19"/>
  <c r="U42" i="19"/>
  <c r="U44" i="19"/>
  <c r="T42" i="19"/>
  <c r="T44" i="19"/>
  <c r="X10" i="19"/>
  <c r="Y8" i="19" s="1"/>
  <c r="X14" i="19"/>
  <c r="AC34" i="19"/>
  <c r="AD34" i="19" s="1"/>
  <c r="AE34" i="19" s="1"/>
  <c r="AF34" i="19" s="1"/>
  <c r="AG17" i="19"/>
  <c r="AH17" i="19" s="1"/>
  <c r="AI17" i="19" s="1"/>
  <c r="AJ17" i="19" s="1"/>
  <c r="V44" i="19"/>
  <c r="V42" i="19"/>
  <c r="AC47" i="19"/>
  <c r="AG12" i="19"/>
  <c r="AH12" i="19" s="1"/>
  <c r="AI12" i="19" s="1"/>
  <c r="AJ12" i="19" s="1"/>
  <c r="W20" i="19"/>
  <c r="H19" i="19"/>
  <c r="I17" i="19"/>
  <c r="AE47" i="18"/>
  <c r="AF47" i="18" s="1"/>
  <c r="AG47" i="18" s="1"/>
  <c r="X48" i="18"/>
  <c r="H19" i="18"/>
  <c r="X20" i="18"/>
  <c r="BF12" i="18"/>
  <c r="BG12" i="18" s="1"/>
  <c r="BH12" i="18" s="1"/>
  <c r="BI12" i="18" s="1"/>
  <c r="J34" i="18"/>
  <c r="H48" i="18"/>
  <c r="AD48" i="18"/>
  <c r="AE48" i="18" s="1"/>
  <c r="AF48" i="18" s="1"/>
  <c r="AG48" i="18" s="1"/>
  <c r="O12" i="18"/>
  <c r="I17" i="18"/>
  <c r="H10" i="18"/>
  <c r="H14" i="18"/>
  <c r="AH17" i="18"/>
  <c r="AI17" i="18" s="1"/>
  <c r="AJ17" i="18" s="1"/>
  <c r="AK17" i="18" s="1"/>
  <c r="Y14" i="18"/>
  <c r="Y19" i="18" s="1"/>
  <c r="Y22" i="18" s="1"/>
  <c r="X15" i="18"/>
  <c r="G15" i="18"/>
  <c r="I12" i="18"/>
  <c r="AH34" i="18"/>
  <c r="AI34" i="18" s="1"/>
  <c r="AJ34" i="18" s="1"/>
  <c r="AK34" i="18" s="1"/>
  <c r="AC36" i="19" l="1"/>
  <c r="AD51" i="19"/>
  <c r="W33" i="19"/>
  <c r="G33" i="19" s="1"/>
  <c r="G28" i="19"/>
  <c r="W29" i="19"/>
  <c r="J34" i="19"/>
  <c r="I34" i="19"/>
  <c r="X29" i="18"/>
  <c r="X33" i="18"/>
  <c r="X14" i="10"/>
  <c r="H28" i="18"/>
  <c r="BE51" i="15"/>
  <c r="BD36" i="15"/>
  <c r="AE51" i="15"/>
  <c r="AD36" i="15"/>
  <c r="BI51" i="13"/>
  <c r="BH36" i="13"/>
  <c r="J12" i="19"/>
  <c r="G20" i="19"/>
  <c r="H20" i="19" s="1"/>
  <c r="G22" i="19"/>
  <c r="Y10" i="19"/>
  <c r="Z8" i="19" s="1"/>
  <c r="Y14" i="19"/>
  <c r="AD47" i="19"/>
  <c r="AG34" i="19"/>
  <c r="AH34" i="19" s="1"/>
  <c r="AI34" i="19" s="1"/>
  <c r="AJ34" i="19" s="1"/>
  <c r="AK12" i="19"/>
  <c r="AL12" i="19" s="1"/>
  <c r="AM12" i="19" s="1"/>
  <c r="AN12" i="19" s="1"/>
  <c r="AK17" i="19"/>
  <c r="AL17" i="19" s="1"/>
  <c r="AM17" i="19" s="1"/>
  <c r="AN17" i="19" s="1"/>
  <c r="H22" i="19"/>
  <c r="J17" i="19"/>
  <c r="X15" i="19"/>
  <c r="X19" i="19"/>
  <c r="X22" i="19" s="1"/>
  <c r="AB48" i="19"/>
  <c r="AH47" i="18"/>
  <c r="AI47" i="18" s="1"/>
  <c r="AJ47" i="18" s="1"/>
  <c r="AK47" i="18" s="1"/>
  <c r="J47" i="18"/>
  <c r="J48" i="18"/>
  <c r="P12" i="18"/>
  <c r="BJ12" i="18"/>
  <c r="BK12" i="18" s="1"/>
  <c r="BL12" i="18" s="1"/>
  <c r="BM12" i="18" s="1"/>
  <c r="AH48" i="18"/>
  <c r="AI48" i="18" s="1"/>
  <c r="AJ48" i="18" s="1"/>
  <c r="AK48" i="18" s="1"/>
  <c r="AL48" i="18" s="1"/>
  <c r="AM48" i="18" s="1"/>
  <c r="AN48" i="18" s="1"/>
  <c r="AO48" i="18" s="1"/>
  <c r="K34" i="18"/>
  <c r="AL47" i="18"/>
  <c r="AM47" i="18" s="1"/>
  <c r="AN47" i="18" s="1"/>
  <c r="AO47" i="18" s="1"/>
  <c r="AL17" i="18"/>
  <c r="AM17" i="18" s="1"/>
  <c r="AN17" i="18" s="1"/>
  <c r="AO17" i="18" s="1"/>
  <c r="J17" i="18"/>
  <c r="Y20" i="18"/>
  <c r="Y15" i="18"/>
  <c r="Y10" i="18"/>
  <c r="AL34" i="18"/>
  <c r="AM34" i="18" s="1"/>
  <c r="AN34" i="18" s="1"/>
  <c r="AO34" i="18" s="1"/>
  <c r="AD36" i="19" l="1"/>
  <c r="AE51" i="19"/>
  <c r="G29" i="19"/>
  <c r="W35" i="19"/>
  <c r="Q12" i="18"/>
  <c r="H29" i="18"/>
  <c r="X26" i="10"/>
  <c r="BE36" i="15"/>
  <c r="BF51" i="15"/>
  <c r="AE36" i="15"/>
  <c r="AF51" i="15"/>
  <c r="BI36" i="13"/>
  <c r="BJ51" i="13"/>
  <c r="K17" i="19"/>
  <c r="K12" i="19"/>
  <c r="AC48" i="19"/>
  <c r="AO12" i="19"/>
  <c r="AP12" i="19" s="1"/>
  <c r="AQ12" i="19" s="1"/>
  <c r="AR12" i="19" s="1"/>
  <c r="AE47" i="19"/>
  <c r="AO17" i="19"/>
  <c r="AP17" i="19" s="1"/>
  <c r="AQ17" i="19" s="1"/>
  <c r="AR17" i="19" s="1"/>
  <c r="Y15" i="19"/>
  <c r="Y19" i="19"/>
  <c r="Y22" i="19" s="1"/>
  <c r="X39" i="19"/>
  <c r="X38" i="19"/>
  <c r="X20" i="19"/>
  <c r="AK34" i="19"/>
  <c r="AL34" i="19" s="1"/>
  <c r="AM34" i="19" s="1"/>
  <c r="AN34" i="19" s="1"/>
  <c r="Z14" i="19"/>
  <c r="Z10" i="19"/>
  <c r="K47" i="18"/>
  <c r="L47" i="18"/>
  <c r="BN12" i="18"/>
  <c r="BO12" i="18" s="1"/>
  <c r="BP12" i="18" s="1"/>
  <c r="L48" i="18"/>
  <c r="K17" i="18"/>
  <c r="K48" i="18"/>
  <c r="L34" i="18"/>
  <c r="Z8" i="18"/>
  <c r="Z14" i="18" s="1"/>
  <c r="AP47" i="18"/>
  <c r="AQ47" i="18" s="1"/>
  <c r="AR47" i="18" s="1"/>
  <c r="AS47" i="18" s="1"/>
  <c r="AP48" i="18"/>
  <c r="AQ48" i="18" s="1"/>
  <c r="AR48" i="18" s="1"/>
  <c r="AS48" i="18" s="1"/>
  <c r="AP17" i="18"/>
  <c r="AQ17" i="18" s="1"/>
  <c r="AR17" i="18" s="1"/>
  <c r="AS17" i="18" s="1"/>
  <c r="AP34" i="18"/>
  <c r="AQ34" i="18" s="1"/>
  <c r="AR34" i="18" s="1"/>
  <c r="AS34" i="18" s="1"/>
  <c r="AE36" i="19" l="1"/>
  <c r="AF51" i="19"/>
  <c r="K34" i="19"/>
  <c r="G35" i="19"/>
  <c r="G43" i="19" s="1"/>
  <c r="W41" i="19"/>
  <c r="W43" i="19"/>
  <c r="G37" i="19"/>
  <c r="L17" i="18"/>
  <c r="BF36" i="15"/>
  <c r="BG51" i="15"/>
  <c r="AF36" i="15"/>
  <c r="AG51" i="15"/>
  <c r="BK51" i="13"/>
  <c r="BJ36" i="13"/>
  <c r="L12" i="19"/>
  <c r="AA8" i="19"/>
  <c r="AA10" i="19" s="1"/>
  <c r="AB8" i="19" s="1"/>
  <c r="AS17" i="19"/>
  <c r="AT17" i="19" s="1"/>
  <c r="AU17" i="19" s="1"/>
  <c r="AV17" i="19" s="1"/>
  <c r="AS12" i="19"/>
  <c r="AT12" i="19" s="1"/>
  <c r="AU12" i="19" s="1"/>
  <c r="AV12" i="19" s="1"/>
  <c r="AO34" i="19"/>
  <c r="AP34" i="19" s="1"/>
  <c r="AQ34" i="19" s="1"/>
  <c r="AR34" i="19" s="1"/>
  <c r="Y38" i="19"/>
  <c r="Y20" i="19"/>
  <c r="Y39" i="19"/>
  <c r="AF47" i="19"/>
  <c r="Z19" i="19"/>
  <c r="Z22" i="19" s="1"/>
  <c r="Z15" i="19"/>
  <c r="X40" i="19"/>
  <c r="L17" i="19"/>
  <c r="AD48" i="19"/>
  <c r="R12" i="18"/>
  <c r="M48" i="18"/>
  <c r="M47" i="18"/>
  <c r="M34" i="18"/>
  <c r="Z10" i="18"/>
  <c r="AA8" i="18" s="1"/>
  <c r="AA10" i="18" s="1"/>
  <c r="AB8" i="18" s="1"/>
  <c r="Z19" i="18"/>
  <c r="Z15" i="18"/>
  <c r="AT47" i="18"/>
  <c r="AU47" i="18" s="1"/>
  <c r="AV47" i="18" s="1"/>
  <c r="AW47" i="18" s="1"/>
  <c r="AT48" i="18"/>
  <c r="AU48" i="18" s="1"/>
  <c r="AV48" i="18" s="1"/>
  <c r="AW48" i="18" s="1"/>
  <c r="AT17" i="18"/>
  <c r="AU17" i="18" s="1"/>
  <c r="AV17" i="18" s="1"/>
  <c r="AW17" i="18" s="1"/>
  <c r="AT34" i="18"/>
  <c r="AU34" i="18" s="1"/>
  <c r="AV34" i="18" s="1"/>
  <c r="AW34" i="18" s="1"/>
  <c r="J12" i="18"/>
  <c r="AG51" i="19" l="1"/>
  <c r="AF36" i="19"/>
  <c r="G41" i="19"/>
  <c r="G44" i="19" s="1"/>
  <c r="W44" i="19"/>
  <c r="W42" i="19"/>
  <c r="G42" i="19" s="1"/>
  <c r="L34" i="19"/>
  <c r="Z20" i="18"/>
  <c r="Z22" i="18"/>
  <c r="BH51" i="15"/>
  <c r="BH36" i="15" s="1"/>
  <c r="BG36" i="15"/>
  <c r="AG36" i="15"/>
  <c r="AH51" i="15"/>
  <c r="BK36" i="13"/>
  <c r="BL51" i="13"/>
  <c r="AA14" i="19"/>
  <c r="AA15" i="19" s="1"/>
  <c r="M12" i="19"/>
  <c r="H8" i="19"/>
  <c r="AE48" i="19"/>
  <c r="M17" i="19"/>
  <c r="AG47" i="19"/>
  <c r="AW17" i="19"/>
  <c r="AX17" i="19" s="1"/>
  <c r="AY17" i="19" s="1"/>
  <c r="AZ17" i="19" s="1"/>
  <c r="AS34" i="19"/>
  <c r="AT34" i="19" s="1"/>
  <c r="AU34" i="19" s="1"/>
  <c r="AV34" i="19" s="1"/>
  <c r="Z20" i="19"/>
  <c r="Z38" i="19"/>
  <c r="Z39" i="19"/>
  <c r="AB10" i="19"/>
  <c r="AC8" i="19" s="1"/>
  <c r="AB14" i="19"/>
  <c r="Y40" i="19"/>
  <c r="AW12" i="19"/>
  <c r="AX12" i="19" s="1"/>
  <c r="AY12" i="19" s="1"/>
  <c r="AZ12" i="19" s="1"/>
  <c r="N34" i="18"/>
  <c r="M17" i="18"/>
  <c r="N48" i="18"/>
  <c r="N47" i="18"/>
  <c r="AA14" i="18"/>
  <c r="AX47" i="18"/>
  <c r="AY47" i="18" s="1"/>
  <c r="AZ47" i="18" s="1"/>
  <c r="BA47" i="18" s="1"/>
  <c r="AX48" i="18"/>
  <c r="AY48" i="18" s="1"/>
  <c r="AZ48" i="18" s="1"/>
  <c r="BA48" i="18" s="1"/>
  <c r="AX17" i="18"/>
  <c r="AY17" i="18" s="1"/>
  <c r="AZ17" i="18" s="1"/>
  <c r="BA17" i="18" s="1"/>
  <c r="AB14" i="18"/>
  <c r="AB19" i="18" s="1"/>
  <c r="AX34" i="18"/>
  <c r="AY34" i="18" s="1"/>
  <c r="AZ34" i="18" s="1"/>
  <c r="BA34" i="18" s="1"/>
  <c r="AG36" i="19" l="1"/>
  <c r="AH51" i="19"/>
  <c r="M34" i="19"/>
  <c r="BB34" i="18"/>
  <c r="BC34" i="18" s="1"/>
  <c r="BD34" i="18" s="1"/>
  <c r="BE34" i="18" s="1"/>
  <c r="P34" i="18"/>
  <c r="O34" i="18"/>
  <c r="BB48" i="18"/>
  <c r="BC48" i="18" s="1"/>
  <c r="BD48" i="18" s="1"/>
  <c r="BE48" i="18" s="1"/>
  <c r="BB47" i="18"/>
  <c r="BC47" i="18" s="1"/>
  <c r="BD47" i="18" s="1"/>
  <c r="BE47" i="18" s="1"/>
  <c r="O48" i="18"/>
  <c r="O47" i="18"/>
  <c r="AI51" i="15"/>
  <c r="AH36" i="15"/>
  <c r="BM51" i="13"/>
  <c r="BL36" i="13"/>
  <c r="AA19" i="19"/>
  <c r="AA22" i="19" s="1"/>
  <c r="N12" i="19"/>
  <c r="H10" i="19"/>
  <c r="H14" i="19"/>
  <c r="H15" i="19" s="1"/>
  <c r="AC10" i="19"/>
  <c r="AD8" i="19" s="1"/>
  <c r="AC14" i="19"/>
  <c r="AB15" i="19"/>
  <c r="AB19" i="19"/>
  <c r="BA17" i="19"/>
  <c r="BB17" i="19" s="1"/>
  <c r="BC17" i="19" s="1"/>
  <c r="BD17" i="19" s="1"/>
  <c r="O17" i="19"/>
  <c r="AW34" i="19"/>
  <c r="AX34" i="19" s="1"/>
  <c r="AY34" i="19" s="1"/>
  <c r="AZ34" i="19" s="1"/>
  <c r="AA38" i="19"/>
  <c r="H38" i="19" s="1"/>
  <c r="AA39" i="19"/>
  <c r="H39" i="19" s="1"/>
  <c r="BA12" i="19"/>
  <c r="BB12" i="19" s="1"/>
  <c r="BC12" i="19" s="1"/>
  <c r="BD12" i="19" s="1"/>
  <c r="Z40" i="19"/>
  <c r="N17" i="19"/>
  <c r="AH47" i="19"/>
  <c r="AF48" i="19"/>
  <c r="N17" i="18"/>
  <c r="AA19" i="18"/>
  <c r="AA15" i="18"/>
  <c r="AB15" i="18" s="1"/>
  <c r="BB17" i="18"/>
  <c r="H15" i="18"/>
  <c r="AB10" i="18"/>
  <c r="AC8" i="18" s="1"/>
  <c r="AH36" i="19" l="1"/>
  <c r="AI51" i="19"/>
  <c r="N34" i="19"/>
  <c r="AA20" i="19"/>
  <c r="BF48" i="18"/>
  <c r="BG48" i="18" s="1"/>
  <c r="BH48" i="18" s="1"/>
  <c r="BI48" i="18" s="1"/>
  <c r="Q48" i="18"/>
  <c r="P47" i="18"/>
  <c r="BF47" i="18"/>
  <c r="BG47" i="18" s="1"/>
  <c r="BH47" i="18" s="1"/>
  <c r="BI47" i="18" s="1"/>
  <c r="AA20" i="18"/>
  <c r="AA22" i="18"/>
  <c r="P48" i="18"/>
  <c r="BF34" i="18"/>
  <c r="BG34" i="18" s="1"/>
  <c r="BH34" i="18" s="1"/>
  <c r="BI34" i="18" s="1"/>
  <c r="Q34" i="18"/>
  <c r="AI36" i="15"/>
  <c r="AJ51" i="15"/>
  <c r="BM36" i="13"/>
  <c r="BN51" i="13"/>
  <c r="BN36" i="13" s="1"/>
  <c r="AA40" i="19"/>
  <c r="H40" i="19" s="1"/>
  <c r="G56" i="16" s="1"/>
  <c r="O12" i="19"/>
  <c r="AI47" i="19"/>
  <c r="BE17" i="19"/>
  <c r="BF17" i="19" s="1"/>
  <c r="BG17" i="19" s="1"/>
  <c r="BH17" i="19" s="1"/>
  <c r="AD14" i="19"/>
  <c r="AD10" i="19"/>
  <c r="AG48" i="19"/>
  <c r="BA34" i="19"/>
  <c r="BB34" i="19" s="1"/>
  <c r="BC34" i="19" s="1"/>
  <c r="BD34" i="19" s="1"/>
  <c r="AB22" i="19"/>
  <c r="AB20" i="19"/>
  <c r="AB38" i="19"/>
  <c r="AB39" i="19"/>
  <c r="BE12" i="19"/>
  <c r="BF12" i="19" s="1"/>
  <c r="BG12" i="19" s="1"/>
  <c r="BH12" i="19" s="1"/>
  <c r="AC15" i="19"/>
  <c r="AC19" i="19"/>
  <c r="BJ48" i="18"/>
  <c r="BJ47" i="18"/>
  <c r="BC17" i="18"/>
  <c r="AC14" i="18"/>
  <c r="AC19" i="18" s="1"/>
  <c r="AC10" i="18"/>
  <c r="AB20" i="18"/>
  <c r="H20" i="18"/>
  <c r="AB22" i="18"/>
  <c r="K12" i="18"/>
  <c r="AI36" i="19" l="1"/>
  <c r="AJ51" i="19"/>
  <c r="P34" i="19"/>
  <c r="O34" i="19"/>
  <c r="BJ34" i="18"/>
  <c r="BK34" i="18" s="1"/>
  <c r="BL34" i="18" s="1"/>
  <c r="BM34" i="18" s="1"/>
  <c r="BN34" i="18" s="1"/>
  <c r="BO34" i="18" s="1"/>
  <c r="BP34" i="18" s="1"/>
  <c r="Q47" i="18"/>
  <c r="AJ36" i="15"/>
  <c r="AK51" i="15"/>
  <c r="P12" i="19"/>
  <c r="AE8" i="19"/>
  <c r="I8" i="19" s="1"/>
  <c r="BI17" i="19"/>
  <c r="BJ17" i="19" s="1"/>
  <c r="BI12" i="19"/>
  <c r="BJ12" i="19" s="1"/>
  <c r="BE34" i="19"/>
  <c r="BF34" i="19" s="1"/>
  <c r="BG34" i="19" s="1"/>
  <c r="BH34" i="19" s="1"/>
  <c r="AB40" i="19"/>
  <c r="AH48" i="19"/>
  <c r="AD19" i="19"/>
  <c r="AD15" i="19"/>
  <c r="AC22" i="19"/>
  <c r="AC20" i="19"/>
  <c r="AC38" i="19"/>
  <c r="AC39" i="19"/>
  <c r="P17" i="19"/>
  <c r="AJ47" i="19"/>
  <c r="AD8" i="18"/>
  <c r="AD14" i="18" s="1"/>
  <c r="AD19" i="18" s="1"/>
  <c r="BK47" i="18"/>
  <c r="BK48" i="18"/>
  <c r="BD17" i="18"/>
  <c r="O17" i="18" s="1"/>
  <c r="AC15" i="18"/>
  <c r="H22" i="18"/>
  <c r="AK51" i="19" l="1"/>
  <c r="AJ36" i="19"/>
  <c r="R48" i="18"/>
  <c r="R34" i="18"/>
  <c r="AK36" i="15"/>
  <c r="AL51" i="15"/>
  <c r="AE10" i="19"/>
  <c r="AF8" i="19" s="1"/>
  <c r="AF14" i="19" s="1"/>
  <c r="Q12" i="19"/>
  <c r="AE14" i="19"/>
  <c r="AE15" i="19" s="1"/>
  <c r="BI34" i="19"/>
  <c r="BJ34" i="19" s="1"/>
  <c r="AI48" i="19"/>
  <c r="AK47" i="19"/>
  <c r="I14" i="19"/>
  <c r="I15" i="19" s="1"/>
  <c r="I10" i="19"/>
  <c r="AC40" i="19"/>
  <c r="AD22" i="19"/>
  <c r="AD20" i="19"/>
  <c r="AD38" i="19"/>
  <c r="AD39" i="19"/>
  <c r="Q17" i="19"/>
  <c r="AD15" i="18"/>
  <c r="AD10" i="18"/>
  <c r="AE8" i="18" s="1"/>
  <c r="AE14" i="18" s="1"/>
  <c r="AE19" i="18" s="1"/>
  <c r="BL48" i="18"/>
  <c r="BL47" i="18"/>
  <c r="BM47" i="18" s="1"/>
  <c r="BN47" i="18" s="1"/>
  <c r="BO47" i="18" s="1"/>
  <c r="BP47" i="18" s="1"/>
  <c r="BE17" i="18"/>
  <c r="AC38" i="18"/>
  <c r="AC39" i="18"/>
  <c r="AC22" i="18"/>
  <c r="AC20" i="18"/>
  <c r="AD20" i="18" s="1"/>
  <c r="AD39" i="18"/>
  <c r="AD22" i="18"/>
  <c r="AD38" i="18"/>
  <c r="AK36" i="19" l="1"/>
  <c r="AL51" i="19"/>
  <c r="Q34" i="19"/>
  <c r="R47" i="18"/>
  <c r="AM51" i="15"/>
  <c r="AL36" i="15"/>
  <c r="AF10" i="19"/>
  <c r="AG8" i="19" s="1"/>
  <c r="AG10" i="19" s="1"/>
  <c r="AH8" i="19" s="1"/>
  <c r="AE19" i="19"/>
  <c r="I19" i="19" s="1"/>
  <c r="I20" i="19" s="1"/>
  <c r="AD40" i="19"/>
  <c r="AF19" i="19"/>
  <c r="AF15" i="19"/>
  <c r="AL47" i="19"/>
  <c r="AJ48" i="19"/>
  <c r="AE10" i="18"/>
  <c r="AF8" i="18" s="1"/>
  <c r="AD40" i="18"/>
  <c r="BF17" i="18"/>
  <c r="AC40" i="18"/>
  <c r="AE15" i="18"/>
  <c r="AL36" i="19" l="1"/>
  <c r="AM51" i="19"/>
  <c r="AM36" i="15"/>
  <c r="AN51" i="15"/>
  <c r="I22" i="19"/>
  <c r="AE20" i="19"/>
  <c r="AE38" i="19"/>
  <c r="I38" i="19" s="1"/>
  <c r="AE22" i="19"/>
  <c r="AE39" i="19"/>
  <c r="I39" i="19" s="1"/>
  <c r="AG14" i="19"/>
  <c r="AG15" i="19" s="1"/>
  <c r="AM47" i="19"/>
  <c r="AF22" i="19"/>
  <c r="AF20" i="19"/>
  <c r="AF38" i="19"/>
  <c r="AF39" i="19"/>
  <c r="AH14" i="19"/>
  <c r="AH10" i="19"/>
  <c r="AK48" i="19"/>
  <c r="BG17" i="18"/>
  <c r="AE39" i="18"/>
  <c r="AE38" i="18"/>
  <c r="AE22" i="18"/>
  <c r="AE20" i="18"/>
  <c r="AF14" i="18"/>
  <c r="AF19" i="18" s="1"/>
  <c r="I8" i="18"/>
  <c r="AF10" i="18"/>
  <c r="AG8" i="18" s="1"/>
  <c r="AM36" i="19" l="1"/>
  <c r="AN51" i="19"/>
  <c r="AN36" i="15"/>
  <c r="AO51" i="15"/>
  <c r="AE40" i="19"/>
  <c r="I40" i="19" s="1"/>
  <c r="H56" i="16" s="1"/>
  <c r="AG19" i="19"/>
  <c r="AG38" i="19" s="1"/>
  <c r="AI8" i="19"/>
  <c r="J8" i="19" s="1"/>
  <c r="AL48" i="19"/>
  <c r="AH19" i="19"/>
  <c r="AH15" i="19"/>
  <c r="AF40" i="19"/>
  <c r="AN47" i="19"/>
  <c r="I10" i="18"/>
  <c r="I14" i="18"/>
  <c r="I15" i="18" s="1"/>
  <c r="BH17" i="18"/>
  <c r="P17" i="18" s="1"/>
  <c r="AF15" i="18"/>
  <c r="AE40" i="18"/>
  <c r="AG14" i="18"/>
  <c r="AG19" i="18" s="1"/>
  <c r="AG10" i="18"/>
  <c r="AH8" i="18" s="1"/>
  <c r="AF20" i="18"/>
  <c r="L12" i="18"/>
  <c r="AO51" i="19" l="1"/>
  <c r="AN36" i="19"/>
  <c r="AO36" i="15"/>
  <c r="AP51" i="15"/>
  <c r="AG39" i="19"/>
  <c r="AG20" i="19"/>
  <c r="AH20" i="19" s="1"/>
  <c r="AG22" i="19"/>
  <c r="AI10" i="19"/>
  <c r="AJ8" i="19" s="1"/>
  <c r="AJ14" i="19" s="1"/>
  <c r="AI14" i="19"/>
  <c r="AI19" i="19" s="1"/>
  <c r="J19" i="19" s="1"/>
  <c r="J20" i="19" s="1"/>
  <c r="J14" i="19"/>
  <c r="J15" i="19" s="1"/>
  <c r="J10" i="19"/>
  <c r="AM48" i="19"/>
  <c r="AO47" i="19"/>
  <c r="AH22" i="19"/>
  <c r="AH38" i="19"/>
  <c r="AH39" i="19"/>
  <c r="BI17" i="18"/>
  <c r="AH14" i="18"/>
  <c r="AH19" i="18" s="1"/>
  <c r="AH10" i="18"/>
  <c r="AI8" i="18" s="1"/>
  <c r="AG15" i="18"/>
  <c r="AF39" i="18"/>
  <c r="J39" i="18" s="1"/>
  <c r="AF38" i="18"/>
  <c r="J38" i="18" s="1"/>
  <c r="AF22" i="18"/>
  <c r="I19" i="18"/>
  <c r="AO36" i="19" l="1"/>
  <c r="AP51" i="19"/>
  <c r="AG40" i="19"/>
  <c r="AQ51" i="15"/>
  <c r="AP36" i="15"/>
  <c r="AI15" i="19"/>
  <c r="AJ15" i="19" s="1"/>
  <c r="AJ10" i="19"/>
  <c r="AK8" i="19" s="1"/>
  <c r="AK14" i="19" s="1"/>
  <c r="AH40" i="19"/>
  <c r="AN48" i="19"/>
  <c r="J22" i="19"/>
  <c r="AJ19" i="19"/>
  <c r="AI22" i="19"/>
  <c r="AI20" i="19"/>
  <c r="AI38" i="19"/>
  <c r="J38" i="19" s="1"/>
  <c r="AI39" i="19"/>
  <c r="J39" i="19" s="1"/>
  <c r="AP47" i="19"/>
  <c r="BJ17" i="18"/>
  <c r="AI14" i="18"/>
  <c r="AI19" i="18" s="1"/>
  <c r="AI10" i="18"/>
  <c r="AJ8" i="18" s="1"/>
  <c r="AH15" i="18"/>
  <c r="I22" i="18"/>
  <c r="I20" i="18"/>
  <c r="AF40" i="18"/>
  <c r="J40" i="18" s="1"/>
  <c r="H55" i="16" s="1"/>
  <c r="AG39" i="18"/>
  <c r="AG20" i="18"/>
  <c r="AG38" i="18"/>
  <c r="AG22" i="18"/>
  <c r="AP36" i="19" l="1"/>
  <c r="AQ51" i="19"/>
  <c r="AK10" i="19"/>
  <c r="AL8" i="19" s="1"/>
  <c r="AL10" i="19" s="1"/>
  <c r="AQ36" i="15"/>
  <c r="AR51" i="15"/>
  <c r="AI40" i="19"/>
  <c r="J40" i="19" s="1"/>
  <c r="I56" i="16" s="1"/>
  <c r="AL14" i="19"/>
  <c r="AO48" i="19"/>
  <c r="AQ47" i="19"/>
  <c r="AJ22" i="19"/>
  <c r="AJ20" i="19"/>
  <c r="AJ38" i="19"/>
  <c r="AJ39" i="19"/>
  <c r="AK19" i="19"/>
  <c r="AK15" i="19"/>
  <c r="BK17" i="18"/>
  <c r="AG40" i="18"/>
  <c r="AH38" i="18"/>
  <c r="AH39" i="18"/>
  <c r="AH22" i="18"/>
  <c r="AH20" i="18"/>
  <c r="AJ10" i="18"/>
  <c r="AK8" i="18" s="1"/>
  <c r="AJ14" i="18"/>
  <c r="AJ19" i="18" s="1"/>
  <c r="J8" i="18"/>
  <c r="AI15" i="18"/>
  <c r="AQ36" i="19" l="1"/>
  <c r="AR51" i="19"/>
  <c r="AR36" i="15"/>
  <c r="AS51" i="15"/>
  <c r="AM8" i="19"/>
  <c r="K8" i="19" s="1"/>
  <c r="AJ40" i="19"/>
  <c r="AR47" i="19"/>
  <c r="AP48" i="19"/>
  <c r="AL19" i="19"/>
  <c r="AL15" i="19"/>
  <c r="AK22" i="19"/>
  <c r="AK20" i="19"/>
  <c r="AK38" i="19"/>
  <c r="AK39" i="19"/>
  <c r="J10" i="18"/>
  <c r="J14" i="18"/>
  <c r="J15" i="18" s="1"/>
  <c r="BL17" i="18"/>
  <c r="Q17" i="18" s="1"/>
  <c r="AK14" i="18"/>
  <c r="AK19" i="18" s="1"/>
  <c r="AK10" i="18"/>
  <c r="AL8" i="18" s="1"/>
  <c r="AJ15" i="18"/>
  <c r="AI39" i="18"/>
  <c r="AI22" i="18"/>
  <c r="AI20" i="18"/>
  <c r="AI38" i="18"/>
  <c r="AH40" i="18"/>
  <c r="M12" i="18"/>
  <c r="AS51" i="19" l="1"/>
  <c r="AR36" i="19"/>
  <c r="AS36" i="15"/>
  <c r="AT51" i="15"/>
  <c r="AM10" i="19"/>
  <c r="AN8" i="19" s="1"/>
  <c r="AN10" i="19" s="1"/>
  <c r="AO8" i="19" s="1"/>
  <c r="AM14" i="19"/>
  <c r="AM19" i="19" s="1"/>
  <c r="K19" i="19" s="1"/>
  <c r="K20" i="19" s="1"/>
  <c r="K14" i="19"/>
  <c r="K15" i="19" s="1"/>
  <c r="K10" i="19"/>
  <c r="AK40" i="19"/>
  <c r="AQ48" i="19"/>
  <c r="AS47" i="19"/>
  <c r="AN14" i="19"/>
  <c r="AL22" i="19"/>
  <c r="AL20" i="19"/>
  <c r="AL38" i="19"/>
  <c r="AL39" i="19"/>
  <c r="BM17" i="18"/>
  <c r="AI40" i="18"/>
  <c r="AJ20" i="18"/>
  <c r="AJ39" i="18"/>
  <c r="K39" i="18" s="1"/>
  <c r="AJ38" i="18"/>
  <c r="K38" i="18" s="1"/>
  <c r="AJ22" i="18"/>
  <c r="AL14" i="18"/>
  <c r="AL19" i="18" s="1"/>
  <c r="AL10" i="18"/>
  <c r="J19" i="18"/>
  <c r="AK15" i="18"/>
  <c r="AS36" i="19" l="1"/>
  <c r="AT51" i="19"/>
  <c r="K39" i="19"/>
  <c r="AU51" i="15"/>
  <c r="AT36" i="15"/>
  <c r="AM15" i="19"/>
  <c r="AN15" i="19" s="1"/>
  <c r="AO10" i="19"/>
  <c r="AP8" i="19" s="1"/>
  <c r="AO14" i="19"/>
  <c r="AM20" i="19"/>
  <c r="AM22" i="19"/>
  <c r="AM38" i="19"/>
  <c r="K38" i="19" s="1"/>
  <c r="AM39" i="19"/>
  <c r="AL40" i="19"/>
  <c r="K22" i="19"/>
  <c r="AR48" i="19"/>
  <c r="AN19" i="19"/>
  <c r="AT47" i="19"/>
  <c r="AM8" i="18"/>
  <c r="AM10" i="18" s="1"/>
  <c r="AN8" i="18" s="1"/>
  <c r="BN17" i="18"/>
  <c r="AK38" i="18"/>
  <c r="AK39" i="18"/>
  <c r="AK22" i="18"/>
  <c r="AK20" i="18"/>
  <c r="AL15" i="18"/>
  <c r="J22" i="18"/>
  <c r="J20" i="18"/>
  <c r="AJ40" i="18"/>
  <c r="K40" i="18" s="1"/>
  <c r="I55" i="16" s="1"/>
  <c r="AT36" i="19" l="1"/>
  <c r="AU51" i="19"/>
  <c r="AU36" i="15"/>
  <c r="AV51" i="15"/>
  <c r="AU47" i="19"/>
  <c r="AO15" i="19"/>
  <c r="AO19" i="19"/>
  <c r="AM40" i="19"/>
  <c r="K40" i="19" s="1"/>
  <c r="J56" i="16" s="1"/>
  <c r="AP14" i="19"/>
  <c r="AP10" i="19"/>
  <c r="AN22" i="19"/>
  <c r="AN20" i="19"/>
  <c r="AN38" i="19"/>
  <c r="AN39" i="19"/>
  <c r="AS48" i="19"/>
  <c r="AM14" i="18"/>
  <c r="AM19" i="18" s="1"/>
  <c r="AM39" i="18" s="1"/>
  <c r="BO17" i="18"/>
  <c r="AL38" i="18"/>
  <c r="AL39" i="18"/>
  <c r="AL22" i="18"/>
  <c r="AL20" i="18"/>
  <c r="AK40" i="18"/>
  <c r="AN14" i="18"/>
  <c r="AN19" i="18" s="1"/>
  <c r="K8" i="18"/>
  <c r="AN10" i="18"/>
  <c r="AO8" i="18" s="1"/>
  <c r="AU36" i="19" l="1"/>
  <c r="AV51" i="19"/>
  <c r="AV36" i="15"/>
  <c r="AW51" i="15"/>
  <c r="AQ8" i="19"/>
  <c r="L8" i="19" s="1"/>
  <c r="AN40" i="19"/>
  <c r="AO22" i="19"/>
  <c r="AO20" i="19"/>
  <c r="AO38" i="19"/>
  <c r="AO39" i="19"/>
  <c r="AP19" i="19"/>
  <c r="AP15" i="19"/>
  <c r="AT48" i="19"/>
  <c r="AV47" i="19"/>
  <c r="AM22" i="18"/>
  <c r="AM38" i="18"/>
  <c r="AM40" i="18" s="1"/>
  <c r="K10" i="18"/>
  <c r="K14" i="18"/>
  <c r="K15" i="18" s="1"/>
  <c r="AM20" i="18"/>
  <c r="AM15" i="18"/>
  <c r="AN15" i="18" s="1"/>
  <c r="BP17" i="18"/>
  <c r="R17" i="18" s="1"/>
  <c r="AL40" i="18"/>
  <c r="N12" i="18"/>
  <c r="AW51" i="19" l="1"/>
  <c r="AV36" i="19"/>
  <c r="AW36" i="15"/>
  <c r="AQ14" i="19"/>
  <c r="AQ19" i="19" s="1"/>
  <c r="AQ10" i="19"/>
  <c r="AR8" i="19" s="1"/>
  <c r="AR10" i="19" s="1"/>
  <c r="AS8" i="19" s="1"/>
  <c r="L14" i="19"/>
  <c r="L15" i="19" s="1"/>
  <c r="L10" i="19"/>
  <c r="AP22" i="19"/>
  <c r="AP20" i="19"/>
  <c r="AP38" i="19"/>
  <c r="AP39" i="19"/>
  <c r="AU48" i="19"/>
  <c r="AO40" i="19"/>
  <c r="AW47" i="19"/>
  <c r="AO14" i="18"/>
  <c r="AO19" i="18" s="1"/>
  <c r="AN20" i="18"/>
  <c r="AN39" i="18"/>
  <c r="L39" i="18" s="1"/>
  <c r="AN22" i="18"/>
  <c r="AN38" i="18"/>
  <c r="L38" i="18" s="1"/>
  <c r="K19" i="18"/>
  <c r="AO10" i="18"/>
  <c r="AP8" i="18" s="1"/>
  <c r="AW36" i="19" l="1"/>
  <c r="AX51" i="19"/>
  <c r="L38" i="19"/>
  <c r="AX36" i="15"/>
  <c r="AQ15" i="19"/>
  <c r="AR14" i="19"/>
  <c r="AX47" i="19"/>
  <c r="AV48" i="19"/>
  <c r="AS10" i="19"/>
  <c r="AT8" i="19" s="1"/>
  <c r="AS14" i="19"/>
  <c r="AP40" i="19"/>
  <c r="AQ22" i="19"/>
  <c r="AQ20" i="19"/>
  <c r="AQ38" i="19"/>
  <c r="AQ39" i="19"/>
  <c r="L39" i="19" s="1"/>
  <c r="L19" i="19"/>
  <c r="L20" i="19" s="1"/>
  <c r="K22" i="18"/>
  <c r="K20" i="18"/>
  <c r="AN40" i="18"/>
  <c r="L40" i="18" s="1"/>
  <c r="J55" i="16" s="1"/>
  <c r="AO15" i="18"/>
  <c r="AX36" i="19" l="1"/>
  <c r="AY51" i="19"/>
  <c r="AR15" i="19"/>
  <c r="AS15" i="19" s="1"/>
  <c r="AY36" i="15"/>
  <c r="AR19" i="19"/>
  <c r="AR38" i="19" s="1"/>
  <c r="AQ40" i="19"/>
  <c r="L40" i="19" s="1"/>
  <c r="AY47" i="19"/>
  <c r="AS19" i="19"/>
  <c r="L22" i="19"/>
  <c r="AT14" i="19"/>
  <c r="AT10" i="19"/>
  <c r="AW48" i="19"/>
  <c r="AR22" i="19"/>
  <c r="AR20" i="19"/>
  <c r="AP14" i="18"/>
  <c r="AP19" i="18" s="1"/>
  <c r="AP10" i="18"/>
  <c r="AQ8" i="18" s="1"/>
  <c r="AO22" i="18"/>
  <c r="AO39" i="18"/>
  <c r="AO20" i="18"/>
  <c r="AO38" i="18"/>
  <c r="AY36" i="19" l="1"/>
  <c r="AZ51" i="19"/>
  <c r="AR39" i="19"/>
  <c r="AZ36" i="15"/>
  <c r="BA36" i="15"/>
  <c r="AU8" i="19"/>
  <c r="M8" i="19" s="1"/>
  <c r="AR40" i="19"/>
  <c r="AX48" i="19"/>
  <c r="AT19" i="19"/>
  <c r="AT15" i="19"/>
  <c r="AS22" i="19"/>
  <c r="AS20" i="19"/>
  <c r="AS38" i="19"/>
  <c r="AS39" i="19"/>
  <c r="AZ47" i="19"/>
  <c r="AO40" i="18"/>
  <c r="AP15" i="18"/>
  <c r="BA51" i="19" l="1"/>
  <c r="AZ36" i="19"/>
  <c r="AU10" i="19"/>
  <c r="AV8" i="19" s="1"/>
  <c r="AV10" i="19" s="1"/>
  <c r="AW8" i="19" s="1"/>
  <c r="AU14" i="19"/>
  <c r="M10" i="19"/>
  <c r="M14" i="19"/>
  <c r="M15" i="19" s="1"/>
  <c r="AS40" i="19"/>
  <c r="AU19" i="19"/>
  <c r="AU15" i="19"/>
  <c r="AT22" i="19"/>
  <c r="AT20" i="19"/>
  <c r="AT38" i="19"/>
  <c r="AT39" i="19"/>
  <c r="BA47" i="19"/>
  <c r="AY48" i="19"/>
  <c r="AQ14" i="18"/>
  <c r="AQ19" i="18" s="1"/>
  <c r="AQ10" i="18"/>
  <c r="AR8" i="18" s="1"/>
  <c r="AP22" i="18"/>
  <c r="AP20" i="18"/>
  <c r="AP38" i="18"/>
  <c r="AP39" i="18"/>
  <c r="BA36" i="19" l="1"/>
  <c r="BB51" i="19"/>
  <c r="AV14" i="19"/>
  <c r="AV15" i="19" s="1"/>
  <c r="AT40" i="19"/>
  <c r="AU20" i="19"/>
  <c r="AU22" i="19"/>
  <c r="AU38" i="19"/>
  <c r="M38" i="19" s="1"/>
  <c r="AU39" i="19"/>
  <c r="M39" i="19" s="1"/>
  <c r="AV19" i="19"/>
  <c r="M19" i="19"/>
  <c r="M20" i="19" s="1"/>
  <c r="AW10" i="19"/>
  <c r="AX8" i="19" s="1"/>
  <c r="AW14" i="19"/>
  <c r="AZ48" i="19"/>
  <c r="BB47" i="19"/>
  <c r="AP40" i="18"/>
  <c r="AR10" i="18"/>
  <c r="AS8" i="18" s="1"/>
  <c r="AQ15" i="18"/>
  <c r="BB36" i="19" l="1"/>
  <c r="BC51" i="19"/>
  <c r="AU40" i="19"/>
  <c r="M40" i="19" s="1"/>
  <c r="BC47" i="19"/>
  <c r="AX14" i="19"/>
  <c r="AX10" i="19"/>
  <c r="AV22" i="19"/>
  <c r="AV20" i="19"/>
  <c r="AV38" i="19"/>
  <c r="AV39" i="19"/>
  <c r="AW15" i="19"/>
  <c r="AW19" i="19"/>
  <c r="BA48" i="19"/>
  <c r="M22" i="19"/>
  <c r="AR14" i="18"/>
  <c r="AR19" i="18" s="1"/>
  <c r="L8" i="18"/>
  <c r="AQ20" i="18"/>
  <c r="AQ38" i="18"/>
  <c r="AQ22" i="18"/>
  <c r="AQ39" i="18"/>
  <c r="BC36" i="19" l="1"/>
  <c r="BD51" i="19"/>
  <c r="AY8" i="19"/>
  <c r="N8" i="19" s="1"/>
  <c r="AX19" i="19"/>
  <c r="AX15" i="19"/>
  <c r="BD47" i="19"/>
  <c r="BB48" i="19"/>
  <c r="AW22" i="19"/>
  <c r="AW20" i="19"/>
  <c r="AW38" i="19"/>
  <c r="AW39" i="19"/>
  <c r="AV40" i="19"/>
  <c r="L10" i="18"/>
  <c r="L14" i="18"/>
  <c r="L15" i="18" s="1"/>
  <c r="AQ40" i="18"/>
  <c r="AS14" i="18"/>
  <c r="AS19" i="18" s="1"/>
  <c r="AR15" i="18"/>
  <c r="AS10" i="18"/>
  <c r="AT8" i="18" s="1"/>
  <c r="BE51" i="19" l="1"/>
  <c r="BD36" i="19"/>
  <c r="AY10" i="19"/>
  <c r="AZ8" i="19" s="1"/>
  <c r="AZ10" i="19" s="1"/>
  <c r="BA8" i="19" s="1"/>
  <c r="AY14" i="19"/>
  <c r="AY19" i="19" s="1"/>
  <c r="N19" i="19" s="1"/>
  <c r="N20" i="19" s="1"/>
  <c r="BC48" i="19"/>
  <c r="BE47" i="19"/>
  <c r="N14" i="19"/>
  <c r="N15" i="19" s="1"/>
  <c r="N10" i="19"/>
  <c r="AW40" i="19"/>
  <c r="AX22" i="19"/>
  <c r="AX20" i="19"/>
  <c r="AX38" i="19"/>
  <c r="AX39" i="19"/>
  <c r="L19" i="18"/>
  <c r="AR39" i="18"/>
  <c r="M39" i="18" s="1"/>
  <c r="AR38" i="18"/>
  <c r="M38" i="18" s="1"/>
  <c r="AR22" i="18"/>
  <c r="AR20" i="18"/>
  <c r="AS15" i="18"/>
  <c r="BE36" i="19" l="1"/>
  <c r="BF51" i="19"/>
  <c r="N39" i="19"/>
  <c r="AY15" i="19"/>
  <c r="AZ14" i="19"/>
  <c r="AZ19" i="19" s="1"/>
  <c r="BF47" i="19"/>
  <c r="AX40" i="19"/>
  <c r="BA10" i="19"/>
  <c r="BB8" i="19" s="1"/>
  <c r="BA14" i="19"/>
  <c r="AY22" i="19"/>
  <c r="AY20" i="19"/>
  <c r="AY38" i="19"/>
  <c r="N38" i="19" s="1"/>
  <c r="AY39" i="19"/>
  <c r="BD48" i="19"/>
  <c r="N22" i="19"/>
  <c r="AT14" i="18"/>
  <c r="AT19" i="18" s="1"/>
  <c r="AS20" i="18"/>
  <c r="AS38" i="18"/>
  <c r="AS39" i="18"/>
  <c r="AS22" i="18"/>
  <c r="AR40" i="18"/>
  <c r="M40" i="18" s="1"/>
  <c r="AT10" i="18"/>
  <c r="AU8" i="18" s="1"/>
  <c r="L20" i="18"/>
  <c r="L22" i="18"/>
  <c r="BF36" i="19" l="1"/>
  <c r="BG51" i="19"/>
  <c r="AZ15" i="19"/>
  <c r="BE48" i="19"/>
  <c r="AZ22" i="19"/>
  <c r="AZ20" i="19"/>
  <c r="AZ38" i="19"/>
  <c r="AZ39" i="19"/>
  <c r="AY40" i="19"/>
  <c r="N40" i="19" s="1"/>
  <c r="BA19" i="19"/>
  <c r="BA15" i="19"/>
  <c r="BG47" i="19"/>
  <c r="BB14" i="19"/>
  <c r="BB10" i="19"/>
  <c r="AS40" i="18"/>
  <c r="AT15" i="18"/>
  <c r="BG36" i="19" l="1"/>
  <c r="BH51" i="19"/>
  <c r="BC8" i="19"/>
  <c r="O8" i="19" s="1"/>
  <c r="AZ40" i="19"/>
  <c r="BF48" i="19"/>
  <c r="BH47" i="19"/>
  <c r="BA22" i="19"/>
  <c r="BA20" i="19"/>
  <c r="BA38" i="19"/>
  <c r="BA39" i="19"/>
  <c r="BB19" i="19"/>
  <c r="BB15" i="19"/>
  <c r="AU14" i="18"/>
  <c r="AU19" i="18" s="1"/>
  <c r="AT39" i="18"/>
  <c r="AT22" i="18"/>
  <c r="AT20" i="18"/>
  <c r="AT38" i="18"/>
  <c r="AU10" i="18"/>
  <c r="AV8" i="18" s="1"/>
  <c r="BI51" i="19" l="1"/>
  <c r="BH36" i="19"/>
  <c r="BC10" i="19"/>
  <c r="BD8" i="19" s="1"/>
  <c r="BD14" i="19" s="1"/>
  <c r="BC14" i="19"/>
  <c r="BC15" i="19" s="1"/>
  <c r="O10" i="19"/>
  <c r="O14" i="19"/>
  <c r="O15" i="19" s="1"/>
  <c r="BB22" i="19"/>
  <c r="BB20" i="19"/>
  <c r="BB38" i="19"/>
  <c r="BB39" i="19"/>
  <c r="BA40" i="19"/>
  <c r="BI47" i="19"/>
  <c r="BG48" i="19"/>
  <c r="AV10" i="18"/>
  <c r="AW8" i="18" s="1"/>
  <c r="AT40" i="18"/>
  <c r="AU15" i="18"/>
  <c r="BI36" i="19" l="1"/>
  <c r="BJ51" i="19"/>
  <c r="BJ36" i="19" s="1"/>
  <c r="BC19" i="19"/>
  <c r="BC39" i="19" s="1"/>
  <c r="O39" i="19" s="1"/>
  <c r="BD10" i="19"/>
  <c r="BE8" i="19" s="1"/>
  <c r="BE14" i="19" s="1"/>
  <c r="BB40" i="19"/>
  <c r="BD15" i="19"/>
  <c r="BD19" i="19"/>
  <c r="BH48" i="19"/>
  <c r="AV14" i="18"/>
  <c r="AV19" i="18" s="1"/>
  <c r="M8" i="18"/>
  <c r="AU39" i="18"/>
  <c r="AU22" i="18"/>
  <c r="AU38" i="18"/>
  <c r="AU20" i="18"/>
  <c r="U29" i="14"/>
  <c r="S24" i="10"/>
  <c r="V29" i="13"/>
  <c r="Q29" i="14"/>
  <c r="W29" i="12"/>
  <c r="C31" i="10"/>
  <c r="D31" i="10"/>
  <c r="D56" i="10"/>
  <c r="E56" i="10"/>
  <c r="C56" i="10"/>
  <c r="C44" i="10"/>
  <c r="F30" i="16"/>
  <c r="D87" i="10"/>
  <c r="E87" i="10"/>
  <c r="F87" i="10" s="1"/>
  <c r="G87" i="10" s="1"/>
  <c r="C87" i="10"/>
  <c r="E83" i="10"/>
  <c r="D83" i="10"/>
  <c r="C83" i="10"/>
  <c r="E92" i="10"/>
  <c r="D92" i="10"/>
  <c r="C92" i="10"/>
  <c r="D88" i="10"/>
  <c r="E88" i="10"/>
  <c r="C88" i="10"/>
  <c r="G30" i="16" l="1"/>
  <c r="G25" i="20" s="1"/>
  <c r="F25" i="20"/>
  <c r="D89" i="10"/>
  <c r="D94" i="10" s="1"/>
  <c r="D93" i="10" s="1"/>
  <c r="BC38" i="19"/>
  <c r="O38" i="19" s="1"/>
  <c r="O19" i="19"/>
  <c r="O20" i="19" s="1"/>
  <c r="BC22" i="19"/>
  <c r="BC20" i="19"/>
  <c r="BE10" i="19"/>
  <c r="BF8" i="19" s="1"/>
  <c r="BF10" i="19" s="1"/>
  <c r="F92" i="10"/>
  <c r="G92" i="10"/>
  <c r="BI48" i="19"/>
  <c r="BC40" i="19"/>
  <c r="O40" i="19" s="1"/>
  <c r="BD22" i="19"/>
  <c r="BD20" i="19"/>
  <c r="BD38" i="19"/>
  <c r="BD39" i="19"/>
  <c r="BE15" i="19"/>
  <c r="BE19" i="19"/>
  <c r="M10" i="18"/>
  <c r="M14" i="18"/>
  <c r="M15" i="18" s="1"/>
  <c r="AW14" i="18"/>
  <c r="AW19" i="18" s="1"/>
  <c r="AW10" i="18"/>
  <c r="AX8" i="18" s="1"/>
  <c r="AU40" i="18"/>
  <c r="AV15" i="18"/>
  <c r="E89" i="10"/>
  <c r="H87" i="10"/>
  <c r="H30" i="16" l="1"/>
  <c r="H25" i="20" s="1"/>
  <c r="E94" i="10"/>
  <c r="E93" i="10" s="1"/>
  <c r="F93" i="10" s="1"/>
  <c r="O22" i="19"/>
  <c r="BF14" i="19"/>
  <c r="BF19" i="19" s="1"/>
  <c r="BG8" i="19"/>
  <c r="P8" i="19" s="1"/>
  <c r="I30" i="16"/>
  <c r="I25" i="20" s="1"/>
  <c r="BD40" i="19"/>
  <c r="BJ48" i="19"/>
  <c r="BE22" i="19"/>
  <c r="BE20" i="19"/>
  <c r="BE38" i="19"/>
  <c r="BE39" i="19"/>
  <c r="AW15" i="18"/>
  <c r="M19" i="18"/>
  <c r="AV20" i="18"/>
  <c r="AV39" i="18"/>
  <c r="N39" i="18" s="1"/>
  <c r="AV38" i="18"/>
  <c r="N38" i="18" s="1"/>
  <c r="AV22" i="18"/>
  <c r="I87" i="10"/>
  <c r="H92" i="10" l="1"/>
  <c r="G93" i="10"/>
  <c r="F94" i="10"/>
  <c r="BF15" i="19"/>
  <c r="BG14" i="19"/>
  <c r="P10" i="19"/>
  <c r="P14" i="19"/>
  <c r="P15" i="19" s="1"/>
  <c r="BG10" i="19"/>
  <c r="BH8" i="19" s="1"/>
  <c r="BH14" i="19" s="1"/>
  <c r="J30" i="16"/>
  <c r="I92" i="10"/>
  <c r="BF22" i="19"/>
  <c r="BF20" i="19"/>
  <c r="BF38" i="19"/>
  <c r="BF39" i="19"/>
  <c r="BE40" i="19"/>
  <c r="AW39" i="18"/>
  <c r="AW22" i="18"/>
  <c r="AW20" i="18"/>
  <c r="AW38" i="18"/>
  <c r="M22" i="18"/>
  <c r="M20" i="18"/>
  <c r="AX14" i="18"/>
  <c r="AX19" i="18" s="1"/>
  <c r="AV40" i="18"/>
  <c r="N40" i="18" s="1"/>
  <c r="AX10" i="18"/>
  <c r="AY8" i="18" s="1"/>
  <c r="J87" i="10"/>
  <c r="J92" i="10" l="1"/>
  <c r="J25" i="20"/>
  <c r="H93" i="10"/>
  <c r="G94" i="10"/>
  <c r="BG15" i="19"/>
  <c r="BG19" i="19"/>
  <c r="P19" i="19" s="1"/>
  <c r="P20" i="19" s="1"/>
  <c r="BH10" i="19"/>
  <c r="BI8" i="19" s="1"/>
  <c r="BI10" i="19" s="1"/>
  <c r="BJ8" i="19" s="1"/>
  <c r="BF40" i="19"/>
  <c r="BH15" i="19"/>
  <c r="BH19" i="19"/>
  <c r="AY10" i="18"/>
  <c r="AZ8" i="18" s="1"/>
  <c r="AW40" i="18"/>
  <c r="AX15" i="18"/>
  <c r="I93" i="10" l="1"/>
  <c r="H94" i="10"/>
  <c r="BG20" i="19"/>
  <c r="BG22" i="19"/>
  <c r="BG38" i="19"/>
  <c r="P38" i="19" s="1"/>
  <c r="BG39" i="19"/>
  <c r="P39" i="19" s="1"/>
  <c r="BI14" i="19"/>
  <c r="BI15" i="19" s="1"/>
  <c r="P22" i="19"/>
  <c r="BJ14" i="19"/>
  <c r="BJ10" i="19"/>
  <c r="BH20" i="19"/>
  <c r="BH22" i="19"/>
  <c r="BH38" i="19"/>
  <c r="BH39" i="19"/>
  <c r="AY14" i="18"/>
  <c r="AY19" i="18" s="1"/>
  <c r="AX38" i="18"/>
  <c r="AX39" i="18"/>
  <c r="AX20" i="18"/>
  <c r="AX22" i="18"/>
  <c r="AZ14" i="18"/>
  <c r="AZ19" i="18" s="1"/>
  <c r="J93" i="10" l="1"/>
  <c r="J94" i="10" s="1"/>
  <c r="I94" i="10"/>
  <c r="BG40" i="19"/>
  <c r="P40" i="19" s="1"/>
  <c r="BI19" i="19"/>
  <c r="BI39" i="19" s="1"/>
  <c r="Q8" i="19"/>
  <c r="BH40" i="19"/>
  <c r="BJ19" i="19"/>
  <c r="BJ15" i="19"/>
  <c r="N8" i="18"/>
  <c r="AX40" i="18"/>
  <c r="AZ22" i="18"/>
  <c r="AZ39" i="18"/>
  <c r="AZ38" i="18"/>
  <c r="AY15" i="18"/>
  <c r="AZ15" i="18" s="1"/>
  <c r="AZ10" i="18"/>
  <c r="BA8" i="18" s="1"/>
  <c r="BI38" i="19" l="1"/>
  <c r="Q38" i="19" s="1"/>
  <c r="BI20" i="19"/>
  <c r="BJ20" i="19" s="1"/>
  <c r="BI22" i="19"/>
  <c r="Q14" i="19"/>
  <c r="Q15" i="19" s="1"/>
  <c r="Q10" i="19"/>
  <c r="BJ22" i="19"/>
  <c r="BJ38" i="19"/>
  <c r="BJ39" i="19"/>
  <c r="Q39" i="19" s="1"/>
  <c r="BI40" i="19"/>
  <c r="Q19" i="19"/>
  <c r="Q20" i="19" s="1"/>
  <c r="N10" i="18"/>
  <c r="N14" i="18"/>
  <c r="N15" i="18" s="1"/>
  <c r="BA10" i="18"/>
  <c r="BB8" i="18" s="1"/>
  <c r="BA14" i="18"/>
  <c r="BA19" i="18" s="1"/>
  <c r="AZ40" i="18"/>
  <c r="AY39" i="18"/>
  <c r="O39" i="18" s="1"/>
  <c r="AY22" i="18"/>
  <c r="AY20" i="18"/>
  <c r="AZ20" i="18" s="1"/>
  <c r="BA20" i="18" s="1"/>
  <c r="AY38" i="18"/>
  <c r="O38" i="18" s="1"/>
  <c r="N19" i="18"/>
  <c r="Q22" i="19" l="1"/>
  <c r="BJ40" i="19"/>
  <c r="Q40" i="19" s="1"/>
  <c r="BA15" i="18"/>
  <c r="BA22" i="18"/>
  <c r="BA39" i="18"/>
  <c r="BA38" i="18"/>
  <c r="BB10" i="18"/>
  <c r="BC8" i="18" s="1"/>
  <c r="BB14" i="18"/>
  <c r="BB19" i="18" s="1"/>
  <c r="AY40" i="18"/>
  <c r="O40" i="18" s="1"/>
  <c r="N20" i="18"/>
  <c r="N22" i="18"/>
  <c r="BC10" i="18" l="1"/>
  <c r="BD8" i="18" s="1"/>
  <c r="O8" i="18" s="1"/>
  <c r="BC14" i="18"/>
  <c r="BC19" i="18" s="1"/>
  <c r="BB22" i="18"/>
  <c r="BB38" i="18"/>
  <c r="BB39" i="18"/>
  <c r="BB15" i="18"/>
  <c r="BC15" i="18" s="1"/>
  <c r="BA40" i="18"/>
  <c r="BB20" i="18"/>
  <c r="O14" i="18" l="1"/>
  <c r="O15" i="18" s="1"/>
  <c r="O10" i="18"/>
  <c r="BC20" i="18"/>
  <c r="BB40" i="18"/>
  <c r="BC22" i="18"/>
  <c r="BC38" i="18"/>
  <c r="BC39" i="18"/>
  <c r="BD10" i="18"/>
  <c r="BE8" i="18" s="1"/>
  <c r="BD14" i="18"/>
  <c r="BD19" i="18" s="1"/>
  <c r="O19" i="18" s="1"/>
  <c r="O22" i="18" l="1"/>
  <c r="O20" i="18"/>
  <c r="BC40" i="18"/>
  <c r="BD22" i="18"/>
  <c r="BD38" i="18"/>
  <c r="P38" i="18" s="1"/>
  <c r="BD39" i="18"/>
  <c r="P39" i="18" s="1"/>
  <c r="BE10" i="18"/>
  <c r="BF8" i="18" s="1"/>
  <c r="BE14" i="18"/>
  <c r="BE19" i="18" s="1"/>
  <c r="BD15" i="18"/>
  <c r="BD20" i="18"/>
  <c r="BE20" i="18" l="1"/>
  <c r="BE15" i="18"/>
  <c r="BD40" i="18"/>
  <c r="P40" i="18" s="1"/>
  <c r="BF14" i="18"/>
  <c r="BF19" i="18" s="1"/>
  <c r="BF10" i="18"/>
  <c r="BG8" i="18" s="1"/>
  <c r="BE22" i="18"/>
  <c r="BE39" i="18"/>
  <c r="BE38" i="18"/>
  <c r="BF15" i="18" l="1"/>
  <c r="BE40" i="18"/>
  <c r="BG10" i="18"/>
  <c r="BH8" i="18" s="1"/>
  <c r="P8" i="18" s="1"/>
  <c r="BG14" i="18"/>
  <c r="BG19" i="18" s="1"/>
  <c r="BF22" i="18"/>
  <c r="BF39" i="18"/>
  <c r="BF38" i="18"/>
  <c r="BF20" i="18"/>
  <c r="BG20" i="18" l="1"/>
  <c r="P14" i="18"/>
  <c r="P15" i="18" s="1"/>
  <c r="P10" i="18"/>
  <c r="P19" i="18"/>
  <c r="BG15" i="18"/>
  <c r="BG22" i="18"/>
  <c r="BG39" i="18"/>
  <c r="BG38" i="18"/>
  <c r="BF40" i="18"/>
  <c r="BH10" i="18"/>
  <c r="BI8" i="18" s="1"/>
  <c r="BH14" i="18"/>
  <c r="BH19" i="18" s="1"/>
  <c r="P22" i="18" l="1"/>
  <c r="P20" i="18"/>
  <c r="BH22" i="18"/>
  <c r="BH39" i="18"/>
  <c r="Q39" i="18" s="1"/>
  <c r="BH38" i="18"/>
  <c r="Q38" i="18" s="1"/>
  <c r="BI10" i="18"/>
  <c r="BJ8" i="18" s="1"/>
  <c r="BI14" i="18"/>
  <c r="BI19" i="18" s="1"/>
  <c r="BH20" i="18"/>
  <c r="BG40" i="18"/>
  <c r="BH15" i="18"/>
  <c r="BH40" i="18" l="1"/>
  <c r="Q40" i="18" s="1"/>
  <c r="BI20" i="18"/>
  <c r="BI22" i="18"/>
  <c r="BI39" i="18"/>
  <c r="BI38" i="18"/>
  <c r="BI15" i="18"/>
  <c r="BJ14" i="18"/>
  <c r="BJ19" i="18" s="1"/>
  <c r="BJ10" i="18"/>
  <c r="BK8" i="18" s="1"/>
  <c r="BI40" i="18" l="1"/>
  <c r="BJ20" i="18"/>
  <c r="BJ15" i="18"/>
  <c r="BK14" i="18"/>
  <c r="BK19" i="18" s="1"/>
  <c r="BK10" i="18"/>
  <c r="BL8" i="18" s="1"/>
  <c r="Q8" i="18" s="1"/>
  <c r="BJ22" i="18"/>
  <c r="BJ39" i="18"/>
  <c r="BJ38" i="18"/>
  <c r="Q14" i="18" l="1"/>
  <c r="Q15" i="18" s="1"/>
  <c r="Q10" i="18"/>
  <c r="BK38" i="18"/>
  <c r="BK39" i="18"/>
  <c r="BK22" i="18"/>
  <c r="BK20" i="18"/>
  <c r="BJ40" i="18"/>
  <c r="BL10" i="18"/>
  <c r="BM8" i="18" s="1"/>
  <c r="BL14" i="18"/>
  <c r="BL19" i="18" s="1"/>
  <c r="Q19" i="18" s="1"/>
  <c r="BK15" i="18"/>
  <c r="Q22" i="18" l="1"/>
  <c r="Q20" i="18"/>
  <c r="BL15" i="18"/>
  <c r="BL20" i="18"/>
  <c r="BK40" i="18"/>
  <c r="BL22" i="18"/>
  <c r="BL39" i="18"/>
  <c r="R39" i="18" s="1"/>
  <c r="BL38" i="18"/>
  <c r="R38" i="18" s="1"/>
  <c r="BM14" i="18"/>
  <c r="BM19" i="18" s="1"/>
  <c r="BM10" i="18"/>
  <c r="BN8" i="18" s="1"/>
  <c r="BL40" i="18" l="1"/>
  <c r="R40" i="18" s="1"/>
  <c r="BN10" i="18"/>
  <c r="BO8" i="18" s="1"/>
  <c r="BN14" i="18"/>
  <c r="BN19" i="18" s="1"/>
  <c r="BM38" i="18"/>
  <c r="BM39" i="18"/>
  <c r="BM22" i="18"/>
  <c r="BM15" i="18"/>
  <c r="BM20" i="18"/>
  <c r="BN15" i="18" l="1"/>
  <c r="BN20" i="18"/>
  <c r="BM40" i="18"/>
  <c r="BN39" i="18"/>
  <c r="BN22" i="18"/>
  <c r="BN38" i="18"/>
  <c r="BO14" i="18"/>
  <c r="BO19" i="18" s="1"/>
  <c r="BO10" i="18"/>
  <c r="BP8" i="18" s="1"/>
  <c r="R8" i="18" s="1"/>
  <c r="R14" i="18" l="1"/>
  <c r="R15" i="18" s="1"/>
  <c r="R10" i="18"/>
  <c r="BP10" i="18"/>
  <c r="BP14" i="18"/>
  <c r="BP19" i="18" s="1"/>
  <c r="R19" i="18" s="1"/>
  <c r="BO39" i="18"/>
  <c r="BO22" i="18"/>
  <c r="BO38" i="18"/>
  <c r="BO15" i="18"/>
  <c r="BN40" i="18"/>
  <c r="BO20" i="18"/>
  <c r="R22" i="18" l="1"/>
  <c r="R20" i="18"/>
  <c r="BP15" i="18"/>
  <c r="BP20" i="18"/>
  <c r="BO40" i="18"/>
  <c r="BP22" i="18"/>
  <c r="BP39" i="18"/>
  <c r="BP38" i="18"/>
  <c r="BP40" i="18" l="1"/>
  <c r="E33" i="10" l="1"/>
  <c r="E54" i="10" s="1"/>
  <c r="C33" i="10"/>
  <c r="C54" i="10" s="1"/>
  <c r="E31" i="16"/>
  <c r="F31" i="16" s="1"/>
  <c r="D25" i="16"/>
  <c r="D33" i="16" s="1"/>
  <c r="D41" i="16" s="1"/>
  <c r="E25" i="16"/>
  <c r="C25" i="16"/>
  <c r="C33" i="16" s="1"/>
  <c r="C41" i="16" s="1"/>
  <c r="D16" i="16"/>
  <c r="D39" i="20" s="1"/>
  <c r="C16" i="16"/>
  <c r="C39" i="20" s="1"/>
  <c r="D37" i="20" s="1"/>
  <c r="E6" i="16"/>
  <c r="F65" i="16" s="1"/>
  <c r="D6" i="16"/>
  <c r="E65" i="16" s="1"/>
  <c r="C6" i="16"/>
  <c r="D65" i="16" s="1"/>
  <c r="F4" i="16"/>
  <c r="G4" i="16" s="1"/>
  <c r="H4" i="16" s="1"/>
  <c r="I4" i="16" s="1"/>
  <c r="J4" i="16" s="1"/>
  <c r="D3" i="16"/>
  <c r="C3" i="16" s="1"/>
  <c r="E29" i="15"/>
  <c r="E28" i="15"/>
  <c r="G34" i="9"/>
  <c r="G33" i="9"/>
  <c r="G29" i="9"/>
  <c r="G28" i="9"/>
  <c r="E33" i="16" l="1"/>
  <c r="F16" i="20"/>
  <c r="G31" i="16"/>
  <c r="E37" i="20"/>
  <c r="E38" i="20" s="1"/>
  <c r="D38" i="20"/>
  <c r="D34" i="10"/>
  <c r="D54" i="10"/>
  <c r="D11" i="16"/>
  <c r="D18" i="16" s="1"/>
  <c r="D43" i="16" s="1"/>
  <c r="E41" i="16"/>
  <c r="D4" i="16"/>
  <c r="C4" i="16" s="1"/>
  <c r="F3" i="16"/>
  <c r="G3" i="16" s="1"/>
  <c r="H3" i="16" s="1"/>
  <c r="I3" i="16" s="1"/>
  <c r="J3" i="16" s="1"/>
  <c r="E11" i="16"/>
  <c r="E18" i="16" s="1"/>
  <c r="C11" i="16"/>
  <c r="C18" i="16" s="1"/>
  <c r="C43" i="16" s="1"/>
  <c r="G33" i="14"/>
  <c r="F33" i="13"/>
  <c r="E33" i="13"/>
  <c r="E33" i="15"/>
  <c r="E29" i="13"/>
  <c r="F29" i="13"/>
  <c r="T25" i="10"/>
  <c r="U25" i="10"/>
  <c r="V25" i="10"/>
  <c r="W25" i="10"/>
  <c r="S25" i="10"/>
  <c r="T24" i="10"/>
  <c r="U24" i="10"/>
  <c r="V24" i="10"/>
  <c r="W24" i="10"/>
  <c r="O24" i="10"/>
  <c r="P24" i="10"/>
  <c r="Q24" i="10"/>
  <c r="R24" i="10"/>
  <c r="N24" i="10"/>
  <c r="N23" i="10"/>
  <c r="O23" i="10"/>
  <c r="P23" i="10"/>
  <c r="Q23" i="10"/>
  <c r="R23" i="10"/>
  <c r="S23" i="10"/>
  <c r="T23" i="10"/>
  <c r="U23" i="10"/>
  <c r="V23" i="10"/>
  <c r="W23" i="10"/>
  <c r="M23" i="10"/>
  <c r="T21" i="10"/>
  <c r="U21" i="10"/>
  <c r="V21" i="10"/>
  <c r="W21" i="10"/>
  <c r="S21" i="10"/>
  <c r="N22" i="10"/>
  <c r="O22" i="10"/>
  <c r="P22" i="10"/>
  <c r="Q22" i="10"/>
  <c r="R22" i="10"/>
  <c r="R31" i="10" s="1"/>
  <c r="S22" i="10"/>
  <c r="T22" i="10"/>
  <c r="U22" i="10"/>
  <c r="V22" i="10"/>
  <c r="W22" i="10"/>
  <c r="M22" i="10"/>
  <c r="T13" i="10"/>
  <c r="U13" i="10"/>
  <c r="V13" i="10"/>
  <c r="W13" i="10"/>
  <c r="S13" i="10"/>
  <c r="O12" i="10"/>
  <c r="P12" i="10"/>
  <c r="Q12" i="10"/>
  <c r="R12" i="10"/>
  <c r="S12" i="10"/>
  <c r="T12" i="10"/>
  <c r="U12" i="10"/>
  <c r="V12" i="10"/>
  <c r="W12" i="10"/>
  <c r="N12" i="10"/>
  <c r="N11" i="10"/>
  <c r="O11" i="10"/>
  <c r="P11" i="10"/>
  <c r="Q11" i="10"/>
  <c r="R11" i="10"/>
  <c r="S11" i="10"/>
  <c r="T11" i="10"/>
  <c r="U11" i="10"/>
  <c r="V11" i="10"/>
  <c r="W11" i="10"/>
  <c r="M11" i="10"/>
  <c r="N10" i="10"/>
  <c r="O10" i="10"/>
  <c r="P10" i="10"/>
  <c r="Q10" i="10"/>
  <c r="R10" i="10"/>
  <c r="S10" i="10"/>
  <c r="T10" i="10"/>
  <c r="U10" i="10"/>
  <c r="V10" i="10"/>
  <c r="W10" i="10"/>
  <c r="M10" i="10"/>
  <c r="M19" i="10" s="1"/>
  <c r="T9" i="10"/>
  <c r="U9" i="10"/>
  <c r="V9" i="10"/>
  <c r="W9" i="10"/>
  <c r="S9" i="10"/>
  <c r="X6" i="10"/>
  <c r="Y6" i="10" s="1"/>
  <c r="Z6" i="10" s="1"/>
  <c r="AA6" i="10" s="1"/>
  <c r="AB6" i="10" s="1"/>
  <c r="AC6" i="10" s="1"/>
  <c r="AD6" i="10" s="1"/>
  <c r="AE6" i="10" s="1"/>
  <c r="AF6" i="10" s="1"/>
  <c r="AG6" i="10" s="1"/>
  <c r="AH6" i="10" s="1"/>
  <c r="AI6" i="10" s="1"/>
  <c r="AJ6" i="10" s="1"/>
  <c r="AK6" i="10" s="1"/>
  <c r="AL6" i="10" s="1"/>
  <c r="AM6" i="10" s="1"/>
  <c r="AN6" i="10" s="1"/>
  <c r="E6" i="10"/>
  <c r="F6" i="10" s="1"/>
  <c r="F4" i="20" s="1"/>
  <c r="F28" i="13"/>
  <c r="E28" i="13"/>
  <c r="AY48" i="15"/>
  <c r="AZ48" i="15" s="1"/>
  <c r="BA48" i="15" s="1"/>
  <c r="AJ48" i="15"/>
  <c r="AK48" i="15" s="1"/>
  <c r="I48" i="15" s="1"/>
  <c r="AI48" i="15"/>
  <c r="AA48" i="15"/>
  <c r="AB48" i="15" s="1"/>
  <c r="AC48" i="15" s="1"/>
  <c r="AB47" i="15"/>
  <c r="AC47" i="15" s="1"/>
  <c r="AD47" i="15" s="1"/>
  <c r="AA47" i="15"/>
  <c r="Y39" i="15"/>
  <c r="Y38" i="15"/>
  <c r="U35" i="15"/>
  <c r="E38" i="15"/>
  <c r="O32" i="15"/>
  <c r="E39" i="15"/>
  <c r="F34" i="15"/>
  <c r="E34" i="15"/>
  <c r="AB48" i="14"/>
  <c r="AC48" i="14" s="1"/>
  <c r="AA48" i="14"/>
  <c r="AA47" i="14"/>
  <c r="AB47" i="14" s="1"/>
  <c r="AC47" i="14" s="1"/>
  <c r="AD47" i="14" s="1"/>
  <c r="AE47" i="14" s="1"/>
  <c r="AF47" i="14" s="1"/>
  <c r="O17" i="15"/>
  <c r="G19" i="15"/>
  <c r="G22" i="15" s="1"/>
  <c r="N17" i="15"/>
  <c r="M17" i="15"/>
  <c r="L17" i="15"/>
  <c r="K17" i="15"/>
  <c r="J17" i="15"/>
  <c r="I17" i="15"/>
  <c r="H17" i="15"/>
  <c r="G17" i="15"/>
  <c r="F17" i="15"/>
  <c r="E17" i="15"/>
  <c r="E8" i="15"/>
  <c r="S35" i="9"/>
  <c r="G35" i="9" s="1"/>
  <c r="G43" i="9" s="1"/>
  <c r="X30" i="12"/>
  <c r="T32" i="12"/>
  <c r="T47" i="12"/>
  <c r="T48" i="12"/>
  <c r="T40" i="12"/>
  <c r="T35" i="12"/>
  <c r="T41" i="12" s="1"/>
  <c r="AE38" i="12"/>
  <c r="F12" i="15"/>
  <c r="E12" i="15"/>
  <c r="R10" i="15"/>
  <c r="F57" i="11"/>
  <c r="F56" i="11"/>
  <c r="F58" i="11" s="1"/>
  <c r="F53" i="11"/>
  <c r="X48" i="15"/>
  <c r="W48" i="15"/>
  <c r="V48" i="15"/>
  <c r="U48" i="15"/>
  <c r="X47" i="15"/>
  <c r="W47" i="15"/>
  <c r="V47" i="15"/>
  <c r="U47" i="15"/>
  <c r="T47" i="15"/>
  <c r="X40" i="15"/>
  <c r="W40" i="15"/>
  <c r="V40" i="15"/>
  <c r="U40" i="15"/>
  <c r="F39" i="15"/>
  <c r="X35" i="15"/>
  <c r="W35" i="15"/>
  <c r="W41" i="15" s="1"/>
  <c r="W42" i="15" s="1"/>
  <c r="V35" i="15"/>
  <c r="U43" i="15"/>
  <c r="T35" i="15"/>
  <c r="Y34" i="15"/>
  <c r="Z34" i="15" s="1"/>
  <c r="AA34" i="15" s="1"/>
  <c r="AB34" i="15" s="1"/>
  <c r="AC34" i="15" s="1"/>
  <c r="AD34" i="15" s="1"/>
  <c r="X32" i="15"/>
  <c r="W32" i="15"/>
  <c r="V32" i="15"/>
  <c r="U32" i="15"/>
  <c r="T32" i="15"/>
  <c r="N32" i="15"/>
  <c r="M32" i="15"/>
  <c r="L32" i="15"/>
  <c r="K32" i="15"/>
  <c r="J32" i="15"/>
  <c r="I32" i="15"/>
  <c r="X30" i="15"/>
  <c r="Y26" i="15"/>
  <c r="X26" i="15"/>
  <c r="W26" i="15"/>
  <c r="V26" i="15"/>
  <c r="U26" i="15"/>
  <c r="T26" i="15"/>
  <c r="H26" i="15"/>
  <c r="G26" i="15"/>
  <c r="E20" i="15"/>
  <c r="X14" i="15"/>
  <c r="W14" i="15"/>
  <c r="V14" i="15"/>
  <c r="U14" i="15"/>
  <c r="T14" i="15"/>
  <c r="S14" i="15"/>
  <c r="R14" i="15"/>
  <c r="Y12" i="15"/>
  <c r="Z12" i="15" s="1"/>
  <c r="AA12" i="15" s="1"/>
  <c r="F4" i="15"/>
  <c r="G4" i="15" s="1"/>
  <c r="H4" i="15" s="1"/>
  <c r="I4" i="15" s="1"/>
  <c r="J4" i="15" s="1"/>
  <c r="K4" i="15" s="1"/>
  <c r="L4" i="15" s="1"/>
  <c r="M4" i="15" s="1"/>
  <c r="N4" i="15" s="1"/>
  <c r="O4" i="15" s="1"/>
  <c r="P48" i="13"/>
  <c r="E43" i="14"/>
  <c r="F43" i="14"/>
  <c r="E44" i="14"/>
  <c r="E40" i="14"/>
  <c r="F40" i="14"/>
  <c r="E35" i="14"/>
  <c r="E41" i="14" s="1"/>
  <c r="E42" i="14" s="1"/>
  <c r="F35" i="14"/>
  <c r="F41" i="14" s="1"/>
  <c r="F42" i="14" s="1"/>
  <c r="C11" i="10"/>
  <c r="C10" i="10"/>
  <c r="C9" i="10"/>
  <c r="G26" i="14"/>
  <c r="G39" i="14"/>
  <c r="G38" i="14"/>
  <c r="G34" i="14"/>
  <c r="K32" i="14"/>
  <c r="J32" i="14"/>
  <c r="H33" i="14"/>
  <c r="G29" i="14"/>
  <c r="G30" i="14" s="1"/>
  <c r="H28" i="14"/>
  <c r="G28" i="14"/>
  <c r="Y39" i="14"/>
  <c r="Y38" i="14"/>
  <c r="N47" i="14"/>
  <c r="O47" i="14"/>
  <c r="P47" i="14"/>
  <c r="Q47" i="14"/>
  <c r="R47" i="14"/>
  <c r="S47" i="14"/>
  <c r="N48" i="14"/>
  <c r="O48" i="14"/>
  <c r="P48" i="14"/>
  <c r="Q48" i="14"/>
  <c r="R48" i="14"/>
  <c r="S48" i="14"/>
  <c r="T47" i="14"/>
  <c r="P43" i="14"/>
  <c r="AE17" i="13"/>
  <c r="AF17" i="13" s="1"/>
  <c r="AG17" i="13" s="1"/>
  <c r="AD12" i="13"/>
  <c r="G12" i="13" s="1"/>
  <c r="AD39" i="13"/>
  <c r="G39" i="13" s="1"/>
  <c r="AD38" i="13"/>
  <c r="N35" i="14"/>
  <c r="N43" i="14" s="1"/>
  <c r="O35" i="14"/>
  <c r="O43" i="14" s="1"/>
  <c r="P35" i="14"/>
  <c r="Q35" i="14"/>
  <c r="R35" i="14"/>
  <c r="R43" i="14" s="1"/>
  <c r="S35" i="14"/>
  <c r="S43" i="14" s="1"/>
  <c r="N40" i="14"/>
  <c r="O40" i="14"/>
  <c r="P40" i="14"/>
  <c r="Q40" i="14"/>
  <c r="R40" i="14"/>
  <c r="S40" i="14"/>
  <c r="N41" i="14"/>
  <c r="N44" i="14" s="1"/>
  <c r="O41" i="14"/>
  <c r="O42" i="14" s="1"/>
  <c r="P41" i="14"/>
  <c r="P44" i="14" s="1"/>
  <c r="Q41" i="14"/>
  <c r="Q42" i="14" s="1"/>
  <c r="R41" i="14"/>
  <c r="R44" i="14" s="1"/>
  <c r="S41" i="14"/>
  <c r="S42" i="14" s="1"/>
  <c r="P42" i="14"/>
  <c r="R42" i="14"/>
  <c r="N32" i="14"/>
  <c r="O32" i="14"/>
  <c r="G32" i="14" s="1"/>
  <c r="P32" i="14"/>
  <c r="Q32" i="14"/>
  <c r="R32" i="14"/>
  <c r="S32" i="14"/>
  <c r="R30" i="14"/>
  <c r="S30" i="14"/>
  <c r="T30" i="14"/>
  <c r="U30" i="14"/>
  <c r="V30" i="14"/>
  <c r="W30" i="14"/>
  <c r="X30" i="14"/>
  <c r="R26" i="14"/>
  <c r="S26" i="14"/>
  <c r="N15" i="14"/>
  <c r="N20" i="14"/>
  <c r="N14" i="14"/>
  <c r="G14" i="14" s="1"/>
  <c r="Y12" i="14"/>
  <c r="Y8" i="9"/>
  <c r="Z8" i="9"/>
  <c r="AA8" i="9"/>
  <c r="AB8" i="9"/>
  <c r="X8" i="9"/>
  <c r="F34" i="11"/>
  <c r="F33" i="11"/>
  <c r="F35" i="11" s="1"/>
  <c r="F22" i="11"/>
  <c r="F21" i="11"/>
  <c r="F23" i="11" s="1"/>
  <c r="F9" i="11"/>
  <c r="F10" i="11"/>
  <c r="F11" i="11"/>
  <c r="F46" i="11"/>
  <c r="F45" i="11"/>
  <c r="N32" i="9"/>
  <c r="N47" i="9"/>
  <c r="N48" i="9"/>
  <c r="N10" i="14"/>
  <c r="O10" i="14" s="1"/>
  <c r="P10" i="14" s="1"/>
  <c r="Q10" i="14" s="1"/>
  <c r="R10" i="14" s="1"/>
  <c r="S10" i="14" s="1"/>
  <c r="T10" i="14" s="1"/>
  <c r="U10" i="14" s="1"/>
  <c r="V10" i="14" s="1"/>
  <c r="H8" i="14"/>
  <c r="G8" i="14"/>
  <c r="E8" i="13"/>
  <c r="E10" i="13" s="1"/>
  <c r="O20" i="14"/>
  <c r="P20" i="14" s="1"/>
  <c r="Q20" i="14" s="1"/>
  <c r="Q14" i="14"/>
  <c r="P14" i="14"/>
  <c r="O14" i="14"/>
  <c r="F14" i="14"/>
  <c r="F14" i="9"/>
  <c r="E14" i="9"/>
  <c r="E15" i="9" s="1"/>
  <c r="E14" i="14"/>
  <c r="E15" i="14" s="1"/>
  <c r="E14" i="12"/>
  <c r="E15" i="12" s="1"/>
  <c r="E20" i="14"/>
  <c r="F20" i="14" s="1"/>
  <c r="G20" i="14" s="1"/>
  <c r="H20" i="14" s="1"/>
  <c r="E10" i="14"/>
  <c r="F10" i="14" s="1"/>
  <c r="M48" i="9"/>
  <c r="L48" i="9"/>
  <c r="K48" i="9"/>
  <c r="J48" i="9"/>
  <c r="I48" i="9"/>
  <c r="I47" i="9"/>
  <c r="J47" i="9"/>
  <c r="K47" i="9"/>
  <c r="L47" i="9"/>
  <c r="M47" i="9"/>
  <c r="G38" i="13"/>
  <c r="X48" i="14"/>
  <c r="W48" i="14"/>
  <c r="V48" i="14"/>
  <c r="U48" i="14"/>
  <c r="X47" i="14"/>
  <c r="W47" i="14"/>
  <c r="V47" i="14"/>
  <c r="U47" i="14"/>
  <c r="X40" i="14"/>
  <c r="W40" i="14"/>
  <c r="V40" i="14"/>
  <c r="U40" i="14"/>
  <c r="T48" i="14"/>
  <c r="H38" i="14"/>
  <c r="X35" i="14"/>
  <c r="X41" i="14" s="1"/>
  <c r="X42" i="14" s="1"/>
  <c r="W35" i="14"/>
  <c r="W43" i="14" s="1"/>
  <c r="V35" i="14"/>
  <c r="V41" i="14" s="1"/>
  <c r="V42" i="14" s="1"/>
  <c r="U35" i="14"/>
  <c r="U43" i="14" s="1"/>
  <c r="T35" i="14"/>
  <c r="T41" i="14" s="1"/>
  <c r="T44" i="14" s="1"/>
  <c r="I34" i="14"/>
  <c r="H34" i="14"/>
  <c r="X32" i="14"/>
  <c r="W32" i="14"/>
  <c r="V32" i="14"/>
  <c r="I32" i="14" s="1"/>
  <c r="U32" i="14"/>
  <c r="T32" i="14"/>
  <c r="Y29" i="14"/>
  <c r="X23" i="10" s="1"/>
  <c r="H29" i="14"/>
  <c r="Y26" i="14"/>
  <c r="X26" i="14"/>
  <c r="W26" i="14"/>
  <c r="V26" i="14"/>
  <c r="U26" i="14"/>
  <c r="T26" i="14"/>
  <c r="I26" i="14"/>
  <c r="H26" i="14"/>
  <c r="R20" i="14"/>
  <c r="S20" i="14" s="1"/>
  <c r="T20" i="14" s="1"/>
  <c r="U20" i="14" s="1"/>
  <c r="V20" i="14" s="1"/>
  <c r="W20" i="14" s="1"/>
  <c r="X20" i="14" s="1"/>
  <c r="K17" i="14"/>
  <c r="J17" i="14"/>
  <c r="I17" i="14"/>
  <c r="H17" i="14"/>
  <c r="X14" i="14"/>
  <c r="W14" i="14"/>
  <c r="V14" i="14"/>
  <c r="U14" i="14"/>
  <c r="T14" i="14"/>
  <c r="S14" i="14"/>
  <c r="R14" i="14"/>
  <c r="I12" i="14"/>
  <c r="H12" i="14"/>
  <c r="I4" i="14"/>
  <c r="J4" i="14" s="1"/>
  <c r="K4" i="14" s="1"/>
  <c r="F42" i="11"/>
  <c r="S14" i="13"/>
  <c r="S15" i="13" s="1"/>
  <c r="S20" i="13"/>
  <c r="T20" i="13" s="1"/>
  <c r="U20" i="13" s="1"/>
  <c r="V20" i="13" s="1"/>
  <c r="W20" i="13" s="1"/>
  <c r="X20" i="13" s="1"/>
  <c r="Y20" i="13" s="1"/>
  <c r="Z20" i="13" s="1"/>
  <c r="AA20" i="13" s="1"/>
  <c r="AB20" i="13" s="1"/>
  <c r="AC20" i="13" s="1"/>
  <c r="S10" i="13"/>
  <c r="AF48" i="13"/>
  <c r="AC48" i="13"/>
  <c r="AB48" i="13"/>
  <c r="AA48" i="13"/>
  <c r="Z48" i="13"/>
  <c r="Y48" i="13"/>
  <c r="X48" i="13"/>
  <c r="W48" i="13"/>
  <c r="V48" i="13"/>
  <c r="U48" i="13"/>
  <c r="T48" i="13"/>
  <c r="O48" i="13"/>
  <c r="N48" i="13"/>
  <c r="M48" i="13"/>
  <c r="L48" i="13"/>
  <c r="K48" i="13"/>
  <c r="AF47" i="13"/>
  <c r="AG47" i="13" s="1"/>
  <c r="AC47" i="13"/>
  <c r="AB47" i="13"/>
  <c r="AA47" i="13"/>
  <c r="Z47" i="13"/>
  <c r="Y47" i="13"/>
  <c r="X47" i="13"/>
  <c r="W47" i="13"/>
  <c r="V47" i="13"/>
  <c r="U47" i="13"/>
  <c r="T47" i="13"/>
  <c r="AC40" i="13"/>
  <c r="AB40" i="13"/>
  <c r="AA40" i="13"/>
  <c r="Z40" i="13"/>
  <c r="Y40" i="13"/>
  <c r="X40" i="13"/>
  <c r="W40" i="13"/>
  <c r="V40" i="13"/>
  <c r="U40" i="13"/>
  <c r="T40" i="13"/>
  <c r="F40" i="13"/>
  <c r="E40" i="13"/>
  <c r="AC35" i="13"/>
  <c r="AC43" i="13" s="1"/>
  <c r="AB35" i="13"/>
  <c r="AB41" i="13" s="1"/>
  <c r="AA35" i="13"/>
  <c r="Z35" i="13"/>
  <c r="Z41" i="13" s="1"/>
  <c r="Z44" i="13" s="1"/>
  <c r="Y35" i="13"/>
  <c r="X35" i="13"/>
  <c r="X43" i="13" s="1"/>
  <c r="W35" i="13"/>
  <c r="V35" i="13"/>
  <c r="V41" i="13" s="1"/>
  <c r="U35" i="13"/>
  <c r="U41" i="13" s="1"/>
  <c r="U44" i="13" s="1"/>
  <c r="T35" i="13"/>
  <c r="AC32" i="13"/>
  <c r="AB32" i="13"/>
  <c r="AA32" i="13"/>
  <c r="Z32" i="13"/>
  <c r="Y32" i="13"/>
  <c r="X32" i="13"/>
  <c r="W32" i="13"/>
  <c r="V32" i="13"/>
  <c r="U32" i="13"/>
  <c r="T32" i="13"/>
  <c r="AC30" i="13"/>
  <c r="AB30" i="13"/>
  <c r="AA30" i="13"/>
  <c r="Z30" i="13"/>
  <c r="Y30" i="13"/>
  <c r="X30" i="13"/>
  <c r="AD26" i="13"/>
  <c r="AC26" i="13"/>
  <c r="AB26" i="13"/>
  <c r="AA26" i="13"/>
  <c r="Z26" i="13"/>
  <c r="Y26" i="13"/>
  <c r="X26" i="13"/>
  <c r="W26" i="13"/>
  <c r="G26" i="13"/>
  <c r="F26" i="13"/>
  <c r="E26" i="13"/>
  <c r="F19" i="13"/>
  <c r="E19" i="13"/>
  <c r="E20" i="13" s="1"/>
  <c r="G17" i="13"/>
  <c r="F17" i="13"/>
  <c r="E17" i="13"/>
  <c r="AC14" i="13"/>
  <c r="AB14" i="13"/>
  <c r="AA14" i="13"/>
  <c r="Z14" i="13"/>
  <c r="Y14" i="13"/>
  <c r="X14" i="13"/>
  <c r="W14" i="13"/>
  <c r="V14" i="13"/>
  <c r="U14" i="13"/>
  <c r="T14" i="13"/>
  <c r="F12" i="13"/>
  <c r="T10" i="13"/>
  <c r="U10" i="13" s="1"/>
  <c r="V10" i="13" s="1"/>
  <c r="W10" i="13" s="1"/>
  <c r="X10" i="13" s="1"/>
  <c r="Y10" i="13" s="1"/>
  <c r="Z10" i="13" s="1"/>
  <c r="AA10" i="13" s="1"/>
  <c r="AB10" i="13" s="1"/>
  <c r="AC10" i="13" s="1"/>
  <c r="AD8" i="13" s="1"/>
  <c r="F8" i="13"/>
  <c r="G4" i="13"/>
  <c r="H4" i="13" s="1"/>
  <c r="I4" i="13" s="1"/>
  <c r="J4" i="13" s="1"/>
  <c r="K4" i="13" s="1"/>
  <c r="L4" i="13" s="1"/>
  <c r="M4" i="13" s="1"/>
  <c r="N4" i="13" s="1"/>
  <c r="O4" i="13" s="1"/>
  <c r="P4" i="13" s="1"/>
  <c r="F30" i="11"/>
  <c r="X29" i="9"/>
  <c r="X21" i="10" s="1"/>
  <c r="T48" i="9"/>
  <c r="U48" i="9"/>
  <c r="V48" i="9"/>
  <c r="W48" i="9"/>
  <c r="T47" i="9"/>
  <c r="U47" i="9"/>
  <c r="V47" i="9"/>
  <c r="W47" i="9"/>
  <c r="G47" i="9"/>
  <c r="I10" i="8"/>
  <c r="J10" i="8"/>
  <c r="K10" i="8"/>
  <c r="I8" i="8"/>
  <c r="J8" i="8"/>
  <c r="K8" i="8"/>
  <c r="I9" i="8"/>
  <c r="J9" i="8"/>
  <c r="K9" i="8"/>
  <c r="H9" i="8"/>
  <c r="G17" i="12"/>
  <c r="AH47" i="12"/>
  <c r="AI47" i="12" s="1"/>
  <c r="AJ47" i="12" s="1"/>
  <c r="AI10" i="8"/>
  <c r="AJ10" i="8"/>
  <c r="AK10" i="8"/>
  <c r="AL10" i="8"/>
  <c r="AI8" i="8"/>
  <c r="AJ8" i="8"/>
  <c r="AK8" i="8"/>
  <c r="AL8" i="8"/>
  <c r="AE10" i="8"/>
  <c r="AF10" i="8"/>
  <c r="AG10" i="8"/>
  <c r="AH10" i="8"/>
  <c r="AE8" i="8"/>
  <c r="AF8" i="8"/>
  <c r="AG8" i="8"/>
  <c r="AH8" i="8"/>
  <c r="AG48" i="12"/>
  <c r="AG47" i="12"/>
  <c r="AA47" i="12"/>
  <c r="AB47" i="12"/>
  <c r="AC47" i="12"/>
  <c r="AD47" i="12"/>
  <c r="AA48" i="12"/>
  <c r="AB48" i="12"/>
  <c r="AC48" i="12"/>
  <c r="AD48" i="12"/>
  <c r="U47" i="12"/>
  <c r="V48" i="12"/>
  <c r="W48" i="12"/>
  <c r="X48" i="12"/>
  <c r="Y48" i="12"/>
  <c r="Z48" i="12"/>
  <c r="U48" i="12"/>
  <c r="Z47" i="12"/>
  <c r="Y47" i="12"/>
  <c r="X47" i="12"/>
  <c r="W47" i="12"/>
  <c r="V47" i="12"/>
  <c r="I34" i="12"/>
  <c r="AJ34" i="12"/>
  <c r="AK34" i="12" s="1"/>
  <c r="AL34" i="12" s="1"/>
  <c r="AM34" i="12" s="1"/>
  <c r="AN34" i="12" s="1"/>
  <c r="AE26" i="12"/>
  <c r="AD26" i="12"/>
  <c r="AC26" i="12"/>
  <c r="AB26" i="12"/>
  <c r="AA26" i="12"/>
  <c r="Z26" i="12"/>
  <c r="Y26" i="12"/>
  <c r="X26" i="12"/>
  <c r="AC10" i="8"/>
  <c r="AD10" i="8"/>
  <c r="AC8" i="8"/>
  <c r="AD8" i="8"/>
  <c r="Z30" i="12"/>
  <c r="AA30" i="12"/>
  <c r="AB30" i="12"/>
  <c r="AC30" i="12"/>
  <c r="Y30" i="12"/>
  <c r="U32" i="12"/>
  <c r="V32" i="12"/>
  <c r="W32" i="12"/>
  <c r="X32" i="12"/>
  <c r="Y32" i="12"/>
  <c r="U35" i="12"/>
  <c r="U43" i="12" s="1"/>
  <c r="V35" i="12"/>
  <c r="W35" i="12"/>
  <c r="X35" i="12"/>
  <c r="X43" i="12" s="1"/>
  <c r="Y35" i="12"/>
  <c r="U40" i="12"/>
  <c r="V40" i="12"/>
  <c r="W40" i="12"/>
  <c r="X40" i="12"/>
  <c r="Y40" i="12"/>
  <c r="H30" i="12"/>
  <c r="G30" i="12"/>
  <c r="F30" i="12"/>
  <c r="F40" i="12"/>
  <c r="F35" i="12"/>
  <c r="F37" i="12" s="1"/>
  <c r="F32" i="12"/>
  <c r="E40" i="12"/>
  <c r="E32" i="12"/>
  <c r="E35" i="12"/>
  <c r="E37" i="12" s="1"/>
  <c r="F20" i="12"/>
  <c r="H19" i="12"/>
  <c r="G19" i="12"/>
  <c r="G20" i="12" s="1"/>
  <c r="Q17" i="12"/>
  <c r="J17" i="12"/>
  <c r="I17" i="12"/>
  <c r="H17" i="12"/>
  <c r="P17" i="12"/>
  <c r="O17" i="12"/>
  <c r="N17" i="12"/>
  <c r="M17" i="12"/>
  <c r="L17" i="12"/>
  <c r="K17" i="12"/>
  <c r="AE12" i="12"/>
  <c r="I12" i="12" s="1"/>
  <c r="U20" i="12"/>
  <c r="V20" i="12" s="1"/>
  <c r="W20" i="12" s="1"/>
  <c r="X20" i="12" s="1"/>
  <c r="Y20" i="12" s="1"/>
  <c r="Z20" i="12" s="1"/>
  <c r="AA20" i="12" s="1"/>
  <c r="AB20" i="12" s="1"/>
  <c r="AC20" i="12" s="1"/>
  <c r="AD20" i="12" s="1"/>
  <c r="T20" i="12"/>
  <c r="E10" i="12"/>
  <c r="G8" i="12"/>
  <c r="E20" i="9"/>
  <c r="H17" i="9"/>
  <c r="G17" i="9"/>
  <c r="T14" i="12"/>
  <c r="T10" i="12"/>
  <c r="U10" i="12" s="1"/>
  <c r="V10" i="12" s="1"/>
  <c r="W10" i="12" s="1"/>
  <c r="X10" i="12" s="1"/>
  <c r="Y10" i="12" s="1"/>
  <c r="Z10" i="12" s="1"/>
  <c r="AA10" i="12" s="1"/>
  <c r="AB10" i="12" s="1"/>
  <c r="AC10" i="12" s="1"/>
  <c r="AD10" i="12" s="1"/>
  <c r="AE8" i="12" s="1"/>
  <c r="U14" i="12"/>
  <c r="V14" i="12"/>
  <c r="W14" i="12"/>
  <c r="H8" i="12"/>
  <c r="H12" i="12"/>
  <c r="AD40" i="12"/>
  <c r="AC40" i="12"/>
  <c r="AB40" i="12"/>
  <c r="AA40" i="12"/>
  <c r="AE39" i="12"/>
  <c r="Z40" i="12"/>
  <c r="AD35" i="12"/>
  <c r="AC35" i="12"/>
  <c r="AB35" i="12"/>
  <c r="AB41" i="12" s="1"/>
  <c r="AB42" i="12" s="1"/>
  <c r="AA35" i="12"/>
  <c r="AA41" i="12" s="1"/>
  <c r="AA42" i="12" s="1"/>
  <c r="Z35" i="12"/>
  <c r="AE34" i="12"/>
  <c r="AF34" i="12" s="1"/>
  <c r="AG34" i="12" s="1"/>
  <c r="AH34" i="12" s="1"/>
  <c r="AI34" i="12" s="1"/>
  <c r="AD32" i="12"/>
  <c r="AC32" i="12"/>
  <c r="AB32" i="12"/>
  <c r="AA32" i="12"/>
  <c r="Z32" i="12"/>
  <c r="AD30" i="12"/>
  <c r="AE29" i="12"/>
  <c r="AE30" i="12" s="1"/>
  <c r="AD14" i="12"/>
  <c r="AC14" i="12"/>
  <c r="AB14" i="12"/>
  <c r="AA14" i="12"/>
  <c r="Z14" i="12"/>
  <c r="Y14" i="12"/>
  <c r="X14" i="12"/>
  <c r="X30" i="9"/>
  <c r="W30" i="9"/>
  <c r="Y10" i="8"/>
  <c r="Z10" i="8"/>
  <c r="AA10" i="8"/>
  <c r="AB10" i="8"/>
  <c r="Y8" i="8"/>
  <c r="Z8" i="8"/>
  <c r="AA8" i="8"/>
  <c r="AB8" i="8"/>
  <c r="X8" i="8"/>
  <c r="X10" i="8"/>
  <c r="X39" i="9"/>
  <c r="H39" i="9" s="1"/>
  <c r="X38" i="9"/>
  <c r="H38" i="9" s="1"/>
  <c r="X34" i="9"/>
  <c r="Y34" i="9" s="1"/>
  <c r="Z34" i="9" s="1"/>
  <c r="G38" i="9"/>
  <c r="I32" i="9"/>
  <c r="J32" i="9"/>
  <c r="K32" i="9"/>
  <c r="L32" i="9"/>
  <c r="M32" i="9"/>
  <c r="H29" i="9"/>
  <c r="W40" i="9"/>
  <c r="W35" i="9"/>
  <c r="W41" i="9" s="1"/>
  <c r="W42" i="9" s="1"/>
  <c r="W32" i="9"/>
  <c r="V32" i="9"/>
  <c r="V40" i="9"/>
  <c r="V35" i="9"/>
  <c r="U32" i="9"/>
  <c r="U40" i="9"/>
  <c r="U35" i="9"/>
  <c r="U41" i="9" s="1"/>
  <c r="U42" i="9" s="1"/>
  <c r="U26" i="9"/>
  <c r="V26" i="9"/>
  <c r="W26" i="9"/>
  <c r="X26" i="9"/>
  <c r="T26" i="9"/>
  <c r="S26" i="9"/>
  <c r="W10" i="8"/>
  <c r="W8" i="8"/>
  <c r="H8" i="8" s="1"/>
  <c r="T40" i="9"/>
  <c r="S39" i="9"/>
  <c r="S48" i="9" s="1"/>
  <c r="T35" i="9"/>
  <c r="T41" i="9" s="1"/>
  <c r="T42" i="9" s="1"/>
  <c r="T32" i="9"/>
  <c r="S32" i="9"/>
  <c r="Q20" i="9"/>
  <c r="R20" i="9" s="1"/>
  <c r="S20" i="9" s="1"/>
  <c r="T20" i="9" s="1"/>
  <c r="U20" i="9" s="1"/>
  <c r="V20" i="9" s="1"/>
  <c r="W20" i="9" s="1"/>
  <c r="U14" i="9"/>
  <c r="V14" i="9"/>
  <c r="W14" i="9"/>
  <c r="R14" i="9"/>
  <c r="S14" i="9"/>
  <c r="T14" i="9"/>
  <c r="Q14" i="9"/>
  <c r="G12" i="9"/>
  <c r="Q10" i="9"/>
  <c r="X12" i="9"/>
  <c r="Y12" i="9" s="1"/>
  <c r="G8" i="9"/>
  <c r="E10" i="9"/>
  <c r="F10" i="9" s="1"/>
  <c r="F20" i="9"/>
  <c r="G20" i="9" s="1"/>
  <c r="H35" i="12"/>
  <c r="H37" i="12" s="1"/>
  <c r="G35" i="12"/>
  <c r="G41" i="12" s="1"/>
  <c r="G42" i="12" s="1"/>
  <c r="G40" i="12"/>
  <c r="G32" i="12"/>
  <c r="H40" i="12"/>
  <c r="H32" i="12"/>
  <c r="G26" i="12"/>
  <c r="H26" i="12"/>
  <c r="G26" i="9"/>
  <c r="F10" i="12"/>
  <c r="F18" i="11"/>
  <c r="I26" i="12"/>
  <c r="F14" i="12"/>
  <c r="I4" i="12"/>
  <c r="J4" i="12" s="1"/>
  <c r="K4" i="12" s="1"/>
  <c r="L4" i="12" s="1"/>
  <c r="M4" i="12" s="1"/>
  <c r="N4" i="12" s="1"/>
  <c r="O4" i="12" s="1"/>
  <c r="P4" i="12" s="1"/>
  <c r="Q4" i="12" s="1"/>
  <c r="H26" i="9"/>
  <c r="L10" i="8"/>
  <c r="L8" i="8"/>
  <c r="L11" i="8"/>
  <c r="E6" i="11"/>
  <c r="C6" i="11"/>
  <c r="F6" i="11" s="1"/>
  <c r="F4" i="9"/>
  <c r="E4" i="9" s="1"/>
  <c r="H10" i="8" l="1"/>
  <c r="L26" i="19"/>
  <c r="M26" i="19" s="1"/>
  <c r="N26" i="19" s="1"/>
  <c r="O26" i="19" s="1"/>
  <c r="P26" i="19" s="1"/>
  <c r="Q26" i="19" s="1"/>
  <c r="E43" i="16"/>
  <c r="G16" i="20"/>
  <c r="H31" i="16"/>
  <c r="N19" i="10"/>
  <c r="N64" i="10" s="1"/>
  <c r="AO34" i="12"/>
  <c r="AP34" i="12" s="1"/>
  <c r="AQ34" i="12" s="1"/>
  <c r="AR34" i="12" s="1"/>
  <c r="J34" i="12"/>
  <c r="AF12" i="12"/>
  <c r="AG12" i="12" s="1"/>
  <c r="AH12" i="12" s="1"/>
  <c r="AI12" i="12" s="1"/>
  <c r="AJ12" i="12" s="1"/>
  <c r="AK12" i="12" s="1"/>
  <c r="AL12" i="12" s="1"/>
  <c r="AM12" i="12" s="1"/>
  <c r="K34" i="12"/>
  <c r="AH48" i="12"/>
  <c r="AI48" i="12" s="1"/>
  <c r="AJ48" i="12" s="1"/>
  <c r="AK48" i="12" s="1"/>
  <c r="AL48" i="12" s="1"/>
  <c r="AM48" i="12" s="1"/>
  <c r="AN48" i="12" s="1"/>
  <c r="AO48" i="12" s="1"/>
  <c r="AP48" i="12" s="1"/>
  <c r="AQ48" i="12" s="1"/>
  <c r="Q19" i="10"/>
  <c r="D19" i="10"/>
  <c r="D91" i="16" s="1"/>
  <c r="D108" i="16" s="1"/>
  <c r="V43" i="14"/>
  <c r="V44" i="14"/>
  <c r="X43" i="14"/>
  <c r="N42" i="14"/>
  <c r="X44" i="14"/>
  <c r="F44" i="14"/>
  <c r="E47" i="13"/>
  <c r="E48" i="13"/>
  <c r="P19" i="10"/>
  <c r="O19" i="10"/>
  <c r="G47" i="15"/>
  <c r="G34" i="15"/>
  <c r="AL48" i="15"/>
  <c r="AM48" i="15" s="1"/>
  <c r="G48" i="9"/>
  <c r="U44" i="9"/>
  <c r="U43" i="9"/>
  <c r="S43" i="9"/>
  <c r="W44" i="9"/>
  <c r="W43" i="9"/>
  <c r="V43" i="9"/>
  <c r="S19" i="10"/>
  <c r="X22" i="10"/>
  <c r="H32" i="14"/>
  <c r="AO26" i="18"/>
  <c r="AP26" i="18" s="1"/>
  <c r="AN26" i="19"/>
  <c r="M26" i="18"/>
  <c r="N26" i="18" s="1"/>
  <c r="O26" i="18" s="1"/>
  <c r="P26" i="18" s="1"/>
  <c r="Q26" i="18" s="1"/>
  <c r="R26" i="18" s="1"/>
  <c r="C19" i="10"/>
  <c r="C64" i="10" s="1"/>
  <c r="D6" i="10"/>
  <c r="C6" i="10" s="1"/>
  <c r="Q31" i="10"/>
  <c r="Q34" i="10" s="1"/>
  <c r="T43" i="15"/>
  <c r="T43" i="14"/>
  <c r="S44" i="14"/>
  <c r="Q43" i="14"/>
  <c r="Q44" i="14"/>
  <c r="O44" i="14"/>
  <c r="R19" i="10"/>
  <c r="M31" i="10"/>
  <c r="M34" i="10" s="1"/>
  <c r="N31" i="10"/>
  <c r="N34" i="10" s="1"/>
  <c r="N35" i="10" s="1"/>
  <c r="N61" i="10" s="1"/>
  <c r="C34" i="10"/>
  <c r="C35" i="10" s="1"/>
  <c r="R34" i="10"/>
  <c r="T31" i="10"/>
  <c r="T34" i="10" s="1"/>
  <c r="S31" i="10"/>
  <c r="S34" i="10" s="1"/>
  <c r="W31" i="10"/>
  <c r="W34" i="10" s="1"/>
  <c r="U31" i="10"/>
  <c r="U34" i="10" s="1"/>
  <c r="P31" i="10"/>
  <c r="P34" i="10" s="1"/>
  <c r="V31" i="10"/>
  <c r="V34" i="10" s="1"/>
  <c r="V19" i="10"/>
  <c r="O31" i="10"/>
  <c r="O34" i="10" s="1"/>
  <c r="F5" i="8"/>
  <c r="W19" i="10"/>
  <c r="G6" i="10"/>
  <c r="G4" i="20" s="1"/>
  <c r="E43" i="13"/>
  <c r="F32" i="13"/>
  <c r="U19" i="10"/>
  <c r="T19" i="10"/>
  <c r="F30" i="13"/>
  <c r="F43" i="13"/>
  <c r="E31" i="10"/>
  <c r="V6" i="10"/>
  <c r="U6" i="10" s="1"/>
  <c r="T6" i="10" s="1"/>
  <c r="S6" i="10" s="1"/>
  <c r="R6" i="10" s="1"/>
  <c r="Q6" i="10" s="1"/>
  <c r="P6" i="10" s="1"/>
  <c r="O6" i="10" s="1"/>
  <c r="N6" i="10" s="1"/>
  <c r="M6" i="10" s="1"/>
  <c r="F5" i="10"/>
  <c r="F3" i="20" s="1"/>
  <c r="E32" i="13"/>
  <c r="BB48" i="15"/>
  <c r="M48" i="15"/>
  <c r="AN48" i="15"/>
  <c r="AO48" i="15" s="1"/>
  <c r="AP48" i="15" s="1"/>
  <c r="AD48" i="15"/>
  <c r="G48" i="15"/>
  <c r="AE47" i="15"/>
  <c r="AF47" i="15" s="1"/>
  <c r="AG47" i="15" s="1"/>
  <c r="AH47" i="15" s="1"/>
  <c r="X43" i="15"/>
  <c r="W43" i="15"/>
  <c r="W44" i="15"/>
  <c r="V43" i="15"/>
  <c r="E47" i="15"/>
  <c r="Y40" i="15"/>
  <c r="F54" i="16" s="1"/>
  <c r="F38" i="15"/>
  <c r="T44" i="9"/>
  <c r="T43" i="9"/>
  <c r="AD41" i="12"/>
  <c r="AD43" i="12"/>
  <c r="T42" i="12"/>
  <c r="T44" i="12"/>
  <c r="T43" i="12"/>
  <c r="E14" i="15"/>
  <c r="E15" i="15" s="1"/>
  <c r="H32" i="15"/>
  <c r="G32" i="15"/>
  <c r="E10" i="15"/>
  <c r="G14" i="15"/>
  <c r="T41" i="15"/>
  <c r="X41" i="15"/>
  <c r="AB12" i="15"/>
  <c r="AC12" i="15" s="1"/>
  <c r="AD12" i="15" s="1"/>
  <c r="AP26" i="15"/>
  <c r="AQ26" i="15" s="1"/>
  <c r="AR26" i="15" s="1"/>
  <c r="AS26" i="15" s="1"/>
  <c r="AT26" i="15" s="1"/>
  <c r="AU26" i="15" s="1"/>
  <c r="AV26" i="15" s="1"/>
  <c r="AW26" i="15" s="1"/>
  <c r="AX26" i="15" s="1"/>
  <c r="M26" i="15"/>
  <c r="N26" i="15" s="1"/>
  <c r="O26" i="15" s="1"/>
  <c r="AE34" i="15"/>
  <c r="AF34" i="15" s="1"/>
  <c r="AG34" i="15" s="1"/>
  <c r="AH34" i="15" s="1"/>
  <c r="U41" i="15"/>
  <c r="T48" i="15"/>
  <c r="E48" i="15" s="1"/>
  <c r="T40" i="15"/>
  <c r="G54" i="16" s="1"/>
  <c r="V41" i="15"/>
  <c r="V44" i="15" s="1"/>
  <c r="AA11" i="8"/>
  <c r="AK11" i="8"/>
  <c r="AG11" i="8"/>
  <c r="Z11" i="8"/>
  <c r="AF11" i="8"/>
  <c r="AJ11" i="8"/>
  <c r="W11" i="8"/>
  <c r="Y11" i="8"/>
  <c r="AE11" i="8"/>
  <c r="AI11" i="8"/>
  <c r="AC11" i="8"/>
  <c r="AB11" i="8"/>
  <c r="X11" i="8"/>
  <c r="AD11" i="8"/>
  <c r="AH11" i="8"/>
  <c r="AL11" i="8"/>
  <c r="G40" i="13"/>
  <c r="F53" i="16" s="1"/>
  <c r="F47" i="13"/>
  <c r="T15" i="13"/>
  <c r="U15" i="13" s="1"/>
  <c r="V15" i="13" s="1"/>
  <c r="W15" i="13" s="1"/>
  <c r="X15" i="13" s="1"/>
  <c r="Y15" i="13" s="1"/>
  <c r="Z15" i="13" s="1"/>
  <c r="AA15" i="13" s="1"/>
  <c r="AB15" i="13" s="1"/>
  <c r="AC15" i="13" s="1"/>
  <c r="U43" i="13"/>
  <c r="G40" i="14"/>
  <c r="H35" i="14"/>
  <c r="H43" i="14" s="1"/>
  <c r="G35" i="14"/>
  <c r="G43" i="14" s="1"/>
  <c r="H30" i="14"/>
  <c r="AH17" i="13"/>
  <c r="AI17" i="13" s="1"/>
  <c r="F47" i="11"/>
  <c r="Y41" i="12"/>
  <c r="Y42" i="12" s="1"/>
  <c r="G14" i="12"/>
  <c r="U41" i="12"/>
  <c r="U42" i="12" s="1"/>
  <c r="AD10" i="13"/>
  <c r="AE8" i="13" s="1"/>
  <c r="G10" i="9"/>
  <c r="H34" i="9"/>
  <c r="Q15" i="9"/>
  <c r="S40" i="9"/>
  <c r="G40" i="9" s="1"/>
  <c r="G39" i="9"/>
  <c r="G32" i="9"/>
  <c r="H32" i="9"/>
  <c r="F15" i="9"/>
  <c r="G10" i="14"/>
  <c r="H10" i="14" s="1"/>
  <c r="W10" i="14"/>
  <c r="X10" i="14" s="1"/>
  <c r="Y8" i="14" s="1"/>
  <c r="I8" i="14" s="1"/>
  <c r="F15" i="14"/>
  <c r="G15" i="14" s="1"/>
  <c r="O15" i="14"/>
  <c r="P15" i="14" s="1"/>
  <c r="Q15" i="14" s="1"/>
  <c r="R15" i="14"/>
  <c r="S15" i="14" s="1"/>
  <c r="T15" i="14" s="1"/>
  <c r="U15" i="14" s="1"/>
  <c r="V15" i="14" s="1"/>
  <c r="W15" i="14" s="1"/>
  <c r="X15" i="14" s="1"/>
  <c r="Z34" i="14"/>
  <c r="AA34" i="14" s="1"/>
  <c r="AB34" i="14" s="1"/>
  <c r="AC34" i="14" s="1"/>
  <c r="AD34" i="14" s="1"/>
  <c r="H39" i="14"/>
  <c r="H40" i="14" s="1"/>
  <c r="H14" i="14"/>
  <c r="Z12" i="14"/>
  <c r="W41" i="14"/>
  <c r="W44" i="14" s="1"/>
  <c r="Y40" i="14"/>
  <c r="I38" i="14"/>
  <c r="G4" i="14"/>
  <c r="F4" i="14" s="1"/>
  <c r="E4" i="14" s="1"/>
  <c r="I29" i="14"/>
  <c r="Y30" i="14"/>
  <c r="U41" i="14"/>
  <c r="T42" i="14"/>
  <c r="I39" i="14"/>
  <c r="T40" i="14"/>
  <c r="W43" i="12"/>
  <c r="AA43" i="12"/>
  <c r="W43" i="13"/>
  <c r="I40" i="12"/>
  <c r="F51" i="16" s="1"/>
  <c r="E4" i="13"/>
  <c r="F14" i="13"/>
  <c r="AB43" i="13"/>
  <c r="F48" i="13"/>
  <c r="X41" i="13"/>
  <c r="X44" i="13" s="1"/>
  <c r="F20" i="13"/>
  <c r="F10" i="13"/>
  <c r="AD14" i="13"/>
  <c r="M26" i="9"/>
  <c r="N26" i="9" s="1"/>
  <c r="L26" i="13"/>
  <c r="M26" i="13" s="1"/>
  <c r="N26" i="13" s="1"/>
  <c r="O26" i="13" s="1"/>
  <c r="P26" i="13" s="1"/>
  <c r="AU26" i="13"/>
  <c r="AV26" i="13" s="1"/>
  <c r="AW26" i="13" s="1"/>
  <c r="AX26" i="13" s="1"/>
  <c r="AY26" i="13" s="1"/>
  <c r="AZ26" i="13" s="1"/>
  <c r="BA26" i="13" s="1"/>
  <c r="BB26" i="13" s="1"/>
  <c r="BC26" i="13" s="1"/>
  <c r="BD26" i="13" s="1"/>
  <c r="BE26" i="13" s="1"/>
  <c r="BF26" i="13" s="1"/>
  <c r="BG26" i="13" s="1"/>
  <c r="BH26" i="13" s="1"/>
  <c r="BI26" i="13" s="1"/>
  <c r="BJ26" i="13" s="1"/>
  <c r="BK26" i="13" s="1"/>
  <c r="AE12" i="13"/>
  <c r="E14" i="13"/>
  <c r="E15" i="13" s="1"/>
  <c r="AE34" i="13"/>
  <c r="G34" i="13"/>
  <c r="AB42" i="13"/>
  <c r="AB44" i="13"/>
  <c r="Y43" i="13"/>
  <c r="Y41" i="13"/>
  <c r="AC41" i="13"/>
  <c r="AH47" i="13"/>
  <c r="V43" i="13"/>
  <c r="Z43" i="13"/>
  <c r="AA41" i="13"/>
  <c r="AA43" i="13"/>
  <c r="W41" i="13"/>
  <c r="U42" i="13"/>
  <c r="AG48" i="13"/>
  <c r="T43" i="13"/>
  <c r="T41" i="13"/>
  <c r="AD40" i="13"/>
  <c r="H14" i="12"/>
  <c r="V43" i="12"/>
  <c r="Z43" i="12"/>
  <c r="X41" i="12"/>
  <c r="Y43" i="12"/>
  <c r="AB44" i="12"/>
  <c r="AC43" i="12"/>
  <c r="F15" i="12"/>
  <c r="AA44" i="12"/>
  <c r="AB43" i="12"/>
  <c r="AO26" i="9"/>
  <c r="AS34" i="12"/>
  <c r="AT34" i="12" s="1"/>
  <c r="AU34" i="12" s="1"/>
  <c r="AV34" i="12" s="1"/>
  <c r="AV26" i="12"/>
  <c r="AK47" i="12"/>
  <c r="W41" i="12"/>
  <c r="V41" i="12"/>
  <c r="K12" i="12"/>
  <c r="E41" i="12"/>
  <c r="E42" i="12" s="1"/>
  <c r="AN12" i="12"/>
  <c r="AO12" i="12" s="1"/>
  <c r="AP12" i="12" s="1"/>
  <c r="AQ12" i="12" s="1"/>
  <c r="J12" i="12"/>
  <c r="F41" i="12"/>
  <c r="F42" i="12" s="1"/>
  <c r="H20" i="12"/>
  <c r="T15" i="12"/>
  <c r="U15" i="12" s="1"/>
  <c r="V15" i="12" s="1"/>
  <c r="W15" i="12" s="1"/>
  <c r="X15" i="12" s="1"/>
  <c r="Y15" i="12" s="1"/>
  <c r="Z15" i="12" s="1"/>
  <c r="AA15" i="12" s="1"/>
  <c r="AB15" i="12" s="1"/>
  <c r="AC15" i="12" s="1"/>
  <c r="AD15" i="12" s="1"/>
  <c r="G10" i="12"/>
  <c r="H10" i="12" s="1"/>
  <c r="G37" i="12"/>
  <c r="AE40" i="12"/>
  <c r="H41" i="12"/>
  <c r="H42" i="12" s="1"/>
  <c r="AC41" i="12"/>
  <c r="Z41" i="12"/>
  <c r="AA34" i="9"/>
  <c r="AB34" i="9" s="1"/>
  <c r="AC34" i="9" s="1"/>
  <c r="AD34" i="9" s="1"/>
  <c r="AE34" i="9" s="1"/>
  <c r="AF34" i="9" s="1"/>
  <c r="AG34" i="9" s="1"/>
  <c r="H30" i="9"/>
  <c r="S41" i="9"/>
  <c r="X40" i="9"/>
  <c r="H40" i="9" s="1"/>
  <c r="F50" i="16" s="1"/>
  <c r="H12" i="9"/>
  <c r="V41" i="9"/>
  <c r="R15" i="9"/>
  <c r="S15" i="9" s="1"/>
  <c r="T15" i="9" s="1"/>
  <c r="U15" i="9" s="1"/>
  <c r="V15" i="9" s="1"/>
  <c r="W15" i="9" s="1"/>
  <c r="G14" i="9"/>
  <c r="G15" i="9" s="1"/>
  <c r="Z12" i="9"/>
  <c r="AA12" i="9" s="1"/>
  <c r="AB12" i="9" s="1"/>
  <c r="AC12" i="9" s="1"/>
  <c r="R10" i="9"/>
  <c r="S10" i="9" s="1"/>
  <c r="T10" i="9" s="1"/>
  <c r="U10" i="9" s="1"/>
  <c r="V10" i="9" s="1"/>
  <c r="W10" i="9" s="1"/>
  <c r="G5" i="8"/>
  <c r="K11" i="8"/>
  <c r="N26" i="12"/>
  <c r="O26" i="12" s="1"/>
  <c r="G4" i="12"/>
  <c r="F4" i="12" s="1"/>
  <c r="E4" i="12" s="1"/>
  <c r="J11" i="8"/>
  <c r="H11" i="8"/>
  <c r="I11" i="8"/>
  <c r="D5" i="10"/>
  <c r="H4" i="9"/>
  <c r="I4" i="9" s="1"/>
  <c r="J4" i="9" s="1"/>
  <c r="K4" i="9" s="1"/>
  <c r="L4" i="9" s="1"/>
  <c r="M4" i="9" s="1"/>
  <c r="N4" i="9" s="1"/>
  <c r="AE26" i="19" l="1"/>
  <c r="AE28" i="19" s="1"/>
  <c r="AF15" i="10" s="1"/>
  <c r="AK26" i="19"/>
  <c r="AK28" i="19" s="1"/>
  <c r="AL15" i="10" s="1"/>
  <c r="H26" i="19"/>
  <c r="J26" i="19"/>
  <c r="AM26" i="19"/>
  <c r="AM28" i="19" s="1"/>
  <c r="AN15" i="10" s="1"/>
  <c r="AC26" i="19"/>
  <c r="AC28" i="19" s="1"/>
  <c r="AD15" i="10" s="1"/>
  <c r="Z26" i="19"/>
  <c r="Z28" i="19" s="1"/>
  <c r="AA15" i="10" s="1"/>
  <c r="AA26" i="19"/>
  <c r="AA28" i="19" s="1"/>
  <c r="AB15" i="10" s="1"/>
  <c r="I26" i="19"/>
  <c r="AL26" i="19"/>
  <c r="AL28" i="19" s="1"/>
  <c r="AM15" i="10" s="1"/>
  <c r="Y26" i="19"/>
  <c r="Y28" i="19" s="1"/>
  <c r="Z15" i="10" s="1"/>
  <c r="AF26" i="19"/>
  <c r="AF28" i="19" s="1"/>
  <c r="AG15" i="10" s="1"/>
  <c r="AG26" i="19"/>
  <c r="AG28" i="19" s="1"/>
  <c r="AH15" i="10" s="1"/>
  <c r="AI26" i="19"/>
  <c r="AI28" i="19" s="1"/>
  <c r="AJ15" i="10" s="1"/>
  <c r="AD26" i="19"/>
  <c r="AD28" i="19" s="1"/>
  <c r="AE15" i="10" s="1"/>
  <c r="X26" i="19"/>
  <c r="X28" i="19" s="1"/>
  <c r="Y15" i="10" s="1"/>
  <c r="AH26" i="19"/>
  <c r="AH28" i="19" s="1"/>
  <c r="AI15" i="10" s="1"/>
  <c r="I31" i="16"/>
  <c r="H16" i="20"/>
  <c r="E19" i="10"/>
  <c r="E91" i="16" s="1"/>
  <c r="E108" i="16" s="1"/>
  <c r="N63" i="10"/>
  <c r="O35" i="10"/>
  <c r="O61" i="10" s="1"/>
  <c r="D64" i="10"/>
  <c r="R60" i="10"/>
  <c r="R64" i="10"/>
  <c r="R63" i="10"/>
  <c r="W64" i="10"/>
  <c r="W60" i="10"/>
  <c r="W63" i="10"/>
  <c r="O64" i="10"/>
  <c r="O63" i="10"/>
  <c r="M64" i="10"/>
  <c r="M63" i="10"/>
  <c r="T64" i="10"/>
  <c r="T60" i="10"/>
  <c r="T63" i="10"/>
  <c r="S60" i="10"/>
  <c r="S64" i="10"/>
  <c r="S63" i="10"/>
  <c r="P64" i="10"/>
  <c r="P63" i="10"/>
  <c r="U60" i="10"/>
  <c r="U64" i="10"/>
  <c r="U63" i="10"/>
  <c r="V64" i="10"/>
  <c r="V60" i="10"/>
  <c r="V63" i="10"/>
  <c r="Q60" i="10"/>
  <c r="Q64" i="10"/>
  <c r="Q63" i="10"/>
  <c r="Q35" i="10"/>
  <c r="G37" i="14"/>
  <c r="H37" i="14"/>
  <c r="M34" i="12"/>
  <c r="L34" i="12"/>
  <c r="P35" i="10"/>
  <c r="P61" i="10" s="1"/>
  <c r="M35" i="10"/>
  <c r="M61" i="10" s="1"/>
  <c r="G12" i="15"/>
  <c r="H34" i="15"/>
  <c r="G41" i="9"/>
  <c r="G44" i="9" s="1"/>
  <c r="S44" i="9"/>
  <c r="V42" i="9"/>
  <c r="V44" i="9"/>
  <c r="G37" i="9"/>
  <c r="K26" i="19"/>
  <c r="O39" i="10"/>
  <c r="W35" i="10"/>
  <c r="W39" i="10" s="1"/>
  <c r="T35" i="10"/>
  <c r="R35" i="10"/>
  <c r="U35" i="10"/>
  <c r="N39" i="10"/>
  <c r="V35" i="10"/>
  <c r="S35" i="10"/>
  <c r="AO28" i="18"/>
  <c r="AO33" i="18" s="1"/>
  <c r="AC26" i="18"/>
  <c r="AC28" i="18" s="1"/>
  <c r="AC33" i="18" s="1"/>
  <c r="AB26" i="19"/>
  <c r="AB28" i="19" s="1"/>
  <c r="AC15" i="10" s="1"/>
  <c r="J26" i="18"/>
  <c r="AO26" i="19"/>
  <c r="AN28" i="19"/>
  <c r="AK26" i="18"/>
  <c r="AK28" i="18" s="1"/>
  <c r="AK33" i="18" s="1"/>
  <c r="AJ26" i="19"/>
  <c r="AJ28" i="19" s="1"/>
  <c r="AK15" i="10" s="1"/>
  <c r="AQ26" i="18"/>
  <c r="AP28" i="18"/>
  <c r="AP33" i="18" s="1"/>
  <c r="AN26" i="18"/>
  <c r="AD26" i="18"/>
  <c r="AD28" i="18" s="1"/>
  <c r="AJ26" i="18"/>
  <c r="AE26" i="18"/>
  <c r="AE28" i="18" s="1"/>
  <c r="AI26" i="18"/>
  <c r="AF26" i="18"/>
  <c r="AL26" i="18"/>
  <c r="AL28" i="18" s="1"/>
  <c r="AM26" i="18"/>
  <c r="AG26" i="18"/>
  <c r="AG28" i="18" s="1"/>
  <c r="AH26" i="18"/>
  <c r="AB26" i="18"/>
  <c r="AB28" i="18" s="1"/>
  <c r="AA26" i="18"/>
  <c r="AA28" i="18" s="1"/>
  <c r="Y26" i="18"/>
  <c r="Y28" i="18" s="1"/>
  <c r="Z26" i="18"/>
  <c r="Z28" i="18" s="1"/>
  <c r="I26" i="15"/>
  <c r="I26" i="18"/>
  <c r="K26" i="15"/>
  <c r="K26" i="18"/>
  <c r="AK26" i="9"/>
  <c r="L26" i="15"/>
  <c r="L26" i="18"/>
  <c r="AI26" i="13"/>
  <c r="U42" i="14"/>
  <c r="U44" i="14"/>
  <c r="C63" i="10"/>
  <c r="E34" i="10"/>
  <c r="G5" i="10"/>
  <c r="G3" i="20" s="1"/>
  <c r="H6" i="10"/>
  <c r="H4" i="20" s="1"/>
  <c r="F41" i="13"/>
  <c r="F42" i="13" s="1"/>
  <c r="E41" i="13"/>
  <c r="E42" i="13" s="1"/>
  <c r="I30" i="14"/>
  <c r="I30" i="12"/>
  <c r="BC48" i="15"/>
  <c r="AQ48" i="15"/>
  <c r="AR48" i="15" s="1"/>
  <c r="AS48" i="15" s="1"/>
  <c r="AT48" i="15" s="1"/>
  <c r="J48" i="15"/>
  <c r="AE48" i="15"/>
  <c r="AF48" i="15" s="1"/>
  <c r="AG48" i="15" s="1"/>
  <c r="AI47" i="15"/>
  <c r="AJ47" i="15" s="1"/>
  <c r="AK47" i="15" s="1"/>
  <c r="AL47" i="15" s="1"/>
  <c r="H47" i="15"/>
  <c r="X42" i="15"/>
  <c r="X44" i="15"/>
  <c r="H54" i="16"/>
  <c r="T42" i="15"/>
  <c r="T44" i="15"/>
  <c r="U42" i="15"/>
  <c r="U44" i="15"/>
  <c r="AY26" i="15"/>
  <c r="AD42" i="12"/>
  <c r="AD44" i="12"/>
  <c r="AP26" i="13"/>
  <c r="AK26" i="15"/>
  <c r="AF26" i="14"/>
  <c r="AF26" i="15"/>
  <c r="Z26" i="14"/>
  <c r="Z26" i="15"/>
  <c r="AI26" i="9"/>
  <c r="AJ26" i="15"/>
  <c r="V42" i="15"/>
  <c r="AQ26" i="12"/>
  <c r="AG26" i="14"/>
  <c r="AG26" i="15"/>
  <c r="AR26" i="12"/>
  <c r="AL26" i="15"/>
  <c r="AS26" i="12"/>
  <c r="AM26" i="15"/>
  <c r="AS26" i="13"/>
  <c r="AN26" i="15"/>
  <c r="AA26" i="14"/>
  <c r="AA26" i="15"/>
  <c r="AG26" i="9"/>
  <c r="AH26" i="15"/>
  <c r="AO26" i="12"/>
  <c r="AI26" i="15"/>
  <c r="AJ26" i="12"/>
  <c r="AD26" i="15"/>
  <c r="K26" i="14"/>
  <c r="J26" i="15"/>
  <c r="AU26" i="12"/>
  <c r="AO26" i="15"/>
  <c r="AE26" i="14"/>
  <c r="AE26" i="15"/>
  <c r="AB26" i="14"/>
  <c r="AB26" i="15"/>
  <c r="AC26" i="14"/>
  <c r="AC26" i="15"/>
  <c r="AI34" i="15"/>
  <c r="AJ34" i="15" s="1"/>
  <c r="AK34" i="15" s="1"/>
  <c r="AL34" i="15" s="1"/>
  <c r="AE12" i="15"/>
  <c r="AJ26" i="13"/>
  <c r="AI26" i="12"/>
  <c r="AH26" i="13"/>
  <c r="AK26" i="12"/>
  <c r="AA26" i="9"/>
  <c r="AO26" i="13"/>
  <c r="AF26" i="9"/>
  <c r="AT26" i="12"/>
  <c r="AQ26" i="13"/>
  <c r="AF26" i="12"/>
  <c r="AM26" i="9"/>
  <c r="AL26" i="13"/>
  <c r="AK26" i="13"/>
  <c r="AP26" i="12"/>
  <c r="AE26" i="9"/>
  <c r="Y26" i="9"/>
  <c r="AM26" i="12"/>
  <c r="AR26" i="13"/>
  <c r="AJ26" i="9"/>
  <c r="AL26" i="9"/>
  <c r="AM26" i="13"/>
  <c r="AF26" i="13"/>
  <c r="AN26" i="12"/>
  <c r="AH26" i="12"/>
  <c r="AH26" i="9"/>
  <c r="AT26" i="13"/>
  <c r="AB26" i="9"/>
  <c r="Z26" i="9"/>
  <c r="AD26" i="14"/>
  <c r="AG26" i="12"/>
  <c r="AN26" i="9"/>
  <c r="AD26" i="9"/>
  <c r="AC26" i="9"/>
  <c r="AE26" i="13"/>
  <c r="AN26" i="13"/>
  <c r="AL26" i="12"/>
  <c r="AG26" i="13"/>
  <c r="H17" i="13"/>
  <c r="G41" i="14"/>
  <c r="H41" i="14"/>
  <c r="I40" i="14"/>
  <c r="F52" i="16" s="1"/>
  <c r="AJ17" i="13"/>
  <c r="AK17" i="13" s="1"/>
  <c r="AL17" i="13" s="1"/>
  <c r="AM17" i="13" s="1"/>
  <c r="U44" i="12"/>
  <c r="Y44" i="12"/>
  <c r="G8" i="13"/>
  <c r="G10" i="13" s="1"/>
  <c r="I34" i="9"/>
  <c r="H15" i="14"/>
  <c r="Y10" i="14"/>
  <c r="Z8" i="14" s="1"/>
  <c r="AE34" i="14"/>
  <c r="AF34" i="14" s="1"/>
  <c r="AG34" i="14" s="1"/>
  <c r="AA12" i="14"/>
  <c r="W42" i="14"/>
  <c r="H26" i="13"/>
  <c r="J26" i="14"/>
  <c r="J34" i="14"/>
  <c r="G14" i="13"/>
  <c r="AD19" i="13"/>
  <c r="BL26" i="13"/>
  <c r="F15" i="13"/>
  <c r="X42" i="13"/>
  <c r="L26" i="9"/>
  <c r="K26" i="13"/>
  <c r="T44" i="13"/>
  <c r="T42" i="13"/>
  <c r="V44" i="13"/>
  <c r="V42" i="13"/>
  <c r="L26" i="12"/>
  <c r="J26" i="13"/>
  <c r="Z42" i="13"/>
  <c r="AC42" i="13"/>
  <c r="AC44" i="13"/>
  <c r="AF12" i="13"/>
  <c r="AG12" i="13" s="1"/>
  <c r="AH12" i="13" s="1"/>
  <c r="AI12" i="13" s="1"/>
  <c r="AD15" i="13"/>
  <c r="K26" i="12"/>
  <c r="I26" i="13"/>
  <c r="AH48" i="13"/>
  <c r="W42" i="13"/>
  <c r="W44" i="13"/>
  <c r="AA44" i="13"/>
  <c r="AA42" i="13"/>
  <c r="AF34" i="13"/>
  <c r="AG34" i="13" s="1"/>
  <c r="AH34" i="13" s="1"/>
  <c r="AI34" i="13" s="1"/>
  <c r="AI47" i="13"/>
  <c r="H47" i="13"/>
  <c r="Y44" i="13"/>
  <c r="Y42" i="13"/>
  <c r="AE14" i="13"/>
  <c r="AE10" i="13"/>
  <c r="AF8" i="13" s="1"/>
  <c r="X42" i="12"/>
  <c r="X44" i="12"/>
  <c r="Z42" i="12"/>
  <c r="Z44" i="12"/>
  <c r="V42" i="12"/>
  <c r="V44" i="12"/>
  <c r="AC42" i="12"/>
  <c r="AC44" i="12"/>
  <c r="W42" i="12"/>
  <c r="W44" i="12"/>
  <c r="AH34" i="9"/>
  <c r="AI34" i="9" s="1"/>
  <c r="AJ34" i="9" s="1"/>
  <c r="AK34" i="9" s="1"/>
  <c r="J34" i="9"/>
  <c r="AP26" i="9"/>
  <c r="AW34" i="12"/>
  <c r="AX34" i="12" s="1"/>
  <c r="AY34" i="12" s="1"/>
  <c r="AZ34" i="12" s="1"/>
  <c r="N34" i="12"/>
  <c r="AW26" i="12"/>
  <c r="AL47" i="12"/>
  <c r="AR12" i="12"/>
  <c r="L12" i="12"/>
  <c r="S42" i="9"/>
  <c r="G42" i="9" s="1"/>
  <c r="I12" i="9"/>
  <c r="AD12" i="9"/>
  <c r="AE12" i="9" s="1"/>
  <c r="AF12" i="9" s="1"/>
  <c r="AG12" i="9" s="1"/>
  <c r="C5" i="10"/>
  <c r="E5" i="8"/>
  <c r="M26" i="12"/>
  <c r="P26" i="12"/>
  <c r="K26" i="9"/>
  <c r="J26" i="9"/>
  <c r="I26" i="9"/>
  <c r="J26" i="12"/>
  <c r="AK33" i="19" l="1"/>
  <c r="G15" i="10"/>
  <c r="AH33" i="19"/>
  <c r="AL33" i="19"/>
  <c r="AE33" i="19"/>
  <c r="AF33" i="19"/>
  <c r="I15" i="10"/>
  <c r="X29" i="19"/>
  <c r="Y27" i="10" s="1"/>
  <c r="AA33" i="19"/>
  <c r="AG33" i="19"/>
  <c r="H15" i="10"/>
  <c r="X33" i="19"/>
  <c r="AC33" i="19"/>
  <c r="AD33" i="19"/>
  <c r="AM33" i="19"/>
  <c r="Y33" i="19"/>
  <c r="Z33" i="19"/>
  <c r="H28" i="19"/>
  <c r="J15" i="10"/>
  <c r="AI33" i="19"/>
  <c r="J28" i="19"/>
  <c r="D98" i="16"/>
  <c r="D109" i="16" s="1"/>
  <c r="D110" i="16" s="1"/>
  <c r="D105" i="16"/>
  <c r="D112" i="16" s="1"/>
  <c r="J31" i="16"/>
  <c r="J16" i="20" s="1"/>
  <c r="I16" i="20"/>
  <c r="E64" i="10"/>
  <c r="C39" i="10"/>
  <c r="C55" i="10" s="1"/>
  <c r="D35" i="10"/>
  <c r="D39" i="10" s="1"/>
  <c r="F49" i="16"/>
  <c r="M39" i="10"/>
  <c r="M55" i="10" s="1"/>
  <c r="D63" i="10"/>
  <c r="D60" i="10"/>
  <c r="S39" i="10"/>
  <c r="S61" i="10"/>
  <c r="P39" i="10"/>
  <c r="Q39" i="10"/>
  <c r="Q61" i="10"/>
  <c r="U39" i="10"/>
  <c r="U61" i="10"/>
  <c r="N43" i="10"/>
  <c r="N55" i="10"/>
  <c r="T39" i="10"/>
  <c r="T61" i="10"/>
  <c r="O43" i="10"/>
  <c r="O66" i="10" s="1"/>
  <c r="O55" i="10"/>
  <c r="W61" i="10"/>
  <c r="V39" i="10"/>
  <c r="V61" i="10"/>
  <c r="R39" i="10"/>
  <c r="R61" i="10"/>
  <c r="I28" i="19"/>
  <c r="K28" i="19"/>
  <c r="E63" i="10"/>
  <c r="AU48" i="15"/>
  <c r="AV48" i="15" s="1"/>
  <c r="AW48" i="15" s="1"/>
  <c r="I47" i="15"/>
  <c r="K48" i="15"/>
  <c r="I34" i="15"/>
  <c r="E35" i="10"/>
  <c r="E39" i="10" s="1"/>
  <c r="E60" i="10"/>
  <c r="AK14" i="10"/>
  <c r="AC14" i="10"/>
  <c r="AP26" i="19"/>
  <c r="AO28" i="19"/>
  <c r="AB33" i="19"/>
  <c r="AJ33" i="19"/>
  <c r="AN33" i="19"/>
  <c r="Z33" i="18"/>
  <c r="Z14" i="10"/>
  <c r="AD33" i="18"/>
  <c r="AD14" i="10"/>
  <c r="Y29" i="18"/>
  <c r="Y30" i="18" s="1"/>
  <c r="Y14" i="10"/>
  <c r="AG33" i="18"/>
  <c r="AG14" i="10"/>
  <c r="AA33" i="18"/>
  <c r="AA14" i="10"/>
  <c r="AE33" i="18"/>
  <c r="AE14" i="10"/>
  <c r="AB33" i="18"/>
  <c r="AB14" i="10"/>
  <c r="AL33" i="18"/>
  <c r="AL14" i="10"/>
  <c r="Y33" i="18"/>
  <c r="I28" i="18"/>
  <c r="AF28" i="18"/>
  <c r="AF14" i="10" s="1"/>
  <c r="AM28" i="18"/>
  <c r="AI28" i="18"/>
  <c r="AN28" i="18"/>
  <c r="AH28" i="18"/>
  <c r="AJ28" i="18"/>
  <c r="AR26" i="18"/>
  <c r="AQ28" i="18"/>
  <c r="AQ33" i="18" s="1"/>
  <c r="C61" i="10"/>
  <c r="I6" i="10"/>
  <c r="I4" i="20" s="1"/>
  <c r="F44" i="13"/>
  <c r="H5" i="10"/>
  <c r="H3" i="20" s="1"/>
  <c r="H5" i="8"/>
  <c r="E44" i="13"/>
  <c r="BD48" i="15"/>
  <c r="H48" i="15"/>
  <c r="AM47" i="15"/>
  <c r="AN47" i="15" s="1"/>
  <c r="AO47" i="15" s="1"/>
  <c r="AP47" i="15" s="1"/>
  <c r="J47" i="15"/>
  <c r="AZ26" i="15"/>
  <c r="AF12" i="15"/>
  <c r="AM34" i="15"/>
  <c r="AN34" i="15" s="1"/>
  <c r="AO34" i="15" s="1"/>
  <c r="AP34" i="15" s="1"/>
  <c r="I17" i="13"/>
  <c r="H44" i="14"/>
  <c r="H42" i="14"/>
  <c r="G44" i="14"/>
  <c r="G42" i="14"/>
  <c r="AN17" i="13"/>
  <c r="AO17" i="13" s="1"/>
  <c r="AP17" i="13" s="1"/>
  <c r="AQ17" i="13" s="1"/>
  <c r="K34" i="9"/>
  <c r="I10" i="14"/>
  <c r="Y14" i="14"/>
  <c r="G15" i="13"/>
  <c r="AB12" i="14"/>
  <c r="K34" i="14"/>
  <c r="BM26" i="13"/>
  <c r="H34" i="13"/>
  <c r="H12" i="13"/>
  <c r="AD47" i="13"/>
  <c r="G47" i="13" s="1"/>
  <c r="AD20" i="13"/>
  <c r="AD22" i="13"/>
  <c r="AD28" i="13" s="1"/>
  <c r="X12" i="10" s="1"/>
  <c r="G19" i="13"/>
  <c r="AD48" i="13"/>
  <c r="G48" i="13" s="1"/>
  <c r="AF14" i="13"/>
  <c r="AF10" i="13"/>
  <c r="AG8" i="13" s="1"/>
  <c r="AJ47" i="13"/>
  <c r="AI48" i="13"/>
  <c r="H48" i="13"/>
  <c r="AE19" i="13"/>
  <c r="AE15" i="13"/>
  <c r="AJ34" i="13"/>
  <c r="AK34" i="13" s="1"/>
  <c r="AL34" i="13" s="1"/>
  <c r="AM34" i="13" s="1"/>
  <c r="AJ12" i="13"/>
  <c r="AK12" i="13" s="1"/>
  <c r="AL12" i="13" s="1"/>
  <c r="AM12" i="13" s="1"/>
  <c r="AL34" i="9"/>
  <c r="AM34" i="9" s="1"/>
  <c r="AN34" i="9" s="1"/>
  <c r="AO34" i="9" s="1"/>
  <c r="AQ26" i="9"/>
  <c r="BA34" i="12"/>
  <c r="BB34" i="12" s="1"/>
  <c r="BC34" i="12" s="1"/>
  <c r="BD34" i="12" s="1"/>
  <c r="AX26" i="12"/>
  <c r="AM47" i="12"/>
  <c r="AS12" i="12"/>
  <c r="AT12" i="12" s="1"/>
  <c r="AU12" i="12" s="1"/>
  <c r="J12" i="9"/>
  <c r="X14" i="9"/>
  <c r="X19" i="9" s="1"/>
  <c r="H8" i="9"/>
  <c r="AH12" i="9"/>
  <c r="AI12" i="9" s="1"/>
  <c r="AJ12" i="9" s="1"/>
  <c r="AK12" i="9" s="1"/>
  <c r="X10" i="9"/>
  <c r="Q26" i="12"/>
  <c r="X30" i="19" l="1"/>
  <c r="J33" i="19"/>
  <c r="X35" i="19"/>
  <c r="X37" i="19" s="1"/>
  <c r="K33" i="19"/>
  <c r="Y29" i="19"/>
  <c r="Z27" i="10" s="1"/>
  <c r="I33" i="19"/>
  <c r="H33" i="19"/>
  <c r="D113" i="16"/>
  <c r="F58" i="16"/>
  <c r="F14" i="16" s="1"/>
  <c r="F21" i="20"/>
  <c r="D61" i="10"/>
  <c r="M43" i="10"/>
  <c r="M66" i="10" s="1"/>
  <c r="D43" i="10"/>
  <c r="G14" i="10"/>
  <c r="H14" i="10"/>
  <c r="M65" i="10"/>
  <c r="N65" i="10"/>
  <c r="N66" i="10"/>
  <c r="M62" i="10"/>
  <c r="M57" i="10"/>
  <c r="O62" i="10"/>
  <c r="O57" i="10"/>
  <c r="N62" i="10"/>
  <c r="N57" i="10"/>
  <c r="N45" i="10"/>
  <c r="U43" i="10"/>
  <c r="U66" i="10" s="1"/>
  <c r="U55" i="10"/>
  <c r="V43" i="10"/>
  <c r="V66" i="10" s="1"/>
  <c r="V55" i="10"/>
  <c r="O45" i="10"/>
  <c r="O65" i="10"/>
  <c r="M45" i="10"/>
  <c r="Q43" i="10"/>
  <c r="Q66" i="10" s="1"/>
  <c r="Q55" i="10"/>
  <c r="R43" i="10"/>
  <c r="R66" i="10" s="1"/>
  <c r="R55" i="10"/>
  <c r="W43" i="10"/>
  <c r="W66" i="10" s="1"/>
  <c r="W55" i="10"/>
  <c r="T43" i="10"/>
  <c r="T66" i="10" s="1"/>
  <c r="T55" i="10"/>
  <c r="P43" i="10"/>
  <c r="P66" i="10" s="1"/>
  <c r="P55" i="10"/>
  <c r="S43" i="10"/>
  <c r="S66" i="10" s="1"/>
  <c r="S55" i="10"/>
  <c r="F60" i="16"/>
  <c r="L48" i="15"/>
  <c r="J34" i="15"/>
  <c r="E61" i="10"/>
  <c r="AO33" i="19"/>
  <c r="AQ26" i="19"/>
  <c r="AP28" i="19"/>
  <c r="Z29" i="18"/>
  <c r="Z26" i="10" s="1"/>
  <c r="Y26" i="10"/>
  <c r="Y35" i="18"/>
  <c r="Y37" i="18" s="1"/>
  <c r="AN33" i="18"/>
  <c r="AN14" i="10"/>
  <c r="AI33" i="18"/>
  <c r="AI14" i="10"/>
  <c r="AJ33" i="18"/>
  <c r="AJ14" i="10"/>
  <c r="AM33" i="18"/>
  <c r="AM14" i="10"/>
  <c r="AH33" i="18"/>
  <c r="AH14" i="10"/>
  <c r="I33" i="18"/>
  <c r="AF33" i="18"/>
  <c r="J33" i="18" s="1"/>
  <c r="J28" i="18"/>
  <c r="K28" i="18"/>
  <c r="L28" i="18"/>
  <c r="AS26" i="18"/>
  <c r="AR28" i="18"/>
  <c r="C43" i="10"/>
  <c r="E43" i="10"/>
  <c r="E55" i="10"/>
  <c r="F33" i="10"/>
  <c r="I5" i="10"/>
  <c r="I3" i="20" s="1"/>
  <c r="I5" i="8"/>
  <c r="J6" i="10"/>
  <c r="J4" i="20" s="1"/>
  <c r="BE48" i="15"/>
  <c r="AQ47" i="15"/>
  <c r="AR47" i="15" s="1"/>
  <c r="AS47" i="15" s="1"/>
  <c r="AT47" i="15" s="1"/>
  <c r="BA26" i="15"/>
  <c r="AQ34" i="15"/>
  <c r="AR34" i="15" s="1"/>
  <c r="AS34" i="15" s="1"/>
  <c r="AT34" i="15" s="1"/>
  <c r="AG12" i="15"/>
  <c r="H12" i="15" s="1"/>
  <c r="J17" i="13"/>
  <c r="AR17" i="13"/>
  <c r="AS17" i="13" s="1"/>
  <c r="AT17" i="13" s="1"/>
  <c r="AU17" i="13" s="1"/>
  <c r="G28" i="13"/>
  <c r="AD29" i="13"/>
  <c r="Y14" i="9"/>
  <c r="Y19" i="9" s="1"/>
  <c r="Y22" i="9" s="1"/>
  <c r="Y28" i="9" s="1"/>
  <c r="Y15" i="14"/>
  <c r="I14" i="14"/>
  <c r="I15" i="14" s="1"/>
  <c r="Y19" i="14"/>
  <c r="AC12" i="14"/>
  <c r="BN26" i="13"/>
  <c r="I12" i="13"/>
  <c r="AJ48" i="13"/>
  <c r="G20" i="13"/>
  <c r="G22" i="13"/>
  <c r="AN34" i="13"/>
  <c r="AO34" i="13" s="1"/>
  <c r="AP34" i="13" s="1"/>
  <c r="AQ34" i="13" s="1"/>
  <c r="AK47" i="13"/>
  <c r="AN12" i="13"/>
  <c r="AO12" i="13" s="1"/>
  <c r="AP12" i="13" s="1"/>
  <c r="AQ12" i="13" s="1"/>
  <c r="AG14" i="13"/>
  <c r="AG10" i="13"/>
  <c r="AH8" i="13" s="1"/>
  <c r="AD33" i="13"/>
  <c r="G33" i="13" s="1"/>
  <c r="I34" i="13"/>
  <c r="AE38" i="13"/>
  <c r="AE39" i="13"/>
  <c r="AE22" i="13"/>
  <c r="AE28" i="13" s="1"/>
  <c r="AE20" i="13"/>
  <c r="AF19" i="13"/>
  <c r="AF15" i="13"/>
  <c r="X48" i="9"/>
  <c r="H48" i="9" s="1"/>
  <c r="H47" i="9"/>
  <c r="H19" i="9"/>
  <c r="H22" i="9" s="1"/>
  <c r="AP34" i="9"/>
  <c r="AQ34" i="9" s="1"/>
  <c r="AR34" i="9" s="1"/>
  <c r="AS34" i="9" s="1"/>
  <c r="L34" i="9"/>
  <c r="AR26" i="9"/>
  <c r="AS26" i="9" s="1"/>
  <c r="BE34" i="12"/>
  <c r="BF34" i="12" s="1"/>
  <c r="BG34" i="12" s="1"/>
  <c r="BH34" i="12" s="1"/>
  <c r="P34" i="12"/>
  <c r="O34" i="12"/>
  <c r="AY26" i="12"/>
  <c r="AN47" i="12"/>
  <c r="AV12" i="12"/>
  <c r="M12" i="12"/>
  <c r="X22" i="9"/>
  <c r="X20" i="9"/>
  <c r="H14" i="9"/>
  <c r="H15" i="9" s="1"/>
  <c r="X15" i="9"/>
  <c r="K12" i="9"/>
  <c r="AL12" i="9"/>
  <c r="AM12" i="9" s="1"/>
  <c r="AN12" i="9" s="1"/>
  <c r="AO12" i="9" s="1"/>
  <c r="H10" i="9"/>
  <c r="X41" i="19" l="1"/>
  <c r="X42" i="19" s="1"/>
  <c r="Y30" i="19"/>
  <c r="X43" i="19"/>
  <c r="Y35" i="19"/>
  <c r="Y37" i="19" s="1"/>
  <c r="Z29" i="19"/>
  <c r="AA27" i="10" s="1"/>
  <c r="F54" i="10"/>
  <c r="F7" i="20"/>
  <c r="C65" i="10"/>
  <c r="C66" i="10"/>
  <c r="G48" i="16"/>
  <c r="E45" i="10"/>
  <c r="E47" i="10" s="1"/>
  <c r="E66" i="10"/>
  <c r="D45" i="10"/>
  <c r="D52" i="10" s="1"/>
  <c r="D74" i="10" s="1"/>
  <c r="D76" i="10" s="1"/>
  <c r="D66" i="10"/>
  <c r="D55" i="10"/>
  <c r="D62" i="10" s="1"/>
  <c r="I14" i="10"/>
  <c r="J14" i="10"/>
  <c r="P62" i="10"/>
  <c r="P57" i="10"/>
  <c r="Q62" i="10"/>
  <c r="Q57" i="10"/>
  <c r="V62" i="10"/>
  <c r="V57" i="10"/>
  <c r="S62" i="10"/>
  <c r="S57" i="10"/>
  <c r="T62" i="10"/>
  <c r="T57" i="10"/>
  <c r="R62" i="10"/>
  <c r="R57" i="10"/>
  <c r="U62" i="10"/>
  <c r="U57" i="10"/>
  <c r="W62" i="10"/>
  <c r="W57" i="10"/>
  <c r="O47" i="10"/>
  <c r="O49" i="10" s="1"/>
  <c r="O51" i="10" s="1"/>
  <c r="O70" i="10" s="1"/>
  <c r="O52" i="10"/>
  <c r="O74" i="10" s="1"/>
  <c r="O76" i="10" s="1"/>
  <c r="N47" i="10"/>
  <c r="N49" i="10" s="1"/>
  <c r="N51" i="10" s="1"/>
  <c r="N70" i="10" s="1"/>
  <c r="N52" i="10"/>
  <c r="N74" i="10" s="1"/>
  <c r="N76" i="10" s="1"/>
  <c r="S45" i="10"/>
  <c r="S65" i="10"/>
  <c r="T45" i="10"/>
  <c r="T65" i="10"/>
  <c r="R45" i="10"/>
  <c r="R65" i="10"/>
  <c r="M47" i="10"/>
  <c r="M49" i="10" s="1"/>
  <c r="M51" i="10" s="1"/>
  <c r="M70" i="10" s="1"/>
  <c r="M52" i="10"/>
  <c r="M74" i="10" s="1"/>
  <c r="M76" i="10" s="1"/>
  <c r="V45" i="10"/>
  <c r="V65" i="10"/>
  <c r="P45" i="10"/>
  <c r="P65" i="10"/>
  <c r="W45" i="10"/>
  <c r="W65" i="10"/>
  <c r="Q45" i="10"/>
  <c r="Q65" i="10"/>
  <c r="U45" i="10"/>
  <c r="U65" i="10"/>
  <c r="Y12" i="10"/>
  <c r="K34" i="15"/>
  <c r="AT34" i="9"/>
  <c r="AU34" i="9" s="1"/>
  <c r="AV34" i="9" s="1"/>
  <c r="I19" i="14"/>
  <c r="Y20" i="14"/>
  <c r="Z35" i="18"/>
  <c r="Z43" i="18" s="1"/>
  <c r="Z30" i="18"/>
  <c r="AA29" i="18"/>
  <c r="AA26" i="10" s="1"/>
  <c r="AR26" i="19"/>
  <c r="AQ28" i="19"/>
  <c r="AP33" i="19"/>
  <c r="Y43" i="18"/>
  <c r="L33" i="18"/>
  <c r="K33" i="18"/>
  <c r="M28" i="18"/>
  <c r="AR33" i="18"/>
  <c r="M33" i="18" s="1"/>
  <c r="AT26" i="18"/>
  <c r="AS28" i="18"/>
  <c r="AS33" i="18" s="1"/>
  <c r="C62" i="10"/>
  <c r="C57" i="10"/>
  <c r="E62" i="10"/>
  <c r="E57" i="10"/>
  <c r="E65" i="10"/>
  <c r="D65" i="10"/>
  <c r="C45" i="10"/>
  <c r="C52" i="10" s="1"/>
  <c r="C74" i="10" s="1"/>
  <c r="C76" i="10" s="1"/>
  <c r="J5" i="10"/>
  <c r="J3" i="20" s="1"/>
  <c r="J5" i="8"/>
  <c r="G29" i="13"/>
  <c r="X24" i="10"/>
  <c r="Y33" i="9"/>
  <c r="Y9" i="10"/>
  <c r="BF48" i="15"/>
  <c r="N48" i="15"/>
  <c r="AU47" i="15"/>
  <c r="AV47" i="15" s="1"/>
  <c r="AW47" i="15" s="1"/>
  <c r="AX47" i="15" s="1"/>
  <c r="K47" i="15"/>
  <c r="BB26" i="15"/>
  <c r="AU34" i="15"/>
  <c r="AV34" i="15" s="1"/>
  <c r="AW34" i="15" s="1"/>
  <c r="AX34" i="15" s="1"/>
  <c r="AH12" i="15"/>
  <c r="K17" i="13"/>
  <c r="AV17" i="13"/>
  <c r="AW17" i="13" s="1"/>
  <c r="AX17" i="13" s="1"/>
  <c r="AY17" i="13" s="1"/>
  <c r="AE29" i="13"/>
  <c r="AD30" i="13"/>
  <c r="Y10" i="9"/>
  <c r="Y15" i="9"/>
  <c r="Y38" i="9"/>
  <c r="Y20" i="9"/>
  <c r="Y39" i="9"/>
  <c r="AT26" i="9"/>
  <c r="M34" i="9"/>
  <c r="Z14" i="14"/>
  <c r="Z19" i="14" s="1"/>
  <c r="Z10" i="14"/>
  <c r="AA8" i="14" s="1"/>
  <c r="Z14" i="9"/>
  <c r="Z19" i="9" s="1"/>
  <c r="Y48" i="14"/>
  <c r="Y22" i="14"/>
  <c r="Y28" i="14" s="1"/>
  <c r="Y47" i="14"/>
  <c r="AD12" i="14"/>
  <c r="J12" i="14"/>
  <c r="H8" i="13"/>
  <c r="H10" i="13" s="1"/>
  <c r="J34" i="13"/>
  <c r="J12" i="13"/>
  <c r="AE40" i="13"/>
  <c r="AE33" i="13"/>
  <c r="AR12" i="13"/>
  <c r="AS12" i="13" s="1"/>
  <c r="AT12" i="13" s="1"/>
  <c r="AU12" i="13" s="1"/>
  <c r="AR34" i="13"/>
  <c r="AS34" i="13" s="1"/>
  <c r="AT34" i="13" s="1"/>
  <c r="AU34" i="13" s="1"/>
  <c r="AK48" i="13"/>
  <c r="AF22" i="13"/>
  <c r="AF28" i="13" s="1"/>
  <c r="AF38" i="13"/>
  <c r="AF20" i="13"/>
  <c r="AF39" i="13"/>
  <c r="AD35" i="13"/>
  <c r="AG15" i="13"/>
  <c r="AG19" i="13"/>
  <c r="AL47" i="13"/>
  <c r="I47" i="13" s="1"/>
  <c r="BI34" i="12"/>
  <c r="BJ34" i="12" s="1"/>
  <c r="BK34" i="12" s="1"/>
  <c r="AZ26" i="12"/>
  <c r="AO47" i="12"/>
  <c r="AP47" i="12" s="1"/>
  <c r="AQ47" i="12" s="1"/>
  <c r="AR47" i="12" s="1"/>
  <c r="AW12" i="12"/>
  <c r="AX12" i="12" s="1"/>
  <c r="AY12" i="12" s="1"/>
  <c r="AZ12" i="12" s="1"/>
  <c r="X28" i="9"/>
  <c r="X9" i="10" s="1"/>
  <c r="L12" i="9"/>
  <c r="AP12" i="9"/>
  <c r="AQ12" i="9" s="1"/>
  <c r="AR12" i="9" s="1"/>
  <c r="AS12" i="9" s="1"/>
  <c r="AA29" i="19" l="1"/>
  <c r="AA30" i="19" s="1"/>
  <c r="X44" i="19"/>
  <c r="Y43" i="19"/>
  <c r="Z30" i="19"/>
  <c r="Z35" i="19"/>
  <c r="Z37" i="19" s="1"/>
  <c r="Y41" i="19"/>
  <c r="Y42" i="19" s="1"/>
  <c r="D57" i="10"/>
  <c r="E52" i="10"/>
  <c r="E74" i="10" s="1"/>
  <c r="E76" i="10" s="1"/>
  <c r="D47" i="10"/>
  <c r="D49" i="10" s="1"/>
  <c r="M79" i="10"/>
  <c r="M72" i="10"/>
  <c r="N72" i="10"/>
  <c r="N79" i="10"/>
  <c r="O79" i="10"/>
  <c r="O72" i="10"/>
  <c r="Q47" i="10"/>
  <c r="Q49" i="10" s="1"/>
  <c r="Q51" i="10" s="1"/>
  <c r="Q70" i="10" s="1"/>
  <c r="Q52" i="10"/>
  <c r="Q74" i="10" s="1"/>
  <c r="Q76" i="10" s="1"/>
  <c r="P47" i="10"/>
  <c r="P49" i="10" s="1"/>
  <c r="P51" i="10" s="1"/>
  <c r="P70" i="10" s="1"/>
  <c r="P52" i="10"/>
  <c r="P74" i="10" s="1"/>
  <c r="P76" i="10" s="1"/>
  <c r="T47" i="10"/>
  <c r="T49" i="10" s="1"/>
  <c r="T51" i="10" s="1"/>
  <c r="T70" i="10" s="1"/>
  <c r="T52" i="10"/>
  <c r="T74" i="10" s="1"/>
  <c r="T76" i="10" s="1"/>
  <c r="U47" i="10"/>
  <c r="U49" i="10" s="1"/>
  <c r="U51" i="10" s="1"/>
  <c r="U70" i="10" s="1"/>
  <c r="U52" i="10"/>
  <c r="U74" i="10" s="1"/>
  <c r="U76" i="10" s="1"/>
  <c r="W47" i="10"/>
  <c r="W49" i="10" s="1"/>
  <c r="W51" i="10" s="1"/>
  <c r="W70" i="10" s="1"/>
  <c r="W52" i="10"/>
  <c r="W74" i="10" s="1"/>
  <c r="W76" i="10" s="1"/>
  <c r="V47" i="10"/>
  <c r="V49" i="10" s="1"/>
  <c r="V51" i="10" s="1"/>
  <c r="V70" i="10" s="1"/>
  <c r="V52" i="10"/>
  <c r="V74" i="10" s="1"/>
  <c r="V76" i="10" s="1"/>
  <c r="R47" i="10"/>
  <c r="R49" i="10" s="1"/>
  <c r="R51" i="10" s="1"/>
  <c r="R70" i="10" s="1"/>
  <c r="R52" i="10"/>
  <c r="R74" i="10" s="1"/>
  <c r="R76" i="10" s="1"/>
  <c r="S47" i="10"/>
  <c r="S49" i="10" s="1"/>
  <c r="S51" i="10" s="1"/>
  <c r="S70" i="10" s="1"/>
  <c r="S52" i="10"/>
  <c r="S74" i="10" s="1"/>
  <c r="S76" i="10" s="1"/>
  <c r="L28" i="19"/>
  <c r="Q34" i="12"/>
  <c r="Z12" i="10"/>
  <c r="AY34" i="15"/>
  <c r="AZ34" i="15" s="1"/>
  <c r="BA34" i="15" s="1"/>
  <c r="BB34" i="15" s="1"/>
  <c r="M34" i="15"/>
  <c r="L34" i="15"/>
  <c r="AT12" i="9"/>
  <c r="AU12" i="9" s="1"/>
  <c r="AV12" i="9" s="1"/>
  <c r="N12" i="9"/>
  <c r="N34" i="9"/>
  <c r="X11" i="10"/>
  <c r="I28" i="14"/>
  <c r="E49" i="10"/>
  <c r="C47" i="10"/>
  <c r="AA30" i="18"/>
  <c r="Z37" i="18"/>
  <c r="AB29" i="18"/>
  <c r="I29" i="18" s="1"/>
  <c r="AA35" i="18"/>
  <c r="AA43" i="18" s="1"/>
  <c r="AS26" i="19"/>
  <c r="AR28" i="19"/>
  <c r="AQ33" i="19"/>
  <c r="L33" i="19" s="1"/>
  <c r="AU26" i="18"/>
  <c r="AT28" i="18"/>
  <c r="AT33" i="18" s="1"/>
  <c r="K5" i="8"/>
  <c r="AE30" i="13"/>
  <c r="Y24" i="10"/>
  <c r="L17" i="13"/>
  <c r="BG48" i="15"/>
  <c r="AY47" i="15"/>
  <c r="L47" i="15"/>
  <c r="AS47" i="12"/>
  <c r="AT47" i="12" s="1"/>
  <c r="AU47" i="12" s="1"/>
  <c r="AV47" i="12" s="1"/>
  <c r="BC26" i="15"/>
  <c r="AI12" i="15"/>
  <c r="G30" i="13"/>
  <c r="AZ17" i="13"/>
  <c r="BA17" i="13" s="1"/>
  <c r="BB17" i="13" s="1"/>
  <c r="BC17" i="13" s="1"/>
  <c r="AA14" i="14"/>
  <c r="AA19" i="14" s="1"/>
  <c r="AA22" i="14" s="1"/>
  <c r="AA28" i="14" s="1"/>
  <c r="Y40" i="9"/>
  <c r="AU26" i="9"/>
  <c r="Z10" i="9"/>
  <c r="AA10" i="9" s="1"/>
  <c r="Z20" i="14"/>
  <c r="Z38" i="14"/>
  <c r="Z22" i="14"/>
  <c r="Z28" i="14" s="1"/>
  <c r="Z39" i="14"/>
  <c r="AA10" i="14"/>
  <c r="Z15" i="14"/>
  <c r="Y33" i="14"/>
  <c r="I20" i="14"/>
  <c r="I22" i="14"/>
  <c r="AE12" i="14"/>
  <c r="AH14" i="13"/>
  <c r="H14" i="13" s="1"/>
  <c r="H15" i="13" s="1"/>
  <c r="AH10" i="13"/>
  <c r="K34" i="13"/>
  <c r="AG20" i="13"/>
  <c r="AG22" i="13"/>
  <c r="AG28" i="13" s="1"/>
  <c r="AG38" i="13"/>
  <c r="AG39" i="13"/>
  <c r="AF33" i="13"/>
  <c r="AL48" i="13"/>
  <c r="I48" i="13" s="1"/>
  <c r="G32" i="13"/>
  <c r="AF40" i="13"/>
  <c r="AV34" i="13"/>
  <c r="AW34" i="13" s="1"/>
  <c r="AX34" i="13" s="1"/>
  <c r="AY34" i="13" s="1"/>
  <c r="AE35" i="13"/>
  <c r="AV12" i="13"/>
  <c r="AW12" i="13" s="1"/>
  <c r="AX12" i="13" s="1"/>
  <c r="AY12" i="13" s="1"/>
  <c r="K12" i="13"/>
  <c r="AM47" i="13"/>
  <c r="AD43" i="13"/>
  <c r="AD41" i="13"/>
  <c r="AF29" i="13"/>
  <c r="Z24" i="10" s="1"/>
  <c r="Z39" i="9"/>
  <c r="Z38" i="9"/>
  <c r="BA26" i="12"/>
  <c r="AE10" i="12"/>
  <c r="AF8" i="12" s="1"/>
  <c r="AF14" i="12" s="1"/>
  <c r="I8" i="12"/>
  <c r="I10" i="12" s="1"/>
  <c r="BA12" i="12"/>
  <c r="BB12" i="12" s="1"/>
  <c r="BC12" i="12" s="1"/>
  <c r="BD12" i="12" s="1"/>
  <c r="N12" i="12"/>
  <c r="X33" i="9"/>
  <c r="Y29" i="9"/>
  <c r="Y21" i="10" s="1"/>
  <c r="Z20" i="9"/>
  <c r="Z22" i="9"/>
  <c r="Z28" i="9" s="1"/>
  <c r="H28" i="9"/>
  <c r="Z15" i="9"/>
  <c r="M12" i="9"/>
  <c r="H20" i="9"/>
  <c r="AB29" i="19" l="1"/>
  <c r="AC27" i="10" s="1"/>
  <c r="AA35" i="19"/>
  <c r="AA41" i="19" s="1"/>
  <c r="AB27" i="10"/>
  <c r="G27" i="10" s="1"/>
  <c r="H29" i="19"/>
  <c r="H30" i="19" s="1"/>
  <c r="Z43" i="19"/>
  <c r="Y44" i="19"/>
  <c r="Z41" i="19"/>
  <c r="Z44" i="19" s="1"/>
  <c r="E51" i="10"/>
  <c r="E70" i="10" s="1"/>
  <c r="E79" i="10" s="1"/>
  <c r="E79" i="16"/>
  <c r="D51" i="10"/>
  <c r="D70" i="10" s="1"/>
  <c r="D72" i="10" s="1"/>
  <c r="D79" i="16"/>
  <c r="S79" i="10"/>
  <c r="S72" i="10"/>
  <c r="V72" i="10"/>
  <c r="V79" i="10"/>
  <c r="U72" i="10"/>
  <c r="U79" i="10"/>
  <c r="P79" i="10"/>
  <c r="P72" i="10"/>
  <c r="R72" i="10"/>
  <c r="R79" i="10"/>
  <c r="W79" i="10"/>
  <c r="W72" i="10"/>
  <c r="T79" i="10"/>
  <c r="T72" i="10"/>
  <c r="Q72" i="10"/>
  <c r="Q79" i="10"/>
  <c r="AE37" i="13"/>
  <c r="AA12" i="10"/>
  <c r="Z9" i="10"/>
  <c r="M17" i="13"/>
  <c r="BC34" i="15"/>
  <c r="BD34" i="15" s="1"/>
  <c r="BE34" i="15" s="1"/>
  <c r="BF34" i="15" s="1"/>
  <c r="N34" i="15"/>
  <c r="AB8" i="14"/>
  <c r="AB14" i="14" s="1"/>
  <c r="AB19" i="14" s="1"/>
  <c r="I33" i="14"/>
  <c r="I35" i="14" s="1"/>
  <c r="I41" i="14" s="1"/>
  <c r="I42" i="14" s="1"/>
  <c r="C49" i="10"/>
  <c r="AB26" i="10"/>
  <c r="G26" i="10" s="1"/>
  <c r="AB30" i="18"/>
  <c r="AB35" i="18"/>
  <c r="AB37" i="18" s="1"/>
  <c r="AC29" i="18"/>
  <c r="AC30" i="18" s="1"/>
  <c r="AA37" i="18"/>
  <c r="AR33" i="19"/>
  <c r="AT26" i="19"/>
  <c r="AS28" i="19"/>
  <c r="AV26" i="18"/>
  <c r="AU28" i="18"/>
  <c r="AU33" i="18" s="1"/>
  <c r="AA33" i="14"/>
  <c r="Z11" i="10"/>
  <c r="Z29" i="14"/>
  <c r="Y11" i="10"/>
  <c r="AH19" i="13"/>
  <c r="BH48" i="15"/>
  <c r="O48" i="15" s="1"/>
  <c r="AZ47" i="15"/>
  <c r="AW47" i="12"/>
  <c r="AX47" i="12" s="1"/>
  <c r="AY47" i="12" s="1"/>
  <c r="AZ47" i="12" s="1"/>
  <c r="BD26" i="15"/>
  <c r="AJ12" i="15"/>
  <c r="Z33" i="14"/>
  <c r="BD17" i="13"/>
  <c r="BE17" i="13" s="1"/>
  <c r="BF17" i="13" s="1"/>
  <c r="BG17" i="13" s="1"/>
  <c r="AA15" i="14"/>
  <c r="AA38" i="14"/>
  <c r="AA39" i="14"/>
  <c r="AA20" i="14"/>
  <c r="AB20" i="14" s="1"/>
  <c r="AI8" i="13"/>
  <c r="AI14" i="13" s="1"/>
  <c r="AH15" i="13"/>
  <c r="AA14" i="9"/>
  <c r="AA15" i="9" s="1"/>
  <c r="AV26" i="9"/>
  <c r="Z40" i="14"/>
  <c r="Y35" i="14"/>
  <c r="AF12" i="14"/>
  <c r="L12" i="13"/>
  <c r="L34" i="13"/>
  <c r="AD44" i="13"/>
  <c r="AD42" i="13"/>
  <c r="AG40" i="13"/>
  <c r="AN47" i="13"/>
  <c r="AZ12" i="13"/>
  <c r="BA12" i="13" s="1"/>
  <c r="BB12" i="13" s="1"/>
  <c r="BC12" i="13" s="1"/>
  <c r="AZ34" i="13"/>
  <c r="BA34" i="13" s="1"/>
  <c r="BB34" i="13" s="1"/>
  <c r="BC34" i="13" s="1"/>
  <c r="AG33" i="13"/>
  <c r="AF35" i="13"/>
  <c r="AF37" i="13" s="1"/>
  <c r="AG29" i="13"/>
  <c r="AA24" i="10" s="1"/>
  <c r="AF30" i="13"/>
  <c r="G41" i="13"/>
  <c r="G43" i="13"/>
  <c r="AH20" i="13"/>
  <c r="AH22" i="13"/>
  <c r="AH28" i="13" s="1"/>
  <c r="AH38" i="13"/>
  <c r="H38" i="13" s="1"/>
  <c r="AH39" i="13"/>
  <c r="H39" i="13" s="1"/>
  <c r="AE43" i="13"/>
  <c r="AE41" i="13"/>
  <c r="H19" i="13"/>
  <c r="Z40" i="9"/>
  <c r="BB26" i="12"/>
  <c r="O12" i="12"/>
  <c r="BE12" i="12"/>
  <c r="BF12" i="12" s="1"/>
  <c r="BG12" i="12" s="1"/>
  <c r="BH12" i="12" s="1"/>
  <c r="AF19" i="12"/>
  <c r="AF10" i="12"/>
  <c r="AE14" i="12"/>
  <c r="Y30" i="9"/>
  <c r="Y35" i="9"/>
  <c r="Y37" i="9" s="1"/>
  <c r="Z33" i="9"/>
  <c r="Z29" i="9"/>
  <c r="Z21" i="10" s="1"/>
  <c r="H33" i="9"/>
  <c r="X35" i="9"/>
  <c r="AB10" i="9"/>
  <c r="AC8" i="9" s="1"/>
  <c r="AB14" i="9"/>
  <c r="I8" i="9"/>
  <c r="I10" i="9" s="1"/>
  <c r="AA37" i="19" l="1"/>
  <c r="H37" i="19" s="1"/>
  <c r="AC29" i="19"/>
  <c r="AD27" i="10" s="1"/>
  <c r="AB35" i="19"/>
  <c r="AB37" i="19" s="1"/>
  <c r="AB30" i="19"/>
  <c r="AA43" i="19"/>
  <c r="H35" i="19"/>
  <c r="H43" i="19" s="1"/>
  <c r="Z42" i="19"/>
  <c r="C51" i="10"/>
  <c r="C79" i="16"/>
  <c r="E72" i="10"/>
  <c r="D79" i="10"/>
  <c r="I37" i="14"/>
  <c r="AB12" i="10"/>
  <c r="G12" i="10" s="1"/>
  <c r="AB15" i="14"/>
  <c r="BG34" i="15"/>
  <c r="BH34" i="15" s="1"/>
  <c r="H41" i="19"/>
  <c r="H44" i="19" s="1"/>
  <c r="I43" i="14"/>
  <c r="C70" i="10"/>
  <c r="I44" i="14"/>
  <c r="AB38" i="14"/>
  <c r="AB39" i="14"/>
  <c r="AB22" i="14"/>
  <c r="AB28" i="14" s="1"/>
  <c r="AB10" i="14"/>
  <c r="AC8" i="14" s="1"/>
  <c r="AC14" i="14" s="1"/>
  <c r="I35" i="18"/>
  <c r="I43" i="18" s="1"/>
  <c r="AC26" i="10"/>
  <c r="AC35" i="18"/>
  <c r="AC41" i="18" s="1"/>
  <c r="AC42" i="18" s="1"/>
  <c r="AD29" i="18"/>
  <c r="AD26" i="10" s="1"/>
  <c r="I37" i="18"/>
  <c r="AB43" i="18"/>
  <c r="AC30" i="19"/>
  <c r="AD29" i="19"/>
  <c r="AE27" i="10" s="1"/>
  <c r="AC35" i="19"/>
  <c r="AC37" i="19" s="1"/>
  <c r="AS33" i="19"/>
  <c r="AA44" i="19"/>
  <c r="AA42" i="19"/>
  <c r="H42" i="19" s="1"/>
  <c r="AU26" i="19"/>
  <c r="AT28" i="19"/>
  <c r="AW26" i="18"/>
  <c r="AV28" i="18"/>
  <c r="Z30" i="14"/>
  <c r="Y23" i="10"/>
  <c r="G44" i="13"/>
  <c r="AA29" i="14"/>
  <c r="BA47" i="15"/>
  <c r="M47" i="15" s="1"/>
  <c r="H40" i="13"/>
  <c r="G53" i="16" s="1"/>
  <c r="BA47" i="12"/>
  <c r="BB47" i="12" s="1"/>
  <c r="BC47" i="12" s="1"/>
  <c r="BD47" i="12" s="1"/>
  <c r="BE26" i="15"/>
  <c r="AK12" i="15"/>
  <c r="I12" i="15" s="1"/>
  <c r="AI10" i="13"/>
  <c r="AJ8" i="13" s="1"/>
  <c r="AJ10" i="13" s="1"/>
  <c r="AK8" i="13" s="1"/>
  <c r="N17" i="13"/>
  <c r="Z35" i="14"/>
  <c r="Z37" i="14" s="1"/>
  <c r="BH17" i="13"/>
  <c r="BI17" i="13" s="1"/>
  <c r="BJ17" i="13" s="1"/>
  <c r="BK17" i="13" s="1"/>
  <c r="J8" i="14"/>
  <c r="J10" i="14" s="1"/>
  <c r="AC10" i="14"/>
  <c r="AD8" i="14" s="1"/>
  <c r="AA40" i="14"/>
  <c r="AI15" i="13"/>
  <c r="AI19" i="13"/>
  <c r="AI22" i="13" s="1"/>
  <c r="AI28" i="13" s="1"/>
  <c r="AG8" i="12"/>
  <c r="AG10" i="12" s="1"/>
  <c r="P12" i="12"/>
  <c r="AC14" i="9"/>
  <c r="Y43" i="14"/>
  <c r="Y41" i="14"/>
  <c r="Y44" i="14" s="1"/>
  <c r="AG12" i="14"/>
  <c r="M12" i="13"/>
  <c r="M34" i="13"/>
  <c r="AG30" i="13"/>
  <c r="AH29" i="13"/>
  <c r="AG35" i="13"/>
  <c r="AG37" i="13" s="1"/>
  <c r="G42" i="13"/>
  <c r="BD12" i="13"/>
  <c r="BE12" i="13" s="1"/>
  <c r="BF12" i="13" s="1"/>
  <c r="BG12" i="13" s="1"/>
  <c r="H22" i="13"/>
  <c r="H20" i="13"/>
  <c r="AO47" i="13"/>
  <c r="AN48" i="13"/>
  <c r="AF41" i="13"/>
  <c r="AF43" i="13"/>
  <c r="AH40" i="13"/>
  <c r="AI39" i="13"/>
  <c r="AE44" i="13"/>
  <c r="AE42" i="13"/>
  <c r="AH33" i="13"/>
  <c r="H33" i="13" s="1"/>
  <c r="H28" i="13"/>
  <c r="BD34" i="13"/>
  <c r="BE34" i="13" s="1"/>
  <c r="BF34" i="13" s="1"/>
  <c r="BG34" i="13" s="1"/>
  <c r="AF38" i="12"/>
  <c r="AF39" i="12"/>
  <c r="BC26" i="12"/>
  <c r="AF22" i="12"/>
  <c r="AF28" i="12" s="1"/>
  <c r="AE15" i="12"/>
  <c r="AF15" i="12" s="1"/>
  <c r="I14" i="12"/>
  <c r="BI12" i="12"/>
  <c r="BJ12" i="12" s="1"/>
  <c r="BK12" i="12" s="1"/>
  <c r="AG14" i="12"/>
  <c r="AE19" i="12"/>
  <c r="Y41" i="9"/>
  <c r="Y43" i="9"/>
  <c r="Z30" i="9"/>
  <c r="Z35" i="9"/>
  <c r="Z37" i="9" s="1"/>
  <c r="H35" i="9"/>
  <c r="H43" i="9" s="1"/>
  <c r="X41" i="9"/>
  <c r="X43" i="9"/>
  <c r="H37" i="9"/>
  <c r="AB15" i="9"/>
  <c r="I14" i="9"/>
  <c r="I15" i="9" s="1"/>
  <c r="AB43" i="19" l="1"/>
  <c r="AB41" i="19"/>
  <c r="AB44" i="19" s="1"/>
  <c r="C72" i="10"/>
  <c r="C79" i="10"/>
  <c r="Z41" i="14"/>
  <c r="Z44" i="14" s="1"/>
  <c r="Y10" i="10"/>
  <c r="AC12" i="10"/>
  <c r="AI20" i="13"/>
  <c r="O34" i="15"/>
  <c r="AA11" i="10"/>
  <c r="AB33" i="14"/>
  <c r="AB40" i="14"/>
  <c r="AC44" i="18"/>
  <c r="AC43" i="18"/>
  <c r="AC37" i="18"/>
  <c r="AD30" i="18"/>
  <c r="AE29" i="18"/>
  <c r="AE26" i="10" s="1"/>
  <c r="AD35" i="18"/>
  <c r="AD37" i="18" s="1"/>
  <c r="AT33" i="19"/>
  <c r="AV26" i="19"/>
  <c r="AU28" i="19"/>
  <c r="AB42" i="19"/>
  <c r="AC43" i="19"/>
  <c r="AC41" i="19"/>
  <c r="AE29" i="19"/>
  <c r="AF27" i="10" s="1"/>
  <c r="H27" i="10" s="1"/>
  <c r="AD35" i="19"/>
  <c r="AD37" i="19" s="1"/>
  <c r="AD30" i="19"/>
  <c r="N28" i="18"/>
  <c r="AV33" i="18"/>
  <c r="N33" i="18" s="1"/>
  <c r="I30" i="18"/>
  <c r="AX26" i="18"/>
  <c r="AW28" i="18"/>
  <c r="H29" i="13"/>
  <c r="AB24" i="10"/>
  <c r="G24" i="10" s="1"/>
  <c r="AA30" i="14"/>
  <c r="Z23" i="10"/>
  <c r="AB29" i="14"/>
  <c r="AA35" i="14"/>
  <c r="AA37" i="14" s="1"/>
  <c r="BB47" i="15"/>
  <c r="BE47" i="12"/>
  <c r="BF47" i="12" s="1"/>
  <c r="BG47" i="12" s="1"/>
  <c r="BH47" i="12" s="1"/>
  <c r="BF26" i="15"/>
  <c r="AL12" i="15"/>
  <c r="O17" i="13"/>
  <c r="AI38" i="13"/>
  <c r="AI40" i="13" s="1"/>
  <c r="Z43" i="14"/>
  <c r="BL17" i="13"/>
  <c r="BM17" i="13" s="1"/>
  <c r="BN17" i="13" s="1"/>
  <c r="AC19" i="14"/>
  <c r="J19" i="14" s="1"/>
  <c r="J14" i="14"/>
  <c r="J15" i="14" s="1"/>
  <c r="AC15" i="14"/>
  <c r="AK10" i="13"/>
  <c r="AL8" i="13" s="1"/>
  <c r="I8" i="13" s="1"/>
  <c r="I10" i="13" s="1"/>
  <c r="AK14" i="13"/>
  <c r="AK19" i="13" s="1"/>
  <c r="AJ14" i="13"/>
  <c r="AJ15" i="13" s="1"/>
  <c r="AH8" i="12"/>
  <c r="AH10" i="12" s="1"/>
  <c r="AI8" i="12" s="1"/>
  <c r="AC10" i="9"/>
  <c r="AD8" i="9" s="1"/>
  <c r="AD14" i="14"/>
  <c r="AD10" i="14"/>
  <c r="AE8" i="14" s="1"/>
  <c r="Y42" i="14"/>
  <c r="K12" i="14"/>
  <c r="AF40" i="12"/>
  <c r="N34" i="13"/>
  <c r="N12" i="13"/>
  <c r="AO48" i="13"/>
  <c r="AP47" i="13"/>
  <c r="J47" i="13" s="1"/>
  <c r="H32" i="13"/>
  <c r="AG41" i="13"/>
  <c r="AG43" i="13"/>
  <c r="AI33" i="13"/>
  <c r="BH12" i="13"/>
  <c r="BI12" i="13" s="1"/>
  <c r="BJ12" i="13" s="1"/>
  <c r="BK12" i="13" s="1"/>
  <c r="AI29" i="13"/>
  <c r="AC24" i="10" s="1"/>
  <c r="AH35" i="13"/>
  <c r="AH37" i="13" s="1"/>
  <c r="H37" i="13" s="1"/>
  <c r="AH30" i="13"/>
  <c r="BH34" i="13"/>
  <c r="BI34" i="13" s="1"/>
  <c r="BJ34" i="13" s="1"/>
  <c r="BK34" i="13" s="1"/>
  <c r="AF44" i="13"/>
  <c r="AF42" i="13"/>
  <c r="AE48" i="12"/>
  <c r="AE47" i="12"/>
  <c r="BD26" i="12"/>
  <c r="AF33" i="12"/>
  <c r="AG19" i="12"/>
  <c r="AG22" i="12" s="1"/>
  <c r="AG28" i="12" s="1"/>
  <c r="AE20" i="12"/>
  <c r="AF20" i="12" s="1"/>
  <c r="I19" i="12"/>
  <c r="Q12" i="12"/>
  <c r="AG15" i="12"/>
  <c r="AI10" i="12"/>
  <c r="AJ8" i="12" s="1"/>
  <c r="AE22" i="12"/>
  <c r="Z41" i="9"/>
  <c r="Z43" i="9"/>
  <c r="Y42" i="9"/>
  <c r="Y44" i="9"/>
  <c r="X42" i="9"/>
  <c r="H42" i="9" s="1"/>
  <c r="X44" i="9"/>
  <c r="H41" i="9"/>
  <c r="AC15" i="9"/>
  <c r="Z42" i="14" l="1"/>
  <c r="AA41" i="14"/>
  <c r="AA42" i="14" s="1"/>
  <c r="H35" i="13"/>
  <c r="H43" i="13" s="1"/>
  <c r="M28" i="19"/>
  <c r="I29" i="19"/>
  <c r="I30" i="19" s="1"/>
  <c r="AE28" i="12"/>
  <c r="AK15" i="13"/>
  <c r="AE35" i="18"/>
  <c r="AE43" i="18" s="1"/>
  <c r="AE30" i="18"/>
  <c r="AF29" i="18"/>
  <c r="AF26" i="10" s="1"/>
  <c r="H26" i="10" s="1"/>
  <c r="AD43" i="18"/>
  <c r="AD41" i="18"/>
  <c r="AD44" i="18" s="1"/>
  <c r="AU33" i="19"/>
  <c r="M33" i="19" s="1"/>
  <c r="AW26" i="19"/>
  <c r="AV28" i="19"/>
  <c r="AD43" i="19"/>
  <c r="AD41" i="19"/>
  <c r="AC42" i="19"/>
  <c r="AC44" i="19"/>
  <c r="AE35" i="19"/>
  <c r="AF29" i="19"/>
  <c r="AG27" i="10" s="1"/>
  <c r="AE30" i="19"/>
  <c r="AW33" i="18"/>
  <c r="AY26" i="18"/>
  <c r="AX28" i="18"/>
  <c r="AX33" i="18" s="1"/>
  <c r="H30" i="13"/>
  <c r="AB30" i="14"/>
  <c r="AA23" i="10"/>
  <c r="H44" i="9"/>
  <c r="AA43" i="14"/>
  <c r="AB35" i="14"/>
  <c r="AB37" i="14" s="1"/>
  <c r="AG33" i="12"/>
  <c r="Z10" i="10"/>
  <c r="BL34" i="13"/>
  <c r="BM34" i="13" s="1"/>
  <c r="BN34" i="13" s="1"/>
  <c r="P34" i="13"/>
  <c r="BC47" i="15"/>
  <c r="BI47" i="12"/>
  <c r="BG26" i="15"/>
  <c r="AM12" i="15"/>
  <c r="P17" i="13"/>
  <c r="AC39" i="14"/>
  <c r="J39" i="14" s="1"/>
  <c r="AC38" i="14"/>
  <c r="AC22" i="14"/>
  <c r="AC28" i="14" s="1"/>
  <c r="AC20" i="14"/>
  <c r="AJ19" i="13"/>
  <c r="AJ38" i="13" s="1"/>
  <c r="AH14" i="12"/>
  <c r="AH19" i="12" s="1"/>
  <c r="AE14" i="14"/>
  <c r="AE19" i="14" s="1"/>
  <c r="AD10" i="9"/>
  <c r="AD14" i="9"/>
  <c r="BL12" i="13"/>
  <c r="BM12" i="13" s="1"/>
  <c r="BN12" i="13" s="1"/>
  <c r="AD19" i="14"/>
  <c r="AD15" i="14"/>
  <c r="AL10" i="13"/>
  <c r="AL14" i="13"/>
  <c r="I14" i="13" s="1"/>
  <c r="I15" i="13" s="1"/>
  <c r="O34" i="13"/>
  <c r="O12" i="13"/>
  <c r="AI30" i="13"/>
  <c r="AI35" i="13"/>
  <c r="AQ47" i="13"/>
  <c r="AG42" i="13"/>
  <c r="AG44" i="13"/>
  <c r="AP48" i="13"/>
  <c r="AK22" i="13"/>
  <c r="AK28" i="13" s="1"/>
  <c r="AK38" i="13"/>
  <c r="AK39" i="13"/>
  <c r="AH43" i="13"/>
  <c r="AH41" i="13"/>
  <c r="AG20" i="12"/>
  <c r="AH20" i="12" s="1"/>
  <c r="AG38" i="12"/>
  <c r="AG39" i="12"/>
  <c r="BE26" i="12"/>
  <c r="I22" i="12"/>
  <c r="I20" i="12"/>
  <c r="AI14" i="12"/>
  <c r="J8" i="12"/>
  <c r="J10" i="12" s="1"/>
  <c r="AF29" i="12"/>
  <c r="Y22" i="10" s="1"/>
  <c r="AE33" i="12"/>
  <c r="Z42" i="9"/>
  <c r="Z44" i="9"/>
  <c r="AA44" i="14" l="1"/>
  <c r="AI37" i="13"/>
  <c r="I35" i="19"/>
  <c r="I43" i="19" s="1"/>
  <c r="AE37" i="19"/>
  <c r="I37" i="19" s="1"/>
  <c r="AE12" i="10"/>
  <c r="X10" i="10"/>
  <c r="AF35" i="18"/>
  <c r="AF37" i="18" s="1"/>
  <c r="AE41" i="18"/>
  <c r="AE44" i="18" s="1"/>
  <c r="AE37" i="18"/>
  <c r="J29" i="18"/>
  <c r="AF30" i="18"/>
  <c r="AG29" i="18"/>
  <c r="AG26" i="10" s="1"/>
  <c r="AD42" i="18"/>
  <c r="AD44" i="19"/>
  <c r="AD42" i="19"/>
  <c r="AF30" i="19"/>
  <c r="AG29" i="19"/>
  <c r="AH27" i="10" s="1"/>
  <c r="AF35" i="19"/>
  <c r="AF37" i="19" s="1"/>
  <c r="AV33" i="19"/>
  <c r="AE41" i="19"/>
  <c r="I41" i="19" s="1"/>
  <c r="I44" i="19" s="1"/>
  <c r="AE43" i="19"/>
  <c r="AX26" i="19"/>
  <c r="AW28" i="19"/>
  <c r="AZ26" i="18"/>
  <c r="AY28" i="18"/>
  <c r="AB41" i="14"/>
  <c r="AB44" i="14" s="1"/>
  <c r="H41" i="13"/>
  <c r="H44" i="13" s="1"/>
  <c r="AB43" i="14"/>
  <c r="J28" i="14"/>
  <c r="AB11" i="10"/>
  <c r="G11" i="10" s="1"/>
  <c r="BD47" i="15"/>
  <c r="BH26" i="15"/>
  <c r="AN12" i="15"/>
  <c r="AJ20" i="13"/>
  <c r="AK20" i="13" s="1"/>
  <c r="AC29" i="14"/>
  <c r="AB23" i="10" s="1"/>
  <c r="G23" i="10" s="1"/>
  <c r="AC33" i="14"/>
  <c r="J20" i="14"/>
  <c r="J22" i="14"/>
  <c r="J38" i="14"/>
  <c r="J40" i="14" s="1"/>
  <c r="G52" i="16" s="1"/>
  <c r="AC40" i="14"/>
  <c r="AM8" i="13"/>
  <c r="AM14" i="13" s="1"/>
  <c r="AM19" i="13" s="1"/>
  <c r="AJ39" i="13"/>
  <c r="AJ22" i="13"/>
  <c r="AJ28" i="13" s="1"/>
  <c r="AH39" i="12"/>
  <c r="AH38" i="12"/>
  <c r="AH22" i="12"/>
  <c r="AH28" i="12" s="1"/>
  <c r="AH15" i="12"/>
  <c r="AI15" i="12" s="1"/>
  <c r="AE8" i="9"/>
  <c r="AE15" i="14"/>
  <c r="AL19" i="13"/>
  <c r="I19" i="13" s="1"/>
  <c r="I22" i="13" s="1"/>
  <c r="AD15" i="9"/>
  <c r="P12" i="13"/>
  <c r="AE10" i="14"/>
  <c r="AF8" i="14" s="1"/>
  <c r="AF14" i="14" s="1"/>
  <c r="AE39" i="14"/>
  <c r="AE22" i="14"/>
  <c r="AE28" i="14" s="1"/>
  <c r="AE38" i="14"/>
  <c r="AD22" i="14"/>
  <c r="AD28" i="14" s="1"/>
  <c r="AD20" i="14"/>
  <c r="AE20" i="14" s="1"/>
  <c r="AD39" i="14"/>
  <c r="AD38" i="14"/>
  <c r="AG40" i="12"/>
  <c r="AL15" i="13"/>
  <c r="AK40" i="13"/>
  <c r="AK33" i="13"/>
  <c r="AI43" i="13"/>
  <c r="AI41" i="13"/>
  <c r="AH44" i="13"/>
  <c r="AH42" i="13"/>
  <c r="AR47" i="13"/>
  <c r="J48" i="13"/>
  <c r="AE35" i="12"/>
  <c r="AE43" i="12" s="1"/>
  <c r="BF26" i="12"/>
  <c r="J14" i="12"/>
  <c r="AI19" i="12"/>
  <c r="AJ14" i="12"/>
  <c r="AJ10" i="12"/>
  <c r="AK8" i="12" s="1"/>
  <c r="AF35" i="12"/>
  <c r="AF37" i="12" s="1"/>
  <c r="AF30" i="12"/>
  <c r="AG29" i="12"/>
  <c r="Z22" i="10" l="1"/>
  <c r="AC11" i="10"/>
  <c r="AD12" i="10"/>
  <c r="J12" i="15"/>
  <c r="AF43" i="18"/>
  <c r="AF41" i="18"/>
  <c r="AF42" i="18" s="1"/>
  <c r="J35" i="18"/>
  <c r="J43" i="18" s="1"/>
  <c r="J37" i="18"/>
  <c r="AE42" i="18"/>
  <c r="J30" i="18"/>
  <c r="AH29" i="18"/>
  <c r="AH26" i="10" s="1"/>
  <c r="AG35" i="18"/>
  <c r="AG41" i="18" s="1"/>
  <c r="AG44" i="18" s="1"/>
  <c r="AG30" i="18"/>
  <c r="AW33" i="19"/>
  <c r="AY26" i="19"/>
  <c r="AX28" i="19"/>
  <c r="AE44" i="19"/>
  <c r="AE42" i="19"/>
  <c r="I42" i="19" s="1"/>
  <c r="AF41" i="19"/>
  <c r="AF43" i="19"/>
  <c r="AG30" i="19"/>
  <c r="AH29" i="19"/>
  <c r="AI27" i="10" s="1"/>
  <c r="AG35" i="19"/>
  <c r="AG37" i="19" s="1"/>
  <c r="AY33" i="18"/>
  <c r="AB42" i="14"/>
  <c r="BA26" i="18"/>
  <c r="AZ28" i="18"/>
  <c r="AZ33" i="18" s="1"/>
  <c r="J33" i="14"/>
  <c r="H42" i="13"/>
  <c r="I32" i="12"/>
  <c r="AE33" i="14"/>
  <c r="AD11" i="10"/>
  <c r="AH33" i="12"/>
  <c r="AA10" i="10"/>
  <c r="BE47" i="15"/>
  <c r="AJ40" i="13"/>
  <c r="AO12" i="15"/>
  <c r="AC35" i="14"/>
  <c r="AC37" i="14" s="1"/>
  <c r="J29" i="14"/>
  <c r="AC30" i="14"/>
  <c r="AF10" i="14"/>
  <c r="AG8" i="14" s="1"/>
  <c r="AM15" i="13"/>
  <c r="AJ29" i="13"/>
  <c r="AD24" i="10" s="1"/>
  <c r="AJ33" i="13"/>
  <c r="AM10" i="13"/>
  <c r="AH40" i="12"/>
  <c r="I20" i="13"/>
  <c r="AL22" i="13"/>
  <c r="AL28" i="13" s="1"/>
  <c r="AL20" i="13"/>
  <c r="AM20" i="13" s="1"/>
  <c r="AL39" i="13"/>
  <c r="I39" i="13" s="1"/>
  <c r="AL38" i="13"/>
  <c r="I38" i="13" s="1"/>
  <c r="AE14" i="9"/>
  <c r="AE10" i="9"/>
  <c r="AF8" i="9" s="1"/>
  <c r="AE40" i="14"/>
  <c r="AD33" i="14"/>
  <c r="AD29" i="14"/>
  <c r="AC23" i="10" s="1"/>
  <c r="AD40" i="14"/>
  <c r="AF15" i="14"/>
  <c r="AF19" i="14"/>
  <c r="AS47" i="13"/>
  <c r="AI42" i="13"/>
  <c r="AI44" i="13"/>
  <c r="AM22" i="13"/>
  <c r="AM28" i="13" s="1"/>
  <c r="AM38" i="13"/>
  <c r="AM39" i="13"/>
  <c r="AE41" i="12"/>
  <c r="AE44" i="12" s="1"/>
  <c r="AI39" i="12"/>
  <c r="AI38" i="12"/>
  <c r="I35" i="12"/>
  <c r="I43" i="12" s="1"/>
  <c r="BG26" i="12"/>
  <c r="AI20" i="12"/>
  <c r="J19" i="12"/>
  <c r="AJ15" i="12"/>
  <c r="AK10" i="12"/>
  <c r="AL8" i="12" s="1"/>
  <c r="AI22" i="12"/>
  <c r="AI28" i="12" s="1"/>
  <c r="L28" i="12" s="1"/>
  <c r="AJ19" i="12"/>
  <c r="AF43" i="12"/>
  <c r="AF41" i="12"/>
  <c r="AH29" i="12"/>
  <c r="AA22" i="10" s="1"/>
  <c r="AG35" i="12"/>
  <c r="AG37" i="12" s="1"/>
  <c r="AG30" i="12"/>
  <c r="AE42" i="12"/>
  <c r="AB10" i="10" l="1"/>
  <c r="G10" i="10" s="1"/>
  <c r="AG12" i="10"/>
  <c r="J41" i="18"/>
  <c r="J44" i="18" s="1"/>
  <c r="AF44" i="18"/>
  <c r="J42" i="18"/>
  <c r="AH30" i="18"/>
  <c r="AI29" i="18"/>
  <c r="AI26" i="10" s="1"/>
  <c r="AG42" i="18"/>
  <c r="AH35" i="18"/>
  <c r="AH41" i="18" s="1"/>
  <c r="AH44" i="18" s="1"/>
  <c r="AG43" i="18"/>
  <c r="AG37" i="18"/>
  <c r="AG43" i="19"/>
  <c r="AG41" i="19"/>
  <c r="AF42" i="19"/>
  <c r="AF44" i="19"/>
  <c r="AX33" i="19"/>
  <c r="AI29" i="19"/>
  <c r="AJ27" i="10" s="1"/>
  <c r="I27" i="10" s="1"/>
  <c r="AH35" i="19"/>
  <c r="AH37" i="19" s="1"/>
  <c r="AH30" i="19"/>
  <c r="AZ26" i="19"/>
  <c r="AY28" i="19"/>
  <c r="O28" i="18"/>
  <c r="O33" i="18"/>
  <c r="BB26" i="18"/>
  <c r="BA28" i="18"/>
  <c r="I28" i="13"/>
  <c r="AF12" i="10"/>
  <c r="H12" i="10" s="1"/>
  <c r="BF47" i="15"/>
  <c r="N47" i="15"/>
  <c r="I40" i="13"/>
  <c r="H53" i="16" s="1"/>
  <c r="AP12" i="15"/>
  <c r="J30" i="14"/>
  <c r="J35" i="14"/>
  <c r="J37" i="14" s="1"/>
  <c r="AC41" i="14"/>
  <c r="AC43" i="14"/>
  <c r="AJ35" i="13"/>
  <c r="AJ30" i="13"/>
  <c r="AK29" i="13"/>
  <c r="AN8" i="13"/>
  <c r="AN10" i="13" s="1"/>
  <c r="AL33" i="13"/>
  <c r="I33" i="13" s="1"/>
  <c r="AL40" i="13"/>
  <c r="AE15" i="9"/>
  <c r="AF20" i="14"/>
  <c r="AF39" i="14"/>
  <c r="AF38" i="14"/>
  <c r="AF22" i="14"/>
  <c r="AF28" i="14" s="1"/>
  <c r="AE29" i="14"/>
  <c r="AD23" i="10" s="1"/>
  <c r="AD30" i="14"/>
  <c r="AD35" i="14"/>
  <c r="AD37" i="14" s="1"/>
  <c r="AI40" i="12"/>
  <c r="J40" i="12"/>
  <c r="G51" i="16" s="1"/>
  <c r="AT47" i="13"/>
  <c r="K47" i="13" s="1"/>
  <c r="AM33" i="13"/>
  <c r="AM40" i="13"/>
  <c r="AJ39" i="12"/>
  <c r="AJ38" i="12"/>
  <c r="I41" i="12"/>
  <c r="I37" i="12"/>
  <c r="BH26" i="12"/>
  <c r="AI33" i="12"/>
  <c r="L33" i="12" s="1"/>
  <c r="AJ20" i="12"/>
  <c r="J20" i="12"/>
  <c r="J22" i="12"/>
  <c r="AL14" i="12"/>
  <c r="AL19" i="12" s="1"/>
  <c r="AK14" i="12"/>
  <c r="AJ22" i="12"/>
  <c r="AJ28" i="12" s="1"/>
  <c r="AH35" i="12"/>
  <c r="AH37" i="12" s="1"/>
  <c r="AI29" i="12"/>
  <c r="AB22" i="10" s="1"/>
  <c r="G22" i="10" s="1"/>
  <c r="AH30" i="12"/>
  <c r="AF42" i="12"/>
  <c r="AF44" i="12"/>
  <c r="AG41" i="12"/>
  <c r="AG43" i="12"/>
  <c r="L29" i="12" l="1"/>
  <c r="AE11" i="10"/>
  <c r="AJ37" i="13"/>
  <c r="N28" i="19"/>
  <c r="AC10" i="10"/>
  <c r="J41" i="14"/>
  <c r="J44" i="14" s="1"/>
  <c r="J29" i="19"/>
  <c r="J30" i="19" s="1"/>
  <c r="AI35" i="18"/>
  <c r="AI41" i="18" s="1"/>
  <c r="AI42" i="18" s="1"/>
  <c r="AJ29" i="18"/>
  <c r="AJ26" i="10" s="1"/>
  <c r="I26" i="10" s="1"/>
  <c r="AI30" i="18"/>
  <c r="AH42" i="18"/>
  <c r="AH43" i="18"/>
  <c r="AH37" i="18"/>
  <c r="AY33" i="19"/>
  <c r="N33" i="19" s="1"/>
  <c r="BA26" i="19"/>
  <c r="AZ28" i="19"/>
  <c r="AH43" i="19"/>
  <c r="AH41" i="19"/>
  <c r="AI35" i="19"/>
  <c r="AI37" i="19" s="1"/>
  <c r="AJ29" i="19"/>
  <c r="AK27" i="10" s="1"/>
  <c r="AI30" i="19"/>
  <c r="AG42" i="19"/>
  <c r="AG44" i="19"/>
  <c r="BA33" i="18"/>
  <c r="BC26" i="18"/>
  <c r="BB28" i="18"/>
  <c r="BB33" i="18" s="1"/>
  <c r="J32" i="12"/>
  <c r="AL29" i="13"/>
  <c r="I29" i="13" s="1"/>
  <c r="AE24" i="10"/>
  <c r="I42" i="12"/>
  <c r="I32" i="13"/>
  <c r="O47" i="15"/>
  <c r="AQ12" i="15"/>
  <c r="AN14" i="13"/>
  <c r="AN19" i="13" s="1"/>
  <c r="J43" i="14"/>
  <c r="AF33" i="14"/>
  <c r="AC42" i="14"/>
  <c r="AC44" i="14"/>
  <c r="AK35" i="13"/>
  <c r="AK37" i="13" s="1"/>
  <c r="AK30" i="13"/>
  <c r="AO8" i="13"/>
  <c r="AJ43" i="13"/>
  <c r="AJ41" i="13"/>
  <c r="AF10" i="9"/>
  <c r="AG8" i="9" s="1"/>
  <c r="J8" i="9"/>
  <c r="J10" i="9" s="1"/>
  <c r="AF14" i="9"/>
  <c r="AG14" i="14"/>
  <c r="AG10" i="14"/>
  <c r="K8" i="14"/>
  <c r="K10" i="14" s="1"/>
  <c r="AD43" i="14"/>
  <c r="AD41" i="14"/>
  <c r="AF40" i="14"/>
  <c r="AE35" i="14"/>
  <c r="AE37" i="14" s="1"/>
  <c r="AF29" i="14"/>
  <c r="AE23" i="10" s="1"/>
  <c r="AE30" i="14"/>
  <c r="AJ40" i="12"/>
  <c r="AU47" i="13"/>
  <c r="AJ29" i="12"/>
  <c r="I44" i="12"/>
  <c r="AJ33" i="12"/>
  <c r="AL22" i="12"/>
  <c r="AL28" i="12" s="1"/>
  <c r="AL39" i="12"/>
  <c r="AL38" i="12"/>
  <c r="BI26" i="12"/>
  <c r="AK15" i="12"/>
  <c r="AL15" i="12" s="1"/>
  <c r="AK19" i="12"/>
  <c r="AL10" i="12"/>
  <c r="AM8" i="12" s="1"/>
  <c r="AG42" i="12"/>
  <c r="AG44" i="12"/>
  <c r="AI30" i="12"/>
  <c r="AI35" i="12"/>
  <c r="AI37" i="12" s="1"/>
  <c r="AH43" i="12"/>
  <c r="AH41" i="12"/>
  <c r="AC22" i="10" l="1"/>
  <c r="J42" i="14"/>
  <c r="AN15" i="13"/>
  <c r="J35" i="19"/>
  <c r="J43" i="19" s="1"/>
  <c r="AI37" i="18"/>
  <c r="AI44" i="18"/>
  <c r="AI43" i="18"/>
  <c r="AK29" i="18"/>
  <c r="AK26" i="10" s="1"/>
  <c r="AJ35" i="18"/>
  <c r="AJ43" i="18" s="1"/>
  <c r="AJ30" i="18"/>
  <c r="K29" i="18"/>
  <c r="AJ30" i="19"/>
  <c r="AJ35" i="19"/>
  <c r="AJ37" i="19" s="1"/>
  <c r="AK29" i="19"/>
  <c r="AL27" i="10" s="1"/>
  <c r="AH44" i="19"/>
  <c r="AH42" i="19"/>
  <c r="AZ33" i="19"/>
  <c r="AI41" i="19"/>
  <c r="J41" i="19" s="1"/>
  <c r="J44" i="19" s="1"/>
  <c r="AI43" i="19"/>
  <c r="J37" i="19"/>
  <c r="BB26" i="19"/>
  <c r="BA28" i="19"/>
  <c r="BD26" i="18"/>
  <c r="BC28" i="18"/>
  <c r="AL30" i="13"/>
  <c r="AL35" i="13"/>
  <c r="AL37" i="13" s="1"/>
  <c r="I37" i="13" s="1"/>
  <c r="AM29" i="13"/>
  <c r="AF24" i="10"/>
  <c r="H24" i="10" s="1"/>
  <c r="J30" i="12"/>
  <c r="AL33" i="12"/>
  <c r="AE10" i="10"/>
  <c r="AR12" i="15"/>
  <c r="AK41" i="13"/>
  <c r="AK43" i="13"/>
  <c r="AO10" i="13"/>
  <c r="AP8" i="13" s="1"/>
  <c r="J8" i="13" s="1"/>
  <c r="J10" i="13" s="1"/>
  <c r="AJ44" i="13"/>
  <c r="AJ42" i="13"/>
  <c r="AO14" i="13"/>
  <c r="AN38" i="13"/>
  <c r="AN39" i="13"/>
  <c r="AN22" i="13"/>
  <c r="AN28" i="13" s="1"/>
  <c r="AN20" i="13"/>
  <c r="I30" i="13"/>
  <c r="AG19" i="14"/>
  <c r="K19" i="14" s="1"/>
  <c r="K14" i="14"/>
  <c r="K15" i="14" s="1"/>
  <c r="AG15" i="14"/>
  <c r="J14" i="9"/>
  <c r="J15" i="9" s="1"/>
  <c r="AF15" i="9"/>
  <c r="AE43" i="14"/>
  <c r="AE41" i="14"/>
  <c r="AD44" i="14"/>
  <c r="AD42" i="14"/>
  <c r="AF30" i="14"/>
  <c r="AF35" i="14"/>
  <c r="AF37" i="14" s="1"/>
  <c r="AV47" i="13"/>
  <c r="AJ35" i="12"/>
  <c r="AJ30" i="12"/>
  <c r="AL40" i="12"/>
  <c r="AK39" i="12"/>
  <c r="AK38" i="12"/>
  <c r="BJ26" i="12"/>
  <c r="J35" i="12"/>
  <c r="AK20" i="12"/>
  <c r="AL20" i="12" s="1"/>
  <c r="AK22" i="12"/>
  <c r="AK28" i="12" s="1"/>
  <c r="AI41" i="12"/>
  <c r="AI43" i="12"/>
  <c r="AH44" i="12"/>
  <c r="AH42" i="12"/>
  <c r="I35" i="13" l="1"/>
  <c r="I43" i="13" s="1"/>
  <c r="AJ41" i="12"/>
  <c r="AJ42" i="12" s="1"/>
  <c r="AJ37" i="12"/>
  <c r="AD10" i="10"/>
  <c r="AH12" i="10"/>
  <c r="AK30" i="18"/>
  <c r="AL29" i="18"/>
  <c r="AL26" i="10" s="1"/>
  <c r="AK35" i="18"/>
  <c r="AK43" i="18" s="1"/>
  <c r="AJ37" i="18"/>
  <c r="K37" i="18" s="1"/>
  <c r="K35" i="18"/>
  <c r="AJ41" i="18"/>
  <c r="K41" i="18" s="1"/>
  <c r="K44" i="18" s="1"/>
  <c r="BC26" i="19"/>
  <c r="BB28" i="19"/>
  <c r="AI44" i="19"/>
  <c r="AI42" i="19"/>
  <c r="J42" i="19" s="1"/>
  <c r="AJ41" i="19"/>
  <c r="AJ43" i="19"/>
  <c r="BA33" i="19"/>
  <c r="AK30" i="19"/>
  <c r="AL29" i="19"/>
  <c r="AM27" i="10" s="1"/>
  <c r="AK35" i="19"/>
  <c r="AK37" i="19" s="1"/>
  <c r="BC33" i="18"/>
  <c r="BE26" i="18"/>
  <c r="BD28" i="18"/>
  <c r="BD33" i="18" s="1"/>
  <c r="AL43" i="13"/>
  <c r="AL41" i="13"/>
  <c r="AL42" i="13" s="1"/>
  <c r="AG24" i="10"/>
  <c r="AM30" i="13"/>
  <c r="AM35" i="13"/>
  <c r="AS12" i="15"/>
  <c r="K12" i="15" s="1"/>
  <c r="AN40" i="13"/>
  <c r="AO19" i="13"/>
  <c r="AO15" i="13"/>
  <c r="AP14" i="13"/>
  <c r="AP10" i="13"/>
  <c r="AN33" i="13"/>
  <c r="AN29" i="13"/>
  <c r="AH24" i="10" s="1"/>
  <c r="AK44" i="13"/>
  <c r="AK42" i="13"/>
  <c r="AG10" i="9"/>
  <c r="AH8" i="9" s="1"/>
  <c r="AG14" i="9"/>
  <c r="AG39" i="14"/>
  <c r="K39" i="14" s="1"/>
  <c r="AG22" i="14"/>
  <c r="AG28" i="14" s="1"/>
  <c r="AG38" i="14"/>
  <c r="AG20" i="14"/>
  <c r="AF43" i="14"/>
  <c r="AF41" i="14"/>
  <c r="AE44" i="14"/>
  <c r="AE42" i="14"/>
  <c r="AK40" i="12"/>
  <c r="AJ43" i="12"/>
  <c r="AW47" i="13"/>
  <c r="AK33" i="12"/>
  <c r="AK29" i="12"/>
  <c r="BK26" i="12"/>
  <c r="J37" i="12"/>
  <c r="J41" i="12"/>
  <c r="J43" i="12"/>
  <c r="AM14" i="12"/>
  <c r="K8" i="12"/>
  <c r="K10" i="12" s="1"/>
  <c r="AM10" i="12"/>
  <c r="AN8" i="12" s="1"/>
  <c r="AI42" i="12"/>
  <c r="AI44" i="12"/>
  <c r="AD22" i="10" l="1"/>
  <c r="AJ44" i="12"/>
  <c r="I41" i="13"/>
  <c r="I42" i="13" s="1"/>
  <c r="AM37" i="13"/>
  <c r="AM29" i="18"/>
  <c r="AM26" i="10" s="1"/>
  <c r="AL35" i="18"/>
  <c r="AL37" i="18" s="1"/>
  <c r="AL30" i="18"/>
  <c r="AK37" i="18"/>
  <c r="AK41" i="18"/>
  <c r="AK44" i="18" s="1"/>
  <c r="AJ42" i="18"/>
  <c r="K42" i="18" s="1"/>
  <c r="AJ44" i="18"/>
  <c r="AK43" i="19"/>
  <c r="AK41" i="19"/>
  <c r="BB33" i="19"/>
  <c r="AM29" i="19"/>
  <c r="AN27" i="10" s="1"/>
  <c r="J27" i="10" s="1"/>
  <c r="AL35" i="19"/>
  <c r="AL37" i="19" s="1"/>
  <c r="AL30" i="19"/>
  <c r="BD26" i="19"/>
  <c r="BC28" i="19"/>
  <c r="AJ42" i="19"/>
  <c r="AJ44" i="19"/>
  <c r="P28" i="18"/>
  <c r="P33" i="18"/>
  <c r="K30" i="18"/>
  <c r="BF26" i="18"/>
  <c r="BE28" i="18"/>
  <c r="AL44" i="13"/>
  <c r="AM41" i="13"/>
  <c r="AM43" i="13"/>
  <c r="K28" i="14"/>
  <c r="AF11" i="10"/>
  <c r="H11" i="10" s="1"/>
  <c r="AT12" i="15"/>
  <c r="AQ8" i="13"/>
  <c r="AQ14" i="13" s="1"/>
  <c r="AQ19" i="13" s="1"/>
  <c r="AP19" i="13"/>
  <c r="J14" i="13"/>
  <c r="J15" i="13" s="1"/>
  <c r="AP15" i="13"/>
  <c r="AN30" i="13"/>
  <c r="AN35" i="13"/>
  <c r="AN37" i="13" s="1"/>
  <c r="AO39" i="13"/>
  <c r="AO20" i="13"/>
  <c r="AO38" i="13"/>
  <c r="AO22" i="13"/>
  <c r="AO28" i="13" s="1"/>
  <c r="K20" i="14"/>
  <c r="K22" i="14"/>
  <c r="K38" i="14"/>
  <c r="K40" i="14" s="1"/>
  <c r="H52" i="16" s="1"/>
  <c r="AG40" i="14"/>
  <c r="AG15" i="9"/>
  <c r="AG33" i="14"/>
  <c r="AG29" i="14"/>
  <c r="AF23" i="10" s="1"/>
  <c r="H23" i="10" s="1"/>
  <c r="AF42" i="14"/>
  <c r="AF44" i="14"/>
  <c r="AX47" i="13"/>
  <c r="AK35" i="12"/>
  <c r="AK37" i="12" s="1"/>
  <c r="AL29" i="12"/>
  <c r="AE22" i="10" s="1"/>
  <c r="AK30" i="12"/>
  <c r="J44" i="12"/>
  <c r="J42" i="12"/>
  <c r="AM15" i="12"/>
  <c r="K14" i="12"/>
  <c r="AM19" i="12"/>
  <c r="I44" i="13" l="1"/>
  <c r="O28" i="19"/>
  <c r="K29" i="19"/>
  <c r="K30" i="19" s="1"/>
  <c r="AM30" i="18"/>
  <c r="AN29" i="18"/>
  <c r="L29" i="18" s="1"/>
  <c r="AM35" i="18"/>
  <c r="AM41" i="18" s="1"/>
  <c r="AM44" i="18" s="1"/>
  <c r="AL43" i="18"/>
  <c r="AL41" i="18"/>
  <c r="AL42" i="18" s="1"/>
  <c r="AK42" i="18"/>
  <c r="AK42" i="19"/>
  <c r="AK44" i="19"/>
  <c r="BC33" i="19"/>
  <c r="O33" i="19" s="1"/>
  <c r="AL43" i="19"/>
  <c r="AL41" i="19"/>
  <c r="BE26" i="19"/>
  <c r="BD28" i="19"/>
  <c r="AM35" i="19"/>
  <c r="AN29" i="19"/>
  <c r="AM30" i="19"/>
  <c r="BE33" i="18"/>
  <c r="K43" i="18"/>
  <c r="BG26" i="18"/>
  <c r="BF28" i="18"/>
  <c r="BF33" i="18" s="1"/>
  <c r="K33" i="14"/>
  <c r="AM44" i="13"/>
  <c r="AM42" i="13"/>
  <c r="AO33" i="13"/>
  <c r="AI12" i="10"/>
  <c r="AU12" i="15"/>
  <c r="AO40" i="13"/>
  <c r="AO29" i="13"/>
  <c r="AI24" i="10" s="1"/>
  <c r="AN43" i="13"/>
  <c r="AN41" i="13"/>
  <c r="J19" i="13"/>
  <c r="AP20" i="13"/>
  <c r="AQ20" i="13" s="1"/>
  <c r="AP22" i="13"/>
  <c r="AP28" i="13" s="1"/>
  <c r="AP38" i="13"/>
  <c r="J38" i="13" s="1"/>
  <c r="AP39" i="13"/>
  <c r="J39" i="13" s="1"/>
  <c r="AQ22" i="13"/>
  <c r="AQ28" i="13" s="1"/>
  <c r="AQ38" i="13"/>
  <c r="AQ39" i="13"/>
  <c r="AQ15" i="13"/>
  <c r="AQ10" i="13"/>
  <c r="AR8" i="13" s="1"/>
  <c r="AG30" i="14"/>
  <c r="K29" i="14"/>
  <c r="AG35" i="14"/>
  <c r="AG37" i="14" s="1"/>
  <c r="AH10" i="9"/>
  <c r="AI8" i="9" s="1"/>
  <c r="AH14" i="9"/>
  <c r="AY47" i="13"/>
  <c r="L47" i="13"/>
  <c r="AK43" i="12"/>
  <c r="AK41" i="12"/>
  <c r="AL35" i="12"/>
  <c r="AL37" i="12" s="1"/>
  <c r="AL30" i="12"/>
  <c r="AM39" i="12"/>
  <c r="AM38" i="12"/>
  <c r="AM20" i="12"/>
  <c r="K19" i="12"/>
  <c r="AN14" i="12"/>
  <c r="AN10" i="12"/>
  <c r="AO8" i="12" s="1"/>
  <c r="AM22" i="12"/>
  <c r="AM28" i="12" s="1"/>
  <c r="M28" i="12" s="1"/>
  <c r="K35" i="19" l="1"/>
  <c r="K43" i="19" s="1"/>
  <c r="AM37" i="19"/>
  <c r="K37" i="19" s="1"/>
  <c r="AJ12" i="10"/>
  <c r="I12" i="10" s="1"/>
  <c r="AM42" i="18"/>
  <c r="AN35" i="18"/>
  <c r="L35" i="18" s="1"/>
  <c r="AO29" i="18"/>
  <c r="AP29" i="18" s="1"/>
  <c r="AQ29" i="18" s="1"/>
  <c r="AN30" i="18"/>
  <c r="AN26" i="10"/>
  <c r="J26" i="10" s="1"/>
  <c r="AM37" i="18"/>
  <c r="AM43" i="18"/>
  <c r="AL44" i="18"/>
  <c r="BD33" i="19"/>
  <c r="BF26" i="19"/>
  <c r="BE28" i="19"/>
  <c r="AN30" i="19"/>
  <c r="AO29" i="19"/>
  <c r="AN35" i="19"/>
  <c r="AN37" i="19" s="1"/>
  <c r="AM41" i="19"/>
  <c r="K41" i="19" s="1"/>
  <c r="K44" i="19" s="1"/>
  <c r="AM43" i="19"/>
  <c r="AL44" i="19"/>
  <c r="AL42" i="19"/>
  <c r="BH26" i="18"/>
  <c r="BG28" i="18"/>
  <c r="AO35" i="13"/>
  <c r="AQ33" i="13"/>
  <c r="AK12" i="10"/>
  <c r="AM29" i="12"/>
  <c r="M29" i="12" s="1"/>
  <c r="AF10" i="10"/>
  <c r="H10" i="10" s="1"/>
  <c r="J40" i="13"/>
  <c r="I53" i="16" s="1"/>
  <c r="AV12" i="15"/>
  <c r="K30" i="14"/>
  <c r="K35" i="14"/>
  <c r="K37" i="14" s="1"/>
  <c r="AQ40" i="13"/>
  <c r="AP40" i="13"/>
  <c r="AO30" i="13"/>
  <c r="AN42" i="13"/>
  <c r="AN44" i="13"/>
  <c r="J28" i="13"/>
  <c r="AP33" i="13"/>
  <c r="J33" i="13" s="1"/>
  <c r="J22" i="13"/>
  <c r="J20" i="13"/>
  <c r="AR14" i="13"/>
  <c r="AR10" i="13"/>
  <c r="AS8" i="13" s="1"/>
  <c r="AP29" i="13"/>
  <c r="AJ24" i="10" s="1"/>
  <c r="I24" i="10" s="1"/>
  <c r="AH15" i="9"/>
  <c r="AG41" i="14"/>
  <c r="AG43" i="14"/>
  <c r="AM40" i="12"/>
  <c r="K40" i="12"/>
  <c r="H51" i="16" s="1"/>
  <c r="AZ47" i="13"/>
  <c r="AK42" i="12"/>
  <c r="AK44" i="12"/>
  <c r="AM33" i="12"/>
  <c r="M33" i="12" s="1"/>
  <c r="AL43" i="12"/>
  <c r="AL41" i="12"/>
  <c r="K20" i="12"/>
  <c r="K22" i="12"/>
  <c r="AN15" i="12"/>
  <c r="AN19" i="12"/>
  <c r="AO43" i="13" l="1"/>
  <c r="AO37" i="13"/>
  <c r="AN41" i="18"/>
  <c r="AN44" i="18" s="1"/>
  <c r="AN37" i="18"/>
  <c r="L37" i="18" s="1"/>
  <c r="AN43" i="18"/>
  <c r="AP30" i="18"/>
  <c r="AP35" i="18"/>
  <c r="AP43" i="18" s="1"/>
  <c r="AO35" i="18"/>
  <c r="AO43" i="18" s="1"/>
  <c r="AO30" i="18"/>
  <c r="BG26" i="19"/>
  <c r="BF28" i="19"/>
  <c r="AM44" i="19"/>
  <c r="AM42" i="19"/>
  <c r="K42" i="19" s="1"/>
  <c r="AO30" i="19"/>
  <c r="AP29" i="19"/>
  <c r="AO35" i="19"/>
  <c r="AO37" i="19" s="1"/>
  <c r="AN41" i="19"/>
  <c r="AN43" i="19"/>
  <c r="BE33" i="19"/>
  <c r="BG33" i="18"/>
  <c r="AQ35" i="18"/>
  <c r="AQ30" i="18"/>
  <c r="AR29" i="18"/>
  <c r="M29" i="18" s="1"/>
  <c r="M30" i="18" s="1"/>
  <c r="BI26" i="18"/>
  <c r="BH28" i="18"/>
  <c r="BH33" i="18" s="1"/>
  <c r="K32" i="12"/>
  <c r="AO41" i="13"/>
  <c r="AO44" i="13" s="1"/>
  <c r="AM30" i="12"/>
  <c r="AF22" i="10"/>
  <c r="H22" i="10" s="1"/>
  <c r="AW12" i="15"/>
  <c r="AX12" i="15" s="1"/>
  <c r="K41" i="14"/>
  <c r="K43" i="14"/>
  <c r="J32" i="13"/>
  <c r="AR19" i="13"/>
  <c r="AR15" i="13"/>
  <c r="AS14" i="13"/>
  <c r="AS10" i="13"/>
  <c r="AT8" i="13" s="1"/>
  <c r="J29" i="13"/>
  <c r="AQ29" i="13"/>
  <c r="AK24" i="10" s="1"/>
  <c r="AP35" i="13"/>
  <c r="AP37" i="13" s="1"/>
  <c r="AP30" i="13"/>
  <c r="AI10" i="9"/>
  <c r="AJ8" i="9" s="1"/>
  <c r="AI14" i="9"/>
  <c r="AG44" i="14"/>
  <c r="AG42" i="14"/>
  <c r="BA47" i="13"/>
  <c r="AL42" i="12"/>
  <c r="AL44" i="12"/>
  <c r="AN39" i="12"/>
  <c r="AN38" i="12"/>
  <c r="AM35" i="12"/>
  <c r="AM37" i="12" s="1"/>
  <c r="AN20" i="12"/>
  <c r="AN22" i="12"/>
  <c r="AN28" i="12" s="1"/>
  <c r="AO14" i="12"/>
  <c r="AO10" i="12"/>
  <c r="AP8" i="12" s="1"/>
  <c r="J37" i="13" l="1"/>
  <c r="J35" i="13"/>
  <c r="AG10" i="10"/>
  <c r="AY12" i="15"/>
  <c r="AZ12" i="15" s="1"/>
  <c r="BA12" i="15" s="1"/>
  <c r="BB12" i="15" s="1"/>
  <c r="M12" i="15"/>
  <c r="L12" i="15"/>
  <c r="L41" i="18"/>
  <c r="L44" i="18" s="1"/>
  <c r="AN42" i="18"/>
  <c r="L42" i="18" s="1"/>
  <c r="AP41" i="18"/>
  <c r="AP44" i="18" s="1"/>
  <c r="AO41" i="18"/>
  <c r="AO42" i="18" s="1"/>
  <c r="AO37" i="18"/>
  <c r="AP37" i="18"/>
  <c r="AQ29" i="19"/>
  <c r="AP35" i="19"/>
  <c r="AP37" i="19" s="1"/>
  <c r="AP30" i="19"/>
  <c r="AN42" i="19"/>
  <c r="AN44" i="19"/>
  <c r="BF33" i="19"/>
  <c r="BH26" i="19"/>
  <c r="BG28" i="19"/>
  <c r="AO43" i="19"/>
  <c r="AO41" i="19"/>
  <c r="Q28" i="18"/>
  <c r="Q33" i="18"/>
  <c r="L30" i="18"/>
  <c r="AR30" i="18"/>
  <c r="AS29" i="18"/>
  <c r="AR35" i="18"/>
  <c r="M35" i="18" s="1"/>
  <c r="M43" i="18" s="1"/>
  <c r="AQ37" i="18"/>
  <c r="AQ41" i="18"/>
  <c r="AQ43" i="18"/>
  <c r="BJ26" i="18"/>
  <c r="BI28" i="18"/>
  <c r="AO42" i="13"/>
  <c r="K30" i="12"/>
  <c r="K35" i="12"/>
  <c r="K41" i="12" s="1"/>
  <c r="K44" i="14"/>
  <c r="K42" i="14"/>
  <c r="J30" i="13"/>
  <c r="AR39" i="13"/>
  <c r="AR22" i="13"/>
  <c r="AR28" i="13" s="1"/>
  <c r="AR38" i="13"/>
  <c r="AR20" i="13"/>
  <c r="AP41" i="13"/>
  <c r="AP43" i="13"/>
  <c r="AT14" i="13"/>
  <c r="AT10" i="13"/>
  <c r="AU8" i="13" s="1"/>
  <c r="AQ30" i="13"/>
  <c r="AQ35" i="13"/>
  <c r="AS15" i="13"/>
  <c r="AS19" i="13"/>
  <c r="K8" i="13"/>
  <c r="K10" i="13" s="1"/>
  <c r="AI15" i="9"/>
  <c r="AN40" i="12"/>
  <c r="BB47" i="13"/>
  <c r="AM43" i="12"/>
  <c r="AM41" i="12"/>
  <c r="AN33" i="12"/>
  <c r="AN29" i="12"/>
  <c r="AO15" i="12"/>
  <c r="AO19" i="12"/>
  <c r="AG22" i="10" l="1"/>
  <c r="AQ37" i="13"/>
  <c r="P28" i="19"/>
  <c r="BC12" i="15"/>
  <c r="BD12" i="15" s="1"/>
  <c r="BE12" i="15" s="1"/>
  <c r="BF12" i="15" s="1"/>
  <c r="N12" i="15"/>
  <c r="L29" i="19"/>
  <c r="L30" i="19" s="1"/>
  <c r="AP42" i="18"/>
  <c r="AO44" i="18"/>
  <c r="AO42" i="19"/>
  <c r="AO44" i="19"/>
  <c r="AP43" i="19"/>
  <c r="AP41" i="19"/>
  <c r="BG33" i="19"/>
  <c r="P33" i="19" s="1"/>
  <c r="AQ35" i="19"/>
  <c r="AQ37" i="19" s="1"/>
  <c r="AR29" i="19"/>
  <c r="AQ30" i="19"/>
  <c r="BI26" i="19"/>
  <c r="BH28" i="19"/>
  <c r="BI33" i="18"/>
  <c r="AQ44" i="18"/>
  <c r="AQ42" i="18"/>
  <c r="L43" i="18"/>
  <c r="AR43" i="18"/>
  <c r="AR37" i="18"/>
  <c r="M37" i="18" s="1"/>
  <c r="AR41" i="18"/>
  <c r="AT29" i="18"/>
  <c r="AS35" i="18"/>
  <c r="AS30" i="18"/>
  <c r="BK26" i="18"/>
  <c r="BJ28" i="18"/>
  <c r="BJ33" i="18" s="1"/>
  <c r="K43" i="12"/>
  <c r="K44" i="12"/>
  <c r="K42" i="12"/>
  <c r="AR29" i="13"/>
  <c r="AL12" i="10"/>
  <c r="K37" i="12"/>
  <c r="AR40" i="13"/>
  <c r="AU10" i="13"/>
  <c r="AV8" i="13" s="1"/>
  <c r="AU14" i="13"/>
  <c r="AP44" i="13"/>
  <c r="AP42" i="13"/>
  <c r="AR33" i="13"/>
  <c r="AQ41" i="13"/>
  <c r="AQ43" i="13"/>
  <c r="AT19" i="13"/>
  <c r="K19" i="13" s="1"/>
  <c r="AT15" i="13"/>
  <c r="K14" i="13"/>
  <c r="K15" i="13" s="1"/>
  <c r="J43" i="13"/>
  <c r="J41" i="13"/>
  <c r="AS38" i="13"/>
  <c r="AS22" i="13"/>
  <c r="AS28" i="13" s="1"/>
  <c r="AS20" i="13"/>
  <c r="AS39" i="13"/>
  <c r="K8" i="9"/>
  <c r="K10" i="9" s="1"/>
  <c r="AJ10" i="9"/>
  <c r="AK8" i="9" s="1"/>
  <c r="AJ14" i="9"/>
  <c r="BC47" i="13"/>
  <c r="M47" i="13"/>
  <c r="AO38" i="12"/>
  <c r="AO39" i="12"/>
  <c r="AN35" i="12"/>
  <c r="AN37" i="12" s="1"/>
  <c r="AN30" i="12"/>
  <c r="AM42" i="12"/>
  <c r="AM44" i="12"/>
  <c r="AO20" i="12"/>
  <c r="AP14" i="12"/>
  <c r="AO22" i="12"/>
  <c r="AO28" i="12" s="1"/>
  <c r="AP10" i="12"/>
  <c r="AQ8" i="12" s="1"/>
  <c r="BG12" i="15" l="1"/>
  <c r="BH12" i="15" s="1"/>
  <c r="O12" i="15"/>
  <c r="L35" i="19"/>
  <c r="L43" i="19" s="1"/>
  <c r="AR30" i="19"/>
  <c r="AR35" i="19"/>
  <c r="AR37" i="19" s="1"/>
  <c r="AS29" i="19"/>
  <c r="BH33" i="19"/>
  <c r="AQ41" i="19"/>
  <c r="L41" i="19" s="1"/>
  <c r="L44" i="19" s="1"/>
  <c r="AQ43" i="19"/>
  <c r="L37" i="19"/>
  <c r="BJ26" i="19"/>
  <c r="BI28" i="19"/>
  <c r="AP44" i="19"/>
  <c r="AP42" i="19"/>
  <c r="AS43" i="18"/>
  <c r="AS41" i="18"/>
  <c r="AS37" i="18"/>
  <c r="AT30" i="18"/>
  <c r="AU29" i="18"/>
  <c r="AT35" i="18"/>
  <c r="M41" i="18"/>
  <c r="M44" i="18" s="1"/>
  <c r="AR44" i="18"/>
  <c r="AR42" i="18"/>
  <c r="M42" i="18" s="1"/>
  <c r="BL26" i="18"/>
  <c r="BK28" i="18"/>
  <c r="AR30" i="13"/>
  <c r="AL24" i="10"/>
  <c r="AR35" i="13"/>
  <c r="AS29" i="13"/>
  <c r="AM12" i="10"/>
  <c r="AO29" i="12"/>
  <c r="AH10" i="10"/>
  <c r="AS40" i="13"/>
  <c r="J42" i="13"/>
  <c r="J44" i="13"/>
  <c r="AT39" i="13"/>
  <c r="K39" i="13" s="1"/>
  <c r="AT22" i="13"/>
  <c r="AT28" i="13" s="1"/>
  <c r="AT38" i="13"/>
  <c r="K38" i="13" s="1"/>
  <c r="AT20" i="13"/>
  <c r="AS33" i="13"/>
  <c r="AU15" i="13"/>
  <c r="AU19" i="13"/>
  <c r="AV10" i="13"/>
  <c r="AW8" i="13" s="1"/>
  <c r="AV14" i="13"/>
  <c r="AQ44" i="13"/>
  <c r="AQ42" i="13"/>
  <c r="K22" i="13"/>
  <c r="K20" i="13"/>
  <c r="AJ15" i="9"/>
  <c r="K14" i="9"/>
  <c r="K15" i="9" s="1"/>
  <c r="AO40" i="12"/>
  <c r="BD47" i="13"/>
  <c r="AO33" i="12"/>
  <c r="AN43" i="12"/>
  <c r="AN41" i="12"/>
  <c r="AP15" i="12"/>
  <c r="AP19" i="12"/>
  <c r="AR37" i="13" l="1"/>
  <c r="BJ28" i="19"/>
  <c r="AQ44" i="19"/>
  <c r="AQ42" i="19"/>
  <c r="L42" i="19" s="1"/>
  <c r="AS30" i="19"/>
  <c r="AT29" i="19"/>
  <c r="AS35" i="19"/>
  <c r="AS37" i="19" s="1"/>
  <c r="AR41" i="19"/>
  <c r="AR43" i="19"/>
  <c r="BI33" i="19"/>
  <c r="BK33" i="18"/>
  <c r="AT41" i="18"/>
  <c r="AT43" i="18"/>
  <c r="AT37" i="18"/>
  <c r="AS44" i="18"/>
  <c r="AS42" i="18"/>
  <c r="AU35" i="18"/>
  <c r="AU30" i="18"/>
  <c r="AV29" i="18"/>
  <c r="BM26" i="18"/>
  <c r="BL28" i="18"/>
  <c r="BL33" i="18" s="1"/>
  <c r="AS30" i="13"/>
  <c r="AM24" i="10"/>
  <c r="AO30" i="12"/>
  <c r="AH22" i="10"/>
  <c r="AR41" i="13"/>
  <c r="AR42" i="13" s="1"/>
  <c r="AR43" i="13"/>
  <c r="AT29" i="13"/>
  <c r="AN12" i="10"/>
  <c r="J12" i="10" s="1"/>
  <c r="AS35" i="13"/>
  <c r="AS37" i="13" s="1"/>
  <c r="K40" i="13"/>
  <c r="J53" i="16" s="1"/>
  <c r="K28" i="13"/>
  <c r="AT40" i="13"/>
  <c r="AT33" i="13"/>
  <c r="K33" i="13" s="1"/>
  <c r="AV15" i="13"/>
  <c r="AV19" i="13"/>
  <c r="AU20" i="13"/>
  <c r="AU22" i="13"/>
  <c r="AU28" i="13" s="1"/>
  <c r="AU38" i="13"/>
  <c r="AU39" i="13"/>
  <c r="AW10" i="13"/>
  <c r="AX8" i="13" s="1"/>
  <c r="AW14" i="13"/>
  <c r="AK14" i="9"/>
  <c r="AK10" i="9"/>
  <c r="AL8" i="9" s="1"/>
  <c r="BE47" i="13"/>
  <c r="AP38" i="12"/>
  <c r="AP39" i="12"/>
  <c r="AN42" i="12"/>
  <c r="AN44" i="12"/>
  <c r="AO35" i="12"/>
  <c r="AO37" i="12" s="1"/>
  <c r="AP20" i="12"/>
  <c r="AQ14" i="12"/>
  <c r="L8" i="12"/>
  <c r="L10" i="12" s="1"/>
  <c r="AP22" i="12"/>
  <c r="AP28" i="12" s="1"/>
  <c r="AQ10" i="12"/>
  <c r="AR8" i="12" s="1"/>
  <c r="Q28" i="19" l="1"/>
  <c r="AI10" i="10"/>
  <c r="AS43" i="19"/>
  <c r="AS41" i="19"/>
  <c r="AR42" i="19"/>
  <c r="AR44" i="19"/>
  <c r="AU29" i="19"/>
  <c r="M29" i="19" s="1"/>
  <c r="AT35" i="19"/>
  <c r="AT37" i="19" s="1"/>
  <c r="AT30" i="19"/>
  <c r="BJ33" i="19"/>
  <c r="Q33" i="19" s="1"/>
  <c r="R28" i="18"/>
  <c r="R33" i="18"/>
  <c r="N29" i="18"/>
  <c r="N30" i="18" s="1"/>
  <c r="AV30" i="18"/>
  <c r="AW29" i="18"/>
  <c r="AV35" i="18"/>
  <c r="AU41" i="18"/>
  <c r="AU43" i="18"/>
  <c r="AU37" i="18"/>
  <c r="AT44" i="18"/>
  <c r="AT42" i="18"/>
  <c r="BN26" i="18"/>
  <c r="BM28" i="18"/>
  <c r="BM33" i="18" s="1"/>
  <c r="AT30" i="13"/>
  <c r="AN24" i="10"/>
  <c r="J24" i="10" s="1"/>
  <c r="AR44" i="13"/>
  <c r="K29" i="13"/>
  <c r="AS43" i="13"/>
  <c r="AS41" i="13"/>
  <c r="AS44" i="13" s="1"/>
  <c r="K32" i="13"/>
  <c r="AU40" i="13"/>
  <c r="AT35" i="13"/>
  <c r="AT37" i="13" s="1"/>
  <c r="K37" i="13" s="1"/>
  <c r="AU33" i="13"/>
  <c r="AX10" i="13"/>
  <c r="AX14" i="13"/>
  <c r="L8" i="13"/>
  <c r="L10" i="13" s="1"/>
  <c r="AU29" i="13"/>
  <c r="AW15" i="13"/>
  <c r="AW19" i="13"/>
  <c r="AV20" i="13"/>
  <c r="AV38" i="13"/>
  <c r="AV39" i="13"/>
  <c r="AV22" i="13"/>
  <c r="AV28" i="13" s="1"/>
  <c r="AK15" i="9"/>
  <c r="AP40" i="12"/>
  <c r="BF47" i="13"/>
  <c r="N47" i="13" s="1"/>
  <c r="AO43" i="12"/>
  <c r="AO41" i="12"/>
  <c r="AP33" i="12"/>
  <c r="AP29" i="12"/>
  <c r="AQ15" i="12"/>
  <c r="L14" i="12"/>
  <c r="AQ19" i="12"/>
  <c r="AI22" i="10" l="1"/>
  <c r="K35" i="13"/>
  <c r="K43" i="13" s="1"/>
  <c r="M30" i="19"/>
  <c r="AT43" i="19"/>
  <c r="AT41" i="19"/>
  <c r="AU35" i="19"/>
  <c r="AV29" i="19"/>
  <c r="AU30" i="19"/>
  <c r="AS42" i="19"/>
  <c r="AS44" i="19"/>
  <c r="N35" i="18"/>
  <c r="AV41" i="18"/>
  <c r="AV43" i="18"/>
  <c r="AV37" i="18"/>
  <c r="N37" i="18" s="1"/>
  <c r="AW35" i="18"/>
  <c r="AW30" i="18"/>
  <c r="AX29" i="18"/>
  <c r="AU44" i="18"/>
  <c r="AU42" i="18"/>
  <c r="BO26" i="18"/>
  <c r="BN28" i="18"/>
  <c r="BN33" i="18" s="1"/>
  <c r="K30" i="13"/>
  <c r="AS42" i="13"/>
  <c r="AV40" i="13"/>
  <c r="AT43" i="13"/>
  <c r="AT41" i="13"/>
  <c r="AT42" i="13" s="1"/>
  <c r="L14" i="13"/>
  <c r="L15" i="13" s="1"/>
  <c r="AX19" i="13"/>
  <c r="L19" i="13" s="1"/>
  <c r="AX15" i="13"/>
  <c r="AV33" i="13"/>
  <c r="AW39" i="13"/>
  <c r="AW20" i="13"/>
  <c r="AW22" i="13"/>
  <c r="AW28" i="13" s="1"/>
  <c r="AW38" i="13"/>
  <c r="AU30" i="13"/>
  <c r="AU35" i="13"/>
  <c r="AV29" i="13"/>
  <c r="AY8" i="13"/>
  <c r="AY10" i="13" s="1"/>
  <c r="AZ8" i="13" s="1"/>
  <c r="AL10" i="9"/>
  <c r="AM8" i="9" s="1"/>
  <c r="AL14" i="9"/>
  <c r="BG47" i="13"/>
  <c r="AP35" i="12"/>
  <c r="AP37" i="12" s="1"/>
  <c r="AP30" i="12"/>
  <c r="AO42" i="12"/>
  <c r="AO44" i="12"/>
  <c r="AQ38" i="12"/>
  <c r="AQ39" i="12"/>
  <c r="AQ20" i="12"/>
  <c r="L19" i="12"/>
  <c r="AR14" i="12"/>
  <c r="AQ22" i="12"/>
  <c r="AQ28" i="12" s="1"/>
  <c r="N28" i="12" s="1"/>
  <c r="AR10" i="12"/>
  <c r="AS8" i="12" s="1"/>
  <c r="AU37" i="13" l="1"/>
  <c r="M35" i="19"/>
  <c r="M43" i="19" s="1"/>
  <c r="AU37" i="19"/>
  <c r="M37" i="19" s="1"/>
  <c r="AU41" i="19"/>
  <c r="M41" i="19" s="1"/>
  <c r="M44" i="19" s="1"/>
  <c r="AU43" i="19"/>
  <c r="AV30" i="19"/>
  <c r="AW29" i="19"/>
  <c r="AV35" i="19"/>
  <c r="AV37" i="19" s="1"/>
  <c r="AT44" i="19"/>
  <c r="AT42" i="19"/>
  <c r="AX30" i="18"/>
  <c r="AY29" i="18"/>
  <c r="AX35" i="18"/>
  <c r="N41" i="18"/>
  <c r="AV44" i="18"/>
  <c r="AV42" i="18"/>
  <c r="N42" i="18" s="1"/>
  <c r="AW37" i="18"/>
  <c r="AW43" i="18"/>
  <c r="AW41" i="18"/>
  <c r="BP26" i="18"/>
  <c r="BP28" i="18" s="1"/>
  <c r="BP33" i="18" s="1"/>
  <c r="BO28" i="18"/>
  <c r="BO33" i="18" s="1"/>
  <c r="K41" i="13"/>
  <c r="AQ29" i="12"/>
  <c r="N29" i="12" s="1"/>
  <c r="AJ10" i="10"/>
  <c r="I10" i="10" s="1"/>
  <c r="AT44" i="13"/>
  <c r="AX38" i="13"/>
  <c r="L38" i="13" s="1"/>
  <c r="AX39" i="13"/>
  <c r="L39" i="13" s="1"/>
  <c r="AX22" i="13"/>
  <c r="AX28" i="13" s="1"/>
  <c r="AX20" i="13"/>
  <c r="AY14" i="13"/>
  <c r="AU43" i="13"/>
  <c r="AU41" i="13"/>
  <c r="AW33" i="13"/>
  <c r="AZ10" i="13"/>
  <c r="BA8" i="13" s="1"/>
  <c r="AZ14" i="13"/>
  <c r="L20" i="13"/>
  <c r="L22" i="13"/>
  <c r="AV35" i="13"/>
  <c r="AV37" i="13" s="1"/>
  <c r="AW29" i="13"/>
  <c r="AV30" i="13"/>
  <c r="AW40" i="13"/>
  <c r="AL15" i="9"/>
  <c r="L40" i="12"/>
  <c r="I51" i="16" s="1"/>
  <c r="BH47" i="13"/>
  <c r="AQ40" i="12"/>
  <c r="AQ33" i="12"/>
  <c r="N33" i="12" s="1"/>
  <c r="AP43" i="12"/>
  <c r="AP41" i="12"/>
  <c r="L20" i="12"/>
  <c r="L22" i="12"/>
  <c r="AR15" i="12"/>
  <c r="AS10" i="12"/>
  <c r="AT8" i="12" s="1"/>
  <c r="AR19" i="12"/>
  <c r="I65" i="6"/>
  <c r="I67" i="6" s="1"/>
  <c r="B59" i="6"/>
  <c r="J54" i="6"/>
  <c r="I54" i="6"/>
  <c r="H54" i="6"/>
  <c r="G54" i="6"/>
  <c r="F54" i="6"/>
  <c r="E54" i="6"/>
  <c r="D54" i="6"/>
  <c r="C54" i="6"/>
  <c r="B54" i="6"/>
  <c r="B53" i="6"/>
  <c r="C49" i="6"/>
  <c r="C53" i="6" s="1"/>
  <c r="B49" i="6"/>
  <c r="F42" i="6"/>
  <c r="F55" i="6" s="1"/>
  <c r="J41" i="6"/>
  <c r="I41" i="6"/>
  <c r="H41" i="6"/>
  <c r="G41" i="6"/>
  <c r="F41" i="6"/>
  <c r="E41" i="6"/>
  <c r="D41" i="6"/>
  <c r="C41" i="6"/>
  <c r="B41" i="6"/>
  <c r="J40" i="6"/>
  <c r="J42" i="6" s="1"/>
  <c r="J55" i="6" s="1"/>
  <c r="I40" i="6"/>
  <c r="I42" i="6" s="1"/>
  <c r="I55" i="6" s="1"/>
  <c r="H40" i="6"/>
  <c r="H42" i="6" s="1"/>
  <c r="H55" i="6" s="1"/>
  <c r="G40" i="6"/>
  <c r="F40" i="6"/>
  <c r="E40" i="6"/>
  <c r="E42" i="6" s="1"/>
  <c r="E55" i="6" s="1"/>
  <c r="D40" i="6"/>
  <c r="D42" i="6" s="1"/>
  <c r="D55" i="6" s="1"/>
  <c r="C40" i="6"/>
  <c r="B40" i="6"/>
  <c r="B42" i="6" s="1"/>
  <c r="J20" i="6"/>
  <c r="I20" i="6"/>
  <c r="H20" i="6"/>
  <c r="G20" i="6"/>
  <c r="F20" i="6"/>
  <c r="M15" i="2" s="1"/>
  <c r="E20" i="6"/>
  <c r="L15" i="2" s="1"/>
  <c r="D20" i="6"/>
  <c r="K15" i="2" s="1"/>
  <c r="C20" i="6"/>
  <c r="B20" i="6"/>
  <c r="J19" i="6"/>
  <c r="I19" i="6"/>
  <c r="H19" i="6"/>
  <c r="G19" i="6"/>
  <c r="F19" i="6"/>
  <c r="E19" i="6"/>
  <c r="D19" i="6"/>
  <c r="C19" i="6"/>
  <c r="B19" i="6"/>
  <c r="J8" i="6"/>
  <c r="J39" i="6" s="1"/>
  <c r="I8" i="6"/>
  <c r="I39" i="6" s="1"/>
  <c r="H8" i="6"/>
  <c r="H39" i="6" s="1"/>
  <c r="G8" i="6"/>
  <c r="G39" i="6" s="1"/>
  <c r="F8" i="6"/>
  <c r="F39" i="6" s="1"/>
  <c r="E8" i="6"/>
  <c r="E39" i="6" s="1"/>
  <c r="D8" i="6"/>
  <c r="D39" i="6" s="1"/>
  <c r="C8" i="6"/>
  <c r="C39" i="6" s="1"/>
  <c r="B8" i="6"/>
  <c r="B39" i="6" s="1"/>
  <c r="B3" i="6"/>
  <c r="I30" i="2"/>
  <c r="C16" i="6"/>
  <c r="C43" i="6" s="1"/>
  <c r="B16" i="6"/>
  <c r="B43" i="6" s="1"/>
  <c r="C9" i="6"/>
  <c r="B9" i="6"/>
  <c r="I3" i="2" s="1"/>
  <c r="M38" i="2"/>
  <c r="L38" i="2"/>
  <c r="K38" i="2"/>
  <c r="J38" i="2"/>
  <c r="I38" i="2"/>
  <c r="M37" i="2"/>
  <c r="L37" i="2"/>
  <c r="K37" i="2"/>
  <c r="I37" i="2"/>
  <c r="F41" i="2"/>
  <c r="E41" i="2"/>
  <c r="D41" i="2"/>
  <c r="C41" i="2"/>
  <c r="B41" i="2"/>
  <c r="M36" i="2"/>
  <c r="L36" i="2"/>
  <c r="K36" i="2"/>
  <c r="J36" i="2"/>
  <c r="I36" i="2"/>
  <c r="M35" i="2"/>
  <c r="L35" i="2"/>
  <c r="K35" i="2"/>
  <c r="J35" i="2"/>
  <c r="I35" i="2"/>
  <c r="M34" i="2"/>
  <c r="L34" i="2"/>
  <c r="K34" i="2"/>
  <c r="J34" i="2"/>
  <c r="I34" i="2"/>
  <c r="M32" i="2"/>
  <c r="L32" i="2"/>
  <c r="K32" i="2"/>
  <c r="J32" i="2"/>
  <c r="I32" i="2"/>
  <c r="M31" i="2"/>
  <c r="L31" i="2"/>
  <c r="K31" i="2"/>
  <c r="J31" i="2"/>
  <c r="I31" i="2"/>
  <c r="M28" i="2"/>
  <c r="L28" i="2"/>
  <c r="K28" i="2"/>
  <c r="J28" i="2"/>
  <c r="I28" i="2"/>
  <c r="F30" i="2"/>
  <c r="E30" i="2"/>
  <c r="D30" i="2"/>
  <c r="C30" i="2"/>
  <c r="B30" i="2"/>
  <c r="M25" i="2"/>
  <c r="L25" i="2"/>
  <c r="K25" i="2"/>
  <c r="J25" i="2"/>
  <c r="I25" i="2"/>
  <c r="M24" i="2"/>
  <c r="L24" i="2"/>
  <c r="K24" i="2"/>
  <c r="J24" i="2"/>
  <c r="I24" i="2"/>
  <c r="M23" i="2"/>
  <c r="L23" i="2"/>
  <c r="K23" i="2"/>
  <c r="J23" i="2"/>
  <c r="I23" i="2"/>
  <c r="F27" i="2"/>
  <c r="E27" i="2"/>
  <c r="D27" i="2"/>
  <c r="C27" i="2"/>
  <c r="I22" i="2"/>
  <c r="M21" i="2"/>
  <c r="L21" i="2"/>
  <c r="K21" i="2"/>
  <c r="J21" i="2"/>
  <c r="I21" i="2"/>
  <c r="F25" i="2"/>
  <c r="E25" i="2"/>
  <c r="D25" i="2"/>
  <c r="C25" i="2"/>
  <c r="F23" i="2"/>
  <c r="E23" i="2"/>
  <c r="D23" i="2"/>
  <c r="C23" i="2"/>
  <c r="B23" i="2"/>
  <c r="M17" i="2"/>
  <c r="L17" i="2"/>
  <c r="K17" i="2"/>
  <c r="J17" i="2"/>
  <c r="I17" i="2"/>
  <c r="J16" i="2"/>
  <c r="I16" i="2"/>
  <c r="J15" i="2"/>
  <c r="I15" i="2"/>
  <c r="I14" i="2"/>
  <c r="I12" i="2"/>
  <c r="F16" i="2"/>
  <c r="E16" i="2"/>
  <c r="D16" i="2"/>
  <c r="C16" i="2"/>
  <c r="F13" i="2"/>
  <c r="E13" i="2"/>
  <c r="D13" i="2"/>
  <c r="C13" i="2"/>
  <c r="M8" i="2"/>
  <c r="L8" i="2"/>
  <c r="K8" i="2"/>
  <c r="J8" i="2"/>
  <c r="I8" i="2"/>
  <c r="K7" i="2"/>
  <c r="J7" i="2"/>
  <c r="I7" i="2"/>
  <c r="F11" i="2"/>
  <c r="E11" i="2"/>
  <c r="D11" i="2"/>
  <c r="C11" i="2"/>
  <c r="B11" i="2"/>
  <c r="J3" i="2"/>
  <c r="J12" i="2" l="1"/>
  <c r="G42" i="6"/>
  <c r="G55" i="6" s="1"/>
  <c r="J4" i="2"/>
  <c r="C42" i="6"/>
  <c r="C55" i="6" s="1"/>
  <c r="C10" i="6"/>
  <c r="I26" i="2"/>
  <c r="B37" i="2" s="1"/>
  <c r="AV41" i="19"/>
  <c r="AV43" i="19"/>
  <c r="AW30" i="19"/>
  <c r="AX29" i="19"/>
  <c r="AW35" i="19"/>
  <c r="AW37" i="19" s="1"/>
  <c r="AU44" i="19"/>
  <c r="AU42" i="19"/>
  <c r="M42" i="19" s="1"/>
  <c r="AX41" i="18"/>
  <c r="AX43" i="18"/>
  <c r="AX37" i="18"/>
  <c r="AY30" i="18"/>
  <c r="AZ29" i="18"/>
  <c r="O29" i="18" s="1"/>
  <c r="O30" i="18" s="1"/>
  <c r="AY35" i="18"/>
  <c r="AW42" i="18"/>
  <c r="AW44" i="18"/>
  <c r="L32" i="12"/>
  <c r="AQ30" i="12"/>
  <c r="AJ22" i="10"/>
  <c r="I22" i="10" s="1"/>
  <c r="K42" i="13"/>
  <c r="K44" i="13"/>
  <c r="L40" i="13"/>
  <c r="AX40" i="13"/>
  <c r="AW35" i="13"/>
  <c r="AW37" i="13" s="1"/>
  <c r="AW30" i="13"/>
  <c r="AX29" i="13"/>
  <c r="AY19" i="13"/>
  <c r="AY20" i="13" s="1"/>
  <c r="AY15" i="13"/>
  <c r="AZ15" i="13" s="1"/>
  <c r="AV43" i="13"/>
  <c r="AV41" i="13"/>
  <c r="BA10" i="13"/>
  <c r="BB8" i="13" s="1"/>
  <c r="BA14" i="13"/>
  <c r="AU44" i="13"/>
  <c r="AU42" i="13"/>
  <c r="AZ19" i="13"/>
  <c r="L28" i="13"/>
  <c r="AX33" i="13"/>
  <c r="L33" i="13" s="1"/>
  <c r="AM10" i="9"/>
  <c r="AN8" i="9" s="1"/>
  <c r="AM14" i="9"/>
  <c r="BI47" i="13"/>
  <c r="AP42" i="12"/>
  <c r="AP44" i="12"/>
  <c r="AQ35" i="12"/>
  <c r="AQ37" i="12" s="1"/>
  <c r="AR38" i="12"/>
  <c r="AR39" i="12"/>
  <c r="AR20" i="12"/>
  <c r="AT10" i="12"/>
  <c r="AT14" i="12"/>
  <c r="AR22" i="12"/>
  <c r="AR28" i="12" s="1"/>
  <c r="AS14" i="12"/>
  <c r="C11" i="6"/>
  <c r="C45" i="6"/>
  <c r="E9" i="6"/>
  <c r="K30" i="2"/>
  <c r="B45" i="6"/>
  <c r="B11" i="6"/>
  <c r="B10" i="6"/>
  <c r="J30" i="2"/>
  <c r="J37" i="2"/>
  <c r="B55" i="6"/>
  <c r="B44" i="6"/>
  <c r="J65" i="6"/>
  <c r="C44" i="6" l="1"/>
  <c r="AK10" i="10"/>
  <c r="AW43" i="19"/>
  <c r="AW41" i="19"/>
  <c r="AV42" i="19"/>
  <c r="AV44" i="19"/>
  <c r="AY29" i="19"/>
  <c r="N29" i="19" s="1"/>
  <c r="N30" i="19" s="1"/>
  <c r="AX35" i="19"/>
  <c r="AX37" i="19" s="1"/>
  <c r="AX30" i="19"/>
  <c r="AY43" i="18"/>
  <c r="AY37" i="18"/>
  <c r="AY41" i="18"/>
  <c r="BA29" i="18"/>
  <c r="AZ35" i="18"/>
  <c r="O35" i="18" s="1"/>
  <c r="O43" i="18" s="1"/>
  <c r="AZ30" i="18"/>
  <c r="AX42" i="18"/>
  <c r="AX44" i="18"/>
  <c r="L30" i="12"/>
  <c r="L35" i="12"/>
  <c r="L43" i="12" s="1"/>
  <c r="L32" i="13"/>
  <c r="AZ38" i="13"/>
  <c r="AZ22" i="13"/>
  <c r="AZ28" i="13" s="1"/>
  <c r="AZ39" i="13"/>
  <c r="AZ20" i="13"/>
  <c r="L29" i="13"/>
  <c r="AX35" i="13"/>
  <c r="AX37" i="13" s="1"/>
  <c r="L37" i="13" s="1"/>
  <c r="AX30" i="13"/>
  <c r="AV42" i="13"/>
  <c r="AV44" i="13"/>
  <c r="AY38" i="13"/>
  <c r="AY39" i="13"/>
  <c r="AY22" i="13"/>
  <c r="AY28" i="13" s="1"/>
  <c r="BA19" i="13"/>
  <c r="BA15" i="13"/>
  <c r="BB10" i="13"/>
  <c r="BB14" i="13"/>
  <c r="M8" i="13"/>
  <c r="M10" i="13" s="1"/>
  <c r="AW43" i="13"/>
  <c r="AW41" i="13"/>
  <c r="AU8" i="12"/>
  <c r="M8" i="12" s="1"/>
  <c r="M10" i="12" s="1"/>
  <c r="AM15" i="9"/>
  <c r="BJ47" i="13"/>
  <c r="AR40" i="12"/>
  <c r="AR33" i="12"/>
  <c r="AR29" i="12"/>
  <c r="AQ43" i="12"/>
  <c r="AQ41" i="12"/>
  <c r="AS15" i="12"/>
  <c r="AT15" i="12" s="1"/>
  <c r="AT19" i="12"/>
  <c r="AS19" i="12"/>
  <c r="AU10" i="12"/>
  <c r="AV8" i="12" s="1"/>
  <c r="L30" i="2"/>
  <c r="B13" i="6"/>
  <c r="C13" i="6"/>
  <c r="B12" i="6"/>
  <c r="I6" i="2"/>
  <c r="I5" i="2" s="1"/>
  <c r="B4" i="6"/>
  <c r="B34" i="6"/>
  <c r="F9" i="6"/>
  <c r="J67" i="6"/>
  <c r="K65" i="6"/>
  <c r="D9" i="6"/>
  <c r="E10" i="6" s="1"/>
  <c r="D16" i="6"/>
  <c r="E45" i="6"/>
  <c r="L3" i="2"/>
  <c r="C12" i="6"/>
  <c r="J6" i="2"/>
  <c r="J5" i="2" s="1"/>
  <c r="AK22" i="10" l="1"/>
  <c r="L35" i="13"/>
  <c r="AU14" i="12"/>
  <c r="M14" i="12" s="1"/>
  <c r="AY29" i="13"/>
  <c r="AZ29" i="13" s="1"/>
  <c r="AX43" i="19"/>
  <c r="AX41" i="19"/>
  <c r="AW42" i="19"/>
  <c r="AW44" i="19"/>
  <c r="AY35" i="19"/>
  <c r="AZ29" i="19"/>
  <c r="AY30" i="19"/>
  <c r="BA30" i="18"/>
  <c r="BA35" i="18"/>
  <c r="BB29" i="18"/>
  <c r="AY44" i="18"/>
  <c r="AY42" i="18"/>
  <c r="N43" i="18"/>
  <c r="AZ43" i="18"/>
  <c r="AZ37" i="18"/>
  <c r="O37" i="18" s="1"/>
  <c r="AZ41" i="18"/>
  <c r="O41" i="18" s="1"/>
  <c r="O44" i="18" s="1"/>
  <c r="L41" i="12"/>
  <c r="L44" i="12" s="1"/>
  <c r="L37" i="12"/>
  <c r="O47" i="13"/>
  <c r="BK47" i="13"/>
  <c r="AY40" i="13"/>
  <c r="AX43" i="13"/>
  <c r="AX41" i="13"/>
  <c r="AW44" i="13"/>
  <c r="AW42" i="13"/>
  <c r="BA20" i="13"/>
  <c r="BA22" i="13"/>
  <c r="BA28" i="13" s="1"/>
  <c r="BA38" i="13"/>
  <c r="BA39" i="13"/>
  <c r="AZ33" i="13"/>
  <c r="BB15" i="13"/>
  <c r="BB19" i="13"/>
  <c r="AY33" i="13"/>
  <c r="L30" i="13"/>
  <c r="AZ40" i="13"/>
  <c r="BC8" i="13"/>
  <c r="BC14" i="13" s="1"/>
  <c r="M14" i="13"/>
  <c r="M15" i="13" s="1"/>
  <c r="AN10" i="9"/>
  <c r="AO8" i="9" s="1"/>
  <c r="AN14" i="9"/>
  <c r="L8" i="9"/>
  <c r="L10" i="9" s="1"/>
  <c r="AT38" i="12"/>
  <c r="AT39" i="12"/>
  <c r="AR35" i="12"/>
  <c r="AR37" i="12" s="1"/>
  <c r="AR30" i="12"/>
  <c r="AS38" i="12"/>
  <c r="AS39" i="12"/>
  <c r="AQ42" i="12"/>
  <c r="AQ44" i="12"/>
  <c r="AS20" i="12"/>
  <c r="AT20" i="12" s="1"/>
  <c r="AU15" i="12"/>
  <c r="AV10" i="12"/>
  <c r="AW8" i="12" s="1"/>
  <c r="AV14" i="12"/>
  <c r="AS22" i="12"/>
  <c r="AS28" i="12" s="1"/>
  <c r="AU19" i="12"/>
  <c r="AT22" i="12"/>
  <c r="AT28" i="12" s="1"/>
  <c r="E16" i="6"/>
  <c r="L7" i="2"/>
  <c r="D45" i="6"/>
  <c r="D10" i="6"/>
  <c r="D11" i="6"/>
  <c r="K3" i="2"/>
  <c r="K4" i="2" s="1"/>
  <c r="B60" i="6"/>
  <c r="B6" i="6"/>
  <c r="B29" i="6" s="1"/>
  <c r="B17" i="6"/>
  <c r="B46" i="6"/>
  <c r="B14" i="6"/>
  <c r="B15" i="6"/>
  <c r="I9" i="2"/>
  <c r="B38" i="2"/>
  <c r="D43" i="6"/>
  <c r="D44" i="6" s="1"/>
  <c r="K12" i="2"/>
  <c r="K67" i="6"/>
  <c r="L65" i="6"/>
  <c r="F45" i="6"/>
  <c r="F10" i="6"/>
  <c r="M3" i="2"/>
  <c r="M4" i="2" s="1"/>
  <c r="G9" i="6"/>
  <c r="D13" i="6"/>
  <c r="C18" i="6"/>
  <c r="J14" i="2" s="1"/>
  <c r="C46" i="6"/>
  <c r="C17" i="6"/>
  <c r="C14" i="6"/>
  <c r="C15" i="6"/>
  <c r="C38" i="2"/>
  <c r="J9" i="2"/>
  <c r="L4" i="2" l="1"/>
  <c r="N35" i="19"/>
  <c r="N43" i="19" s="1"/>
  <c r="AY37" i="19"/>
  <c r="N37" i="19" s="1"/>
  <c r="AM10" i="10"/>
  <c r="AL10" i="10"/>
  <c r="AY30" i="13"/>
  <c r="AY41" i="19"/>
  <c r="N41" i="19" s="1"/>
  <c r="N44" i="19" s="1"/>
  <c r="AY43" i="19"/>
  <c r="AX44" i="19"/>
  <c r="AX42" i="19"/>
  <c r="AZ30" i="19"/>
  <c r="AZ35" i="19"/>
  <c r="AZ37" i="19" s="1"/>
  <c r="BA29" i="19"/>
  <c r="BB30" i="18"/>
  <c r="BB35" i="18"/>
  <c r="BC29" i="18"/>
  <c r="BA43" i="18"/>
  <c r="BA37" i="18"/>
  <c r="BA41" i="18"/>
  <c r="N44" i="18"/>
  <c r="AZ44" i="18"/>
  <c r="AZ42" i="18"/>
  <c r="O42" i="18" s="1"/>
  <c r="AY35" i="13"/>
  <c r="L42" i="12"/>
  <c r="BL47" i="13"/>
  <c r="P47" i="13"/>
  <c r="BC10" i="13"/>
  <c r="BD8" i="13" s="1"/>
  <c r="BD14" i="13" s="1"/>
  <c r="L41" i="13"/>
  <c r="L43" i="13"/>
  <c r="BB39" i="13"/>
  <c r="M39" i="13" s="1"/>
  <c r="BB22" i="13"/>
  <c r="BB28" i="13" s="1"/>
  <c r="BB20" i="13"/>
  <c r="BB38" i="13"/>
  <c r="M38" i="13" s="1"/>
  <c r="M19" i="13"/>
  <c r="BC15" i="13"/>
  <c r="BC19" i="13"/>
  <c r="BA40" i="13"/>
  <c r="BD10" i="13"/>
  <c r="BE8" i="13" s="1"/>
  <c r="BA33" i="13"/>
  <c r="AZ35" i="13"/>
  <c r="AZ37" i="13" s="1"/>
  <c r="BA29" i="13"/>
  <c r="AZ30" i="13"/>
  <c r="AX44" i="13"/>
  <c r="AX42" i="13"/>
  <c r="AN15" i="9"/>
  <c r="L14" i="9"/>
  <c r="L15" i="9" s="1"/>
  <c r="AS40" i="12"/>
  <c r="AT33" i="12"/>
  <c r="AU38" i="12"/>
  <c r="AU39" i="12"/>
  <c r="AR41" i="12"/>
  <c r="AR43" i="12"/>
  <c r="AS33" i="12"/>
  <c r="AS29" i="12"/>
  <c r="AT40" i="12"/>
  <c r="M19" i="12"/>
  <c r="AU20" i="12"/>
  <c r="AV15" i="12"/>
  <c r="AW10" i="12"/>
  <c r="AX8" i="12" s="1"/>
  <c r="AW14" i="12"/>
  <c r="AU22" i="12"/>
  <c r="AU28" i="12" s="1"/>
  <c r="O28" i="12" s="1"/>
  <c r="AV19" i="12"/>
  <c r="B22" i="6"/>
  <c r="B24" i="6"/>
  <c r="I13" i="2"/>
  <c r="B34" i="2" s="1"/>
  <c r="D29" i="6"/>
  <c r="C29" i="6"/>
  <c r="G10" i="6"/>
  <c r="G45" i="6"/>
  <c r="E43" i="6"/>
  <c r="E44" i="6" s="1"/>
  <c r="L12" i="2"/>
  <c r="H9" i="6"/>
  <c r="H63" i="6"/>
  <c r="C48" i="6"/>
  <c r="C47" i="6"/>
  <c r="C52" i="6"/>
  <c r="C56" i="6" s="1"/>
  <c r="M30" i="2"/>
  <c r="D15" i="6"/>
  <c r="D46" i="6"/>
  <c r="D17" i="6"/>
  <c r="D14" i="6"/>
  <c r="K9" i="2"/>
  <c r="M7" i="2"/>
  <c r="L67" i="6"/>
  <c r="H72" i="6" s="1"/>
  <c r="M65" i="6"/>
  <c r="M67" i="6" s="1"/>
  <c r="E11" i="6"/>
  <c r="D12" i="6"/>
  <c r="K6" i="2"/>
  <c r="K5" i="2" s="1"/>
  <c r="J10" i="2"/>
  <c r="C32" i="2"/>
  <c r="C33" i="2"/>
  <c r="J11" i="2"/>
  <c r="C24" i="6"/>
  <c r="C22" i="6"/>
  <c r="J13" i="2"/>
  <c r="C34" i="2" s="1"/>
  <c r="B33" i="2"/>
  <c r="I11" i="2"/>
  <c r="B32" i="2"/>
  <c r="B48" i="6"/>
  <c r="B47" i="6"/>
  <c r="B52" i="6"/>
  <c r="B56" i="6" s="1"/>
  <c r="AL22" i="10" l="1"/>
  <c r="BB33" i="13"/>
  <c r="M33" i="13" s="1"/>
  <c r="AY43" i="13"/>
  <c r="AY37" i="13"/>
  <c r="AY44" i="19"/>
  <c r="AY42" i="19"/>
  <c r="N42" i="19" s="1"/>
  <c r="BA30" i="19"/>
  <c r="BB29" i="19"/>
  <c r="BA35" i="19"/>
  <c r="BA37" i="19" s="1"/>
  <c r="AZ41" i="19"/>
  <c r="AZ43" i="19"/>
  <c r="BC35" i="18"/>
  <c r="BD29" i="18"/>
  <c r="P29" i="18" s="1"/>
  <c r="P30" i="18" s="1"/>
  <c r="BC30" i="18"/>
  <c r="BA42" i="18"/>
  <c r="BA44" i="18"/>
  <c r="BB37" i="18"/>
  <c r="BB41" i="18"/>
  <c r="BB43" i="18"/>
  <c r="AY41" i="13"/>
  <c r="AY44" i="13" s="1"/>
  <c r="AN10" i="10"/>
  <c r="J10" i="10" s="1"/>
  <c r="M40" i="13"/>
  <c r="BE10" i="13"/>
  <c r="BF8" i="13" s="1"/>
  <c r="N8" i="13" s="1"/>
  <c r="N10" i="13" s="1"/>
  <c r="BE14" i="13"/>
  <c r="AZ43" i="13"/>
  <c r="AZ41" i="13"/>
  <c r="M22" i="13"/>
  <c r="M20" i="13"/>
  <c r="M28" i="13"/>
  <c r="BB40" i="13"/>
  <c r="BA30" i="13"/>
  <c r="BA35" i="13"/>
  <c r="BA37" i="13" s="1"/>
  <c r="BB29" i="13"/>
  <c r="M29" i="13" s="1"/>
  <c r="L44" i="13"/>
  <c r="L42" i="13"/>
  <c r="BD15" i="13"/>
  <c r="BD19" i="13"/>
  <c r="BC38" i="13"/>
  <c r="BC39" i="13"/>
  <c r="BC22" i="13"/>
  <c r="BC28" i="13" s="1"/>
  <c r="BC20" i="13"/>
  <c r="AO14" i="9"/>
  <c r="AO10" i="9"/>
  <c r="AP8" i="9" s="1"/>
  <c r="M40" i="12"/>
  <c r="J51" i="16" s="1"/>
  <c r="AV39" i="12"/>
  <c r="AV38" i="12"/>
  <c r="AU40" i="12"/>
  <c r="AU33" i="12"/>
  <c r="O33" i="12" s="1"/>
  <c r="AS35" i="12"/>
  <c r="AS37" i="12" s="1"/>
  <c r="AT29" i="12"/>
  <c r="AM22" i="10" s="1"/>
  <c r="AS30" i="12"/>
  <c r="AR44" i="12"/>
  <c r="AR42" i="12"/>
  <c r="M20" i="12"/>
  <c r="M22" i="12"/>
  <c r="AV20" i="12"/>
  <c r="AW15" i="12"/>
  <c r="AX10" i="12"/>
  <c r="AX14" i="12"/>
  <c r="AV22" i="12"/>
  <c r="AV28" i="12" s="1"/>
  <c r="AW19" i="12"/>
  <c r="C26" i="6"/>
  <c r="C36" i="6"/>
  <c r="C25" i="6"/>
  <c r="C33" i="6"/>
  <c r="C36" i="2" s="1"/>
  <c r="J18" i="2"/>
  <c r="J29" i="2"/>
  <c r="C30" i="6"/>
  <c r="C31" i="6" s="1"/>
  <c r="I9" i="6"/>
  <c r="E12" i="6"/>
  <c r="L6" i="2"/>
  <c r="L5" i="2" s="1"/>
  <c r="F16" i="6"/>
  <c r="H45" i="6"/>
  <c r="H10" i="6"/>
  <c r="D47" i="6"/>
  <c r="D52" i="6"/>
  <c r="I63" i="6"/>
  <c r="I64" i="6" s="1"/>
  <c r="D48" i="6"/>
  <c r="B36" i="6"/>
  <c r="B25" i="6"/>
  <c r="B33" i="6"/>
  <c r="B36" i="2" s="1"/>
  <c r="B26" i="6"/>
  <c r="I18" i="2"/>
  <c r="I29" i="2"/>
  <c r="B30" i="6"/>
  <c r="F11" i="6"/>
  <c r="J9" i="6"/>
  <c r="E13" i="6"/>
  <c r="D32" i="2"/>
  <c r="D33" i="2"/>
  <c r="K11" i="2"/>
  <c r="K10" i="2"/>
  <c r="K13" i="2"/>
  <c r="D34" i="2" s="1"/>
  <c r="AZ42" i="19" l="1"/>
  <c r="AZ44" i="19"/>
  <c r="BC29" i="19"/>
  <c r="O29" i="19" s="1"/>
  <c r="BB35" i="19"/>
  <c r="BB37" i="19" s="1"/>
  <c r="BB30" i="19"/>
  <c r="BA43" i="19"/>
  <c r="BA41" i="19"/>
  <c r="BB42" i="18"/>
  <c r="BB44" i="18"/>
  <c r="BD35" i="18"/>
  <c r="P35" i="18" s="1"/>
  <c r="P43" i="18" s="1"/>
  <c r="BD30" i="18"/>
  <c r="BE29" i="18"/>
  <c r="BC37" i="18"/>
  <c r="BC41" i="18"/>
  <c r="BC43" i="18"/>
  <c r="M32" i="12"/>
  <c r="AY42" i="13"/>
  <c r="M32" i="13"/>
  <c r="M30" i="13"/>
  <c r="BD20" i="13"/>
  <c r="BA41" i="13"/>
  <c r="BA43" i="13"/>
  <c r="BE15" i="13"/>
  <c r="BE19" i="13"/>
  <c r="BD38" i="13"/>
  <c r="BD22" i="13"/>
  <c r="BD28" i="13" s="1"/>
  <c r="BD39" i="13"/>
  <c r="BC40" i="13"/>
  <c r="BC29" i="13"/>
  <c r="BB35" i="13"/>
  <c r="BB37" i="13" s="1"/>
  <c r="M37" i="13" s="1"/>
  <c r="BB30" i="13"/>
  <c r="BC33" i="13"/>
  <c r="AZ44" i="13"/>
  <c r="AZ42" i="13"/>
  <c r="BF14" i="13"/>
  <c r="BF10" i="13"/>
  <c r="AY8" i="12"/>
  <c r="AY14" i="12" s="1"/>
  <c r="AO15" i="9"/>
  <c r="AT35" i="12"/>
  <c r="AT37" i="12" s="1"/>
  <c r="AU29" i="12"/>
  <c r="O29" i="12" s="1"/>
  <c r="AT30" i="12"/>
  <c r="AW38" i="12"/>
  <c r="AW39" i="12"/>
  <c r="AS41" i="12"/>
  <c r="AS43" i="12"/>
  <c r="AV33" i="12"/>
  <c r="AV40" i="12"/>
  <c r="AW20" i="12"/>
  <c r="AX15" i="12"/>
  <c r="AW22" i="12"/>
  <c r="AW28" i="12" s="1"/>
  <c r="AX19" i="12"/>
  <c r="AY10" i="12"/>
  <c r="N8" i="12"/>
  <c r="N10" i="12" s="1"/>
  <c r="F43" i="6"/>
  <c r="F44" i="6" s="1"/>
  <c r="M12" i="2"/>
  <c r="C31" i="2"/>
  <c r="J20" i="2"/>
  <c r="C35" i="2"/>
  <c r="J19" i="2"/>
  <c r="C32" i="6"/>
  <c r="J33" i="2"/>
  <c r="C40" i="2" s="1"/>
  <c r="B35" i="2"/>
  <c r="B31" i="2"/>
  <c r="I20" i="2"/>
  <c r="G11" i="6"/>
  <c r="G12" i="6" s="1"/>
  <c r="B32" i="6"/>
  <c r="I33" i="2"/>
  <c r="B40" i="2" s="1"/>
  <c r="B37" i="6"/>
  <c r="E46" i="6"/>
  <c r="E14" i="6"/>
  <c r="E15" i="6"/>
  <c r="E17" i="6"/>
  <c r="L9" i="2"/>
  <c r="E29" i="6"/>
  <c r="F13" i="6"/>
  <c r="I45" i="6"/>
  <c r="I10" i="6"/>
  <c r="J45" i="6"/>
  <c r="J10" i="6"/>
  <c r="F12" i="6"/>
  <c r="M6" i="2"/>
  <c r="M5" i="2" s="1"/>
  <c r="B31" i="6"/>
  <c r="C37" i="6"/>
  <c r="G16" i="6"/>
  <c r="M35" i="13" l="1"/>
  <c r="M43" i="13" s="1"/>
  <c r="O30" i="19"/>
  <c r="AY19" i="12"/>
  <c r="N14" i="12"/>
  <c r="BC35" i="19"/>
  <c r="BC37" i="19" s="1"/>
  <c r="BD29" i="19"/>
  <c r="BC30" i="19"/>
  <c r="BA42" i="19"/>
  <c r="BA44" i="19"/>
  <c r="BB43" i="19"/>
  <c r="BB41" i="19"/>
  <c r="BC42" i="18"/>
  <c r="BC44" i="18"/>
  <c r="BD43" i="18"/>
  <c r="BD41" i="18"/>
  <c r="P41" i="18" s="1"/>
  <c r="P44" i="18" s="1"/>
  <c r="BD37" i="18"/>
  <c r="P37" i="18" s="1"/>
  <c r="BE35" i="18"/>
  <c r="BF29" i="18"/>
  <c r="BE30" i="18"/>
  <c r="AN22" i="10"/>
  <c r="J22" i="10" s="1"/>
  <c r="BE22" i="13"/>
  <c r="BE28" i="13" s="1"/>
  <c r="BE39" i="13"/>
  <c r="BE38" i="13"/>
  <c r="BE20" i="13"/>
  <c r="BA44" i="13"/>
  <c r="BA42" i="13"/>
  <c r="BG8" i="13"/>
  <c r="BG10" i="13" s="1"/>
  <c r="BB43" i="13"/>
  <c r="BB41" i="13"/>
  <c r="BD33" i="13"/>
  <c r="BF19" i="13"/>
  <c r="BF15" i="13"/>
  <c r="N14" i="13"/>
  <c r="N15" i="13" s="1"/>
  <c r="BC35" i="13"/>
  <c r="BC30" i="13"/>
  <c r="BD29" i="13"/>
  <c r="BD40" i="13"/>
  <c r="AZ8" i="12"/>
  <c r="AZ14" i="12" s="1"/>
  <c r="AZ19" i="12" s="1"/>
  <c r="AP10" i="9"/>
  <c r="AQ8" i="9" s="1"/>
  <c r="AP14" i="9"/>
  <c r="AW33" i="12"/>
  <c r="AS42" i="12"/>
  <c r="AS44" i="12"/>
  <c r="AV29" i="12"/>
  <c r="AU35" i="12"/>
  <c r="AU37" i="12" s="1"/>
  <c r="AU30" i="12"/>
  <c r="AT41" i="12"/>
  <c r="AT43" i="12"/>
  <c r="N19" i="12"/>
  <c r="N20" i="12" s="1"/>
  <c r="AX38" i="12"/>
  <c r="AX39" i="12"/>
  <c r="AW40" i="12"/>
  <c r="AX20" i="12"/>
  <c r="AY20" i="12" s="1"/>
  <c r="AY15" i="12"/>
  <c r="AX22" i="12"/>
  <c r="AX28" i="12" s="1"/>
  <c r="J39" i="2"/>
  <c r="L13" i="2"/>
  <c r="E34" i="2" s="1"/>
  <c r="I39" i="2"/>
  <c r="E33" i="2"/>
  <c r="L11" i="2"/>
  <c r="L10" i="2"/>
  <c r="E32" i="2"/>
  <c r="G13" i="6"/>
  <c r="H11" i="6"/>
  <c r="H12" i="6" s="1"/>
  <c r="F17" i="6"/>
  <c r="F46" i="6"/>
  <c r="F15" i="6"/>
  <c r="F14" i="6"/>
  <c r="M9" i="2"/>
  <c r="F29" i="6"/>
  <c r="E52" i="6"/>
  <c r="J63" i="6"/>
  <c r="J64" i="6" s="1"/>
  <c r="E48" i="6"/>
  <c r="E47" i="6"/>
  <c r="G43" i="6"/>
  <c r="G44" i="6"/>
  <c r="M41" i="13" l="1"/>
  <c r="M44" i="13" s="1"/>
  <c r="BC37" i="13"/>
  <c r="O35" i="19"/>
  <c r="O43" i="19" s="1"/>
  <c r="AY38" i="12"/>
  <c r="AY40" i="12" s="1"/>
  <c r="AY39" i="12"/>
  <c r="BD30" i="19"/>
  <c r="BE29" i="19"/>
  <c r="BD35" i="19"/>
  <c r="BD37" i="19" s="1"/>
  <c r="BC41" i="19"/>
  <c r="O41" i="19" s="1"/>
  <c r="O44" i="19" s="1"/>
  <c r="BC43" i="19"/>
  <c r="O37" i="19"/>
  <c r="BB44" i="19"/>
  <c r="BB42" i="19"/>
  <c r="BD42" i="18"/>
  <c r="P42" i="18" s="1"/>
  <c r="BD44" i="18"/>
  <c r="BF30" i="18"/>
  <c r="BF35" i="18"/>
  <c r="BG29" i="18"/>
  <c r="BE37" i="18"/>
  <c r="BE41" i="18"/>
  <c r="BE43" i="18"/>
  <c r="M30" i="12"/>
  <c r="M35" i="12"/>
  <c r="M37" i="12" s="1"/>
  <c r="BE40" i="13"/>
  <c r="BD30" i="13"/>
  <c r="BE29" i="13"/>
  <c r="BD35" i="13"/>
  <c r="BD37" i="13" s="1"/>
  <c r="BG14" i="13"/>
  <c r="N19" i="13"/>
  <c r="BF22" i="13"/>
  <c r="BF28" i="13" s="1"/>
  <c r="BF38" i="13"/>
  <c r="N38" i="13" s="1"/>
  <c r="BF39" i="13"/>
  <c r="N39" i="13" s="1"/>
  <c r="BF20" i="13"/>
  <c r="BB42" i="13"/>
  <c r="BB44" i="13"/>
  <c r="BC43" i="13"/>
  <c r="BC41" i="13"/>
  <c r="BH8" i="13"/>
  <c r="BE33" i="13"/>
  <c r="AZ15" i="12"/>
  <c r="AZ10" i="12"/>
  <c r="BA8" i="12" s="1"/>
  <c r="AP15" i="9"/>
  <c r="AX40" i="12"/>
  <c r="N22" i="12"/>
  <c r="AT42" i="12"/>
  <c r="AT44" i="12"/>
  <c r="AX33" i="12"/>
  <c r="AU41" i="12"/>
  <c r="AU43" i="12"/>
  <c r="AV35" i="12"/>
  <c r="AV37" i="12" s="1"/>
  <c r="AW29" i="12"/>
  <c r="AV30" i="12"/>
  <c r="AZ39" i="12"/>
  <c r="AZ38" i="12"/>
  <c r="BA10" i="12"/>
  <c r="BB8" i="12" s="1"/>
  <c r="BA14" i="12"/>
  <c r="AZ22" i="12"/>
  <c r="AZ28" i="12" s="1"/>
  <c r="AZ20" i="12"/>
  <c r="AY22" i="12"/>
  <c r="AY28" i="12" s="1"/>
  <c r="P28" i="12" s="1"/>
  <c r="H16" i="6"/>
  <c r="F33" i="2"/>
  <c r="M11" i="2"/>
  <c r="M10" i="2"/>
  <c r="F32" i="2"/>
  <c r="H13" i="6"/>
  <c r="I11" i="6"/>
  <c r="I12" i="6" s="1"/>
  <c r="K63" i="6"/>
  <c r="K64" i="6" s="1"/>
  <c r="F48" i="6"/>
  <c r="F47" i="6"/>
  <c r="F52" i="6"/>
  <c r="I41" i="2"/>
  <c r="I40" i="2" s="1"/>
  <c r="J41" i="2"/>
  <c r="J40" i="2" s="1"/>
  <c r="M13" i="2"/>
  <c r="F34" i="2" s="1"/>
  <c r="G46" i="6"/>
  <c r="G17" i="6"/>
  <c r="G14" i="6"/>
  <c r="G15" i="6"/>
  <c r="G29" i="6"/>
  <c r="M42" i="13" l="1"/>
  <c r="N40" i="12"/>
  <c r="BE30" i="19"/>
  <c r="BF29" i="19"/>
  <c r="BE35" i="19"/>
  <c r="BE37" i="19" s="1"/>
  <c r="BD41" i="19"/>
  <c r="BD43" i="19"/>
  <c r="BC44" i="19"/>
  <c r="BC42" i="19"/>
  <c r="O42" i="19" s="1"/>
  <c r="BF37" i="18"/>
  <c r="BF41" i="18"/>
  <c r="BF43" i="18"/>
  <c r="BE42" i="18"/>
  <c r="BE44" i="18"/>
  <c r="BH29" i="18"/>
  <c r="Q29" i="18" s="1"/>
  <c r="Q30" i="18" s="1"/>
  <c r="BG30" i="18"/>
  <c r="BG35" i="18"/>
  <c r="M43" i="12"/>
  <c r="M41" i="12"/>
  <c r="M44" i="12" s="1"/>
  <c r="N40" i="13"/>
  <c r="N28" i="13"/>
  <c r="BF33" i="13"/>
  <c r="N33" i="13" s="1"/>
  <c r="BG19" i="13"/>
  <c r="BG15" i="13"/>
  <c r="BC42" i="13"/>
  <c r="BC44" i="13"/>
  <c r="N20" i="13"/>
  <c r="N22" i="13"/>
  <c r="BD41" i="13"/>
  <c r="BD43" i="13"/>
  <c r="BH10" i="13"/>
  <c r="BE35" i="13"/>
  <c r="BE30" i="13"/>
  <c r="BF29" i="13"/>
  <c r="BH14" i="13"/>
  <c r="BF40" i="13"/>
  <c r="AQ10" i="9"/>
  <c r="AR8" i="9" s="1"/>
  <c r="AQ14" i="9"/>
  <c r="AZ40" i="12"/>
  <c r="AZ33" i="12"/>
  <c r="AY33" i="12"/>
  <c r="P33" i="12" s="1"/>
  <c r="AW35" i="12"/>
  <c r="AW37" i="12" s="1"/>
  <c r="AX29" i="12"/>
  <c r="AW30" i="12"/>
  <c r="AV41" i="12"/>
  <c r="AV43" i="12"/>
  <c r="AU42" i="12"/>
  <c r="AU44" i="12"/>
  <c r="BB10" i="12"/>
  <c r="BC8" i="12" s="1"/>
  <c r="BB14" i="12"/>
  <c r="BB19" i="12" s="1"/>
  <c r="BA19" i="12"/>
  <c r="BA15" i="12"/>
  <c r="L63" i="6"/>
  <c r="L64" i="6" s="1"/>
  <c r="G48" i="6"/>
  <c r="G47" i="6"/>
  <c r="G52" i="6"/>
  <c r="I43" i="2"/>
  <c r="I16" i="6"/>
  <c r="J11" i="6"/>
  <c r="J12" i="6" s="1"/>
  <c r="H43" i="6"/>
  <c r="H44" i="6" s="1"/>
  <c r="J43" i="2"/>
  <c r="H15" i="6"/>
  <c r="H46" i="6"/>
  <c r="H17" i="6"/>
  <c r="H14" i="6"/>
  <c r="H29" i="6"/>
  <c r="I13" i="6"/>
  <c r="BE37" i="13" l="1"/>
  <c r="N32" i="12"/>
  <c r="BD42" i="19"/>
  <c r="BD44" i="19"/>
  <c r="BE43" i="19"/>
  <c r="BE41" i="19"/>
  <c r="BG29" i="19"/>
  <c r="P29" i="19" s="1"/>
  <c r="BF35" i="19"/>
  <c r="BF37" i="19" s="1"/>
  <c r="BF30" i="19"/>
  <c r="BG41" i="18"/>
  <c r="BG43" i="18"/>
  <c r="BG37" i="18"/>
  <c r="BI29" i="18"/>
  <c r="BH35" i="18"/>
  <c r="Q35" i="18" s="1"/>
  <c r="Q43" i="18" s="1"/>
  <c r="BH30" i="18"/>
  <c r="BF44" i="18"/>
  <c r="BF42" i="18"/>
  <c r="M42" i="12"/>
  <c r="N32" i="13"/>
  <c r="BG20" i="13"/>
  <c r="BG38" i="13"/>
  <c r="BG22" i="13"/>
  <c r="BG28" i="13" s="1"/>
  <c r="BG39" i="13"/>
  <c r="N29" i="13"/>
  <c r="BF35" i="13"/>
  <c r="BF37" i="13" s="1"/>
  <c r="BF30" i="13"/>
  <c r="BI8" i="13"/>
  <c r="BE43" i="13"/>
  <c r="BE41" i="13"/>
  <c r="BH15" i="13"/>
  <c r="BH19" i="13"/>
  <c r="BD42" i="13"/>
  <c r="BD44" i="13"/>
  <c r="AQ15" i="9"/>
  <c r="BB15" i="12"/>
  <c r="BB22" i="12"/>
  <c r="BB28" i="12" s="1"/>
  <c r="BB38" i="12"/>
  <c r="BB39" i="12"/>
  <c r="AW43" i="12"/>
  <c r="AW41" i="12"/>
  <c r="BA38" i="12"/>
  <c r="BA39" i="12"/>
  <c r="AX35" i="12"/>
  <c r="AX37" i="12" s="1"/>
  <c r="AX30" i="12"/>
  <c r="AY29" i="12"/>
  <c r="P29" i="12" s="1"/>
  <c r="AV42" i="12"/>
  <c r="AV44" i="12"/>
  <c r="BA22" i="12"/>
  <c r="BA28" i="12" s="1"/>
  <c r="BA20" i="12"/>
  <c r="BB20" i="12" s="1"/>
  <c r="BC10" i="12"/>
  <c r="BD8" i="12" s="1"/>
  <c r="BC14" i="12"/>
  <c r="O8" i="12"/>
  <c r="O10" i="12" s="1"/>
  <c r="I43" i="6"/>
  <c r="I44" i="6" s="1"/>
  <c r="J22" i="2"/>
  <c r="J26" i="2" s="1"/>
  <c r="C37" i="2" s="1"/>
  <c r="I46" i="6"/>
  <c r="I14" i="6"/>
  <c r="I17" i="6"/>
  <c r="I15" i="6"/>
  <c r="I29" i="6"/>
  <c r="H47" i="6"/>
  <c r="H52" i="6"/>
  <c r="M63" i="6"/>
  <c r="H70" i="6" s="1"/>
  <c r="H48" i="6"/>
  <c r="J13" i="6"/>
  <c r="N37" i="13" l="1"/>
  <c r="N35" i="13"/>
  <c r="P30" i="19"/>
  <c r="BF43" i="19"/>
  <c r="BF41" i="19"/>
  <c r="BG35" i="19"/>
  <c r="BG37" i="19" s="1"/>
  <c r="BH29" i="19"/>
  <c r="BG30" i="19"/>
  <c r="BE42" i="19"/>
  <c r="BE44" i="19"/>
  <c r="BI35" i="18"/>
  <c r="BJ29" i="18"/>
  <c r="BI30" i="18"/>
  <c r="BH41" i="18"/>
  <c r="Q41" i="18" s="1"/>
  <c r="Q44" i="18" s="1"/>
  <c r="BH43" i="18"/>
  <c r="BH37" i="18"/>
  <c r="Q37" i="18" s="1"/>
  <c r="BG42" i="18"/>
  <c r="BG44" i="18"/>
  <c r="BG40" i="13"/>
  <c r="BI10" i="13"/>
  <c r="BF43" i="13"/>
  <c r="BF41" i="13"/>
  <c r="BG33" i="13"/>
  <c r="BI14" i="13"/>
  <c r="N30" i="13"/>
  <c r="BE44" i="13"/>
  <c r="BE42" i="13"/>
  <c r="BH22" i="13"/>
  <c r="BH28" i="13" s="1"/>
  <c r="BH38" i="13"/>
  <c r="BH39" i="13"/>
  <c r="BH20" i="13"/>
  <c r="BG29" i="13"/>
  <c r="AR10" i="9"/>
  <c r="AS8" i="9" s="1"/>
  <c r="AR14" i="9"/>
  <c r="M8" i="9"/>
  <c r="M10" i="9" s="1"/>
  <c r="BB40" i="12"/>
  <c r="N35" i="12"/>
  <c r="N41" i="12" s="1"/>
  <c r="N30" i="12"/>
  <c r="AZ29" i="12"/>
  <c r="AY35" i="12"/>
  <c r="AY37" i="12" s="1"/>
  <c r="AY30" i="12"/>
  <c r="BA40" i="12"/>
  <c r="BA33" i="12"/>
  <c r="AX41" i="12"/>
  <c r="AX43" i="12"/>
  <c r="AW44" i="12"/>
  <c r="AW42" i="12"/>
  <c r="BB33" i="12"/>
  <c r="BC19" i="12"/>
  <c r="O14" i="12"/>
  <c r="BD14" i="12"/>
  <c r="BD10" i="12"/>
  <c r="BE8" i="12" s="1"/>
  <c r="BC15" i="12"/>
  <c r="M64" i="6"/>
  <c r="H71" i="6"/>
  <c r="H73" i="6" s="1"/>
  <c r="H75" i="6" s="1"/>
  <c r="H77" i="6" s="1"/>
  <c r="I52" i="6"/>
  <c r="I48" i="6"/>
  <c r="I47" i="6"/>
  <c r="J16" i="6"/>
  <c r="J17" i="6" s="1"/>
  <c r="J46" i="6"/>
  <c r="J14" i="6"/>
  <c r="J15" i="6"/>
  <c r="J29" i="6"/>
  <c r="C34" i="6"/>
  <c r="P35" i="19" l="1"/>
  <c r="P43" i="19" s="1"/>
  <c r="BH30" i="19"/>
  <c r="BH35" i="19"/>
  <c r="BH37" i="19" s="1"/>
  <c r="BI29" i="19"/>
  <c r="BF44" i="19"/>
  <c r="BF42" i="19"/>
  <c r="BG41" i="19"/>
  <c r="P41" i="19" s="1"/>
  <c r="P44" i="19" s="1"/>
  <c r="BG43" i="19"/>
  <c r="P37" i="19"/>
  <c r="BJ30" i="18"/>
  <c r="BJ35" i="18"/>
  <c r="BK29" i="18"/>
  <c r="BH42" i="18"/>
  <c r="Q42" i="18" s="1"/>
  <c r="BH44" i="18"/>
  <c r="BI43" i="18"/>
  <c r="BI37" i="18"/>
  <c r="BI41" i="18"/>
  <c r="BH40" i="13"/>
  <c r="N43" i="13"/>
  <c r="N41" i="13"/>
  <c r="BG35" i="13"/>
  <c r="BG30" i="13"/>
  <c r="BH29" i="13"/>
  <c r="BH33" i="13"/>
  <c r="BJ8" i="13"/>
  <c r="BI19" i="13"/>
  <c r="BI15" i="13"/>
  <c r="BF44" i="13"/>
  <c r="BF42" i="13"/>
  <c r="AR15" i="9"/>
  <c r="M14" i="9"/>
  <c r="M15" i="9" s="1"/>
  <c r="AS10" i="9"/>
  <c r="AT8" i="9" s="1"/>
  <c r="AS14" i="9"/>
  <c r="N43" i="12"/>
  <c r="N37" i="12"/>
  <c r="AZ35" i="12"/>
  <c r="AZ37" i="12" s="1"/>
  <c r="AZ30" i="12"/>
  <c r="BA29" i="12"/>
  <c r="AX42" i="12"/>
  <c r="AX44" i="12"/>
  <c r="N42" i="12"/>
  <c r="N44" i="12"/>
  <c r="BC20" i="12"/>
  <c r="BC38" i="12"/>
  <c r="BC39" i="12"/>
  <c r="AY43" i="12"/>
  <c r="AY41" i="12"/>
  <c r="BD19" i="12"/>
  <c r="BE10" i="12"/>
  <c r="BF8" i="12" s="1"/>
  <c r="BE14" i="12"/>
  <c r="BE19" i="12" s="1"/>
  <c r="BD15" i="12"/>
  <c r="BC22" i="12"/>
  <c r="BC28" i="12" s="1"/>
  <c r="Q28" i="12" s="1"/>
  <c r="O19" i="12"/>
  <c r="G15" i="12"/>
  <c r="H15" i="12" s="1"/>
  <c r="I15" i="12" s="1"/>
  <c r="J15" i="12" s="1"/>
  <c r="K15" i="12" s="1"/>
  <c r="L15" i="12" s="1"/>
  <c r="M15" i="12" s="1"/>
  <c r="N15" i="12" s="1"/>
  <c r="O15" i="12" s="1"/>
  <c r="D18" i="6"/>
  <c r="D21" i="6"/>
  <c r="J48" i="6"/>
  <c r="J47" i="6"/>
  <c r="J52" i="6"/>
  <c r="J43" i="6"/>
  <c r="J44" i="6" s="1"/>
  <c r="BG37" i="13" l="1"/>
  <c r="BG44" i="19"/>
  <c r="BG42" i="19"/>
  <c r="P42" i="19" s="1"/>
  <c r="BH41" i="19"/>
  <c r="BH43" i="19"/>
  <c r="BI30" i="19"/>
  <c r="BJ29" i="19"/>
  <c r="BI35" i="19"/>
  <c r="BI37" i="19" s="1"/>
  <c r="BI42" i="18"/>
  <c r="BI44" i="18"/>
  <c r="BL29" i="18"/>
  <c r="R29" i="18" s="1"/>
  <c r="R30" i="18" s="1"/>
  <c r="BK30" i="18"/>
  <c r="BK35" i="18"/>
  <c r="BJ41" i="18"/>
  <c r="BJ43" i="18"/>
  <c r="BJ37" i="18"/>
  <c r="BI22" i="13"/>
  <c r="BI28" i="13" s="1"/>
  <c r="BI38" i="13"/>
  <c r="BI39" i="13"/>
  <c r="BI20" i="13"/>
  <c r="BG41" i="13"/>
  <c r="BG43" i="13"/>
  <c r="BJ10" i="13"/>
  <c r="O8" i="13"/>
  <c r="O10" i="13" s="1"/>
  <c r="BJ14" i="13"/>
  <c r="BH35" i="13"/>
  <c r="BH37" i="13" s="1"/>
  <c r="BH30" i="13"/>
  <c r="N44" i="13"/>
  <c r="N42" i="13"/>
  <c r="AT14" i="9"/>
  <c r="AT10" i="9"/>
  <c r="AU8" i="9" s="1"/>
  <c r="AS15" i="9"/>
  <c r="BE15" i="12"/>
  <c r="O40" i="12"/>
  <c r="BE22" i="12"/>
  <c r="BE28" i="12" s="1"/>
  <c r="BE38" i="12"/>
  <c r="BE39" i="12"/>
  <c r="BC40" i="12"/>
  <c r="BC33" i="12"/>
  <c r="Q33" i="12" s="1"/>
  <c r="BD38" i="12"/>
  <c r="BD39" i="12"/>
  <c r="BA35" i="12"/>
  <c r="BA37" i="12" s="1"/>
  <c r="BA30" i="12"/>
  <c r="BB29" i="12"/>
  <c r="AY42" i="12"/>
  <c r="AY44" i="12"/>
  <c r="AZ41" i="12"/>
  <c r="AZ43" i="12"/>
  <c r="O20" i="12"/>
  <c r="O22" i="12"/>
  <c r="BF10" i="12"/>
  <c r="BG8" i="12" s="1"/>
  <c r="BF14" i="12"/>
  <c r="BD22" i="12"/>
  <c r="BD28" i="12" s="1"/>
  <c r="BD20" i="12"/>
  <c r="BE20" i="12" s="1"/>
  <c r="D22" i="6"/>
  <c r="D49" i="6"/>
  <c r="D53" i="6" s="1"/>
  <c r="D56" i="6" s="1"/>
  <c r="K16" i="2"/>
  <c r="K14" i="2"/>
  <c r="D38" i="2"/>
  <c r="D24" i="6"/>
  <c r="Q29" i="19" l="1"/>
  <c r="Q30" i="19" s="1"/>
  <c r="BI43" i="19"/>
  <c r="BI41" i="19"/>
  <c r="BJ35" i="19"/>
  <c r="BJ30" i="19"/>
  <c r="BH42" i="19"/>
  <c r="BH44" i="19"/>
  <c r="BM29" i="18"/>
  <c r="BL30" i="18"/>
  <c r="BL35" i="18"/>
  <c r="R35" i="18" s="1"/>
  <c r="R43" i="18" s="1"/>
  <c r="BJ44" i="18"/>
  <c r="BJ42" i="18"/>
  <c r="BK41" i="18"/>
  <c r="BK43" i="18"/>
  <c r="BK37" i="18"/>
  <c r="BJ19" i="13"/>
  <c r="BJ15" i="13"/>
  <c r="O14" i="13"/>
  <c r="O15" i="13" s="1"/>
  <c r="BG44" i="13"/>
  <c r="BG42" i="13"/>
  <c r="BI40" i="13"/>
  <c r="BH41" i="13"/>
  <c r="BH43" i="13"/>
  <c r="BK8" i="13"/>
  <c r="BK10" i="13" s="1"/>
  <c r="BL8" i="13" s="1"/>
  <c r="BI33" i="13"/>
  <c r="BI29" i="13"/>
  <c r="BF15" i="12"/>
  <c r="AU10" i="9"/>
  <c r="AV8" i="9" s="1"/>
  <c r="AU14" i="9"/>
  <c r="AT15" i="9"/>
  <c r="BD40" i="12"/>
  <c r="AZ44" i="12"/>
  <c r="AZ42" i="12"/>
  <c r="BD33" i="12"/>
  <c r="BA41" i="12"/>
  <c r="BA43" i="12"/>
  <c r="BE40" i="12"/>
  <c r="BB35" i="12"/>
  <c r="BB37" i="12" s="1"/>
  <c r="BB30" i="12"/>
  <c r="BC29" i="12"/>
  <c r="Q29" i="12" s="1"/>
  <c r="O32" i="12"/>
  <c r="BE33" i="12"/>
  <c r="BG10" i="12"/>
  <c r="BH8" i="12" s="1"/>
  <c r="BG14" i="12"/>
  <c r="BG19" i="12" s="1"/>
  <c r="P8" i="12"/>
  <c r="P10" i="12" s="1"/>
  <c r="BF19" i="12"/>
  <c r="D33" i="6"/>
  <c r="D36" i="2" s="1"/>
  <c r="D36" i="6"/>
  <c r="D25" i="6"/>
  <c r="D26" i="6"/>
  <c r="K29" i="2"/>
  <c r="K18" i="2"/>
  <c r="D30" i="6"/>
  <c r="D31" i="6" s="1"/>
  <c r="Q35" i="19" l="1"/>
  <c r="Q43" i="19" s="1"/>
  <c r="BJ37" i="19"/>
  <c r="Q37" i="19" s="1"/>
  <c r="BJ43" i="19"/>
  <c r="BJ41" i="19"/>
  <c r="Q41" i="19" s="1"/>
  <c r="Q44" i="19" s="1"/>
  <c r="BI42" i="19"/>
  <c r="BI44" i="19"/>
  <c r="BL37" i="18"/>
  <c r="R37" i="18" s="1"/>
  <c r="BL43" i="18"/>
  <c r="BL41" i="18"/>
  <c r="R41" i="18" s="1"/>
  <c r="R44" i="18" s="1"/>
  <c r="BK42" i="18"/>
  <c r="BK44" i="18"/>
  <c r="BM35" i="18"/>
  <c r="BM30" i="18"/>
  <c r="BN29" i="18"/>
  <c r="BL14" i="13"/>
  <c r="BL10" i="13"/>
  <c r="BM8" i="13" s="1"/>
  <c r="BH44" i="13"/>
  <c r="BH42" i="13"/>
  <c r="BK14" i="13"/>
  <c r="BI35" i="13"/>
  <c r="BI30" i="13"/>
  <c r="BJ22" i="13"/>
  <c r="BJ28" i="13" s="1"/>
  <c r="BJ39" i="13"/>
  <c r="O39" i="13" s="1"/>
  <c r="BJ38" i="13"/>
  <c r="BJ20" i="13"/>
  <c r="O19" i="13"/>
  <c r="AU15" i="9"/>
  <c r="N8" i="9"/>
  <c r="N10" i="9" s="1"/>
  <c r="AV14" i="9"/>
  <c r="AV10" i="9"/>
  <c r="P14" i="12"/>
  <c r="P15" i="12" s="1"/>
  <c r="O35" i="12"/>
  <c r="O41" i="12" s="1"/>
  <c r="O44" i="12" s="1"/>
  <c r="O30" i="12"/>
  <c r="BG22" i="12"/>
  <c r="BG28" i="12" s="1"/>
  <c r="BG38" i="12"/>
  <c r="BG39" i="12"/>
  <c r="BB41" i="12"/>
  <c r="BB43" i="12"/>
  <c r="BA44" i="12"/>
  <c r="BA42" i="12"/>
  <c r="BG15" i="12"/>
  <c r="BD29" i="12"/>
  <c r="BC35" i="12"/>
  <c r="BC37" i="12" s="1"/>
  <c r="BC30" i="12"/>
  <c r="BF38" i="12"/>
  <c r="BF39" i="12"/>
  <c r="BF22" i="12"/>
  <c r="BF28" i="12" s="1"/>
  <c r="P19" i="12"/>
  <c r="BH14" i="12"/>
  <c r="BH10" i="12"/>
  <c r="BI8" i="12" s="1"/>
  <c r="BF20" i="12"/>
  <c r="BG20" i="12" s="1"/>
  <c r="D32" i="6"/>
  <c r="K33" i="2"/>
  <c r="D40" i="2" s="1"/>
  <c r="D31" i="2"/>
  <c r="K20" i="2"/>
  <c r="D35" i="2"/>
  <c r="K19" i="2"/>
  <c r="D37" i="6"/>
  <c r="BI37" i="13" l="1"/>
  <c r="BJ29" i="13"/>
  <c r="BJ30" i="13" s="1"/>
  <c r="BJ44" i="19"/>
  <c r="BJ42" i="19"/>
  <c r="Q42" i="19" s="1"/>
  <c r="BN30" i="18"/>
  <c r="BO29" i="18"/>
  <c r="BN35" i="18"/>
  <c r="BL44" i="18"/>
  <c r="BL42" i="18"/>
  <c r="R42" i="18" s="1"/>
  <c r="BM43" i="18"/>
  <c r="BM37" i="18"/>
  <c r="BM41" i="18"/>
  <c r="BJ40" i="13"/>
  <c r="O38" i="13"/>
  <c r="O40" i="13" s="1"/>
  <c r="O22" i="13"/>
  <c r="O20" i="13"/>
  <c r="O28" i="13"/>
  <c r="BJ33" i="13"/>
  <c r="O33" i="13" s="1"/>
  <c r="BI43" i="13"/>
  <c r="BI41" i="13"/>
  <c r="BM14" i="13"/>
  <c r="BM10" i="13"/>
  <c r="BK19" i="13"/>
  <c r="BK15" i="13"/>
  <c r="BL15" i="13" s="1"/>
  <c r="BL19" i="13"/>
  <c r="AV15" i="9"/>
  <c r="N14" i="9"/>
  <c r="N15" i="9" s="1"/>
  <c r="BF40" i="12"/>
  <c r="O43" i="12"/>
  <c r="O37" i="12"/>
  <c r="O42" i="12"/>
  <c r="BC43" i="12"/>
  <c r="BC41" i="12"/>
  <c r="BG33" i="12"/>
  <c r="BF33" i="12"/>
  <c r="BB42" i="12"/>
  <c r="BB44" i="12"/>
  <c r="BD35" i="12"/>
  <c r="BD37" i="12" s="1"/>
  <c r="BD30" i="12"/>
  <c r="BE29" i="12"/>
  <c r="BG40" i="12"/>
  <c r="BH19" i="12"/>
  <c r="P22" i="12"/>
  <c r="P20" i="12"/>
  <c r="BI10" i="12"/>
  <c r="BJ8" i="12" s="1"/>
  <c r="BI14" i="12"/>
  <c r="BI19" i="12" s="1"/>
  <c r="BH15" i="12"/>
  <c r="K39" i="2"/>
  <c r="O29" i="13" l="1"/>
  <c r="BM42" i="18"/>
  <c r="BM44" i="18"/>
  <c r="BN41" i="18"/>
  <c r="BN43" i="18"/>
  <c r="BN37" i="18"/>
  <c r="BO35" i="18"/>
  <c r="BP29" i="18"/>
  <c r="BO30" i="18"/>
  <c r="BJ35" i="13"/>
  <c r="O35" i="13" s="1"/>
  <c r="O32" i="13"/>
  <c r="BK38" i="13"/>
  <c r="BK20" i="13"/>
  <c r="BL20" i="13" s="1"/>
  <c r="BK39" i="13"/>
  <c r="BK22" i="13"/>
  <c r="BK28" i="13" s="1"/>
  <c r="BI44" i="13"/>
  <c r="BI42" i="13"/>
  <c r="BL38" i="13"/>
  <c r="BL22" i="13"/>
  <c r="BL28" i="13" s="1"/>
  <c r="BL39" i="13"/>
  <c r="BN8" i="13"/>
  <c r="P8" i="13" s="1"/>
  <c r="P10" i="13" s="1"/>
  <c r="BM19" i="13"/>
  <c r="BM15" i="13"/>
  <c r="P40" i="12"/>
  <c r="BI15" i="12"/>
  <c r="BD43" i="12"/>
  <c r="BD41" i="12"/>
  <c r="BC44" i="12"/>
  <c r="BC42" i="12"/>
  <c r="P32" i="12"/>
  <c r="BI22" i="12"/>
  <c r="BI28" i="12" s="1"/>
  <c r="BI38" i="12"/>
  <c r="BI39" i="12"/>
  <c r="BH39" i="12"/>
  <c r="BH38" i="12"/>
  <c r="BE35" i="12"/>
  <c r="BE37" i="12" s="1"/>
  <c r="BF29" i="12"/>
  <c r="BE30" i="12"/>
  <c r="BH22" i="12"/>
  <c r="BH28" i="12" s="1"/>
  <c r="BJ10" i="12"/>
  <c r="BJ14" i="12"/>
  <c r="BJ19" i="12" s="1"/>
  <c r="BH20" i="12"/>
  <c r="BI20" i="12" s="1"/>
  <c r="K41" i="2"/>
  <c r="K40" i="2" s="1"/>
  <c r="O30" i="13" l="1"/>
  <c r="BJ43" i="13"/>
  <c r="BJ37" i="13"/>
  <c r="O37" i="13" s="1"/>
  <c r="BP35" i="18"/>
  <c r="BP30" i="18"/>
  <c r="BN42" i="18"/>
  <c r="BN44" i="18"/>
  <c r="BO41" i="18"/>
  <c r="BO43" i="18"/>
  <c r="BO37" i="18"/>
  <c r="BK40" i="13"/>
  <c r="BL40" i="13"/>
  <c r="BJ41" i="13"/>
  <c r="BJ42" i="13" s="1"/>
  <c r="O41" i="13"/>
  <c r="O43" i="13"/>
  <c r="BN10" i="13"/>
  <c r="BN14" i="13"/>
  <c r="BL33" i="13"/>
  <c r="BK33" i="13"/>
  <c r="BK29" i="13"/>
  <c r="BM22" i="13"/>
  <c r="BM28" i="13" s="1"/>
  <c r="BM20" i="13"/>
  <c r="BM39" i="13"/>
  <c r="BM38" i="13"/>
  <c r="BK8" i="12"/>
  <c r="Q8" i="12" s="1"/>
  <c r="Q10" i="12" s="1"/>
  <c r="BJ20" i="12"/>
  <c r="BH40" i="12"/>
  <c r="BJ15" i="12"/>
  <c r="BH33" i="12"/>
  <c r="BJ22" i="12"/>
  <c r="BJ28" i="12" s="1"/>
  <c r="BJ38" i="12"/>
  <c r="BJ39" i="12"/>
  <c r="BF35" i="12"/>
  <c r="BF37" i="12" s="1"/>
  <c r="BF30" i="12"/>
  <c r="BG29" i="12"/>
  <c r="BD44" i="12"/>
  <c r="BD42" i="12"/>
  <c r="BI33" i="12"/>
  <c r="BE41" i="12"/>
  <c r="BE43" i="12"/>
  <c r="BI40" i="12"/>
  <c r="K43" i="2"/>
  <c r="BK14" i="12" l="1"/>
  <c r="BK10" i="12"/>
  <c r="BO42" i="18"/>
  <c r="BO44" i="18"/>
  <c r="BP37" i="18"/>
  <c r="BP43" i="18"/>
  <c r="BP41" i="18"/>
  <c r="BM40" i="13"/>
  <c r="BJ44" i="13"/>
  <c r="BK35" i="13"/>
  <c r="BL29" i="13"/>
  <c r="BK30" i="13"/>
  <c r="BN19" i="13"/>
  <c r="BN15" i="13"/>
  <c r="P14" i="13"/>
  <c r="P15" i="13" s="1"/>
  <c r="BM33" i="13"/>
  <c r="O42" i="13"/>
  <c r="O44" i="13"/>
  <c r="BJ40" i="12"/>
  <c r="P35" i="12"/>
  <c r="P43" i="12" s="1"/>
  <c r="P30" i="12"/>
  <c r="BJ33" i="12"/>
  <c r="BE42" i="12"/>
  <c r="BE44" i="12"/>
  <c r="BF43" i="12"/>
  <c r="BF41" i="12"/>
  <c r="BG30" i="12"/>
  <c r="BH29" i="12"/>
  <c r="BG35" i="12"/>
  <c r="BG37" i="12" s="1"/>
  <c r="BK19" i="12"/>
  <c r="Q14" i="12"/>
  <c r="Q15" i="12" s="1"/>
  <c r="BK15" i="12"/>
  <c r="K22" i="2"/>
  <c r="K26" i="2" s="1"/>
  <c r="D37" i="2" s="1"/>
  <c r="BK37" i="13" l="1"/>
  <c r="BP42" i="18"/>
  <c r="BP44" i="18"/>
  <c r="BL35" i="13"/>
  <c r="BL37" i="13" s="1"/>
  <c r="BM29" i="13"/>
  <c r="BL30" i="13"/>
  <c r="P19" i="13"/>
  <c r="BN38" i="13"/>
  <c r="P38" i="13" s="1"/>
  <c r="BN22" i="13"/>
  <c r="BN28" i="13" s="1"/>
  <c r="BN20" i="13"/>
  <c r="BN39" i="13"/>
  <c r="P39" i="13" s="1"/>
  <c r="BK43" i="13"/>
  <c r="BK41" i="13"/>
  <c r="P37" i="12"/>
  <c r="P41" i="12"/>
  <c r="P44" i="12" s="1"/>
  <c r="BK38" i="12"/>
  <c r="BK39" i="12"/>
  <c r="BG41" i="12"/>
  <c r="BG43" i="12"/>
  <c r="BF42" i="12"/>
  <c r="BF44" i="12"/>
  <c r="BH35" i="12"/>
  <c r="BH37" i="12" s="1"/>
  <c r="BI29" i="12"/>
  <c r="BH30" i="12"/>
  <c r="BK20" i="12"/>
  <c r="BK22" i="12"/>
  <c r="BK28" i="12" s="1"/>
  <c r="Q19" i="12"/>
  <c r="D34" i="6"/>
  <c r="P40" i="13" l="1"/>
  <c r="P20" i="13"/>
  <c r="P22" i="13"/>
  <c r="BK44" i="13"/>
  <c r="BK42" i="13"/>
  <c r="BN33" i="13"/>
  <c r="P33" i="13" s="1"/>
  <c r="P28" i="13"/>
  <c r="BN29" i="13"/>
  <c r="BM30" i="13"/>
  <c r="BM35" i="13"/>
  <c r="BN40" i="13"/>
  <c r="BL41" i="13"/>
  <c r="BL43" i="13"/>
  <c r="Q40" i="12"/>
  <c r="P42" i="12"/>
  <c r="BH41" i="12"/>
  <c r="BH43" i="12"/>
  <c r="BK33" i="12"/>
  <c r="BG44" i="12"/>
  <c r="BG42" i="12"/>
  <c r="BI35" i="12"/>
  <c r="BI37" i="12" s="1"/>
  <c r="BJ29" i="12"/>
  <c r="BI30" i="12"/>
  <c r="BK40" i="12"/>
  <c r="Q22" i="12"/>
  <c r="Q20" i="12"/>
  <c r="E18" i="6"/>
  <c r="E21" i="6"/>
  <c r="BM37" i="13" l="1"/>
  <c r="P32" i="13"/>
  <c r="P29" i="13"/>
  <c r="BN30" i="13"/>
  <c r="BN35" i="13"/>
  <c r="BN37" i="13" s="1"/>
  <c r="BM41" i="13"/>
  <c r="BM43" i="13"/>
  <c r="BL42" i="13"/>
  <c r="BL44" i="13"/>
  <c r="Q32" i="12"/>
  <c r="BJ35" i="12"/>
  <c r="BJ37" i="12" s="1"/>
  <c r="BJ30" i="12"/>
  <c r="BK29" i="12"/>
  <c r="BI41" i="12"/>
  <c r="BI43" i="12"/>
  <c r="BH44" i="12"/>
  <c r="BH42" i="12"/>
  <c r="E49" i="6"/>
  <c r="E53" i="6" s="1"/>
  <c r="E56" i="6" s="1"/>
  <c r="E22" i="6"/>
  <c r="L16" i="2"/>
  <c r="L14" i="2"/>
  <c r="E38" i="2"/>
  <c r="E24" i="6"/>
  <c r="P37" i="13" l="1"/>
  <c r="P35" i="13"/>
  <c r="P30" i="13"/>
  <c r="BN41" i="13"/>
  <c r="BN43" i="13"/>
  <c r="BM42" i="13"/>
  <c r="BM44" i="13"/>
  <c r="BK30" i="12"/>
  <c r="BK35" i="12"/>
  <c r="BK37" i="12" s="1"/>
  <c r="BI42" i="12"/>
  <c r="BI44" i="12"/>
  <c r="BJ43" i="12"/>
  <c r="BJ41" i="12"/>
  <c r="E26" i="6"/>
  <c r="E36" i="6"/>
  <c r="E25" i="6"/>
  <c r="E33" i="6"/>
  <c r="E36" i="2" s="1"/>
  <c r="L29" i="2"/>
  <c r="L18" i="2"/>
  <c r="E30" i="6"/>
  <c r="E31" i="6" s="1"/>
  <c r="P41" i="13" l="1"/>
  <c r="P43" i="13"/>
  <c r="BN42" i="13"/>
  <c r="BN44" i="13"/>
  <c r="Q35" i="12"/>
  <c r="Q41" i="12" s="1"/>
  <c r="Q30" i="12"/>
  <c r="BJ44" i="12"/>
  <c r="BJ42" i="12"/>
  <c r="BK41" i="12"/>
  <c r="BK43" i="12"/>
  <c r="E31" i="2"/>
  <c r="L20" i="2"/>
  <c r="E35" i="2"/>
  <c r="L19" i="2"/>
  <c r="E32" i="6"/>
  <c r="L33" i="2"/>
  <c r="E40" i="2" s="1"/>
  <c r="E37" i="6"/>
  <c r="P42" i="13" l="1"/>
  <c r="P44" i="13"/>
  <c r="Q43" i="12"/>
  <c r="Q37" i="12"/>
  <c r="BK44" i="12"/>
  <c r="BK42" i="12"/>
  <c r="Q42" i="12"/>
  <c r="Q44" i="12"/>
  <c r="L39" i="2"/>
  <c r="L41" i="2" l="1"/>
  <c r="L40" i="2" s="1"/>
  <c r="L43" i="2" l="1"/>
  <c r="L22" i="2" l="1"/>
  <c r="L26" i="2" s="1"/>
  <c r="E37" i="2" s="1"/>
  <c r="E34" i="6" l="1"/>
  <c r="F18" i="6" l="1"/>
  <c r="F21" i="6"/>
  <c r="F49" i="6" l="1"/>
  <c r="F53" i="6" s="1"/>
  <c r="F56" i="6" s="1"/>
  <c r="F22" i="6"/>
  <c r="M16" i="2"/>
  <c r="M14" i="2"/>
  <c r="F38" i="2"/>
  <c r="F24" i="6"/>
  <c r="F36" i="6" l="1"/>
  <c r="F25" i="6"/>
  <c r="F33" i="6"/>
  <c r="F36" i="2" s="1"/>
  <c r="F26" i="6"/>
  <c r="M18" i="2"/>
  <c r="M29" i="2"/>
  <c r="F30" i="6"/>
  <c r="F32" i="6" l="1"/>
  <c r="M33" i="2"/>
  <c r="F40" i="2" s="1"/>
  <c r="F37" i="6"/>
  <c r="F31" i="6"/>
  <c r="F35" i="2"/>
  <c r="M19" i="2"/>
  <c r="F31" i="2"/>
  <c r="M20" i="2"/>
  <c r="M39" i="2" l="1"/>
  <c r="M41" i="2" l="1"/>
  <c r="M40" i="2" s="1"/>
  <c r="M43" i="2" l="1"/>
  <c r="M22" i="2" l="1"/>
  <c r="M26" i="2" s="1"/>
  <c r="F37" i="2" s="1"/>
  <c r="F34" i="6" l="1"/>
  <c r="G18" i="6" l="1"/>
  <c r="G21" i="6"/>
  <c r="G49" i="6" l="1"/>
  <c r="G53" i="6" s="1"/>
  <c r="G56" i="6" s="1"/>
  <c r="G22" i="6"/>
  <c r="G24" i="6"/>
  <c r="G26" i="6" l="1"/>
  <c r="G36" i="6"/>
  <c r="G25" i="6"/>
  <c r="G33" i="6"/>
  <c r="G30" i="6"/>
  <c r="G31" i="6" l="1"/>
  <c r="G32" i="6"/>
  <c r="G37" i="6"/>
  <c r="G34" i="6" l="1"/>
  <c r="H18" i="6" l="1"/>
  <c r="H21" i="6"/>
  <c r="H22" i="6" l="1"/>
  <c r="H49" i="6"/>
  <c r="H53" i="6" s="1"/>
  <c r="H56" i="6" s="1"/>
  <c r="H24" i="6"/>
  <c r="H33" i="6" l="1"/>
  <c r="H36" i="6"/>
  <c r="H25" i="6"/>
  <c r="H26" i="6"/>
  <c r="H30" i="6"/>
  <c r="H31" i="6" l="1"/>
  <c r="H32" i="6"/>
  <c r="H37" i="6"/>
  <c r="H34" i="6" l="1"/>
  <c r="I18" i="6" l="1"/>
  <c r="I21" i="6"/>
  <c r="I49" i="6" l="1"/>
  <c r="I53" i="6" s="1"/>
  <c r="I56" i="6" s="1"/>
  <c r="I22" i="6"/>
  <c r="I24" i="6"/>
  <c r="I26" i="6" l="1"/>
  <c r="I33" i="6"/>
  <c r="I36" i="6"/>
  <c r="I25" i="6"/>
  <c r="I30" i="6"/>
  <c r="I32" i="6" l="1"/>
  <c r="I37" i="6"/>
  <c r="I31" i="6"/>
  <c r="I34" i="6" l="1"/>
  <c r="J18" i="6" l="1"/>
  <c r="J21" i="6"/>
  <c r="J49" i="6" l="1"/>
  <c r="J53" i="6" s="1"/>
  <c r="J56" i="6" s="1"/>
  <c r="J22" i="6"/>
  <c r="J24" i="6"/>
  <c r="J36" i="6" l="1"/>
  <c r="J25" i="6"/>
  <c r="J33" i="6"/>
  <c r="J26" i="6"/>
  <c r="J30" i="6"/>
  <c r="C72" i="6"/>
  <c r="D71" i="6"/>
  <c r="E70" i="6"/>
  <c r="E69" i="6"/>
  <c r="E68" i="6"/>
  <c r="B67" i="6"/>
  <c r="B66" i="6"/>
  <c r="C65" i="6"/>
  <c r="D64" i="6"/>
  <c r="B72" i="6"/>
  <c r="C71" i="6"/>
  <c r="D70" i="6"/>
  <c r="D69" i="6"/>
  <c r="D68" i="6"/>
  <c r="E67" i="6"/>
  <c r="E66" i="6"/>
  <c r="B65" i="6"/>
  <c r="C64" i="6"/>
  <c r="E72" i="6"/>
  <c r="B71" i="6"/>
  <c r="C70" i="6"/>
  <c r="C69" i="6"/>
  <c r="B74" i="6" s="1"/>
  <c r="B76" i="6" s="1"/>
  <c r="C68" i="6"/>
  <c r="D67" i="6"/>
  <c r="D66" i="6"/>
  <c r="E65" i="6"/>
  <c r="B64" i="6"/>
  <c r="D72" i="6"/>
  <c r="E71" i="6"/>
  <c r="B70" i="6"/>
  <c r="B69" i="6"/>
  <c r="B68" i="6"/>
  <c r="C67" i="6"/>
  <c r="C66" i="6"/>
  <c r="D65" i="6"/>
  <c r="E64" i="6"/>
  <c r="J31" i="6" l="1"/>
  <c r="J32" i="6"/>
  <c r="J37" i="6"/>
  <c r="J34" i="6" l="1"/>
  <c r="S10" i="15" l="1"/>
  <c r="T10" i="15" s="1"/>
  <c r="U10" i="15" s="1"/>
  <c r="V10" i="15" s="1"/>
  <c r="W10" i="15" s="1"/>
  <c r="X10" i="15" s="1"/>
  <c r="Y8" i="15" s="1"/>
  <c r="F8" i="15" s="1"/>
  <c r="Y14" i="15" l="1"/>
  <c r="Y19" i="15" s="1"/>
  <c r="Y10" i="15"/>
  <c r="Z8" i="15" l="1"/>
  <c r="Z14" i="15" s="1"/>
  <c r="Z19" i="15" s="1"/>
  <c r="F19" i="15"/>
  <c r="H19" i="15"/>
  <c r="H22" i="15" s="1"/>
  <c r="H14" i="15"/>
  <c r="F14" i="15"/>
  <c r="F10" i="15"/>
  <c r="Z10" i="15" l="1"/>
  <c r="AA8" i="15" s="1"/>
  <c r="R20" i="15"/>
  <c r="S20" i="15" s="1"/>
  <c r="T20" i="15" s="1"/>
  <c r="U20" i="15" s="1"/>
  <c r="V20" i="15" s="1"/>
  <c r="W20" i="15" s="1"/>
  <c r="X20" i="15" s="1"/>
  <c r="Y20" i="15" s="1"/>
  <c r="Z20" i="15" s="1"/>
  <c r="F20" i="15"/>
  <c r="G20" i="15" s="1"/>
  <c r="F22" i="15"/>
  <c r="Z22" i="15"/>
  <c r="Z28" i="15" s="1"/>
  <c r="Z38" i="15"/>
  <c r="Z39" i="15"/>
  <c r="AA14" i="15"/>
  <c r="AA10" i="15"/>
  <c r="R15" i="15"/>
  <c r="S15" i="15" s="1"/>
  <c r="T15" i="15" s="1"/>
  <c r="U15" i="15" s="1"/>
  <c r="V15" i="15" s="1"/>
  <c r="W15" i="15" s="1"/>
  <c r="X15" i="15" s="1"/>
  <c r="Y15" i="15" s="1"/>
  <c r="Z15" i="15" s="1"/>
  <c r="F15" i="15"/>
  <c r="G15" i="15" s="1"/>
  <c r="H15" i="15" s="1"/>
  <c r="Y47" i="15"/>
  <c r="F47" i="15" s="1"/>
  <c r="Y22" i="15"/>
  <c r="Y28" i="15" s="1"/>
  <c r="Y48" i="15"/>
  <c r="F48" i="15" s="1"/>
  <c r="F28" i="15" l="1"/>
  <c r="F19" i="10" s="1"/>
  <c r="X13" i="10"/>
  <c r="X19" i="10" s="1"/>
  <c r="Y29" i="15"/>
  <c r="Z40" i="15"/>
  <c r="Y13" i="10"/>
  <c r="Z33" i="15"/>
  <c r="Y32" i="10" s="1"/>
  <c r="AB8" i="15"/>
  <c r="AA19" i="15"/>
  <c r="AA15" i="15"/>
  <c r="H20" i="15"/>
  <c r="Y33" i="15"/>
  <c r="F89" i="16" l="1"/>
  <c r="F7" i="16" s="1"/>
  <c r="F28" i="16"/>
  <c r="F22" i="16"/>
  <c r="Y19" i="10"/>
  <c r="Y60" i="10" s="1"/>
  <c r="X38" i="10"/>
  <c r="F38" i="10" s="1"/>
  <c r="F64" i="10" s="1"/>
  <c r="X60" i="10"/>
  <c r="X37" i="10" s="1"/>
  <c r="X36" i="10"/>
  <c r="F36" i="10" s="1"/>
  <c r="F63" i="10" s="1"/>
  <c r="F33" i="15"/>
  <c r="X32" i="10"/>
  <c r="F29" i="15"/>
  <c r="X25" i="10"/>
  <c r="X31" i="10" s="1"/>
  <c r="Y30" i="15"/>
  <c r="Z29" i="15"/>
  <c r="F60" i="10"/>
  <c r="AA38" i="15"/>
  <c r="AA22" i="15"/>
  <c r="AA28" i="15" s="1"/>
  <c r="AA39" i="15"/>
  <c r="AB14" i="15"/>
  <c r="AB10" i="15"/>
  <c r="AA20" i="15"/>
  <c r="Y35" i="15"/>
  <c r="F43" i="15" s="1"/>
  <c r="F28" i="20" l="1"/>
  <c r="F27" i="20"/>
  <c r="F88" i="16"/>
  <c r="F32" i="16"/>
  <c r="F16" i="16"/>
  <c r="F15" i="16"/>
  <c r="F10" i="16"/>
  <c r="X56" i="10"/>
  <c r="F37" i="10"/>
  <c r="Y36" i="10"/>
  <c r="Y38" i="10"/>
  <c r="Y37" i="10"/>
  <c r="Z13" i="10"/>
  <c r="F31" i="10"/>
  <c r="F34" i="10" s="1"/>
  <c r="F103" i="16" s="1"/>
  <c r="F21" i="16" s="1"/>
  <c r="F30" i="15"/>
  <c r="Y25" i="10"/>
  <c r="Z35" i="15"/>
  <c r="Z30" i="15"/>
  <c r="X34" i="10"/>
  <c r="X35" i="10" s="1"/>
  <c r="AA29" i="15"/>
  <c r="Z25" i="10" s="1"/>
  <c r="Z31" i="10" s="1"/>
  <c r="AB19" i="15"/>
  <c r="AA33" i="15"/>
  <c r="Z32" i="10" s="1"/>
  <c r="AA40" i="15"/>
  <c r="AC8" i="15"/>
  <c r="AB15" i="15"/>
  <c r="Y41" i="15"/>
  <c r="Y43" i="15"/>
  <c r="F18" i="20" l="1"/>
  <c r="F102" i="16"/>
  <c r="G101" i="16"/>
  <c r="F96" i="16"/>
  <c r="F8" i="16" s="1"/>
  <c r="E105" i="16"/>
  <c r="E112" i="16" s="1"/>
  <c r="F14" i="20"/>
  <c r="E98" i="16"/>
  <c r="E109" i="16" s="1"/>
  <c r="E110" i="16" s="1"/>
  <c r="F12" i="20"/>
  <c r="F10" i="20"/>
  <c r="F17" i="20"/>
  <c r="F39" i="20"/>
  <c r="G37" i="20" s="1"/>
  <c r="F56" i="10"/>
  <c r="F8" i="20"/>
  <c r="F35" i="10"/>
  <c r="F39" i="10" s="1"/>
  <c r="F55" i="10" s="1"/>
  <c r="Y56" i="10"/>
  <c r="Y31" i="10"/>
  <c r="Y34" i="10" s="1"/>
  <c r="Y35" i="10" s="1"/>
  <c r="Y39" i="10" s="1"/>
  <c r="Z19" i="10"/>
  <c r="Z36" i="10" s="1"/>
  <c r="Z37" i="15"/>
  <c r="X61" i="10"/>
  <c r="X39" i="10"/>
  <c r="X55" i="10" s="1"/>
  <c r="Z41" i="15"/>
  <c r="Z43" i="15"/>
  <c r="AB20" i="15"/>
  <c r="Z34" i="10"/>
  <c r="F44" i="15"/>
  <c r="AA30" i="15"/>
  <c r="AA35" i="15"/>
  <c r="AA37" i="15" s="1"/>
  <c r="AC14" i="15"/>
  <c r="AC15" i="15" s="1"/>
  <c r="G8" i="15"/>
  <c r="G10" i="15" s="1"/>
  <c r="AB22" i="15"/>
  <c r="AB28" i="15" s="1"/>
  <c r="AB39" i="15"/>
  <c r="AB38" i="15"/>
  <c r="AC10" i="15"/>
  <c r="Y42" i="15"/>
  <c r="Y44" i="15"/>
  <c r="F35" i="16" l="1"/>
  <c r="E113" i="16"/>
  <c r="F95" i="16"/>
  <c r="G94" i="16"/>
  <c r="F11" i="20"/>
  <c r="F38" i="20"/>
  <c r="F61" i="10"/>
  <c r="Y61" i="10"/>
  <c r="Z60" i="10"/>
  <c r="Z37" i="10" s="1"/>
  <c r="Z38" i="10"/>
  <c r="Z35" i="10"/>
  <c r="Z61" i="10" s="1"/>
  <c r="X57" i="10"/>
  <c r="X62" i="10"/>
  <c r="Y55" i="10"/>
  <c r="AA13" i="10"/>
  <c r="Z44" i="15"/>
  <c r="Z42" i="15"/>
  <c r="F62" i="10"/>
  <c r="F57" i="10"/>
  <c r="AD8" i="15"/>
  <c r="AB33" i="15"/>
  <c r="AB29" i="15"/>
  <c r="AA25" i="10" s="1"/>
  <c r="AB40" i="15"/>
  <c r="AC19" i="15"/>
  <c r="I19" i="15" s="1"/>
  <c r="I14" i="15"/>
  <c r="I15" i="15" s="1"/>
  <c r="AA41" i="15"/>
  <c r="AA43" i="15"/>
  <c r="F22" i="20" l="1"/>
  <c r="F23" i="20" s="1"/>
  <c r="Z56" i="10"/>
  <c r="Z39" i="10"/>
  <c r="Z55" i="10" s="1"/>
  <c r="Y57" i="10"/>
  <c r="Y62" i="10"/>
  <c r="AD14" i="15"/>
  <c r="AC39" i="15"/>
  <c r="G39" i="15" s="1"/>
  <c r="AC22" i="15"/>
  <c r="AC28" i="15" s="1"/>
  <c r="AC38" i="15"/>
  <c r="G38" i="15" s="1"/>
  <c r="AC20" i="15"/>
  <c r="AB35" i="15"/>
  <c r="AB30" i="15"/>
  <c r="AD10" i="15"/>
  <c r="AA44" i="15"/>
  <c r="AA42" i="15"/>
  <c r="AB37" i="15" l="1"/>
  <c r="Z57" i="10"/>
  <c r="Z62" i="10"/>
  <c r="AB13" i="10"/>
  <c r="G13" i="10" s="1"/>
  <c r="G28" i="15"/>
  <c r="AC29" i="15"/>
  <c r="AB25" i="10" s="1"/>
  <c r="G25" i="10" s="1"/>
  <c r="AB43" i="15"/>
  <c r="AB41" i="15"/>
  <c r="AC33" i="15"/>
  <c r="AD19" i="15"/>
  <c r="AD15" i="15"/>
  <c r="AC40" i="15"/>
  <c r="AE8" i="15"/>
  <c r="I22" i="15"/>
  <c r="I20" i="15"/>
  <c r="G33" i="15" l="1"/>
  <c r="I54" i="16"/>
  <c r="G29" i="15"/>
  <c r="AC30" i="15"/>
  <c r="AC35" i="15"/>
  <c r="AD22" i="15"/>
  <c r="AD28" i="15" s="1"/>
  <c r="AD39" i="15"/>
  <c r="AD38" i="15"/>
  <c r="AD20" i="15"/>
  <c r="AB42" i="15"/>
  <c r="AB44" i="15"/>
  <c r="AE14" i="15"/>
  <c r="AE10" i="15"/>
  <c r="AC37" i="15" l="1"/>
  <c r="G37" i="15" s="1"/>
  <c r="G35" i="15"/>
  <c r="G43" i="15" s="1"/>
  <c r="AC13" i="10"/>
  <c r="G30" i="15"/>
  <c r="AC43" i="15"/>
  <c r="E43" i="15"/>
  <c r="AC41" i="15"/>
  <c r="G41" i="15" s="1"/>
  <c r="G44" i="15" s="1"/>
  <c r="AD33" i="15"/>
  <c r="AD29" i="15"/>
  <c r="AC25" i="10" s="1"/>
  <c r="AD40" i="15"/>
  <c r="AE19" i="15"/>
  <c r="AF8" i="15"/>
  <c r="AF10" i="15" s="1"/>
  <c r="AE15" i="15"/>
  <c r="AE20" i="15" l="1"/>
  <c r="AC44" i="15"/>
  <c r="AC42" i="15"/>
  <c r="G42" i="15" s="1"/>
  <c r="AG8" i="15"/>
  <c r="AG14" i="15" s="1"/>
  <c r="AG19" i="15" s="1"/>
  <c r="AD35" i="15"/>
  <c r="AD30" i="15"/>
  <c r="AF14" i="15"/>
  <c r="AE22" i="15"/>
  <c r="AE28" i="15" s="1"/>
  <c r="AE38" i="15"/>
  <c r="AE39" i="15"/>
  <c r="AD37" i="15" l="1"/>
  <c r="AD13" i="10"/>
  <c r="H8" i="15"/>
  <c r="H10" i="15" s="1"/>
  <c r="E44" i="15"/>
  <c r="AE29" i="15"/>
  <c r="AD25" i="10" s="1"/>
  <c r="AF19" i="15"/>
  <c r="J19" i="15" s="1"/>
  <c r="J14" i="15"/>
  <c r="J15" i="15" s="1"/>
  <c r="AG39" i="15"/>
  <c r="AG22" i="15"/>
  <c r="AG28" i="15" s="1"/>
  <c r="AG38" i="15"/>
  <c r="AD41" i="15"/>
  <c r="AD43" i="15"/>
  <c r="AE40" i="15"/>
  <c r="AF15" i="15"/>
  <c r="AG15" i="15" s="1"/>
  <c r="AE33" i="15"/>
  <c r="AG10" i="15"/>
  <c r="AF13" i="10" l="1"/>
  <c r="AE30" i="15"/>
  <c r="AE35" i="15"/>
  <c r="AG40" i="15"/>
  <c r="AD42" i="15"/>
  <c r="AD44" i="15"/>
  <c r="AH8" i="15"/>
  <c r="AH10" i="15" s="1"/>
  <c r="AG33" i="15"/>
  <c r="AF38" i="15"/>
  <c r="H38" i="15" s="1"/>
  <c r="AF22" i="15"/>
  <c r="AF28" i="15" s="1"/>
  <c r="AF39" i="15"/>
  <c r="H39" i="15" s="1"/>
  <c r="AF20" i="15"/>
  <c r="AG20" i="15" s="1"/>
  <c r="AE43" i="15" l="1"/>
  <c r="AE37" i="15"/>
  <c r="AE13" i="10"/>
  <c r="H13" i="10" s="1"/>
  <c r="H28" i="15"/>
  <c r="AE41" i="15"/>
  <c r="J22" i="15"/>
  <c r="J20" i="15"/>
  <c r="AF40" i="15"/>
  <c r="J54" i="16" s="1"/>
  <c r="AI8" i="15"/>
  <c r="AI14" i="15" s="1"/>
  <c r="AI19" i="15" s="1"/>
  <c r="AF33" i="15"/>
  <c r="AF29" i="15"/>
  <c r="AE25" i="10" s="1"/>
  <c r="AH14" i="15"/>
  <c r="AE44" i="15" l="1"/>
  <c r="H33" i="15"/>
  <c r="AE42" i="15"/>
  <c r="AG29" i="15"/>
  <c r="AF30" i="15"/>
  <c r="AF35" i="15"/>
  <c r="AI10" i="15"/>
  <c r="AI39" i="15"/>
  <c r="AI38" i="15"/>
  <c r="AI22" i="15"/>
  <c r="AI28" i="15" s="1"/>
  <c r="AH19" i="15"/>
  <c r="AH15" i="15"/>
  <c r="AI15" i="15" s="1"/>
  <c r="AF37" i="15" l="1"/>
  <c r="AH13" i="10"/>
  <c r="H29" i="15"/>
  <c r="AF25" i="10"/>
  <c r="H25" i="10" s="1"/>
  <c r="AI40" i="15"/>
  <c r="AI33" i="15"/>
  <c r="AF43" i="15"/>
  <c r="AF41" i="15"/>
  <c r="AG30" i="15"/>
  <c r="AG35" i="15"/>
  <c r="AG37" i="15" s="1"/>
  <c r="AH39" i="15"/>
  <c r="AH22" i="15"/>
  <c r="AH28" i="15" s="1"/>
  <c r="AH38" i="15"/>
  <c r="AH20" i="15"/>
  <c r="AI20" i="15" s="1"/>
  <c r="AJ8" i="15"/>
  <c r="H37" i="15" l="1"/>
  <c r="H35" i="15"/>
  <c r="H43" i="15" s="1"/>
  <c r="AG13" i="10"/>
  <c r="H30" i="15"/>
  <c r="AJ14" i="15"/>
  <c r="AH33" i="15"/>
  <c r="AG41" i="15"/>
  <c r="H41" i="15" s="1"/>
  <c r="H44" i="15" s="1"/>
  <c r="AG43" i="15"/>
  <c r="AJ10" i="15"/>
  <c r="AH40" i="15"/>
  <c r="AH29" i="15"/>
  <c r="AG25" i="10" s="1"/>
  <c r="AF44" i="15"/>
  <c r="AF42" i="15"/>
  <c r="AG44" i="15" l="1"/>
  <c r="AG42" i="15"/>
  <c r="H42" i="15" s="1"/>
  <c r="AH35" i="15"/>
  <c r="AH30" i="15"/>
  <c r="AI29" i="15"/>
  <c r="AH25" i="10" s="1"/>
  <c r="AK8" i="15"/>
  <c r="AJ19" i="15"/>
  <c r="AJ15" i="15"/>
  <c r="AH37" i="15" l="1"/>
  <c r="AK14" i="15"/>
  <c r="I8" i="15"/>
  <c r="I10" i="15" s="1"/>
  <c r="AK10" i="15"/>
  <c r="AH41" i="15"/>
  <c r="AH43" i="15"/>
  <c r="AJ38" i="15"/>
  <c r="AJ39" i="15"/>
  <c r="AJ22" i="15"/>
  <c r="AJ28" i="15" s="1"/>
  <c r="AJ20" i="15"/>
  <c r="AI30" i="15"/>
  <c r="AI35" i="15"/>
  <c r="AI37" i="15" s="1"/>
  <c r="AI13" i="10" l="1"/>
  <c r="AL8" i="15"/>
  <c r="AJ33" i="15"/>
  <c r="AJ29" i="15"/>
  <c r="AI25" i="10" s="1"/>
  <c r="AH44" i="15"/>
  <c r="AH42" i="15"/>
  <c r="AK19" i="15"/>
  <c r="K19" i="15" s="1"/>
  <c r="K14" i="15"/>
  <c r="K15" i="15" s="1"/>
  <c r="AJ40" i="15"/>
  <c r="AK15" i="15"/>
  <c r="AK20" i="15"/>
  <c r="AI41" i="15"/>
  <c r="AI43" i="15"/>
  <c r="AI44" i="15" l="1"/>
  <c r="AI42" i="15"/>
  <c r="AL14" i="15"/>
  <c r="AL15" i="15" s="1"/>
  <c r="AK38" i="15"/>
  <c r="I38" i="15" s="1"/>
  <c r="AK39" i="15"/>
  <c r="I39" i="15" s="1"/>
  <c r="AK22" i="15"/>
  <c r="AK28" i="15" s="1"/>
  <c r="AJ35" i="15"/>
  <c r="AJ30" i="15"/>
  <c r="AL10" i="15"/>
  <c r="AJ37" i="15" l="1"/>
  <c r="AJ13" i="10"/>
  <c r="I13" i="10" s="1"/>
  <c r="I28" i="15"/>
  <c r="AK33" i="15"/>
  <c r="AK29" i="15"/>
  <c r="AM8" i="15"/>
  <c r="AK40" i="15"/>
  <c r="AL19" i="15"/>
  <c r="AJ43" i="15"/>
  <c r="AJ41" i="15"/>
  <c r="K22" i="15"/>
  <c r="K20" i="15"/>
  <c r="I33" i="15" l="1"/>
  <c r="I29" i="15"/>
  <c r="I30" i="15" s="1"/>
  <c r="AJ25" i="10"/>
  <c r="I25" i="10" s="1"/>
  <c r="AJ44" i="15"/>
  <c r="AJ42" i="15"/>
  <c r="AM14" i="15"/>
  <c r="AL39" i="15"/>
  <c r="AL22" i="15"/>
  <c r="AL28" i="15" s="1"/>
  <c r="AL38" i="15"/>
  <c r="AL20" i="15"/>
  <c r="AM10" i="15"/>
  <c r="AK30" i="15"/>
  <c r="AK35" i="15"/>
  <c r="AK37" i="15" l="1"/>
  <c r="I37" i="15" s="1"/>
  <c r="I35" i="15"/>
  <c r="I43" i="15" s="1"/>
  <c r="AK13" i="10"/>
  <c r="AL29" i="15"/>
  <c r="AK25" i="10" s="1"/>
  <c r="AL40" i="15"/>
  <c r="AL33" i="15"/>
  <c r="AM19" i="15"/>
  <c r="AM15" i="15"/>
  <c r="AN8" i="15"/>
  <c r="AK43" i="15"/>
  <c r="AK41" i="15"/>
  <c r="I41" i="15" s="1"/>
  <c r="I44" i="15" s="1"/>
  <c r="AM20" i="15" l="1"/>
  <c r="AL30" i="15"/>
  <c r="AL35" i="15"/>
  <c r="AN14" i="15"/>
  <c r="AN15" i="15" s="1"/>
  <c r="AN10" i="15"/>
  <c r="AM39" i="15"/>
  <c r="AM38" i="15"/>
  <c r="AM22" i="15"/>
  <c r="AM28" i="15" s="1"/>
  <c r="AK42" i="15"/>
  <c r="I42" i="15" s="1"/>
  <c r="AK44" i="15"/>
  <c r="AL13" i="10" l="1"/>
  <c r="AL41" i="15"/>
  <c r="AL37" i="15"/>
  <c r="AL43" i="15"/>
  <c r="AM40" i="15"/>
  <c r="AM33" i="15"/>
  <c r="AM29" i="15"/>
  <c r="AL25" i="10" s="1"/>
  <c r="AO8" i="15"/>
  <c r="AN19" i="15"/>
  <c r="AL44" i="15" l="1"/>
  <c r="AL42" i="15"/>
  <c r="AO14" i="15"/>
  <c r="J8" i="15"/>
  <c r="J10" i="15" s="1"/>
  <c r="AN38" i="15"/>
  <c r="AN39" i="15"/>
  <c r="AN22" i="15"/>
  <c r="AN28" i="15" s="1"/>
  <c r="AN20" i="15"/>
  <c r="AM35" i="15"/>
  <c r="AM30" i="15"/>
  <c r="AO10" i="15"/>
  <c r="AM37" i="15" l="1"/>
  <c r="AM13" i="10"/>
  <c r="AN29" i="15"/>
  <c r="AM25" i="10" s="1"/>
  <c r="AO19" i="15"/>
  <c r="AO15" i="15"/>
  <c r="L14" i="15"/>
  <c r="L15" i="15" s="1"/>
  <c r="AN33" i="15"/>
  <c r="AP8" i="15"/>
  <c r="AP10" i="15" s="1"/>
  <c r="AM41" i="15"/>
  <c r="AM43" i="15"/>
  <c r="AN40" i="15"/>
  <c r="AO20" i="15" l="1"/>
  <c r="L19" i="15"/>
  <c r="AN30" i="15"/>
  <c r="AN35" i="15"/>
  <c r="AQ8" i="15"/>
  <c r="AQ14" i="15" s="1"/>
  <c r="AQ19" i="15" s="1"/>
  <c r="AP14" i="15"/>
  <c r="AP19" i="15" s="1"/>
  <c r="AO22" i="15"/>
  <c r="AO28" i="15" s="1"/>
  <c r="AO38" i="15"/>
  <c r="J38" i="15" s="1"/>
  <c r="AO39" i="15"/>
  <c r="J39" i="15" s="1"/>
  <c r="AM42" i="15"/>
  <c r="AM44" i="15"/>
  <c r="AN37" i="15" l="1"/>
  <c r="J28" i="15"/>
  <c r="AN13" i="10"/>
  <c r="J13" i="10" s="1"/>
  <c r="AN43" i="15"/>
  <c r="AN41" i="15"/>
  <c r="AP15" i="15"/>
  <c r="AQ15" i="15" s="1"/>
  <c r="AO40" i="15"/>
  <c r="AP38" i="15"/>
  <c r="AP22" i="15"/>
  <c r="AP28" i="15" s="1"/>
  <c r="AP39" i="15"/>
  <c r="AQ10" i="15"/>
  <c r="AO33" i="15"/>
  <c r="AO29" i="15"/>
  <c r="L22" i="15"/>
  <c r="L20" i="15"/>
  <c r="AP20" i="15"/>
  <c r="AQ20" i="15" s="1"/>
  <c r="AQ38" i="15"/>
  <c r="AQ22" i="15"/>
  <c r="AQ28" i="15" s="1"/>
  <c r="AQ39" i="15"/>
  <c r="AN44" i="15" l="1"/>
  <c r="J33" i="15"/>
  <c r="J29" i="15"/>
  <c r="J30" i="15" s="1"/>
  <c r="AN25" i="10"/>
  <c r="J25" i="10" s="1"/>
  <c r="AN42" i="15"/>
  <c r="AQ40" i="15"/>
  <c r="AQ33" i="15"/>
  <c r="AO35" i="15"/>
  <c r="AP29" i="15"/>
  <c r="AO30" i="15"/>
  <c r="AR8" i="15"/>
  <c r="AP40" i="15"/>
  <c r="AP33" i="15"/>
  <c r="AO37" i="15" l="1"/>
  <c r="J37" i="15" s="1"/>
  <c r="J35" i="15"/>
  <c r="J43" i="15" s="1"/>
  <c r="AR14" i="15"/>
  <c r="AQ29" i="15"/>
  <c r="AP30" i="15"/>
  <c r="AP35" i="15"/>
  <c r="AR10" i="15"/>
  <c r="AO43" i="15"/>
  <c r="AO41" i="15"/>
  <c r="J41" i="15" s="1"/>
  <c r="J44" i="15" s="1"/>
  <c r="AP37" i="15" l="1"/>
  <c r="AQ35" i="15"/>
  <c r="AQ37" i="15" s="1"/>
  <c r="AQ30" i="15"/>
  <c r="AS8" i="15"/>
  <c r="AS10" i="15" s="1"/>
  <c r="AO44" i="15"/>
  <c r="AO42" i="15"/>
  <c r="J42" i="15" s="1"/>
  <c r="AP43" i="15"/>
  <c r="AP41" i="15"/>
  <c r="AR19" i="15"/>
  <c r="AR15" i="15"/>
  <c r="AT8" i="15" l="1"/>
  <c r="AR22" i="15"/>
  <c r="AR28" i="15" s="1"/>
  <c r="AR38" i="15"/>
  <c r="AR39" i="15"/>
  <c r="AR20" i="15"/>
  <c r="AQ41" i="15"/>
  <c r="AQ43" i="15"/>
  <c r="AP44" i="15"/>
  <c r="AP42" i="15"/>
  <c r="AS14" i="15"/>
  <c r="K8" i="15"/>
  <c r="K10" i="15" s="1"/>
  <c r="AR33" i="15" l="1"/>
  <c r="AR29" i="15"/>
  <c r="M14" i="15"/>
  <c r="M15" i="15" s="1"/>
  <c r="AS19" i="15"/>
  <c r="AT14" i="15"/>
  <c r="AS15" i="15"/>
  <c r="AT15" i="15" s="1"/>
  <c r="AT10" i="15"/>
  <c r="AQ44" i="15"/>
  <c r="AQ42" i="15"/>
  <c r="AR40" i="15"/>
  <c r="AS20" i="15" l="1"/>
  <c r="M19" i="15"/>
  <c r="AU8" i="15"/>
  <c r="AT19" i="15"/>
  <c r="AR35" i="15"/>
  <c r="AR30" i="15"/>
  <c r="AS22" i="15"/>
  <c r="AS28" i="15" s="1"/>
  <c r="AS38" i="15"/>
  <c r="K38" i="15" s="1"/>
  <c r="AS39" i="15"/>
  <c r="K39" i="15" s="1"/>
  <c r="AR37" i="15" l="1"/>
  <c r="K28" i="15"/>
  <c r="AT20" i="15"/>
  <c r="AS29" i="15"/>
  <c r="AU14" i="15"/>
  <c r="AS33" i="15"/>
  <c r="K33" i="15" s="1"/>
  <c r="AU10" i="15"/>
  <c r="AS40" i="15"/>
  <c r="M22" i="15"/>
  <c r="M20" i="15"/>
  <c r="AT22" i="15"/>
  <c r="AT28" i="15" s="1"/>
  <c r="AT39" i="15"/>
  <c r="AT38" i="15"/>
  <c r="AR43" i="15"/>
  <c r="AR41" i="15"/>
  <c r="K29" i="15" l="1"/>
  <c r="K30" i="15" s="1"/>
  <c r="AS30" i="15"/>
  <c r="AS35" i="15"/>
  <c r="K35" i="15" s="1"/>
  <c r="K43" i="15" s="1"/>
  <c r="AT33" i="15"/>
  <c r="AT29" i="15"/>
  <c r="AV8" i="15"/>
  <c r="AT40" i="15"/>
  <c r="AU19" i="15"/>
  <c r="AU15" i="15"/>
  <c r="AR44" i="15"/>
  <c r="AR42" i="15"/>
  <c r="AS43" i="15" l="1"/>
  <c r="AS37" i="15"/>
  <c r="K37" i="15" s="1"/>
  <c r="AS41" i="15"/>
  <c r="AT35" i="15"/>
  <c r="AT30" i="15"/>
  <c r="AV14" i="15"/>
  <c r="AU38" i="15"/>
  <c r="AU22" i="15"/>
  <c r="AU28" i="15" s="1"/>
  <c r="AU39" i="15"/>
  <c r="AU20" i="15"/>
  <c r="AV10" i="15"/>
  <c r="AS42" i="15" l="1"/>
  <c r="K42" i="15" s="1"/>
  <c r="K41" i="15"/>
  <c r="K44" i="15" s="1"/>
  <c r="AT37" i="15"/>
  <c r="AS44" i="15"/>
  <c r="AV19" i="15"/>
  <c r="AV15" i="15"/>
  <c r="AU33" i="15"/>
  <c r="AU40" i="15"/>
  <c r="AT41" i="15"/>
  <c r="AT43" i="15"/>
  <c r="AW8" i="15"/>
  <c r="AU29" i="15"/>
  <c r="AV20" i="15" l="1"/>
  <c r="AW14" i="15"/>
  <c r="AW15" i="15" s="1"/>
  <c r="L8" i="15"/>
  <c r="L10" i="15" s="1"/>
  <c r="AU35" i="15"/>
  <c r="AU30" i="15"/>
  <c r="AW10" i="15"/>
  <c r="AX8" i="15" s="1"/>
  <c r="AT42" i="15"/>
  <c r="AT44" i="15"/>
  <c r="AV22" i="15"/>
  <c r="AV28" i="15" s="1"/>
  <c r="AV38" i="15"/>
  <c r="AV39" i="15"/>
  <c r="AU37" i="15" l="1"/>
  <c r="AX14" i="15"/>
  <c r="AX10" i="15"/>
  <c r="AY8" i="15" s="1"/>
  <c r="AV40" i="15"/>
  <c r="AV33" i="15"/>
  <c r="AV29" i="15"/>
  <c r="AW19" i="15"/>
  <c r="N19" i="15" s="1"/>
  <c r="N14" i="15"/>
  <c r="N15" i="15" s="1"/>
  <c r="AU41" i="15"/>
  <c r="AU43" i="15"/>
  <c r="AX19" i="15" l="1"/>
  <c r="AY10" i="15"/>
  <c r="AZ8" i="15" s="1"/>
  <c r="AY14" i="15"/>
  <c r="AY19" i="15" s="1"/>
  <c r="AX15" i="15"/>
  <c r="AY15" i="15" s="1"/>
  <c r="AW39" i="15"/>
  <c r="L39" i="15" s="1"/>
  <c r="AW38" i="15"/>
  <c r="L38" i="15" s="1"/>
  <c r="AW22" i="15"/>
  <c r="AW28" i="15" s="1"/>
  <c r="AW20" i="15"/>
  <c r="AX20" i="15" s="1"/>
  <c r="AY20" i="15" s="1"/>
  <c r="AV35" i="15"/>
  <c r="AV30" i="15"/>
  <c r="AU44" i="15"/>
  <c r="AU42" i="15"/>
  <c r="AV37" i="15" l="1"/>
  <c r="L28" i="15"/>
  <c r="AY39" i="15"/>
  <c r="AY22" i="15"/>
  <c r="AY28" i="15" s="1"/>
  <c r="AY38" i="15"/>
  <c r="AY40" i="15" s="1"/>
  <c r="AX22" i="15"/>
  <c r="AX28" i="15" s="1"/>
  <c r="AX39" i="15"/>
  <c r="AX38" i="15"/>
  <c r="AZ10" i="15"/>
  <c r="BA8" i="15" s="1"/>
  <c r="M8" i="15" s="1"/>
  <c r="M10" i="15" s="1"/>
  <c r="AZ14" i="15"/>
  <c r="AW29" i="15"/>
  <c r="AW33" i="15"/>
  <c r="L33" i="15" s="1"/>
  <c r="AV43" i="15"/>
  <c r="AV41" i="15"/>
  <c r="AW40" i="15"/>
  <c r="N22" i="15"/>
  <c r="N20" i="15"/>
  <c r="AY33" i="15" l="1"/>
  <c r="AX33" i="15"/>
  <c r="BA14" i="15"/>
  <c r="BA19" i="15" s="1"/>
  <c r="BA10" i="15"/>
  <c r="BB8" i="15" s="1"/>
  <c r="AZ19" i="15"/>
  <c r="O14" i="15"/>
  <c r="O15" i="15" s="1"/>
  <c r="AX40" i="15"/>
  <c r="AZ15" i="15"/>
  <c r="BA15" i="15" s="1"/>
  <c r="AX29" i="15"/>
  <c r="AY29" i="15" s="1"/>
  <c r="L29" i="15"/>
  <c r="L30" i="15" s="1"/>
  <c r="AW30" i="15"/>
  <c r="AW35" i="15"/>
  <c r="L35" i="15" s="1"/>
  <c r="L43" i="15" s="1"/>
  <c r="AV42" i="15"/>
  <c r="AV44" i="15"/>
  <c r="AY35" i="15" l="1"/>
  <c r="AY41" i="15" s="1"/>
  <c r="AY42" i="15" s="1"/>
  <c r="AW43" i="15"/>
  <c r="AW37" i="15"/>
  <c r="L37" i="15" s="1"/>
  <c r="AZ39" i="15"/>
  <c r="AZ22" i="15"/>
  <c r="AZ28" i="15" s="1"/>
  <c r="AZ38" i="15"/>
  <c r="AZ20" i="15"/>
  <c r="BA20" i="15" s="1"/>
  <c r="O19" i="15"/>
  <c r="O22" i="15" s="1"/>
  <c r="BA22" i="15"/>
  <c r="BA28" i="15" s="1"/>
  <c r="BA39" i="15"/>
  <c r="M39" i="15" s="1"/>
  <c r="BA38" i="15"/>
  <c r="BB10" i="15"/>
  <c r="BC8" i="15" s="1"/>
  <c r="BB14" i="15"/>
  <c r="BB19" i="15" s="1"/>
  <c r="AX35" i="15"/>
  <c r="AX30" i="15"/>
  <c r="AY30" i="15"/>
  <c r="AW41" i="15"/>
  <c r="L41" i="15" l="1"/>
  <c r="L44" i="15" s="1"/>
  <c r="AX37" i="15"/>
  <c r="AY44" i="15"/>
  <c r="AY37" i="15"/>
  <c r="AY43" i="15"/>
  <c r="AZ33" i="15"/>
  <c r="AZ29" i="15"/>
  <c r="BC10" i="15"/>
  <c r="BD8" i="15" s="1"/>
  <c r="BC14" i="15"/>
  <c r="BC19" i="15" s="1"/>
  <c r="AZ40" i="15"/>
  <c r="M38" i="15"/>
  <c r="BB15" i="15"/>
  <c r="BB22" i="15"/>
  <c r="BB28" i="15" s="1"/>
  <c r="BB39" i="15"/>
  <c r="BB38" i="15"/>
  <c r="BB20" i="15"/>
  <c r="BC20" i="15" s="1"/>
  <c r="M28" i="15"/>
  <c r="BA33" i="15"/>
  <c r="BA40" i="15"/>
  <c r="AX43" i="15"/>
  <c r="AX41" i="15"/>
  <c r="AW42" i="15"/>
  <c r="L42" i="15" s="1"/>
  <c r="AW44" i="15"/>
  <c r="M33" i="15" l="1"/>
  <c r="AZ35" i="15"/>
  <c r="BB33" i="15"/>
  <c r="BC15" i="15"/>
  <c r="BD15" i="15" s="1"/>
  <c r="AZ30" i="15"/>
  <c r="BA29" i="15"/>
  <c r="BA35" i="15" s="1"/>
  <c r="BA37" i="15" s="1"/>
  <c r="BB40" i="15"/>
  <c r="BC22" i="15"/>
  <c r="BC28" i="15" s="1"/>
  <c r="BC39" i="15"/>
  <c r="BC38" i="15"/>
  <c r="BD10" i="15"/>
  <c r="BE8" i="15" s="1"/>
  <c r="BD14" i="15"/>
  <c r="BD19" i="15" s="1"/>
  <c r="BD20" i="15" s="1"/>
  <c r="AX44" i="15"/>
  <c r="AX42" i="15"/>
  <c r="AZ41" i="15" l="1"/>
  <c r="AZ44" i="15" s="1"/>
  <c r="M35" i="15"/>
  <c r="M43" i="15" s="1"/>
  <c r="AZ43" i="15"/>
  <c r="AZ37" i="15"/>
  <c r="M37" i="15" s="1"/>
  <c r="BC33" i="15"/>
  <c r="BC40" i="15"/>
  <c r="BB29" i="15"/>
  <c r="BC29" i="15" s="1"/>
  <c r="M29" i="15"/>
  <c r="M30" i="15" s="1"/>
  <c r="BA30" i="15"/>
  <c r="BA41" i="15"/>
  <c r="BA42" i="15" s="1"/>
  <c r="BA43" i="15"/>
  <c r="BD22" i="15"/>
  <c r="BD28" i="15" s="1"/>
  <c r="BD39" i="15"/>
  <c r="BD38" i="15"/>
  <c r="BD40" i="15" s="1"/>
  <c r="BE14" i="15"/>
  <c r="BE19" i="15" s="1"/>
  <c r="BE10" i="15"/>
  <c r="BF8" i="15" s="1"/>
  <c r="N8" i="15"/>
  <c r="N10" i="15" s="1"/>
  <c r="AZ42" i="15" l="1"/>
  <c r="M42" i="15" s="1"/>
  <c r="M41" i="15"/>
  <c r="M44" i="15" s="1"/>
  <c r="BC35" i="15"/>
  <c r="BC43" i="15" s="1"/>
  <c r="BD33" i="15"/>
  <c r="BB35" i="15"/>
  <c r="BB30" i="15"/>
  <c r="BA44" i="15"/>
  <c r="BE22" i="15"/>
  <c r="BE28" i="15" s="1"/>
  <c r="BE39" i="15"/>
  <c r="N39" i="15" s="1"/>
  <c r="BE38" i="15"/>
  <c r="BE20" i="15"/>
  <c r="BF10" i="15"/>
  <c r="BG8" i="15" s="1"/>
  <c r="BF14" i="15"/>
  <c r="BF19" i="15" s="1"/>
  <c r="BE15" i="15"/>
  <c r="BD29" i="15"/>
  <c r="BC30" i="15"/>
  <c r="BB37" i="15" l="1"/>
  <c r="BD35" i="15"/>
  <c r="BD43" i="15" s="1"/>
  <c r="BC41" i="15"/>
  <c r="BC44" i="15" s="1"/>
  <c r="BC37" i="15"/>
  <c r="BE40" i="15"/>
  <c r="BB43" i="15"/>
  <c r="BB41" i="15"/>
  <c r="BF22" i="15"/>
  <c r="BF28" i="15" s="1"/>
  <c r="BF39" i="15"/>
  <c r="BF38" i="15"/>
  <c r="BG10" i="15"/>
  <c r="BH8" i="15" s="1"/>
  <c r="BG14" i="15"/>
  <c r="BG19" i="15" s="1"/>
  <c r="BF15" i="15"/>
  <c r="BG15" i="15" s="1"/>
  <c r="N38" i="15"/>
  <c r="BF20" i="15"/>
  <c r="N28" i="15"/>
  <c r="BE33" i="15"/>
  <c r="N33" i="15" s="1"/>
  <c r="BE29" i="15"/>
  <c r="BD30" i="15"/>
  <c r="BB42" i="15" l="1"/>
  <c r="BD41" i="15"/>
  <c r="BD44" i="15" s="1"/>
  <c r="BC42" i="15"/>
  <c r="BD37" i="15"/>
  <c r="BG20" i="15"/>
  <c r="BB44" i="15"/>
  <c r="BH15" i="15"/>
  <c r="BH10" i="15"/>
  <c r="BH14" i="15"/>
  <c r="BH19" i="15" s="1"/>
  <c r="O8" i="15"/>
  <c r="O10" i="15" s="1"/>
  <c r="BF40" i="15"/>
  <c r="BE35" i="15"/>
  <c r="BE37" i="15" s="1"/>
  <c r="BG38" i="15"/>
  <c r="BG22" i="15"/>
  <c r="BG28" i="15" s="1"/>
  <c r="BG39" i="15"/>
  <c r="BF33" i="15"/>
  <c r="N29" i="15"/>
  <c r="N30" i="15" s="1"/>
  <c r="BE30" i="15"/>
  <c r="BF29" i="15"/>
  <c r="N35" i="15" l="1"/>
  <c r="N43" i="15" s="1"/>
  <c r="N37" i="15"/>
  <c r="BD42" i="15"/>
  <c r="BG33" i="15"/>
  <c r="BG40" i="15"/>
  <c r="BE41" i="15"/>
  <c r="BE42" i="15" s="1"/>
  <c r="BE43" i="15"/>
  <c r="BH38" i="15"/>
  <c r="O38" i="15" s="1"/>
  <c r="BH22" i="15"/>
  <c r="BH28" i="15" s="1"/>
  <c r="BH39" i="15"/>
  <c r="BH20" i="15"/>
  <c r="BF35" i="15"/>
  <c r="BF30" i="15"/>
  <c r="BG29" i="15"/>
  <c r="N42" i="15" l="1"/>
  <c r="N41" i="15"/>
  <c r="N44" i="15" s="1"/>
  <c r="BG35" i="15"/>
  <c r="BG43" i="15" s="1"/>
  <c r="BH33" i="15"/>
  <c r="O33" i="15" s="1"/>
  <c r="BF41" i="15"/>
  <c r="BF37" i="15"/>
  <c r="BH40" i="15"/>
  <c r="O28" i="15"/>
  <c r="BE44" i="15"/>
  <c r="O39" i="15"/>
  <c r="BF43" i="15"/>
  <c r="BG30" i="15"/>
  <c r="BH29" i="15"/>
  <c r="BH30" i="15" s="1"/>
  <c r="BF42" i="15" l="1"/>
  <c r="BF44" i="15"/>
  <c r="BG37" i="15"/>
  <c r="BG41" i="15"/>
  <c r="BG42" i="15" s="1"/>
  <c r="O29" i="15"/>
  <c r="O30" i="15" s="1"/>
  <c r="BH35" i="15"/>
  <c r="O35" i="15" s="1"/>
  <c r="O43" i="15" s="1"/>
  <c r="BG44" i="15" l="1"/>
  <c r="BH43" i="15"/>
  <c r="BH37" i="15"/>
  <c r="O37" i="15" s="1"/>
  <c r="BH41" i="15"/>
  <c r="BH42" i="15" l="1"/>
  <c r="O42" i="15" s="1"/>
  <c r="O41" i="15"/>
  <c r="O44" i="15" s="1"/>
  <c r="BH44" i="15"/>
  <c r="Y38" i="18"/>
  <c r="Y41" i="18" l="1"/>
  <c r="Y44" i="18" s="1"/>
  <c r="Z38" i="18"/>
  <c r="Z41" i="18" s="1"/>
  <c r="Z44" i="18" l="1"/>
  <c r="AA38" i="18"/>
  <c r="AB38" i="18"/>
  <c r="AB41" i="18" s="1"/>
  <c r="I38" i="18" l="1"/>
  <c r="AA41" i="18"/>
  <c r="AA44" i="18" s="1"/>
  <c r="AB44" i="18"/>
  <c r="Y39" i="18"/>
  <c r="I41" i="18" l="1"/>
  <c r="I44" i="18" s="1"/>
  <c r="Y42" i="18"/>
  <c r="Y40" i="18"/>
  <c r="Z39" i="18"/>
  <c r="Z40" i="18" s="1"/>
  <c r="AA39" i="18"/>
  <c r="AB39" i="18"/>
  <c r="AB42" i="18" s="1"/>
  <c r="Z42" i="18" l="1"/>
  <c r="I39" i="18"/>
  <c r="AB40" i="18"/>
  <c r="AA42" i="18"/>
  <c r="AA40" i="18"/>
  <c r="I40" i="18" l="1"/>
  <c r="G55" i="16" s="1"/>
  <c r="I42" i="18"/>
  <c r="H33" i="18"/>
  <c r="X35" i="18"/>
  <c r="X41" i="18" s="1"/>
  <c r="X42" i="18" s="1"/>
  <c r="H42" i="18" s="1"/>
  <c r="H35" i="18" l="1"/>
  <c r="H43" i="18" s="1"/>
  <c r="X43" i="18"/>
  <c r="X37" i="18"/>
  <c r="H37" i="18" s="1"/>
  <c r="X44" i="18"/>
  <c r="H41" i="18"/>
  <c r="H44" i="18" s="1"/>
  <c r="AB17" i="9"/>
  <c r="AB19" i="9" s="1"/>
  <c r="AA19" i="9"/>
  <c r="AA22" i="9"/>
  <c r="AA28" i="9" s="1"/>
  <c r="AA38" i="9"/>
  <c r="AA39" i="9"/>
  <c r="AA40" i="9"/>
  <c r="AA33" i="9" l="1"/>
  <c r="AA32" i="10" s="1"/>
  <c r="AB39" i="9"/>
  <c r="AB22" i="9"/>
  <c r="AB28" i="9" s="1"/>
  <c r="AB38" i="9"/>
  <c r="AB40" i="9" s="1"/>
  <c r="I19" i="9"/>
  <c r="I22" i="9" s="1"/>
  <c r="I40" i="9"/>
  <c r="G50" i="16" s="1"/>
  <c r="G49" i="16" s="1"/>
  <c r="I39" i="9"/>
  <c r="AA20" i="9"/>
  <c r="AB20" i="9" s="1"/>
  <c r="AA9" i="10"/>
  <c r="AA29" i="9"/>
  <c r="AC17" i="9"/>
  <c r="I17" i="9"/>
  <c r="G58" i="16" l="1"/>
  <c r="G21" i="20"/>
  <c r="AA19" i="10"/>
  <c r="AA36" i="10" s="1"/>
  <c r="G60" i="16"/>
  <c r="AB33" i="9"/>
  <c r="AB32" i="10" s="1"/>
  <c r="G32" i="10" s="1"/>
  <c r="I20" i="9"/>
  <c r="I28" i="9"/>
  <c r="AB9" i="10"/>
  <c r="AB19" i="10" s="1"/>
  <c r="AB29" i="9"/>
  <c r="AB21" i="10" s="1"/>
  <c r="AB31" i="10" s="1"/>
  <c r="I38" i="9"/>
  <c r="AA30" i="9"/>
  <c r="AA35" i="9"/>
  <c r="AA37" i="9" s="1"/>
  <c r="AA21" i="10"/>
  <c r="G33" i="10"/>
  <c r="AC19" i="9"/>
  <c r="AD17" i="9"/>
  <c r="G54" i="10" l="1"/>
  <c r="G7" i="20"/>
  <c r="G21" i="10"/>
  <c r="G9" i="10"/>
  <c r="G19" i="10" s="1"/>
  <c r="G28" i="16" s="1"/>
  <c r="G28" i="20" s="1"/>
  <c r="AA31" i="10"/>
  <c r="AA34" i="10" s="1"/>
  <c r="AA35" i="10" s="1"/>
  <c r="AA61" i="10" s="1"/>
  <c r="AA60" i="10"/>
  <c r="AA37" i="10" s="1"/>
  <c r="AA38" i="10"/>
  <c r="AB36" i="10"/>
  <c r="G36" i="10" s="1"/>
  <c r="AB38" i="10"/>
  <c r="AB60" i="10"/>
  <c r="AB34" i="10"/>
  <c r="AB35" i="10" s="1"/>
  <c r="I33" i="9"/>
  <c r="AB30" i="9"/>
  <c r="I29" i="9"/>
  <c r="AB35" i="9"/>
  <c r="AA43" i="9"/>
  <c r="AA41" i="9"/>
  <c r="AA42" i="9" s="1"/>
  <c r="AE17" i="9"/>
  <c r="AD19" i="9"/>
  <c r="AC20" i="9"/>
  <c r="AC22" i="9"/>
  <c r="AC28" i="9" s="1"/>
  <c r="AC38" i="9"/>
  <c r="AC39" i="9"/>
  <c r="G22" i="16" l="1"/>
  <c r="G27" i="20" s="1"/>
  <c r="G89" i="16"/>
  <c r="G7" i="16" s="1"/>
  <c r="H48" i="16"/>
  <c r="G14" i="16"/>
  <c r="G63" i="10"/>
  <c r="G38" i="10"/>
  <c r="G64" i="10" s="1"/>
  <c r="AA56" i="10"/>
  <c r="G31" i="10"/>
  <c r="G34" i="10" s="1"/>
  <c r="G103" i="16" s="1"/>
  <c r="G21" i="16" s="1"/>
  <c r="AB37" i="10"/>
  <c r="AB56" i="10" s="1"/>
  <c r="AA39" i="10"/>
  <c r="AA55" i="10" s="1"/>
  <c r="G60" i="10"/>
  <c r="AB61" i="10"/>
  <c r="AB41" i="9"/>
  <c r="AB42" i="9" s="1"/>
  <c r="I42" i="9" s="1"/>
  <c r="AB37" i="9"/>
  <c r="I37" i="9" s="1"/>
  <c r="I30" i="9"/>
  <c r="I35" i="9"/>
  <c r="I43" i="9" s="1"/>
  <c r="AB43" i="9"/>
  <c r="AA44" i="9"/>
  <c r="AD20" i="9"/>
  <c r="AD22" i="9"/>
  <c r="AD28" i="9" s="1"/>
  <c r="AD38" i="9"/>
  <c r="AD39" i="9"/>
  <c r="AC40" i="9"/>
  <c r="AE19" i="9"/>
  <c r="AF17" i="9"/>
  <c r="AC33" i="9"/>
  <c r="AC9" i="10"/>
  <c r="AC29" i="9"/>
  <c r="H101" i="16" l="1"/>
  <c r="G102" i="16"/>
  <c r="G14" i="20"/>
  <c r="G96" i="16"/>
  <c r="G8" i="16" s="1"/>
  <c r="G88" i="16"/>
  <c r="G32" i="16"/>
  <c r="G18" i="20" s="1"/>
  <c r="G16" i="16"/>
  <c r="G15" i="16"/>
  <c r="G10" i="16"/>
  <c r="G35" i="10"/>
  <c r="G61" i="10" s="1"/>
  <c r="G37" i="10"/>
  <c r="AB39" i="10"/>
  <c r="AB55" i="10" s="1"/>
  <c r="AC19" i="10"/>
  <c r="AC60" i="10" s="1"/>
  <c r="AC37" i="10" s="1"/>
  <c r="AA57" i="10"/>
  <c r="AA62" i="10"/>
  <c r="I41" i="9"/>
  <c r="I44" i="9" s="1"/>
  <c r="AB44" i="9"/>
  <c r="AC30" i="9"/>
  <c r="AC35" i="9"/>
  <c r="AC37" i="9" s="1"/>
  <c r="AD29" i="9"/>
  <c r="AC21" i="10"/>
  <c r="AC32" i="10"/>
  <c r="AG17" i="9"/>
  <c r="AF19" i="9"/>
  <c r="AE20" i="9"/>
  <c r="AE22" i="9"/>
  <c r="AE28" i="9" s="1"/>
  <c r="AE38" i="9"/>
  <c r="AE39" i="9"/>
  <c r="J19" i="9"/>
  <c r="AD40" i="9"/>
  <c r="AD33" i="9"/>
  <c r="AD32" i="10" s="1"/>
  <c r="AD9" i="10"/>
  <c r="AD19" i="10" s="1"/>
  <c r="J17" i="9"/>
  <c r="H94" i="16" l="1"/>
  <c r="G95" i="16"/>
  <c r="G10" i="20"/>
  <c r="G11" i="20"/>
  <c r="G12" i="20"/>
  <c r="G17" i="20"/>
  <c r="G39" i="20"/>
  <c r="G56" i="10"/>
  <c r="G35" i="16" s="1"/>
  <c r="G8" i="20"/>
  <c r="G39" i="10"/>
  <c r="G55" i="10" s="1"/>
  <c r="AC56" i="10"/>
  <c r="AC31" i="10"/>
  <c r="AC34" i="10" s="1"/>
  <c r="AC35" i="10" s="1"/>
  <c r="AC38" i="10"/>
  <c r="AC36" i="10"/>
  <c r="AB57" i="10"/>
  <c r="AB62" i="10"/>
  <c r="AD36" i="10"/>
  <c r="AD38" i="10"/>
  <c r="AD60" i="10"/>
  <c r="AD37" i="10" s="1"/>
  <c r="AD56" i="10" s="1"/>
  <c r="AE40" i="9"/>
  <c r="J20" i="9"/>
  <c r="J22" i="9"/>
  <c r="AE33" i="9"/>
  <c r="AE32" i="10" s="1"/>
  <c r="AE9" i="10"/>
  <c r="AE19" i="10" s="1"/>
  <c r="AC41" i="9"/>
  <c r="AC43" i="9"/>
  <c r="AF20" i="9"/>
  <c r="AF22" i="9"/>
  <c r="AF28" i="9" s="1"/>
  <c r="AF38" i="9"/>
  <c r="AF39" i="9"/>
  <c r="J39" i="9" s="1"/>
  <c r="J38" i="9"/>
  <c r="AG19" i="9"/>
  <c r="AH17" i="9"/>
  <c r="AE29" i="9"/>
  <c r="AD30" i="9"/>
  <c r="AD35" i="9"/>
  <c r="AD37" i="9" s="1"/>
  <c r="AD21" i="10"/>
  <c r="AD31" i="10" s="1"/>
  <c r="AD34" i="10" s="1"/>
  <c r="AD35" i="10" s="1"/>
  <c r="H37" i="20" l="1"/>
  <c r="G38" i="20"/>
  <c r="G57" i="10"/>
  <c r="G62" i="10"/>
  <c r="AD61" i="10"/>
  <c r="AD39" i="10"/>
  <c r="AC61" i="10"/>
  <c r="AC39" i="10"/>
  <c r="AE36" i="10"/>
  <c r="AE38" i="10"/>
  <c r="AE60" i="10"/>
  <c r="AE37" i="10" s="1"/>
  <c r="AE56" i="10" s="1"/>
  <c r="AG20" i="9"/>
  <c r="AG22" i="9"/>
  <c r="AG28" i="9" s="1"/>
  <c r="AG38" i="9"/>
  <c r="AG39" i="9"/>
  <c r="AF33" i="9"/>
  <c r="AF9" i="10"/>
  <c r="AF19" i="10" s="1"/>
  <c r="AC42" i="9"/>
  <c r="AC44" i="9"/>
  <c r="AE30" i="9"/>
  <c r="AE35" i="9"/>
  <c r="AE37" i="9" s="1"/>
  <c r="AE21" i="10"/>
  <c r="AF29" i="9"/>
  <c r="AD41" i="9"/>
  <c r="AD43" i="9"/>
  <c r="AI17" i="9"/>
  <c r="AH19" i="9"/>
  <c r="AF40" i="9"/>
  <c r="J40" i="9" s="1"/>
  <c r="H50" i="16" s="1"/>
  <c r="H49" i="16" s="1"/>
  <c r="J28" i="9"/>
  <c r="G22" i="20" l="1"/>
  <c r="G23" i="20" s="1"/>
  <c r="H58" i="16"/>
  <c r="H21" i="20"/>
  <c r="H9" i="10"/>
  <c r="H19" i="10" s="1"/>
  <c r="H28" i="16" s="1"/>
  <c r="H28" i="20" s="1"/>
  <c r="AE31" i="10"/>
  <c r="AE34" i="10" s="1"/>
  <c r="AE35" i="10" s="1"/>
  <c r="AE39" i="10" s="1"/>
  <c r="AC55" i="10"/>
  <c r="AD55" i="10"/>
  <c r="AF36" i="10"/>
  <c r="H36" i="10" s="1"/>
  <c r="AF38" i="10"/>
  <c r="H38" i="10" s="1"/>
  <c r="AF60" i="10"/>
  <c r="AF37" i="10" s="1"/>
  <c r="H60" i="16"/>
  <c r="AG29" i="9"/>
  <c r="AF30" i="9"/>
  <c r="AF35" i="9"/>
  <c r="AF21" i="10"/>
  <c r="AF31" i="10" s="1"/>
  <c r="AG40" i="9"/>
  <c r="AH20" i="9"/>
  <c r="AH22" i="9"/>
  <c r="AH28" i="9" s="1"/>
  <c r="AH38" i="9"/>
  <c r="AH40" i="9" s="1"/>
  <c r="AH39" i="9"/>
  <c r="AD42" i="9"/>
  <c r="AD44" i="9"/>
  <c r="AG33" i="9"/>
  <c r="AG9" i="10"/>
  <c r="AI19" i="9"/>
  <c r="AJ17" i="9"/>
  <c r="K17" i="9" s="1"/>
  <c r="AE41" i="9"/>
  <c r="AE43" i="9"/>
  <c r="AF32" i="10"/>
  <c r="H32" i="10" s="1"/>
  <c r="J33" i="9"/>
  <c r="J29" i="9"/>
  <c r="H22" i="16" l="1"/>
  <c r="H27" i="20" s="1"/>
  <c r="H89" i="16"/>
  <c r="H7" i="16" s="1"/>
  <c r="H63" i="10"/>
  <c r="H64" i="10"/>
  <c r="AF56" i="10"/>
  <c r="H37" i="10"/>
  <c r="H8" i="20" s="1"/>
  <c r="H21" i="10"/>
  <c r="H31" i="10" s="1"/>
  <c r="AE61" i="10"/>
  <c r="H60" i="10"/>
  <c r="AG19" i="10"/>
  <c r="AG60" i="10" s="1"/>
  <c r="AG37" i="10" s="1"/>
  <c r="AE55" i="10"/>
  <c r="AD57" i="10"/>
  <c r="AD62" i="10"/>
  <c r="AC57" i="10"/>
  <c r="AC62" i="10"/>
  <c r="J35" i="9"/>
  <c r="J43" i="9" s="1"/>
  <c r="AF37" i="9"/>
  <c r="J37" i="9" s="1"/>
  <c r="AE42" i="9"/>
  <c r="AE44" i="9"/>
  <c r="AG32" i="10"/>
  <c r="AF34" i="10"/>
  <c r="AF35" i="10" s="1"/>
  <c r="H33" i="10"/>
  <c r="AF41" i="9"/>
  <c r="AF43" i="9"/>
  <c r="AK17" i="9"/>
  <c r="AJ19" i="9"/>
  <c r="J30" i="9"/>
  <c r="AI20" i="9"/>
  <c r="AI22" i="9"/>
  <c r="AI28" i="9" s="1"/>
  <c r="AI38" i="9"/>
  <c r="AI39" i="9"/>
  <c r="AH33" i="9"/>
  <c r="AH32" i="10" s="1"/>
  <c r="AH9" i="10"/>
  <c r="AH19" i="10" s="1"/>
  <c r="AG30" i="9"/>
  <c r="AG35" i="9"/>
  <c r="AG37" i="9" s="1"/>
  <c r="AH29" i="9"/>
  <c r="AG21" i="10"/>
  <c r="H54" i="10" l="1"/>
  <c r="H7" i="20"/>
  <c r="H88" i="16"/>
  <c r="H32" i="16"/>
  <c r="H18" i="20" s="1"/>
  <c r="H16" i="16"/>
  <c r="H15" i="16"/>
  <c r="I48" i="16"/>
  <c r="H14" i="16"/>
  <c r="H10" i="16"/>
  <c r="AG56" i="10"/>
  <c r="AG31" i="10"/>
  <c r="AG34" i="10" s="1"/>
  <c r="AG35" i="10" s="1"/>
  <c r="H56" i="10"/>
  <c r="H35" i="16" s="1"/>
  <c r="AG38" i="10"/>
  <c r="AG36" i="10"/>
  <c r="AE57" i="10"/>
  <c r="AE62" i="10"/>
  <c r="AF61" i="10"/>
  <c r="AF39" i="10"/>
  <c r="AH36" i="10"/>
  <c r="AH38" i="10"/>
  <c r="AH60" i="10"/>
  <c r="AH37" i="10" s="1"/>
  <c r="AH56" i="10" s="1"/>
  <c r="H34" i="10"/>
  <c r="H103" i="16" s="1"/>
  <c r="H21" i="16" s="1"/>
  <c r="AG41" i="9"/>
  <c r="AG43" i="9"/>
  <c r="AI33" i="9"/>
  <c r="AI32" i="10" s="1"/>
  <c r="AI9" i="10"/>
  <c r="AI19" i="10" s="1"/>
  <c r="AK19" i="9"/>
  <c r="AL17" i="9"/>
  <c r="AF42" i="9"/>
  <c r="J42" i="9" s="1"/>
  <c r="AF44" i="9"/>
  <c r="K39" i="9"/>
  <c r="AI29" i="9"/>
  <c r="AH30" i="9"/>
  <c r="AH35" i="9"/>
  <c r="AH37" i="9" s="1"/>
  <c r="AH21" i="10"/>
  <c r="AH31" i="10" s="1"/>
  <c r="AH34" i="10" s="1"/>
  <c r="AH35" i="10" s="1"/>
  <c r="AI40" i="9"/>
  <c r="J41" i="9"/>
  <c r="J44" i="9" s="1"/>
  <c r="AJ20" i="9"/>
  <c r="AJ22" i="9"/>
  <c r="AJ28" i="9" s="1"/>
  <c r="AJ38" i="9"/>
  <c r="AJ39" i="9"/>
  <c r="K19" i="9"/>
  <c r="I101" i="16" l="1"/>
  <c r="H102" i="16"/>
  <c r="H14" i="20"/>
  <c r="H96" i="16"/>
  <c r="H8" i="16" s="1"/>
  <c r="H12" i="20"/>
  <c r="H10" i="20"/>
  <c r="H17" i="20"/>
  <c r="H39" i="20"/>
  <c r="H35" i="10"/>
  <c r="H61" i="10" s="1"/>
  <c r="AF55" i="10"/>
  <c r="AG61" i="10"/>
  <c r="AG39" i="10"/>
  <c r="AH61" i="10"/>
  <c r="AH39" i="10"/>
  <c r="AI36" i="10"/>
  <c r="AI38" i="10"/>
  <c r="AI60" i="10"/>
  <c r="AI37" i="10" s="1"/>
  <c r="AI56" i="10" s="1"/>
  <c r="K28" i="9"/>
  <c r="AH41" i="9"/>
  <c r="AH43" i="9"/>
  <c r="AM17" i="9"/>
  <c r="AL19" i="9"/>
  <c r="K20" i="9"/>
  <c r="K22" i="9"/>
  <c r="AJ40" i="9"/>
  <c r="K40" i="9" s="1"/>
  <c r="K38" i="9"/>
  <c r="AG42" i="9"/>
  <c r="AG44" i="9"/>
  <c r="AK20" i="9"/>
  <c r="AK22" i="9"/>
  <c r="AK28" i="9" s="1"/>
  <c r="AK38" i="9"/>
  <c r="AK39" i="9"/>
  <c r="AJ9" i="10"/>
  <c r="I9" i="10" s="1"/>
  <c r="AJ33" i="9"/>
  <c r="AI30" i="9"/>
  <c r="AI35" i="9"/>
  <c r="AI37" i="9" s="1"/>
  <c r="AI21" i="10"/>
  <c r="AI31" i="10" s="1"/>
  <c r="AI34" i="10" s="1"/>
  <c r="AI35" i="10" s="1"/>
  <c r="AJ29" i="9"/>
  <c r="K29" i="9" s="1"/>
  <c r="I94" i="16" l="1"/>
  <c r="H95" i="16"/>
  <c r="H11" i="20"/>
  <c r="I37" i="20"/>
  <c r="H38" i="20"/>
  <c r="H39" i="10"/>
  <c r="H55" i="10" s="1"/>
  <c r="H57" i="10" s="1"/>
  <c r="AJ19" i="10"/>
  <c r="AJ60" i="10" s="1"/>
  <c r="AJ37" i="10" s="1"/>
  <c r="I19" i="10"/>
  <c r="I28" i="16" s="1"/>
  <c r="I28" i="20" s="1"/>
  <c r="I50" i="16"/>
  <c r="AH55" i="10"/>
  <c r="AF57" i="10"/>
  <c r="AF62" i="10"/>
  <c r="AG55" i="10"/>
  <c r="AI61" i="10"/>
  <c r="AI39" i="10"/>
  <c r="AJ32" i="10"/>
  <c r="I32" i="10" s="1"/>
  <c r="K33" i="9"/>
  <c r="AK40" i="9"/>
  <c r="AK33" i="9"/>
  <c r="AK9" i="10"/>
  <c r="AI41" i="9"/>
  <c r="AI43" i="9"/>
  <c r="K30" i="9"/>
  <c r="AL20" i="9"/>
  <c r="AL22" i="9"/>
  <c r="AL28" i="9" s="1"/>
  <c r="AL38" i="9"/>
  <c r="AL39" i="9"/>
  <c r="AH42" i="9"/>
  <c r="AH44" i="9"/>
  <c r="AK29" i="9"/>
  <c r="AJ21" i="10"/>
  <c r="AJ31" i="10" s="1"/>
  <c r="AJ30" i="9"/>
  <c r="AJ35" i="9"/>
  <c r="AJ37" i="9" s="1"/>
  <c r="AM19" i="9"/>
  <c r="AN17" i="9"/>
  <c r="H22" i="20" l="1"/>
  <c r="H23" i="20" s="1"/>
  <c r="I22" i="16"/>
  <c r="I27" i="20" s="1"/>
  <c r="I89" i="16"/>
  <c r="I7" i="16" s="1"/>
  <c r="H62" i="10"/>
  <c r="AJ56" i="10"/>
  <c r="I37" i="10"/>
  <c r="I8" i="20" s="1"/>
  <c r="I21" i="10"/>
  <c r="I31" i="10" s="1"/>
  <c r="AJ38" i="10"/>
  <c r="I38" i="10" s="1"/>
  <c r="I64" i="10" s="1"/>
  <c r="I60" i="10"/>
  <c r="AK19" i="10"/>
  <c r="AK36" i="10" s="1"/>
  <c r="AJ36" i="10"/>
  <c r="I36" i="10" s="1"/>
  <c r="I63" i="10" s="1"/>
  <c r="I49" i="16"/>
  <c r="I21" i="20" s="1"/>
  <c r="AI55" i="10"/>
  <c r="AH57" i="10"/>
  <c r="AH62" i="10"/>
  <c r="AG57" i="10"/>
  <c r="AG62" i="10"/>
  <c r="AJ34" i="10"/>
  <c r="AJ35" i="10" s="1"/>
  <c r="AI42" i="9"/>
  <c r="AI44" i="9"/>
  <c r="AK32" i="10"/>
  <c r="AO17" i="9"/>
  <c r="AN19" i="9"/>
  <c r="L19" i="9" s="1"/>
  <c r="L17" i="9"/>
  <c r="AK30" i="9"/>
  <c r="AK35" i="9"/>
  <c r="AK37" i="9" s="1"/>
  <c r="AL29" i="9"/>
  <c r="AK21" i="10"/>
  <c r="AL40" i="9"/>
  <c r="AM20" i="9"/>
  <c r="AM22" i="9"/>
  <c r="AM28" i="9" s="1"/>
  <c r="AM38" i="9"/>
  <c r="AM39" i="9"/>
  <c r="AL33" i="9"/>
  <c r="AL32" i="10" s="1"/>
  <c r="AL9" i="10"/>
  <c r="AL19" i="10" s="1"/>
  <c r="AJ41" i="9"/>
  <c r="K41" i="9" s="1"/>
  <c r="K44" i="9" s="1"/>
  <c r="AJ43" i="9"/>
  <c r="K37" i="9"/>
  <c r="K35" i="9"/>
  <c r="K43" i="9" s="1"/>
  <c r="I33" i="10"/>
  <c r="I7" i="20" s="1"/>
  <c r="I88" i="16" l="1"/>
  <c r="I32" i="16"/>
  <c r="I18" i="20" s="1"/>
  <c r="I16" i="16"/>
  <c r="I10" i="16"/>
  <c r="I15" i="16"/>
  <c r="I60" i="16"/>
  <c r="I58" i="16"/>
  <c r="I56" i="10"/>
  <c r="I35" i="16" s="1"/>
  <c r="AK38" i="10"/>
  <c r="AK31" i="10"/>
  <c r="AK34" i="10" s="1"/>
  <c r="AK35" i="10" s="1"/>
  <c r="AK60" i="10"/>
  <c r="AK37" i="10" s="1"/>
  <c r="AI57" i="10"/>
  <c r="AI62" i="10"/>
  <c r="I34" i="10"/>
  <c r="I103" i="16" s="1"/>
  <c r="I21" i="16" s="1"/>
  <c r="I54" i="10"/>
  <c r="AJ61" i="10"/>
  <c r="AJ39" i="10"/>
  <c r="AL36" i="10"/>
  <c r="AL38" i="10"/>
  <c r="AL60" i="10"/>
  <c r="AM40" i="9"/>
  <c r="L20" i="9"/>
  <c r="L22" i="9"/>
  <c r="AM29" i="9"/>
  <c r="AL30" i="9"/>
  <c r="AL35" i="9"/>
  <c r="AL37" i="9" s="1"/>
  <c r="AL21" i="10"/>
  <c r="AL31" i="10" s="1"/>
  <c r="AL34" i="10" s="1"/>
  <c r="AL35" i="10" s="1"/>
  <c r="AN20" i="9"/>
  <c r="AN22" i="9"/>
  <c r="AN28" i="9" s="1"/>
  <c r="AN38" i="9"/>
  <c r="AN39" i="9"/>
  <c r="L39" i="9" s="1"/>
  <c r="AJ42" i="9"/>
  <c r="K42" i="9" s="1"/>
  <c r="AJ44" i="9"/>
  <c r="AM33" i="9"/>
  <c r="AM32" i="10" s="1"/>
  <c r="AM9" i="10"/>
  <c r="AM19" i="10" s="1"/>
  <c r="AK41" i="9"/>
  <c r="AK43" i="9"/>
  <c r="AO19" i="9"/>
  <c r="AP17" i="9"/>
  <c r="I102" i="16" l="1"/>
  <c r="J101" i="16"/>
  <c r="I14" i="20"/>
  <c r="I96" i="16"/>
  <c r="I8" i="16" s="1"/>
  <c r="I10" i="20"/>
  <c r="I12" i="20"/>
  <c r="I17" i="20"/>
  <c r="I39" i="20"/>
  <c r="J48" i="16"/>
  <c r="I14" i="16"/>
  <c r="I35" i="10"/>
  <c r="I39" i="10" s="1"/>
  <c r="I55" i="10" s="1"/>
  <c r="AK56" i="10"/>
  <c r="AL37" i="10"/>
  <c r="AL56" i="10" s="1"/>
  <c r="AJ55" i="10"/>
  <c r="AK61" i="10"/>
  <c r="AK39" i="10"/>
  <c r="AL61" i="10"/>
  <c r="AM36" i="10"/>
  <c r="AM38" i="10"/>
  <c r="AM60" i="10"/>
  <c r="AO20" i="9"/>
  <c r="AO22" i="9"/>
  <c r="AO28" i="9" s="1"/>
  <c r="AO38" i="9"/>
  <c r="AO39" i="9"/>
  <c r="AK42" i="9"/>
  <c r="AK44" i="9"/>
  <c r="AN9" i="10"/>
  <c r="AN19" i="10" s="1"/>
  <c r="AN33" i="9"/>
  <c r="L28" i="9"/>
  <c r="AM30" i="9"/>
  <c r="AM35" i="9"/>
  <c r="AM37" i="9" s="1"/>
  <c r="AM21" i="10"/>
  <c r="AM31" i="10" s="1"/>
  <c r="AM34" i="10" s="1"/>
  <c r="AM35" i="10" s="1"/>
  <c r="AN29" i="9"/>
  <c r="AQ17" i="9"/>
  <c r="AP19" i="9"/>
  <c r="AN40" i="9"/>
  <c r="L40" i="9" s="1"/>
  <c r="J50" i="16" s="1"/>
  <c r="J49" i="16" s="1"/>
  <c r="J21" i="20" s="1"/>
  <c r="AL41" i="9"/>
  <c r="AL43" i="9"/>
  <c r="L38" i="9"/>
  <c r="I95" i="16" l="1"/>
  <c r="J94" i="16"/>
  <c r="I11" i="20"/>
  <c r="J37" i="20"/>
  <c r="I38" i="20"/>
  <c r="J58" i="16"/>
  <c r="I61" i="10"/>
  <c r="J9" i="10"/>
  <c r="J19" i="10" s="1"/>
  <c r="AL39" i="10"/>
  <c r="AL55" i="10" s="1"/>
  <c r="AM37" i="10"/>
  <c r="AM56" i="10" s="1"/>
  <c r="AJ57" i="10"/>
  <c r="AJ62" i="10"/>
  <c r="AK55" i="10"/>
  <c r="AM61" i="10"/>
  <c r="AN36" i="10"/>
  <c r="J36" i="10" s="1"/>
  <c r="AN38" i="10"/>
  <c r="J38" i="10" s="1"/>
  <c r="AN60" i="10"/>
  <c r="J60" i="16"/>
  <c r="AO40" i="9"/>
  <c r="I57" i="10"/>
  <c r="I62" i="10"/>
  <c r="AM41" i="9"/>
  <c r="AM43" i="9"/>
  <c r="AO33" i="9"/>
  <c r="AP20" i="9"/>
  <c r="AP22" i="9"/>
  <c r="AP28" i="9" s="1"/>
  <c r="AP38" i="9"/>
  <c r="AP40" i="9" s="1"/>
  <c r="AP39" i="9"/>
  <c r="AN32" i="10"/>
  <c r="J32" i="10" s="1"/>
  <c r="L33" i="9"/>
  <c r="AO29" i="9"/>
  <c r="AN21" i="10"/>
  <c r="AN31" i="10" s="1"/>
  <c r="AN30" i="9"/>
  <c r="AN35" i="9"/>
  <c r="L29" i="9"/>
  <c r="AL42" i="9"/>
  <c r="AL44" i="9"/>
  <c r="AQ19" i="9"/>
  <c r="AR17" i="9"/>
  <c r="I22" i="20" l="1"/>
  <c r="I23" i="20" s="1"/>
  <c r="J89" i="16"/>
  <c r="J7" i="16" s="1"/>
  <c r="J28" i="16"/>
  <c r="J28" i="20" s="1"/>
  <c r="J22" i="16"/>
  <c r="J27" i="20" s="1"/>
  <c r="J64" i="10"/>
  <c r="J63" i="10"/>
  <c r="J21" i="10"/>
  <c r="J31" i="10" s="1"/>
  <c r="AM39" i="10"/>
  <c r="AM55" i="10" s="1"/>
  <c r="AN37" i="10"/>
  <c r="AN56" i="10" s="1"/>
  <c r="J60" i="10"/>
  <c r="AK57" i="10"/>
  <c r="AK62" i="10"/>
  <c r="AL57" i="10"/>
  <c r="AL62" i="10"/>
  <c r="J14" i="16"/>
  <c r="L35" i="9"/>
  <c r="L43" i="9" s="1"/>
  <c r="AN37" i="9"/>
  <c r="L37" i="9" s="1"/>
  <c r="AQ20" i="9"/>
  <c r="AQ22" i="9"/>
  <c r="AQ28" i="9" s="1"/>
  <c r="AQ38" i="9"/>
  <c r="AQ39" i="9"/>
  <c r="AS17" i="9"/>
  <c r="AR19" i="9"/>
  <c r="M17" i="9"/>
  <c r="AN34" i="10"/>
  <c r="AN35" i="10" s="1"/>
  <c r="L30" i="9"/>
  <c r="AO30" i="9"/>
  <c r="AO35" i="9"/>
  <c r="AO37" i="9" s="1"/>
  <c r="AP29" i="9"/>
  <c r="AN41" i="9"/>
  <c r="L41" i="9" s="1"/>
  <c r="L44" i="9" s="1"/>
  <c r="AN43" i="9"/>
  <c r="AP33" i="9"/>
  <c r="AM42" i="9"/>
  <c r="AM44" i="9"/>
  <c r="J33" i="10"/>
  <c r="J88" i="16" l="1"/>
  <c r="J54" i="10"/>
  <c r="J7" i="20"/>
  <c r="J32" i="16"/>
  <c r="J18" i="20" s="1"/>
  <c r="J16" i="16"/>
  <c r="J39" i="20" s="1"/>
  <c r="J38" i="20" s="1"/>
  <c r="J15" i="16"/>
  <c r="J17" i="20" s="1"/>
  <c r="J10" i="20"/>
  <c r="J10" i="16"/>
  <c r="J12" i="20" s="1"/>
  <c r="J37" i="10"/>
  <c r="AM57" i="10"/>
  <c r="AM62" i="10"/>
  <c r="AN61" i="10"/>
  <c r="AN39" i="10"/>
  <c r="AQ40" i="9"/>
  <c r="AO41" i="9"/>
  <c r="AO43" i="9"/>
  <c r="AR20" i="9"/>
  <c r="AR22" i="9"/>
  <c r="AR28" i="9" s="1"/>
  <c r="AR38" i="9"/>
  <c r="AR39" i="9"/>
  <c r="M19" i="9"/>
  <c r="AS19" i="9"/>
  <c r="AT17" i="9"/>
  <c r="AQ33" i="9"/>
  <c r="AN42" i="9"/>
  <c r="L42" i="9" s="1"/>
  <c r="AN44" i="9"/>
  <c r="AQ29" i="9"/>
  <c r="AP30" i="9"/>
  <c r="AP35" i="9"/>
  <c r="AP37" i="9" s="1"/>
  <c r="J34" i="10"/>
  <c r="J103" i="16" s="1"/>
  <c r="M39" i="9"/>
  <c r="J22" i="20" l="1"/>
  <c r="J23" i="20" s="1"/>
  <c r="J102" i="16"/>
  <c r="J21" i="16"/>
  <c r="J14" i="20" s="1"/>
  <c r="J96" i="16"/>
  <c r="J56" i="10"/>
  <c r="J35" i="16" s="1"/>
  <c r="J8" i="20"/>
  <c r="J35" i="10"/>
  <c r="J39" i="10" s="1"/>
  <c r="AN55" i="10"/>
  <c r="AR40" i="9"/>
  <c r="M40" i="9" s="1"/>
  <c r="AQ30" i="9"/>
  <c r="AQ35" i="9"/>
  <c r="AQ37" i="9" s="1"/>
  <c r="AR29" i="9"/>
  <c r="M29" i="9" s="1"/>
  <c r="M30" i="9" s="1"/>
  <c r="M38" i="9"/>
  <c r="AR33" i="9"/>
  <c r="M33" i="9" s="1"/>
  <c r="M28" i="9"/>
  <c r="AO42" i="9"/>
  <c r="AO44" i="9"/>
  <c r="AU17" i="9"/>
  <c r="AT19" i="9"/>
  <c r="M20" i="9"/>
  <c r="M22" i="9"/>
  <c r="AP41" i="9"/>
  <c r="AP43" i="9"/>
  <c r="AS20" i="9"/>
  <c r="AS22" i="9"/>
  <c r="AS28" i="9" s="1"/>
  <c r="AS38" i="9"/>
  <c r="AS39" i="9"/>
  <c r="J95" i="16" l="1"/>
  <c r="J8" i="16"/>
  <c r="J11" i="20" s="1"/>
  <c r="J61" i="10"/>
  <c r="AN57" i="10"/>
  <c r="AN62" i="10"/>
  <c r="AT20" i="9"/>
  <c r="AT22" i="9"/>
  <c r="AT28" i="9" s="1"/>
  <c r="AT38" i="9"/>
  <c r="AT39" i="9"/>
  <c r="AS40" i="9"/>
  <c r="AS33" i="9"/>
  <c r="AP42" i="9"/>
  <c r="AP44" i="9"/>
  <c r="AU19" i="9"/>
  <c r="AV17" i="9"/>
  <c r="AV19" i="9" s="1"/>
  <c r="N17" i="9"/>
  <c r="AS29" i="9"/>
  <c r="AR30" i="9"/>
  <c r="AR35" i="9"/>
  <c r="AQ41" i="9"/>
  <c r="AQ43" i="9"/>
  <c r="N19" i="9"/>
  <c r="J55" i="10"/>
  <c r="M35" i="9" l="1"/>
  <c r="M43" i="9" s="1"/>
  <c r="AR37" i="9"/>
  <c r="M37" i="9" s="1"/>
  <c r="N20" i="9"/>
  <c r="N22" i="9"/>
  <c r="AQ42" i="9"/>
  <c r="AQ44" i="9"/>
  <c r="AS30" i="9"/>
  <c r="AS35" i="9"/>
  <c r="AS37" i="9" s="1"/>
  <c r="AT29" i="9"/>
  <c r="AU20" i="9"/>
  <c r="AV20" i="9" s="1"/>
  <c r="AU22" i="9"/>
  <c r="AU28" i="9" s="1"/>
  <c r="AU38" i="9"/>
  <c r="AU39" i="9"/>
  <c r="N39" i="9" s="1"/>
  <c r="AT40" i="9"/>
  <c r="J57" i="10"/>
  <c r="J62" i="10"/>
  <c r="AR41" i="9"/>
  <c r="AR43" i="9"/>
  <c r="AT33" i="9"/>
  <c r="AV22" i="9"/>
  <c r="AV28" i="9" s="1"/>
  <c r="AV38" i="9"/>
  <c r="AV39" i="9"/>
  <c r="N38" i="9"/>
  <c r="AV40" i="9" l="1"/>
  <c r="N28" i="9"/>
  <c r="AR42" i="9"/>
  <c r="M42" i="9" s="1"/>
  <c r="AR44" i="9"/>
  <c r="AU33" i="9"/>
  <c r="AS41" i="9"/>
  <c r="AS43" i="9"/>
  <c r="AV33" i="9"/>
  <c r="M41" i="9"/>
  <c r="M44" i="9" s="1"/>
  <c r="AU29" i="9"/>
  <c r="AT30" i="9"/>
  <c r="AT35" i="9"/>
  <c r="AT37" i="9" s="1"/>
  <c r="AU40" i="9"/>
  <c r="N40" i="9" s="1"/>
  <c r="N33" i="9" l="1"/>
  <c r="AT41" i="9"/>
  <c r="AT43" i="9"/>
  <c r="AS42" i="9"/>
  <c r="AS44" i="9"/>
  <c r="AU30" i="9"/>
  <c r="AU35" i="9"/>
  <c r="AU37" i="9" s="1"/>
  <c r="AV29" i="9"/>
  <c r="N29" i="9" s="1"/>
  <c r="N30" i="9" s="1"/>
  <c r="AV30" i="9" l="1"/>
  <c r="AV35" i="9"/>
  <c r="AV37" i="9" s="1"/>
  <c r="AU41" i="9"/>
  <c r="AU43" i="9"/>
  <c r="AT42" i="9"/>
  <c r="AT44" i="9"/>
  <c r="AU42" i="9" l="1"/>
  <c r="AU44" i="9"/>
  <c r="AV41" i="9"/>
  <c r="N41" i="9" s="1"/>
  <c r="N44" i="9" s="1"/>
  <c r="AV43" i="9"/>
  <c r="N37" i="9"/>
  <c r="N35" i="9"/>
  <c r="N43" i="9" s="1"/>
  <c r="AV42" i="9" l="1"/>
  <c r="N42" i="9" s="1"/>
  <c r="AV44" i="9"/>
  <c r="F6" i="16" l="1"/>
  <c r="G6" i="16"/>
  <c r="H6" i="16"/>
  <c r="I6" i="16"/>
  <c r="J6" i="16"/>
  <c r="F11" i="16"/>
  <c r="G11" i="16"/>
  <c r="H11" i="16"/>
  <c r="I11" i="16"/>
  <c r="J11" i="16"/>
  <c r="F18" i="16"/>
  <c r="G18" i="16"/>
  <c r="H18" i="16"/>
  <c r="I18" i="16"/>
  <c r="J18" i="16"/>
  <c r="F24" i="16"/>
  <c r="G24" i="16"/>
  <c r="H24" i="16"/>
  <c r="I24" i="16"/>
  <c r="J24" i="16"/>
  <c r="F25" i="16"/>
  <c r="G25" i="16"/>
  <c r="H25" i="16"/>
  <c r="I25" i="16"/>
  <c r="J25" i="16"/>
  <c r="F29" i="16"/>
  <c r="G29" i="16"/>
  <c r="H29" i="16"/>
  <c r="I29" i="16"/>
  <c r="J29" i="16"/>
  <c r="F33" i="16"/>
  <c r="G33" i="16"/>
  <c r="H33" i="16"/>
  <c r="I33" i="16"/>
  <c r="J33" i="16"/>
  <c r="F37" i="16"/>
  <c r="G37" i="16"/>
  <c r="H37" i="16"/>
  <c r="I37" i="16"/>
  <c r="J37" i="16"/>
  <c r="F38" i="16"/>
  <c r="G38" i="16"/>
  <c r="H38" i="16"/>
  <c r="I38" i="16"/>
  <c r="J38" i="16"/>
  <c r="F40" i="16"/>
  <c r="G40" i="16"/>
  <c r="H40" i="16"/>
  <c r="I40" i="16"/>
  <c r="J40" i="16"/>
  <c r="F41" i="16"/>
  <c r="G41" i="16"/>
  <c r="H41" i="16"/>
  <c r="I41" i="16"/>
  <c r="J41" i="16"/>
  <c r="F43" i="16"/>
  <c r="G43" i="16"/>
  <c r="H43" i="16"/>
  <c r="I43" i="16"/>
  <c r="J43" i="16"/>
  <c r="G65" i="16"/>
  <c r="H65" i="16"/>
  <c r="I65" i="16"/>
  <c r="J65" i="16"/>
  <c r="F67" i="16"/>
  <c r="G67" i="16"/>
  <c r="H67" i="16"/>
  <c r="I67" i="16"/>
  <c r="J67" i="16"/>
  <c r="F68" i="16"/>
  <c r="G68" i="16"/>
  <c r="H68" i="16"/>
  <c r="I68" i="16"/>
  <c r="J68" i="16"/>
  <c r="G71" i="16"/>
  <c r="H71" i="16"/>
  <c r="I71" i="16"/>
  <c r="J71" i="16"/>
  <c r="F72" i="16"/>
  <c r="G72" i="16"/>
  <c r="H72" i="16"/>
  <c r="I72" i="16"/>
  <c r="J72" i="16"/>
  <c r="F74" i="16"/>
  <c r="G74" i="16"/>
  <c r="H74" i="16"/>
  <c r="I74" i="16"/>
  <c r="J74" i="16"/>
  <c r="F75" i="16"/>
  <c r="G75" i="16"/>
  <c r="H75" i="16"/>
  <c r="I75" i="16"/>
  <c r="J75" i="16"/>
  <c r="G78" i="16"/>
  <c r="H78" i="16"/>
  <c r="I78" i="16"/>
  <c r="J78" i="16"/>
  <c r="F79" i="16"/>
  <c r="G79" i="16"/>
  <c r="H79" i="16"/>
  <c r="I79" i="16"/>
  <c r="J79" i="16"/>
  <c r="G80" i="16"/>
  <c r="H80" i="16"/>
  <c r="I80" i="16"/>
  <c r="J80" i="16"/>
  <c r="F82" i="16"/>
  <c r="G82" i="16"/>
  <c r="H82" i="16"/>
  <c r="I82" i="16"/>
  <c r="J82" i="16"/>
  <c r="F6" i="20"/>
  <c r="G6" i="20"/>
  <c r="H6" i="20"/>
  <c r="I6" i="20"/>
  <c r="J6" i="20"/>
  <c r="F15" i="20"/>
  <c r="G15" i="20"/>
  <c r="H15" i="20"/>
  <c r="I15" i="20"/>
  <c r="J15" i="20"/>
  <c r="F19" i="20"/>
  <c r="G19" i="20"/>
  <c r="H19" i="20"/>
  <c r="I19" i="20"/>
  <c r="J19" i="20"/>
  <c r="F26" i="20"/>
  <c r="G26" i="20"/>
  <c r="H26" i="20"/>
  <c r="I26" i="20"/>
  <c r="J26" i="20"/>
  <c r="G30" i="20"/>
  <c r="H30" i="20"/>
  <c r="I30" i="20"/>
  <c r="J30" i="20"/>
  <c r="F31" i="20"/>
  <c r="G31" i="20"/>
  <c r="H31" i="20"/>
  <c r="I31" i="20"/>
  <c r="J31" i="20"/>
  <c r="F33" i="20"/>
  <c r="G33" i="20"/>
  <c r="H33" i="20"/>
  <c r="I33" i="20"/>
  <c r="J33" i="20"/>
  <c r="F42" i="10"/>
  <c r="G42" i="10"/>
  <c r="H42" i="10"/>
  <c r="I42" i="10"/>
  <c r="J42" i="10"/>
  <c r="X42" i="10"/>
  <c r="Y42" i="10"/>
  <c r="Z42" i="10"/>
  <c r="AA42" i="10"/>
  <c r="AB42" i="10"/>
  <c r="AC42" i="10"/>
  <c r="AD42" i="10"/>
  <c r="AE42" i="10"/>
  <c r="AF42" i="10"/>
  <c r="AG42" i="10"/>
  <c r="AH42" i="10"/>
  <c r="AI42" i="10"/>
  <c r="AJ42" i="10"/>
  <c r="AK42" i="10"/>
  <c r="AL42" i="10"/>
  <c r="AM42" i="10"/>
  <c r="AN42" i="10"/>
  <c r="F43" i="10"/>
  <c r="G43" i="10"/>
  <c r="H43" i="10"/>
  <c r="I43" i="10"/>
  <c r="J43" i="10"/>
  <c r="X43" i="10"/>
  <c r="Y43" i="10"/>
  <c r="Z43" i="10"/>
  <c r="AA43" i="10"/>
  <c r="AB43" i="10"/>
  <c r="AC43" i="10"/>
  <c r="AD43" i="10"/>
  <c r="AE43" i="10"/>
  <c r="AF43" i="10"/>
  <c r="AG43" i="10"/>
  <c r="AH43" i="10"/>
  <c r="AI43" i="10"/>
  <c r="AJ43" i="10"/>
  <c r="AK43" i="10"/>
  <c r="AL43" i="10"/>
  <c r="AM43" i="10"/>
  <c r="AN43" i="10"/>
  <c r="F44" i="10"/>
  <c r="G44" i="10"/>
  <c r="H44" i="10"/>
  <c r="I44" i="10"/>
  <c r="J44" i="10"/>
  <c r="X44" i="10"/>
  <c r="Y44" i="10"/>
  <c r="Z44" i="10"/>
  <c r="AA44" i="10"/>
  <c r="AB44" i="10"/>
  <c r="AC44" i="10"/>
  <c r="AD44" i="10"/>
  <c r="AE44" i="10"/>
  <c r="AF44" i="10"/>
  <c r="AG44" i="10"/>
  <c r="AH44" i="10"/>
  <c r="AI44" i="10"/>
  <c r="AJ44" i="10"/>
  <c r="AK44" i="10"/>
  <c r="AL44" i="10"/>
  <c r="AM44" i="10"/>
  <c r="AN44" i="10"/>
  <c r="F45" i="10"/>
  <c r="G45" i="10"/>
  <c r="H45" i="10"/>
  <c r="I45" i="10"/>
  <c r="J45" i="10"/>
  <c r="X45" i="10"/>
  <c r="Y45" i="10"/>
  <c r="Z45" i="10"/>
  <c r="AA45" i="10"/>
  <c r="AB45" i="10"/>
  <c r="AC45" i="10"/>
  <c r="AD45" i="10"/>
  <c r="AE45" i="10"/>
  <c r="AF45" i="10"/>
  <c r="AG45" i="10"/>
  <c r="AH45" i="10"/>
  <c r="AI45" i="10"/>
  <c r="AJ45" i="10"/>
  <c r="AK45" i="10"/>
  <c r="AL45" i="10"/>
  <c r="AM45" i="10"/>
  <c r="AN45" i="10"/>
  <c r="F47" i="10"/>
  <c r="G47" i="10"/>
  <c r="H47" i="10"/>
  <c r="I47" i="10"/>
  <c r="J47" i="10"/>
  <c r="X47" i="10"/>
  <c r="Y47" i="10"/>
  <c r="Z47" i="10"/>
  <c r="AA47" i="10"/>
  <c r="AB47" i="10"/>
  <c r="AC47" i="10"/>
  <c r="AD47" i="10"/>
  <c r="AE47" i="10"/>
  <c r="AF47" i="10"/>
  <c r="AG47" i="10"/>
  <c r="AH47" i="10"/>
  <c r="AI47" i="10"/>
  <c r="AJ47" i="10"/>
  <c r="AK47" i="10"/>
  <c r="AL47" i="10"/>
  <c r="AM47" i="10"/>
  <c r="AN47" i="10"/>
  <c r="F49" i="10"/>
  <c r="G49" i="10"/>
  <c r="H49" i="10"/>
  <c r="I49" i="10"/>
  <c r="J49" i="10"/>
  <c r="X49" i="10"/>
  <c r="Y49" i="10"/>
  <c r="Z49" i="10"/>
  <c r="AA49" i="10"/>
  <c r="AB49" i="10"/>
  <c r="AC49" i="10"/>
  <c r="AD49" i="10"/>
  <c r="AE49" i="10"/>
  <c r="AF49" i="10"/>
  <c r="AG49" i="10"/>
  <c r="AH49" i="10"/>
  <c r="AI49" i="10"/>
  <c r="AJ49" i="10"/>
  <c r="AK49" i="10"/>
  <c r="AL49" i="10"/>
  <c r="AM49" i="10"/>
  <c r="AN49" i="10"/>
  <c r="F50" i="10"/>
  <c r="G50" i="10"/>
  <c r="H50" i="10"/>
  <c r="I50" i="10"/>
  <c r="J50" i="10"/>
  <c r="X50" i="10"/>
  <c r="Y50" i="10"/>
  <c r="Z50" i="10"/>
  <c r="AA50" i="10"/>
  <c r="AB50" i="10"/>
  <c r="AC50" i="10"/>
  <c r="AD50" i="10"/>
  <c r="AE50" i="10"/>
  <c r="AF50" i="10"/>
  <c r="AG50" i="10"/>
  <c r="AH50" i="10"/>
  <c r="AI50" i="10"/>
  <c r="AJ50" i="10"/>
  <c r="AK50" i="10"/>
  <c r="AL50" i="10"/>
  <c r="AM50" i="10"/>
  <c r="AN50" i="10"/>
  <c r="F51" i="10"/>
  <c r="G51" i="10"/>
  <c r="H51" i="10"/>
  <c r="I51" i="10"/>
  <c r="J51" i="10"/>
  <c r="X51" i="10"/>
  <c r="Y51" i="10"/>
  <c r="Z51" i="10"/>
  <c r="AA51" i="10"/>
  <c r="AB51" i="10"/>
  <c r="AC51" i="10"/>
  <c r="AD51" i="10"/>
  <c r="AE51" i="10"/>
  <c r="AF51" i="10"/>
  <c r="AG51" i="10"/>
  <c r="AH51" i="10"/>
  <c r="AI51" i="10"/>
  <c r="AJ51" i="10"/>
  <c r="AK51" i="10"/>
  <c r="AL51" i="10"/>
  <c r="AM51" i="10"/>
  <c r="AN51" i="10"/>
  <c r="F52" i="10"/>
  <c r="G52" i="10"/>
  <c r="H52" i="10"/>
  <c r="I52" i="10"/>
  <c r="J52" i="10"/>
  <c r="X52" i="10"/>
  <c r="Y52" i="10"/>
  <c r="Z52" i="10"/>
  <c r="AA52" i="10"/>
  <c r="AB52" i="10"/>
  <c r="AC52" i="10"/>
  <c r="AD52" i="10"/>
  <c r="AE52" i="10"/>
  <c r="AF52" i="10"/>
  <c r="AG52" i="10"/>
  <c r="AH52" i="10"/>
  <c r="AI52" i="10"/>
  <c r="AJ52" i="10"/>
  <c r="AK52" i="10"/>
  <c r="AL52" i="10"/>
  <c r="AM52" i="10"/>
  <c r="AN52" i="10"/>
  <c r="F65" i="10"/>
  <c r="G65" i="10"/>
  <c r="H65" i="10"/>
  <c r="I65" i="10"/>
  <c r="J65" i="10"/>
  <c r="F66" i="10"/>
  <c r="G66" i="10"/>
  <c r="H66" i="10"/>
  <c r="I66" i="10"/>
  <c r="J66" i="10"/>
  <c r="F70" i="10"/>
  <c r="G70" i="10"/>
  <c r="H70" i="10"/>
  <c r="I70" i="10"/>
  <c r="J70" i="10"/>
  <c r="X70" i="10"/>
  <c r="Y70" i="10"/>
  <c r="Z70" i="10"/>
  <c r="AA70" i="10"/>
  <c r="AB70" i="10"/>
  <c r="AC70" i="10"/>
  <c r="AD70" i="10"/>
  <c r="AE70" i="10"/>
  <c r="AF70" i="10"/>
  <c r="AG70" i="10"/>
  <c r="AH70" i="10"/>
  <c r="AI70" i="10"/>
  <c r="AJ70" i="10"/>
  <c r="AK70" i="10"/>
  <c r="AL70" i="10"/>
  <c r="AM70" i="10"/>
  <c r="AN70" i="10"/>
  <c r="F72" i="10"/>
  <c r="G72" i="10"/>
  <c r="H72" i="10"/>
  <c r="I72" i="10"/>
  <c r="J72" i="10"/>
  <c r="X72" i="10"/>
  <c r="Y72" i="10"/>
  <c r="Z72" i="10"/>
  <c r="AA72" i="10"/>
  <c r="AB72" i="10"/>
  <c r="AC72" i="10"/>
  <c r="AD72" i="10"/>
  <c r="AE72" i="10"/>
  <c r="AF72" i="10"/>
  <c r="AG72" i="10"/>
  <c r="AH72" i="10"/>
  <c r="AI72" i="10"/>
  <c r="AJ72" i="10"/>
  <c r="AK72" i="10"/>
  <c r="AL72" i="10"/>
  <c r="AM72" i="10"/>
  <c r="AN72" i="10"/>
  <c r="F74" i="10"/>
  <c r="G74" i="10"/>
  <c r="H74" i="10"/>
  <c r="I74" i="10"/>
  <c r="J74" i="10"/>
  <c r="X74" i="10"/>
  <c r="Y74" i="10"/>
  <c r="Z74" i="10"/>
  <c r="AA74" i="10"/>
  <c r="AB74" i="10"/>
  <c r="AC74" i="10"/>
  <c r="AD74" i="10"/>
  <c r="AE74" i="10"/>
  <c r="AF74" i="10"/>
  <c r="AG74" i="10"/>
  <c r="AH74" i="10"/>
  <c r="AI74" i="10"/>
  <c r="AJ74" i="10"/>
  <c r="AK74" i="10"/>
  <c r="AL74" i="10"/>
  <c r="AM74" i="10"/>
  <c r="AN74" i="10"/>
  <c r="F76" i="10"/>
  <c r="G76" i="10"/>
  <c r="H76" i="10"/>
  <c r="I76" i="10"/>
  <c r="J76" i="10"/>
  <c r="X76" i="10"/>
  <c r="Y76" i="10"/>
  <c r="Z76" i="10"/>
  <c r="AA76" i="10"/>
  <c r="AB76" i="10"/>
  <c r="AC76" i="10"/>
  <c r="AD76" i="10"/>
  <c r="AE76" i="10"/>
  <c r="AF76" i="10"/>
  <c r="AG76" i="10"/>
  <c r="AH76" i="10"/>
  <c r="AI76" i="10"/>
  <c r="AJ76" i="10"/>
  <c r="AK76" i="10"/>
  <c r="AL76" i="10"/>
  <c r="AM76" i="10"/>
  <c r="AN76" i="10"/>
  <c r="F79" i="10"/>
  <c r="G79" i="10"/>
  <c r="H79" i="10"/>
  <c r="I79" i="10"/>
  <c r="J79" i="10"/>
  <c r="X79" i="10"/>
  <c r="Y79" i="10"/>
  <c r="Z79" i="10"/>
  <c r="AA79" i="10"/>
  <c r="AB79" i="10"/>
  <c r="AC79" i="10"/>
  <c r="AD79" i="10"/>
  <c r="AE79" i="10"/>
  <c r="AF79" i="10"/>
  <c r="AG79" i="10"/>
  <c r="AH79" i="10"/>
  <c r="AI79" i="10"/>
  <c r="AJ79" i="10"/>
  <c r="AK79" i="10"/>
  <c r="AL79" i="10"/>
  <c r="AM79" i="10"/>
  <c r="AN79" i="10"/>
  <c r="F83" i="10"/>
  <c r="G83" i="10"/>
  <c r="H83" i="10"/>
  <c r="I83" i="10"/>
  <c r="J83" i="10"/>
  <c r="F88" i="10"/>
  <c r="G88" i="10"/>
  <c r="H88" i="10"/>
  <c r="I88" i="10"/>
  <c r="J88" i="10"/>
  <c r="F89" i="10"/>
  <c r="G89" i="10"/>
  <c r="H89" i="10"/>
  <c r="I89" i="10"/>
  <c r="J8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tc={1747ADDE-89F6-2848-8403-B0896FC1B8A9}</author>
    <author>tc={628F84AF-1829-CE48-96F7-E9DAD2472A4E}</author>
  </authors>
  <commentList>
    <comment ref="B18" authorId="0" shapeId="0" xr:uid="{1747ADDE-89F6-2848-8403-B0896FC1B8A9}">
      <text>
        <t>[Threaded comment]
Your version of Excel allows you to read this threaded comment; however, any edits to it will get removed if the file is opened in a newer version of Excel. Learn more: https://go.microsoft.com/fwlink/?linkid=870924
Comment:
    Asset sold in Dec 2018</t>
      </text>
    </comment>
    <comment ref="B30" authorId="1" shapeId="0" xr:uid="{628F84AF-1829-CE48-96F7-E9DAD2472A4E}">
      <text>
        <t>[Threaded comment]
Your version of Excel allows you to read this threaded comment; however, any edits to it will get removed if the file is opened in a newer version of Excel. Learn more: https://go.microsoft.com/fwlink/?linkid=870924
Comment:
    Asset sold in Dec 2018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tc={19A338BD-9AA0-2145-9C20-9558CBDDB5E7}</author>
    <author>tc={4FC991C5-53B0-AB40-9897-99580171A409}</author>
  </authors>
  <commentList>
    <comment ref="X38" authorId="0" shapeId="0" xr:uid="{19A338BD-9AA0-2145-9C20-9558CBDDB5E7}">
      <text>
        <t>[Threaded comment]
Your version of Excel allows you to read this threaded comment; however, any edits to it will get removed if the file is opened in a newer version of Excel. Learn more: https://go.microsoft.com/fwlink/?linkid=870924
Comment:
    Maintenance CAPEX guide for FY21 $19.5m</t>
      </text>
    </comment>
    <comment ref="X39" authorId="1" shapeId="0" xr:uid="{4FC991C5-53B0-AB40-9897-99580171A409}">
      <text>
        <t>[Threaded comment]
Your version of Excel allows you to read this threaded comment; however, any edits to it will get removed if the file is opened in a newer version of Excel. Learn more: https://go.microsoft.com/fwlink/?linkid=870924
Comment:
    Expansion CAPEX guide for FY21 $22m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tc={A4F55196-7360-DC4C-A318-5FC175649986}</author>
    <author>tc={F6724DA4-6EB6-0545-9438-B2D7FBDFE6EE}</author>
  </authors>
  <commentList>
    <comment ref="Y38" authorId="0" shapeId="0" xr:uid="{A4F55196-7360-DC4C-A318-5FC175649986}">
      <text>
        <t>[Threaded comment]
Your version of Excel allows you to read this threaded comment; however, any edits to it will get removed if the file is opened in a newer version of Excel. Learn more: https://go.microsoft.com/fwlink/?linkid=870924
Comment:
    Maintenance CAPEX guide for FY21 $27m, but Q3 earnings stated it will be well short</t>
      </text>
    </comment>
    <comment ref="Y39" authorId="1" shapeId="0" xr:uid="{F6724DA4-6EB6-0545-9438-B2D7FBDFE6EE}">
      <text>
        <t>[Threaded comment]
Your version of Excel allows you to read this threaded comment; however, any edits to it will get removed if the file is opened in a newer version of Excel. Learn more: https://go.microsoft.com/fwlink/?linkid=870924
Comment:
    Expansion CAPEX guide for FY21 $62.5m, but Q3 earning stated will be slightly higher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tc={CBCC12E9-2AF1-714D-8FC9-93AB4AF16EF3}</author>
    <author>tc={4F71561C-0CB0-154B-9FC0-C78CDDBAC68C}</author>
  </authors>
  <commentList>
    <comment ref="AD38" authorId="0" shapeId="0" xr:uid="{CBCC12E9-2AF1-714D-8FC9-93AB4AF16EF3}">
      <text>
        <t>[Threaded comment]
Your version of Excel allows you to read this threaded comment; however, any edits to it will get removed if the file is opened in a newer version of Excel. Learn more: https://go.microsoft.com/fwlink/?linkid=870924
Comment:
    Maintenance CAPEX guide for FY21 $28m</t>
      </text>
    </comment>
    <comment ref="AD39" authorId="1" shapeId="0" xr:uid="{4F71561C-0CB0-154B-9FC0-C78CDDBAC68C}">
      <text>
        <t>[Threaded comment]
Your version of Excel allows you to read this threaded comment; however, any edits to it will get removed if the file is opened in a newer version of Excel. Learn more: https://go.microsoft.com/fwlink/?linkid=870924
Comment:
    Expansion CAPEX guide for FY21 $40m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tc={49FAF4FC-F93E-A443-9EFD-109D52B9FD17}</author>
    <author>tc={78BBF378-B727-F148-8929-D374E6345E52}</author>
  </authors>
  <commentList>
    <comment ref="Y38" authorId="0" shapeId="0" xr:uid="{49FAF4FC-F93E-A443-9EFD-109D52B9FD1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Maintenance CAPEX initial guide for FY21 $11m, but Q3 earnings stated will be well short </t>
      </text>
    </comment>
    <comment ref="Y39" authorId="1" shapeId="0" xr:uid="{78BBF378-B727-F148-8929-D374E6345E52}">
      <text>
        <t>[Threaded comment]
Your version of Excel allows you to read this threaded comment; however, any edits to it will get removed if the file is opened in a newer version of Excel. Learn more: https://go.microsoft.com/fwlink/?linkid=870924
Comment:
    Expansion CAPEX guide for FY21 $5m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tc={B28813F0-F09C-0F46-9200-CF8FE702029F}</author>
    <author>tc={E6AFEEA2-B4A2-C04C-904C-ADD7B2D5292A}</author>
  </authors>
  <commentList>
    <comment ref="AE38" authorId="0" shapeId="0" xr:uid="{B28813F0-F09C-0F46-9200-CF8FE702029F}">
      <text>
        <t>[Threaded comment]
Your version of Excel allows you to read this threaded comment; however, any edits to it will get removed if the file is opened in a newer version of Excel. Learn more: https://go.microsoft.com/fwlink/?linkid=870924
Comment:
    Maintenance CAPEX guide for FY21 $39.5m, Q3 earnings stated that will come in a bit higher</t>
      </text>
    </comment>
    <comment ref="AE39" authorId="1" shapeId="0" xr:uid="{E6AFEEA2-B4A2-C04C-904C-ADD7B2D5292A}">
      <text>
        <t>[Threaded comment]
Your version of Excel allows you to read this threaded comment; however, any edits to it will get removed if the file is opened in a newer version of Excel. Learn more: https://go.microsoft.com/fwlink/?linkid=870924
Comment:
    Expansion CAPEX guide for FY21 $19.5m</t>
      </text>
    </comment>
  </commentList>
</comments>
</file>

<file path=xl/sharedStrings.xml><?xml version="1.0" encoding="utf-8"?>
<sst xmlns="http://schemas.openxmlformats.org/spreadsheetml/2006/main" count="1384" uniqueCount="443">
  <si>
    <t>Last update:</t>
  </si>
  <si>
    <t>Market statistics</t>
  </si>
  <si>
    <t>Income Statement ($mn)</t>
  </si>
  <si>
    <t>2020E</t>
  </si>
  <si>
    <t>2021E</t>
  </si>
  <si>
    <t>2021e</t>
  </si>
  <si>
    <t>Share Price ($)</t>
  </si>
  <si>
    <t>Revenue</t>
  </si>
  <si>
    <t># of shares</t>
  </si>
  <si>
    <t>% yoy Growth</t>
  </si>
  <si>
    <t>Market Cap ($mn)</t>
  </si>
  <si>
    <t>COGS</t>
  </si>
  <si>
    <t>EV ($mn)</t>
  </si>
  <si>
    <t>Gross profit</t>
  </si>
  <si>
    <t>Key Price Assumptions ($/t)</t>
  </si>
  <si>
    <t>SG&amp;A</t>
  </si>
  <si>
    <t>Other operating costs</t>
  </si>
  <si>
    <t>EBITDA</t>
  </si>
  <si>
    <t>EBITDA margin</t>
  </si>
  <si>
    <t>Depreciation</t>
  </si>
  <si>
    <t>Operating income</t>
  </si>
  <si>
    <t>Finance expenses</t>
  </si>
  <si>
    <t>Other expense/income</t>
  </si>
  <si>
    <t>Income taxes</t>
  </si>
  <si>
    <t>Minority interest/other</t>
  </si>
  <si>
    <t>Net income</t>
  </si>
  <si>
    <t>Production (000s tonnes)</t>
  </si>
  <si>
    <t>NI margin</t>
  </si>
  <si>
    <t>Balance sheet ($mn)</t>
  </si>
  <si>
    <t>Cash</t>
  </si>
  <si>
    <t>Short-term debt</t>
  </si>
  <si>
    <t>Long-term debt</t>
  </si>
  <si>
    <t>Total shareholders' equity</t>
  </si>
  <si>
    <t>Valuation Metrics</t>
  </si>
  <si>
    <t>Net Debt</t>
  </si>
  <si>
    <t>P/E (x)</t>
  </si>
  <si>
    <t>EV/EBITDA (x)</t>
  </si>
  <si>
    <t>Cash flow statement ($mn)</t>
  </si>
  <si>
    <t>EBITDA Margin (%)</t>
  </si>
  <si>
    <t>EBIT Margin (%)</t>
  </si>
  <si>
    <t>Net Margin (%)</t>
  </si>
  <si>
    <t>Changes in working capital</t>
  </si>
  <si>
    <t>ROE (%)</t>
  </si>
  <si>
    <t>Other</t>
  </si>
  <si>
    <t>Gearing (ND/ND+E. %)</t>
  </si>
  <si>
    <t>Operating cash flow</t>
  </si>
  <si>
    <t>Interest Cover (x)</t>
  </si>
  <si>
    <t>Capex</t>
  </si>
  <si>
    <t>Dividend Yield (%)</t>
  </si>
  <si>
    <t>Acquisitions</t>
  </si>
  <si>
    <t>FCF Yield (%)</t>
  </si>
  <si>
    <t>Comparables</t>
  </si>
  <si>
    <t>Investing cash flow</t>
  </si>
  <si>
    <t>P/E &amp; EV/EBITDA</t>
  </si>
  <si>
    <t>Change in debt</t>
  </si>
  <si>
    <t>Dividends</t>
  </si>
  <si>
    <t>Financing cash flow</t>
  </si>
  <si>
    <t>Effect of Forex</t>
  </si>
  <si>
    <t>Lows in 2008/2009</t>
  </si>
  <si>
    <t>Increase (decrease) in cash flow</t>
  </si>
  <si>
    <t>Trailing P/E (x)</t>
  </si>
  <si>
    <t>Trailing EV/EBITDA (x)</t>
  </si>
  <si>
    <t>Trailing P/B (x)</t>
  </si>
  <si>
    <t>Growth</t>
  </si>
  <si>
    <t>Exchange gains/losses</t>
  </si>
  <si>
    <t>Other gains/losses</t>
  </si>
  <si>
    <t>TAX</t>
  </si>
  <si>
    <t>Tax rate</t>
  </si>
  <si>
    <t>Minority interests</t>
  </si>
  <si>
    <t>NI</t>
  </si>
  <si>
    <t>Margin</t>
  </si>
  <si>
    <t>BALANCE SHEET</t>
  </si>
  <si>
    <t>Net debt/EBITDA</t>
  </si>
  <si>
    <t>D&amp;A</t>
  </si>
  <si>
    <t>Total Equity</t>
  </si>
  <si>
    <t>Net Income</t>
  </si>
  <si>
    <t>Maintenance Capex</t>
  </si>
  <si>
    <t>Total CAPEX</t>
  </si>
  <si>
    <t>FCF</t>
  </si>
  <si>
    <t>Share price</t>
  </si>
  <si>
    <t>Market cap</t>
  </si>
  <si>
    <t>Net debt 2013</t>
  </si>
  <si>
    <t>Prefer. Eq. &amp; Minority Int.</t>
  </si>
  <si>
    <t>EV</t>
  </si>
  <si>
    <t>MULTIPLE VALUATION</t>
  </si>
  <si>
    <t>Sales</t>
  </si>
  <si>
    <t>Gross Margin</t>
  </si>
  <si>
    <t>EBIT</t>
  </si>
  <si>
    <t>Net finance inc./exp.</t>
  </si>
  <si>
    <t>Multiple Valuation</t>
  </si>
  <si>
    <t>EV/EBITDA</t>
  </si>
  <si>
    <t>P/E</t>
  </si>
  <si>
    <t>PEG Ratio</t>
  </si>
  <si>
    <t>FCF yield</t>
  </si>
  <si>
    <t>RoE</t>
  </si>
  <si>
    <t>Payout ratio</t>
  </si>
  <si>
    <t>Dividend paid</t>
  </si>
  <si>
    <t>Dividend yield</t>
  </si>
  <si>
    <t>DCF VALUATION</t>
  </si>
  <si>
    <t>Maintenance CAPEX</t>
  </si>
  <si>
    <t>Expansion CAPEX</t>
  </si>
  <si>
    <t>Gross PPE</t>
  </si>
  <si>
    <t>Net Revenue</t>
  </si>
  <si>
    <t>-TAX</t>
  </si>
  <si>
    <t>FCF CALCULATION</t>
  </si>
  <si>
    <t>Tax</t>
  </si>
  <si>
    <t>WC</t>
  </si>
  <si>
    <t>DCF</t>
  </si>
  <si>
    <t>Number of shares</t>
  </si>
  <si>
    <t>Exp. net debt end of 2019 ($mln)</t>
  </si>
  <si>
    <t>Perpetual growth rate</t>
  </si>
  <si>
    <t>$</t>
  </si>
  <si>
    <t>Discount rate</t>
  </si>
  <si>
    <t>Discounted Dividends</t>
  </si>
  <si>
    <t>Exit Multipel</t>
  </si>
  <si>
    <t>Terminal Value</t>
  </si>
  <si>
    <t>NPV Terminal Value</t>
  </si>
  <si>
    <t>NPV Dividends</t>
  </si>
  <si>
    <t>TOTAL VALUE</t>
  </si>
  <si>
    <t xml:space="preserve">Price target </t>
  </si>
  <si>
    <t>+ Cash/ - net debt</t>
  </si>
  <si>
    <t>Current Price</t>
  </si>
  <si>
    <t>Equity Value</t>
  </si>
  <si>
    <t>Upside</t>
  </si>
  <si>
    <t># of shares, mln</t>
  </si>
  <si>
    <t>Equity Value/share</t>
  </si>
  <si>
    <t>Boungou Mine</t>
  </si>
  <si>
    <t>Production</t>
  </si>
  <si>
    <t>Units</t>
  </si>
  <si>
    <t>Fiscal Year</t>
  </si>
  <si>
    <t>Latest fiscal year end date</t>
  </si>
  <si>
    <t>Endeavour Mining</t>
  </si>
  <si>
    <t xml:space="preserve">Ore Processed </t>
  </si>
  <si>
    <t>Cumulative Ore Processed</t>
  </si>
  <si>
    <t>Gold Grade</t>
  </si>
  <si>
    <t>Contained Gold</t>
  </si>
  <si>
    <t>Gold Recovery Rate</t>
  </si>
  <si>
    <t>Recovered Gold Produced</t>
  </si>
  <si>
    <t>Cumulative Gold Produced</t>
  </si>
  <si>
    <t>g/t</t>
  </si>
  <si>
    <t>%</t>
  </si>
  <si>
    <t xml:space="preserve">Gold Price </t>
  </si>
  <si>
    <t>Mine Valuation</t>
  </si>
  <si>
    <t>Boungou Mine (90% Owned)</t>
  </si>
  <si>
    <t>Reserves and Resources</t>
  </si>
  <si>
    <t>Proven Reserves</t>
  </si>
  <si>
    <t>Probable Reserves</t>
  </si>
  <si>
    <t>P&amp;P</t>
  </si>
  <si>
    <t>Tonnes (Mt)</t>
  </si>
  <si>
    <t>Ounces (Moz)</t>
  </si>
  <si>
    <t>Grade (g/t)</t>
  </si>
  <si>
    <t>90% Certainty</t>
  </si>
  <si>
    <t>Note</t>
  </si>
  <si>
    <t>kt</t>
  </si>
  <si>
    <t>Comments</t>
  </si>
  <si>
    <t>Gold Sold</t>
  </si>
  <si>
    <t>oz</t>
  </si>
  <si>
    <t>Probability Weighted Tonnes (Mt)</t>
  </si>
  <si>
    <t>LOM</t>
  </si>
  <si>
    <t>Manual Override</t>
  </si>
  <si>
    <t>Referencing the reserves sheet</t>
  </si>
  <si>
    <t>$'000</t>
  </si>
  <si>
    <t>Operating Expenses</t>
  </si>
  <si>
    <t>SCENARIO ANALYSIS</t>
  </si>
  <si>
    <t>Active Case</t>
  </si>
  <si>
    <t>Select Operating Case</t>
  </si>
  <si>
    <t>Base Case</t>
  </si>
  <si>
    <t>INCOME STATEMENT</t>
  </si>
  <si>
    <t xml:space="preserve">Fiscal year  </t>
  </si>
  <si>
    <t>Fiscal year end date</t>
  </si>
  <si>
    <t>Long-Run</t>
  </si>
  <si>
    <t>FORECASTS</t>
  </si>
  <si>
    <t>ACTUALS</t>
  </si>
  <si>
    <t xml:space="preserve">Var. from </t>
  </si>
  <si>
    <t>Gold Price $/oz</t>
  </si>
  <si>
    <t>Best Case</t>
  </si>
  <si>
    <t>Weak Case</t>
  </si>
  <si>
    <t>NM</t>
  </si>
  <si>
    <t>Royalty Agreement</t>
  </si>
  <si>
    <t>Royalty Cost</t>
  </si>
  <si>
    <t>Non-Cash Operating Expenses</t>
  </si>
  <si>
    <t>Total Cash Cost</t>
  </si>
  <si>
    <t>Expansion Capex</t>
  </si>
  <si>
    <t>Total All-in Sustaining Costs</t>
  </si>
  <si>
    <t>Total Capex</t>
  </si>
  <si>
    <t>Total All-in Costs</t>
  </si>
  <si>
    <t>Cash Costs per oz sold</t>
  </si>
  <si>
    <t>$/oz</t>
  </si>
  <si>
    <t>AISC per oz sold</t>
  </si>
  <si>
    <t>Hounde Mine (90% Owned)</t>
  </si>
  <si>
    <t>Hounde Mine</t>
  </si>
  <si>
    <t>Ounces (koz)</t>
  </si>
  <si>
    <t>Royalty Costs</t>
  </si>
  <si>
    <t>Latest fiscal quarter end date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</si>
  <si>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</si>
  <si>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</si>
  <si>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</si>
  <si>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</si>
  <si>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</si>
  <si>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</si>
  <si>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</si>
  <si>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</si>
  <si>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</si>
  <si>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</si>
  <si>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</si>
  <si>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</si>
  <si>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</si>
  <si>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</si>
  <si>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</si>
  <si>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</si>
  <si>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</si>
  <si>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</si>
  <si>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</si>
  <si>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</si>
  <si>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</si>
  <si>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</si>
  <si>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</si>
  <si>
    <t>4Q25</t>
  </si>
  <si>
    <t>1Q26</t>
  </si>
  <si>
    <t>2Q26</t>
  </si>
  <si>
    <t>3Q26</t>
  </si>
  <si>
    <t>4Q26</t>
  </si>
  <si>
    <t>Fiscal Quarter</t>
  </si>
  <si>
    <t>Growth y/y</t>
  </si>
  <si>
    <t>1Q19</t>
  </si>
  <si>
    <t>2Q19</t>
  </si>
  <si>
    <t>3Q19</t>
  </si>
  <si>
    <t>4Q19</t>
  </si>
  <si>
    <t>1Q27</t>
  </si>
  <si>
    <t>2Q27</t>
  </si>
  <si>
    <t>3Q27</t>
  </si>
  <si>
    <t>4Q27</t>
  </si>
  <si>
    <t>1Q28</t>
  </si>
  <si>
    <t>2Q28</t>
  </si>
  <si>
    <t>3Q28</t>
  </si>
  <si>
    <t>4Q28</t>
  </si>
  <si>
    <t>1Q29</t>
  </si>
  <si>
    <t>2Q29</t>
  </si>
  <si>
    <t>3Q29</t>
  </si>
  <si>
    <t>4Q29</t>
  </si>
  <si>
    <t>Cost Inflation Input</t>
  </si>
  <si>
    <t>Unit Capex</t>
  </si>
  <si>
    <t>Unit Maintenance Capex</t>
  </si>
  <si>
    <t>Unit Expansion Capex</t>
  </si>
  <si>
    <t>P&amp;P Reserves</t>
  </si>
  <si>
    <t>Ity Mine</t>
  </si>
  <si>
    <t>COTE D’IVOIRE</t>
  </si>
  <si>
    <t>BURKINA FASO</t>
  </si>
  <si>
    <t>1Q30</t>
  </si>
  <si>
    <t>2Q30</t>
  </si>
  <si>
    <t>3Q30</t>
  </si>
  <si>
    <t>4Q30</t>
  </si>
  <si>
    <t>Karma Mine</t>
  </si>
  <si>
    <t>Karma Mine (90% Owned)</t>
  </si>
  <si>
    <t>Indicated Resources (incl of reserves)</t>
  </si>
  <si>
    <t>M&amp;I Resources (incl of reserves)</t>
  </si>
  <si>
    <t>Inferred Resources</t>
  </si>
  <si>
    <t>Measured Resource (incl of reserves)</t>
  </si>
  <si>
    <t>60% Certainty</t>
  </si>
  <si>
    <t>30% Certainty</t>
  </si>
  <si>
    <t>Measured Resource (incl. reserves)</t>
  </si>
  <si>
    <t>Indicated Resources (incl. reserves)</t>
  </si>
  <si>
    <t>M&amp;I Resources (incl. reserves)</t>
  </si>
  <si>
    <t>Total Reserves and Resources</t>
  </si>
  <si>
    <t xml:space="preserve">Indicated Resources (incl. reserves) </t>
  </si>
  <si>
    <t>M&amp;I Resources (in. reserves)</t>
  </si>
  <si>
    <t>Mana Mine (90% Owned)</t>
  </si>
  <si>
    <t>Mana Mine</t>
  </si>
  <si>
    <t>Ity Mine CIL (85% Owned)</t>
  </si>
  <si>
    <t>Agbaou Mine</t>
  </si>
  <si>
    <t>Tabakoto Mine (Disc. Operation)</t>
  </si>
  <si>
    <t xml:space="preserve">Ity CIL Mine </t>
  </si>
  <si>
    <t>Ity HL Mine (Disc. Operation)</t>
  </si>
  <si>
    <t>Fiscal quarter</t>
  </si>
  <si>
    <t>Fiscal quarter end date</t>
  </si>
  <si>
    <t>1Q19A</t>
  </si>
  <si>
    <t>2Q19A</t>
  </si>
  <si>
    <t>3Q19A</t>
  </si>
  <si>
    <t>4Q19A</t>
  </si>
  <si>
    <t>1Q20A</t>
  </si>
  <si>
    <t>2Q20A</t>
  </si>
  <si>
    <t>3Q20A</t>
  </si>
  <si>
    <t>4Q20A</t>
  </si>
  <si>
    <t>1Q21A</t>
  </si>
  <si>
    <t>2Q21A</t>
  </si>
  <si>
    <t>3Q21A</t>
  </si>
  <si>
    <t>4Q21E</t>
  </si>
  <si>
    <t>1Q22E</t>
  </si>
  <si>
    <t>2Q22E</t>
  </si>
  <si>
    <t>3Q22E</t>
  </si>
  <si>
    <t>4Q22E</t>
  </si>
  <si>
    <t>1Q23E</t>
  </si>
  <si>
    <t>2Q23E</t>
  </si>
  <si>
    <t>3Q23E</t>
  </si>
  <si>
    <t>4Q23E</t>
  </si>
  <si>
    <t>1Q24E</t>
  </si>
  <si>
    <t>2Q24E</t>
  </si>
  <si>
    <t>3Q24E</t>
  </si>
  <si>
    <t>4Q24E</t>
  </si>
  <si>
    <t>1Q25E</t>
  </si>
  <si>
    <t>2Q25E</t>
  </si>
  <si>
    <t>3Q25E</t>
  </si>
  <si>
    <t>4Q25E</t>
  </si>
  <si>
    <t>Operating Expenses by mine</t>
  </si>
  <si>
    <t>Gold Income by mine</t>
  </si>
  <si>
    <t>Cost of Sales</t>
  </si>
  <si>
    <t>Royalties</t>
  </si>
  <si>
    <t>Beginning of period</t>
  </si>
  <si>
    <t>Plus: Capital expenditures</t>
  </si>
  <si>
    <t>End of period</t>
  </si>
  <si>
    <t>Forecast</t>
  </si>
  <si>
    <t>Less: Depreciation and depletion</t>
  </si>
  <si>
    <t>Revenue from continuing operations</t>
  </si>
  <si>
    <t>Current Assets</t>
  </si>
  <si>
    <t>Cash and cash equivalents, ST and LT marketable securities</t>
  </si>
  <si>
    <t>Trade and other receivables</t>
  </si>
  <si>
    <t>Inventories</t>
  </si>
  <si>
    <t>Derivative financial assets</t>
  </si>
  <si>
    <t>Prepaid expenses and other</t>
  </si>
  <si>
    <t>Current assets excluding assets held for sale</t>
  </si>
  <si>
    <t>Assets held for sale</t>
  </si>
  <si>
    <t>Non-Current Assets</t>
  </si>
  <si>
    <t>Mining interests</t>
  </si>
  <si>
    <t>Deferred tax assets</t>
  </si>
  <si>
    <t>Other long-term assets</t>
  </si>
  <si>
    <t>Goodwill</t>
  </si>
  <si>
    <t>Total Assets</t>
  </si>
  <si>
    <t>Current Liabilites</t>
  </si>
  <si>
    <t>Trade and other payables</t>
  </si>
  <si>
    <t>Finance and lease obligations</t>
  </si>
  <si>
    <t>Derivative financial liabilities</t>
  </si>
  <si>
    <t>Income taxes payable</t>
  </si>
  <si>
    <t>Current liabilities excluding assets held for sale</t>
  </si>
  <si>
    <t>Liabilities held for sale</t>
  </si>
  <si>
    <t>Non-Current Liabilities</t>
  </si>
  <si>
    <t>Other long-term liabilities</t>
  </si>
  <si>
    <t>Deferred tax liabilities</t>
  </si>
  <si>
    <t>Total Liabilities</t>
  </si>
  <si>
    <t>Depreciation and Amortization</t>
  </si>
  <si>
    <t>Gross Profit</t>
  </si>
  <si>
    <t>Corporate costs</t>
  </si>
  <si>
    <t>Revenue growth</t>
  </si>
  <si>
    <t>Gross profit margin</t>
  </si>
  <si>
    <t>Corporate costs % of sales</t>
  </si>
  <si>
    <t>Share-based compensation</t>
  </si>
  <si>
    <t>Other income/(expenses)</t>
  </si>
  <si>
    <t>Gain/(loss) on financial instruments</t>
  </si>
  <si>
    <t>INTEREST EXPENSE</t>
  </si>
  <si>
    <t>Total interest expense (from I/S)</t>
  </si>
  <si>
    <t>Interest Expense</t>
  </si>
  <si>
    <t>Revolver</t>
  </si>
  <si>
    <t>Interest rate</t>
  </si>
  <si>
    <t>End of period balance (from B/S)</t>
  </si>
  <si>
    <t>Interest expense</t>
  </si>
  <si>
    <t>Long-Term Debt</t>
  </si>
  <si>
    <t>REVOLVER (MODEL PLUG)</t>
  </si>
  <si>
    <t>Revolver needs analysis</t>
  </si>
  <si>
    <t>Cash at beginning of period (BOP)</t>
  </si>
  <si>
    <t>Less: Minimum cash balance</t>
  </si>
  <si>
    <t>Plus: Free cash flows generated during period</t>
  </si>
  <si>
    <t>Equals: Cash available (needed) to pay down (draw from) revolver</t>
  </si>
  <si>
    <t>Commercial paper / Revolver</t>
  </si>
  <si>
    <t>Draw / (paydown)</t>
  </si>
  <si>
    <t>Discretionary borrowing / (paydown)</t>
  </si>
  <si>
    <t>Debt Balance</t>
  </si>
  <si>
    <t>Pretax Profit</t>
  </si>
  <si>
    <t>Income Taxes</t>
  </si>
  <si>
    <t>Depreciation &amp; Amortization</t>
  </si>
  <si>
    <t>Adjusted EBITDA</t>
  </si>
  <si>
    <t>Exploration Costs</t>
  </si>
  <si>
    <t>One-off items</t>
  </si>
  <si>
    <t>Core Net Income from continuing operations</t>
  </si>
  <si>
    <t>Income from discontinued operations</t>
  </si>
  <si>
    <t>MINING INTERESTS</t>
  </si>
  <si>
    <t>Sabodala Mine (90% Owned)</t>
  </si>
  <si>
    <t>SENEGAL</t>
  </si>
  <si>
    <t>Sabodala Mine</t>
  </si>
  <si>
    <t>1Q31</t>
  </si>
  <si>
    <t>2Q31</t>
  </si>
  <si>
    <t>3Q31</t>
  </si>
  <si>
    <t>4Q31</t>
  </si>
  <si>
    <t>1Q32</t>
  </si>
  <si>
    <t>2Q32</t>
  </si>
  <si>
    <t>3Q32</t>
  </si>
  <si>
    <t>4Q32</t>
  </si>
  <si>
    <t>Wahgnion Mine</t>
  </si>
  <si>
    <t>Wahgnion Mine (90% Owned)</t>
  </si>
  <si>
    <t>EARNINGS PER SHARE</t>
  </si>
  <si>
    <t xml:space="preserve">Basic shares </t>
  </si>
  <si>
    <t>Diluted Shares</t>
  </si>
  <si>
    <t>Diluted EPS</t>
  </si>
  <si>
    <t>$ in thousands except per share</t>
  </si>
  <si>
    <t>Exploration costs % of sales</t>
  </si>
  <si>
    <t>RETAINED EARNINGS</t>
  </si>
  <si>
    <t>Plus: Net income</t>
  </si>
  <si>
    <t>Less: Dividends</t>
  </si>
  <si>
    <t>Less: Repurchases</t>
  </si>
  <si>
    <t>Share capital</t>
  </si>
  <si>
    <t>Equity reserve</t>
  </si>
  <si>
    <t>Retained earnings</t>
  </si>
  <si>
    <t>Shareholders Equity</t>
  </si>
  <si>
    <t>Non-controlling interests</t>
  </si>
  <si>
    <t>Check</t>
  </si>
  <si>
    <t>Total Equity &amp; Liabilities</t>
  </si>
  <si>
    <t>Net Income incl MI</t>
  </si>
  <si>
    <t>Basic EPS, GAAP</t>
  </si>
  <si>
    <t>Net Income incl discontinued operations</t>
  </si>
  <si>
    <t>Minority Interests</t>
  </si>
  <si>
    <t>Net Income to shareholders</t>
  </si>
  <si>
    <t>Adjusted Net Income to shareholders</t>
  </si>
  <si>
    <t>D&amp;A as a % of capex</t>
  </si>
  <si>
    <t>Unit Depreciation</t>
  </si>
  <si>
    <t>Growth rates,margins and assumptions:</t>
  </si>
  <si>
    <t>NCI as % of Pretax Profit</t>
  </si>
  <si>
    <t>Basic EPS, Adjusted</t>
  </si>
  <si>
    <t>CASH FLOW STATEMENT</t>
  </si>
  <si>
    <t>Depreciation and amortization</t>
  </si>
  <si>
    <t>Increases / (Decreases) in working capital liabilities</t>
  </si>
  <si>
    <t>Plus: Additions / (Subtractions)</t>
  </si>
  <si>
    <t>Cash from operating activities</t>
  </si>
  <si>
    <t>Capital Expenditure</t>
  </si>
  <si>
    <t>Cash from investing activities</t>
  </si>
  <si>
    <t>OTHER LONG-TERM ASSETS</t>
  </si>
  <si>
    <t>Convertible Debt</t>
  </si>
  <si>
    <t>Repurchases</t>
  </si>
  <si>
    <t>Cash from financing activities</t>
  </si>
  <si>
    <t>Net change in cash during period</t>
  </si>
  <si>
    <t>WORKING CAPITAL</t>
  </si>
  <si>
    <t>B/S</t>
  </si>
  <si>
    <t>Decreases / (Increases) in working capital assets:</t>
  </si>
  <si>
    <t>x</t>
  </si>
  <si>
    <t>ACCOUNTS RECEIVABLE</t>
  </si>
  <si>
    <t>Increases / (decreases)</t>
  </si>
  <si>
    <t>Days Sales Outstanding</t>
  </si>
  <si>
    <t>INVENTORIES</t>
  </si>
  <si>
    <t>Days Inventory Outstanding</t>
  </si>
  <si>
    <t>Days Payable Outstanding</t>
  </si>
  <si>
    <t>ACCOUNTS PAYABLE</t>
  </si>
  <si>
    <t>Working capital ratios / Liquidity</t>
  </si>
  <si>
    <t>Operating cycle</t>
  </si>
  <si>
    <t>Net operating cycle (Cash conversion cycle)</t>
  </si>
  <si>
    <t>ST Leases</t>
  </si>
  <si>
    <t>LT Leases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</si>
</sst>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_(* #,##0.0_);_(* \(#,##0.0\);_(* &quot;-&quot;??_);_(@_)"/>
    <numFmt numFmtId="168" formatCode="_(#,##0_)_%;\(#,##0\)_%;_(&quot;–&quot;_)_%;_(@_)_%"/>
    <numFmt numFmtId="169" formatCode="m/d/yy;@"/>
    <numFmt numFmtId="170" formatCode="#,##0.000_);\(#,##0.000\)"/>
    <numFmt numFmtId="171" formatCode="0\A;[Red]0\A"/>
    <numFmt numFmtId="172" formatCode="###0&quot;E&quot;_)"/>
    <numFmt numFmtId="173" formatCode="#,##0.00;[Red]\ \ \-\ #,##0.00\ ;&quot;-&quot;"/>
    <numFmt numFmtId="174" formatCode="#,##0;[Red]\ \ \-\ #,##0\ ;&quot;-&quot;"/>
    <numFmt numFmtId="175" formatCode="General_)"/>
    <numFmt numFmtId="176" formatCode="0_);\(0\)"/>
    <numFmt numFmtId="177" formatCode="&quot;$&quot;#,##0"/>
    <numFmt numFmtId="178" formatCode="0.00&quot;A&quot;"/>
    <numFmt numFmtId="179" formatCode="0.000"/>
    <numFmt numFmtId="184" formatCode="0\ &quot;Days&quot;"/>
  </numFmts>
  <fonts count="56">
    <font>
      <sz val="11"/>
      <color theme="1"/>
      <name val="Arial"/>
    </font>
    <font>
      <sz val="11"/>
      <color theme="1"/>
      <name val="Calibri"/>
      <family val="2"/>
    </font>
    <font>
      <b/>
      <sz val="8"/>
      <color theme="0"/>
      <name val="Arial"/>
      <family val="2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theme="1"/>
      <name val="Calibri"/>
      <family val="2"/>
    </font>
    <font>
      <b/>
      <sz val="11"/>
      <color rgb="FF00B050"/>
      <name val="Calibri"/>
      <family val="2"/>
    </font>
    <font>
      <b/>
      <sz val="11"/>
      <color theme="1"/>
      <name val="Calibri"/>
      <family val="2"/>
    </font>
    <font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theme="1"/>
      <name val="Arial"/>
      <family val="2"/>
    </font>
    <font>
      <b/>
      <sz val="6"/>
      <color rgb="FF0070C0"/>
      <name val="Arial"/>
      <family val="2"/>
    </font>
    <font>
      <sz val="8"/>
      <color rgb="FF0070C0"/>
      <name val="Arial"/>
      <family val="2"/>
    </font>
    <font>
      <b/>
      <sz val="8"/>
      <color rgb="FF000000"/>
      <name val="Arial"/>
      <family val="2"/>
    </font>
    <font>
      <sz val="8"/>
      <color rgb="FFFDE9D9"/>
      <name val="Arial"/>
      <family val="2"/>
    </font>
    <font>
      <sz val="8"/>
      <color rgb="FF000000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mo"/>
    </font>
    <font>
      <b/>
      <u/>
      <sz val="6"/>
      <color theme="1"/>
      <name val="Arial"/>
      <family val="2"/>
    </font>
    <font>
      <b/>
      <i/>
      <sz val="11"/>
      <color theme="1"/>
      <name val="Calibri"/>
      <family val="2"/>
    </font>
    <font>
      <sz val="9"/>
      <color rgb="FF002060"/>
      <name val="Calibri"/>
      <family val="2"/>
    </font>
    <font>
      <sz val="11"/>
      <color rgb="FFC00000"/>
      <name val="Calibri"/>
      <family val="2"/>
    </font>
    <font>
      <sz val="9"/>
      <color rgb="FF0070C0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</font>
    <font>
      <sz val="8"/>
      <color rgb="FF00B050"/>
      <name val="Calibri"/>
      <family val="2"/>
    </font>
    <font>
      <sz val="11"/>
      <color rgb="FFC00000"/>
      <name val="Arial"/>
      <family val="2"/>
    </font>
    <font>
      <sz val="10"/>
      <color theme="1"/>
      <name val="Arial"/>
      <family val="2"/>
    </font>
    <font>
      <b/>
      <sz val="8"/>
      <color rgb="FFFF0000"/>
      <name val="Calibri"/>
      <family val="2"/>
    </font>
    <font>
      <b/>
      <sz val="8"/>
      <color rgb="FFC0000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sz val="12"/>
      <name val="Arial"/>
      <family val="2"/>
    </font>
    <font>
      <u/>
      <sz val="11"/>
      <color theme="1"/>
      <name val="Arial"/>
      <family val="2"/>
    </font>
    <font>
      <i/>
      <sz val="11"/>
      <color rgb="FFC00000"/>
      <name val="Arial"/>
      <family val="2"/>
    </font>
    <font>
      <sz val="11"/>
      <color rgb="FF00B05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 MT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color indexed="12"/>
      <name val="Arial"/>
      <family val="2"/>
    </font>
    <font>
      <i/>
      <sz val="11"/>
      <color rgb="FF00B050"/>
      <name val="Arial"/>
      <family val="2"/>
    </font>
    <font>
      <sz val="8"/>
      <name val="Arial"/>
      <family val="2"/>
    </font>
    <font>
      <i/>
      <sz val="11"/>
      <name val="Arial"/>
      <family val="2"/>
    </font>
    <font>
      <b/>
      <sz val="11"/>
      <name val="Calibri"/>
      <family val="2"/>
      <scheme val="minor"/>
    </font>
    <font>
      <b/>
      <u/>
      <sz val="11"/>
      <color theme="1"/>
      <name val="Arial"/>
      <family val="2"/>
    </font>
    <font>
      <sz val="8"/>
      <color rgb="FFC00000"/>
      <name val="Arial"/>
      <family val="2"/>
    </font>
    <font>
      <i/>
      <sz val="11"/>
      <color rgb="FF000000"/>
      <name val="Calibri"/>
      <family val="2"/>
      <scheme val="minor"/>
    </font>
    <font>
      <i/>
      <sz val="8"/>
      <color rgb="FFC0000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44061"/>
        <bgColor rgb="FF244061"/>
      </patternFill>
    </fill>
    <fill>
      <patternFill patternType="solid">
        <fgColor rgb="FFC0C0C0"/>
        <bgColor rgb="FFC0C0C0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rgb="FF000000"/>
      </bottom>
      <diagonal/>
    </border>
  </borders>
  <cellStyleXfs count="3">
    <xf numFmtId="0" fontId="0" fillId="0" borderId="0"/>
    <xf numFmtId="175" fontId="43" fillId="0" borderId="1"/>
    <xf numFmtId="9" fontId="55" fillId="0" borderId="0" applyFont="0" applyFill="0" applyBorder="0" applyAlignment="0" applyProtection="0"/>
  </cellStyleXfs>
  <cellXfs count="367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/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2" borderId="1" xfId="0" applyFont="1" applyFill="1" applyBorder="1" applyAlignment="1">
      <alignment horizontal="right"/>
    </xf>
    <xf numFmtId="0" fontId="9" fillId="0" borderId="0" xfId="0" applyFont="1"/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49" fontId="11" fillId="0" borderId="0" xfId="0" applyNumberFormat="1" applyFont="1"/>
    <xf numFmtId="3" fontId="11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64" fontId="13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4" fillId="0" borderId="0" xfId="0" applyFont="1"/>
    <xf numFmtId="3" fontId="9" fillId="0" borderId="0" xfId="0" applyNumberFormat="1" applyFont="1"/>
    <xf numFmtId="9" fontId="11" fillId="0" borderId="0" xfId="0" applyNumberFormat="1" applyFont="1" applyAlignment="1">
      <alignment horizontal="right"/>
    </xf>
    <xf numFmtId="3" fontId="15" fillId="0" borderId="0" xfId="0" applyNumberFormat="1" applyFont="1"/>
    <xf numFmtId="1" fontId="9" fillId="0" borderId="0" xfId="0" applyNumberFormat="1" applyFont="1" applyAlignment="1">
      <alignment horizontal="right"/>
    </xf>
    <xf numFmtId="0" fontId="11" fillId="0" borderId="0" xfId="0" applyFont="1"/>
    <xf numFmtId="3" fontId="11" fillId="0" borderId="0" xfId="0" applyNumberFormat="1" applyFont="1"/>
    <xf numFmtId="3" fontId="2" fillId="0" borderId="0" xfId="0" applyNumberFormat="1" applyFont="1"/>
    <xf numFmtId="4" fontId="9" fillId="0" borderId="0" xfId="0" applyNumberFormat="1" applyFont="1"/>
    <xf numFmtId="0" fontId="9" fillId="0" borderId="0" xfId="0" applyFont="1" applyAlignment="1">
      <alignment horizontal="left"/>
    </xf>
    <xf numFmtId="0" fontId="16" fillId="0" borderId="0" xfId="0" applyFont="1"/>
    <xf numFmtId="0" fontId="14" fillId="3" borderId="3" xfId="0" applyFont="1" applyFill="1" applyBorder="1"/>
    <xf numFmtId="3" fontId="11" fillId="3" borderId="3" xfId="0" applyNumberFormat="1" applyFont="1" applyFill="1" applyBorder="1" applyAlignment="1">
      <alignment horizontal="right"/>
    </xf>
    <xf numFmtId="165" fontId="9" fillId="0" borderId="0" xfId="0" applyNumberFormat="1" applyFont="1"/>
    <xf numFmtId="0" fontId="9" fillId="0" borderId="0" xfId="0" applyFont="1" applyAlignment="1">
      <alignment horizontal="right"/>
    </xf>
    <xf numFmtId="9" fontId="9" fillId="0" borderId="0" xfId="0" applyNumberFormat="1" applyFont="1"/>
    <xf numFmtId="9" fontId="9" fillId="0" borderId="0" xfId="0" applyNumberFormat="1" applyFont="1" applyAlignment="1">
      <alignment horizontal="right"/>
    </xf>
    <xf numFmtId="1" fontId="9" fillId="0" borderId="0" xfId="0" applyNumberFormat="1" applyFont="1"/>
    <xf numFmtId="0" fontId="9" fillId="0" borderId="0" xfId="0" applyFont="1" applyAlignment="1"/>
    <xf numFmtId="0" fontId="17" fillId="0" borderId="0" xfId="0" applyFont="1"/>
    <xf numFmtId="0" fontId="18" fillId="0" borderId="0" xfId="0" applyFont="1"/>
    <xf numFmtId="165" fontId="18" fillId="0" borderId="0" xfId="0" applyNumberFormat="1" applyFont="1"/>
    <xf numFmtId="43" fontId="9" fillId="0" borderId="0" xfId="0" applyNumberFormat="1" applyFont="1" applyAlignment="1">
      <alignment horizontal="righ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8" fillId="4" borderId="4" xfId="0" applyFont="1" applyFill="1" applyBorder="1"/>
    <xf numFmtId="166" fontId="4" fillId="4" borderId="5" xfId="0" applyNumberFormat="1" applyFont="1" applyFill="1" applyBorder="1"/>
    <xf numFmtId="0" fontId="4" fillId="4" borderId="5" xfId="0" applyFont="1" applyFill="1" applyBorder="1"/>
    <xf numFmtId="37" fontId="4" fillId="4" borderId="5" xfId="0" applyNumberFormat="1" applyFont="1" applyFill="1" applyBorder="1"/>
    <xf numFmtId="37" fontId="1" fillId="0" borderId="0" xfId="0" applyNumberFormat="1" applyFont="1"/>
    <xf numFmtId="37" fontId="4" fillId="0" borderId="0" xfId="0" applyNumberFormat="1" applyFont="1"/>
    <xf numFmtId="0" fontId="3" fillId="0" borderId="0" xfId="0" applyFont="1"/>
    <xf numFmtId="3" fontId="4" fillId="4" borderId="5" xfId="0" applyNumberFormat="1" applyFont="1" applyFill="1" applyBorder="1"/>
    <xf numFmtId="3" fontId="1" fillId="0" borderId="0" xfId="0" applyNumberFormat="1" applyFont="1"/>
    <xf numFmtId="164" fontId="1" fillId="0" borderId="0" xfId="0" applyNumberFormat="1" applyFont="1"/>
    <xf numFmtId="37" fontId="24" fillId="0" borderId="0" xfId="0" applyNumberFormat="1" applyFont="1"/>
    <xf numFmtId="164" fontId="1" fillId="0" borderId="8" xfId="0" applyNumberFormat="1" applyFont="1" applyBorder="1"/>
    <xf numFmtId="164" fontId="1" fillId="0" borderId="7" xfId="0" applyNumberFormat="1" applyFont="1" applyBorder="1"/>
    <xf numFmtId="9" fontId="4" fillId="0" borderId="7" xfId="0" applyNumberFormat="1" applyFont="1" applyBorder="1"/>
    <xf numFmtId="164" fontId="25" fillId="0" borderId="0" xfId="0" applyNumberFormat="1" applyFont="1"/>
    <xf numFmtId="165" fontId="1" fillId="0" borderId="0" xfId="0" applyNumberFormat="1" applyFont="1"/>
    <xf numFmtId="0" fontId="4" fillId="0" borderId="0" xfId="0" applyFont="1"/>
    <xf numFmtId="0" fontId="1" fillId="0" borderId="10" xfId="0" applyFont="1" applyBorder="1"/>
    <xf numFmtId="0" fontId="1" fillId="0" borderId="6" xfId="0" applyFont="1" applyBorder="1"/>
    <xf numFmtId="37" fontId="1" fillId="5" borderId="1" xfId="0" applyNumberFormat="1" applyFont="1" applyFill="1" applyBorder="1"/>
    <xf numFmtId="0" fontId="1" fillId="0" borderId="14" xfId="0" applyFont="1" applyBorder="1"/>
    <xf numFmtId="0" fontId="8" fillId="0" borderId="6" xfId="0" applyFont="1" applyBorder="1"/>
    <xf numFmtId="0" fontId="7" fillId="0" borderId="12" xfId="0" applyFont="1" applyBorder="1"/>
    <xf numFmtId="166" fontId="28" fillId="0" borderId="17" xfId="0" applyNumberFormat="1" applyFont="1" applyBorder="1"/>
    <xf numFmtId="0" fontId="7" fillId="0" borderId="14" xfId="0" applyFont="1" applyBorder="1"/>
    <xf numFmtId="0" fontId="5" fillId="0" borderId="18" xfId="0" applyFont="1" applyBorder="1"/>
    <xf numFmtId="0" fontId="1" fillId="0" borderId="12" xfId="0" applyFont="1" applyBorder="1"/>
    <xf numFmtId="166" fontId="4" fillId="0" borderId="17" xfId="0" applyNumberFormat="1" applyFont="1" applyBorder="1"/>
    <xf numFmtId="0" fontId="1" fillId="0" borderId="19" xfId="0" applyFont="1" applyBorder="1"/>
    <xf numFmtId="3" fontId="24" fillId="0" borderId="20" xfId="0" applyNumberFormat="1" applyFont="1" applyBorder="1"/>
    <xf numFmtId="3" fontId="5" fillId="0" borderId="20" xfId="0" applyNumberFormat="1" applyFont="1" applyBorder="1"/>
    <xf numFmtId="3" fontId="24" fillId="0" borderId="18" xfId="0" applyNumberFormat="1" applyFont="1" applyBorder="1"/>
    <xf numFmtId="0" fontId="2" fillId="2" borderId="1" xfId="0" applyFont="1" applyFill="1" applyBorder="1" applyAlignment="1">
      <alignment horizontal="left"/>
    </xf>
    <xf numFmtId="166" fontId="4" fillId="4" borderId="15" xfId="0" applyNumberFormat="1" applyFont="1" applyFill="1" applyBorder="1"/>
    <xf numFmtId="9" fontId="3" fillId="0" borderId="8" xfId="0" applyNumberFormat="1" applyFont="1" applyBorder="1"/>
    <xf numFmtId="164" fontId="3" fillId="0" borderId="8" xfId="0" applyNumberFormat="1" applyFont="1" applyBorder="1"/>
    <xf numFmtId="9" fontId="3" fillId="0" borderId="0" xfId="0" applyNumberFormat="1" applyFont="1"/>
    <xf numFmtId="3" fontId="8" fillId="0" borderId="0" xfId="0" applyNumberFormat="1" applyFont="1"/>
    <xf numFmtId="3" fontId="24" fillId="0" borderId="0" xfId="0" applyNumberFormat="1" applyFont="1"/>
    <xf numFmtId="3" fontId="25" fillId="0" borderId="0" xfId="0" applyNumberFormat="1" applyFont="1"/>
    <xf numFmtId="9" fontId="25" fillId="0" borderId="0" xfId="0" applyNumberFormat="1" applyFont="1"/>
    <xf numFmtId="9" fontId="1" fillId="0" borderId="0" xfId="0" applyNumberFormat="1" applyFont="1"/>
    <xf numFmtId="164" fontId="25" fillId="0" borderId="8" xfId="0" applyNumberFormat="1" applyFont="1" applyBorder="1"/>
    <xf numFmtId="37" fontId="24" fillId="0" borderId="10" xfId="0" applyNumberFormat="1" applyFont="1" applyBorder="1"/>
    <xf numFmtId="3" fontId="8" fillId="0" borderId="9" xfId="0" applyNumberFormat="1" applyFont="1" applyBorder="1"/>
    <xf numFmtId="3" fontId="24" fillId="0" borderId="7" xfId="0" applyNumberFormat="1" applyFont="1" applyBorder="1"/>
    <xf numFmtId="3" fontId="24" fillId="0" borderId="21" xfId="0" applyNumberFormat="1" applyFont="1" applyBorder="1"/>
    <xf numFmtId="37" fontId="29" fillId="0" borderId="0" xfId="0" applyNumberFormat="1" applyFont="1" applyAlignment="1"/>
    <xf numFmtId="0" fontId="4" fillId="4" borderId="15" xfId="0" applyFont="1" applyFill="1" applyBorder="1"/>
    <xf numFmtId="0" fontId="1" fillId="0" borderId="22" xfId="0" applyFont="1" applyBorder="1"/>
    <xf numFmtId="165" fontId="1" fillId="0" borderId="13" xfId="0" applyNumberFormat="1" applyFont="1" applyBorder="1"/>
    <xf numFmtId="165" fontId="1" fillId="0" borderId="23" xfId="0" applyNumberFormat="1" applyFont="1" applyBorder="1"/>
    <xf numFmtId="0" fontId="1" fillId="4" borderId="24" xfId="0" applyFont="1" applyFill="1" applyBorder="1"/>
    <xf numFmtId="165" fontId="1" fillId="4" borderId="1" xfId="0" applyNumberFormat="1" applyFont="1" applyFill="1" applyBorder="1"/>
    <xf numFmtId="165" fontId="1" fillId="4" borderId="25" xfId="0" applyNumberFormat="1" applyFont="1" applyFill="1" applyBorder="1"/>
    <xf numFmtId="0" fontId="1" fillId="0" borderId="26" xfId="0" applyFont="1" applyBorder="1"/>
    <xf numFmtId="165" fontId="1" fillId="0" borderId="27" xfId="0" applyNumberFormat="1" applyFont="1" applyBorder="1"/>
    <xf numFmtId="0" fontId="1" fillId="4" borderId="28" xfId="0" applyFont="1" applyFill="1" applyBorder="1"/>
    <xf numFmtId="165" fontId="1" fillId="4" borderId="16" xfId="0" applyNumberFormat="1" applyFont="1" applyFill="1" applyBorder="1"/>
    <xf numFmtId="165" fontId="1" fillId="4" borderId="29" xfId="0" applyNumberFormat="1" applyFont="1" applyFill="1" applyBorder="1"/>
    <xf numFmtId="0" fontId="1" fillId="0" borderId="30" xfId="0" applyFont="1" applyBorder="1"/>
    <xf numFmtId="165" fontId="5" fillId="0" borderId="10" xfId="0" applyNumberFormat="1" applyFont="1" applyBorder="1"/>
    <xf numFmtId="165" fontId="5" fillId="0" borderId="31" xfId="0" applyNumberFormat="1" applyFont="1" applyBorder="1"/>
    <xf numFmtId="37" fontId="1" fillId="0" borderId="26" xfId="0" applyNumberFormat="1" applyFont="1" applyBorder="1"/>
    <xf numFmtId="37" fontId="4" fillId="0" borderId="27" xfId="0" applyNumberFormat="1" applyFont="1" applyBorder="1"/>
    <xf numFmtId="37" fontId="24" fillId="5" borderId="1" xfId="0" applyNumberFormat="1" applyFont="1" applyFill="1" applyBorder="1"/>
    <xf numFmtId="37" fontId="26" fillId="0" borderId="0" xfId="0" applyNumberFormat="1" applyFont="1" applyAlignment="1">
      <alignment horizontal="right"/>
    </xf>
    <xf numFmtId="9" fontId="8" fillId="0" borderId="9" xfId="0" applyNumberFormat="1" applyFont="1" applyBorder="1"/>
    <xf numFmtId="37" fontId="24" fillId="5" borderId="3" xfId="0" applyNumberFormat="1" applyFont="1" applyFill="1" applyBorder="1"/>
    <xf numFmtId="37" fontId="24" fillId="5" borderId="32" xfId="0" applyNumberFormat="1" applyFont="1" applyFill="1" applyBorder="1"/>
    <xf numFmtId="1" fontId="24" fillId="0" borderId="0" xfId="0" applyNumberFormat="1" applyFont="1" applyAlignment="1">
      <alignment horizontal="right"/>
    </xf>
    <xf numFmtId="9" fontId="8" fillId="0" borderId="10" xfId="0" applyNumberFormat="1" applyFont="1" applyBorder="1"/>
    <xf numFmtId="3" fontId="24" fillId="0" borderId="10" xfId="0" applyNumberFormat="1" applyFont="1" applyBorder="1" applyAlignment="1">
      <alignment horizontal="right"/>
    </xf>
    <xf numFmtId="9" fontId="23" fillId="0" borderId="0" xfId="0" applyNumberFormat="1" applyFont="1"/>
    <xf numFmtId="9" fontId="23" fillId="0" borderId="0" xfId="0" applyNumberFormat="1" applyFont="1" applyAlignment="1">
      <alignment horizontal="right"/>
    </xf>
    <xf numFmtId="9" fontId="1" fillId="0" borderId="0" xfId="0" quotePrefix="1" applyNumberFormat="1" applyFont="1"/>
    <xf numFmtId="166" fontId="30" fillId="5" borderId="1" xfId="0" applyNumberFormat="1" applyFont="1" applyFill="1" applyBorder="1"/>
    <xf numFmtId="9" fontId="1" fillId="0" borderId="12" xfId="0" applyNumberFormat="1" applyFont="1" applyBorder="1"/>
    <xf numFmtId="166" fontId="31" fillId="0" borderId="17" xfId="0" applyNumberFormat="1" applyFont="1" applyBorder="1"/>
    <xf numFmtId="9" fontId="1" fillId="0" borderId="14" xfId="0" applyNumberFormat="1" applyFont="1" applyBorder="1"/>
    <xf numFmtId="166" fontId="32" fillId="0" borderId="18" xfId="0" applyNumberFormat="1" applyFont="1" applyBorder="1"/>
    <xf numFmtId="0" fontId="1" fillId="0" borderId="11" xfId="0" applyFont="1" applyBorder="1"/>
    <xf numFmtId="0" fontId="1" fillId="0" borderId="33" xfId="0" applyFont="1" applyBorder="1"/>
    <xf numFmtId="0" fontId="8" fillId="0" borderId="33" xfId="0" applyFont="1" applyBorder="1"/>
    <xf numFmtId="0" fontId="8" fillId="0" borderId="26" xfId="0" applyFont="1" applyBorder="1"/>
    <xf numFmtId="166" fontId="22" fillId="0" borderId="0" xfId="0" applyNumberFormat="1" applyFont="1"/>
    <xf numFmtId="166" fontId="22" fillId="0" borderId="27" xfId="0" applyNumberFormat="1" applyFont="1" applyBorder="1"/>
    <xf numFmtId="0" fontId="27" fillId="0" borderId="0" xfId="0" applyFont="1"/>
    <xf numFmtId="9" fontId="3" fillId="0" borderId="27" xfId="0" applyNumberFormat="1" applyFont="1" applyBorder="1"/>
    <xf numFmtId="167" fontId="1" fillId="0" borderId="0" xfId="0" applyNumberFormat="1" applyFont="1"/>
    <xf numFmtId="167" fontId="4" fillId="0" borderId="0" xfId="0" applyNumberFormat="1" applyFont="1"/>
    <xf numFmtId="167" fontId="4" fillId="0" borderId="27" xfId="0" applyNumberFormat="1" applyFont="1" applyBorder="1"/>
    <xf numFmtId="9" fontId="5" fillId="0" borderId="0" xfId="0" applyNumberFormat="1" applyFont="1"/>
    <xf numFmtId="9" fontId="5" fillId="0" borderId="27" xfId="0" applyNumberFormat="1" applyFont="1" applyBorder="1"/>
    <xf numFmtId="0" fontId="8" fillId="0" borderId="34" xfId="0" applyFont="1" applyBorder="1"/>
    <xf numFmtId="0" fontId="1" fillId="0" borderId="8" xfId="0" applyFont="1" applyBorder="1"/>
    <xf numFmtId="43" fontId="4" fillId="0" borderId="8" xfId="0" applyNumberFormat="1" applyFont="1" applyBorder="1"/>
    <xf numFmtId="43" fontId="4" fillId="0" borderId="35" xfId="0" applyNumberFormat="1" applyFont="1" applyBorder="1"/>
    <xf numFmtId="0" fontId="5" fillId="0" borderId="35" xfId="0" applyFont="1" applyBorder="1"/>
    <xf numFmtId="0" fontId="4" fillId="4" borderId="2" xfId="0" applyFont="1" applyFill="1" applyBorder="1"/>
    <xf numFmtId="8" fontId="1" fillId="0" borderId="0" xfId="0" applyNumberFormat="1" applyFont="1"/>
    <xf numFmtId="0" fontId="8" fillId="0" borderId="30" xfId="0" applyFont="1" applyBorder="1"/>
    <xf numFmtId="167" fontId="5" fillId="0" borderId="31" xfId="0" applyNumberFormat="1" applyFont="1" applyBorder="1"/>
    <xf numFmtId="8" fontId="1" fillId="0" borderId="12" xfId="0" applyNumberFormat="1" applyFont="1" applyBorder="1"/>
    <xf numFmtId="6" fontId="4" fillId="0" borderId="17" xfId="0" applyNumberFormat="1" applyFont="1" applyBorder="1"/>
    <xf numFmtId="0" fontId="8" fillId="0" borderId="19" xfId="0" applyFont="1" applyBorder="1"/>
    <xf numFmtId="6" fontId="4" fillId="0" borderId="20" xfId="0" applyNumberFormat="1" applyFont="1" applyBorder="1"/>
    <xf numFmtId="0" fontId="8" fillId="0" borderId="19" xfId="0" quotePrefix="1" applyFont="1" applyBorder="1"/>
    <xf numFmtId="166" fontId="5" fillId="0" borderId="20" xfId="0" applyNumberFormat="1" applyFont="1" applyBorder="1"/>
    <xf numFmtId="8" fontId="1" fillId="0" borderId="20" xfId="0" applyNumberFormat="1" applyFont="1" applyBorder="1"/>
    <xf numFmtId="164" fontId="1" fillId="0" borderId="18" xfId="0" applyNumberFormat="1" applyFont="1" applyBorder="1"/>
    <xf numFmtId="0" fontId="5" fillId="0" borderId="20" xfId="0" applyFont="1" applyBorder="1"/>
    <xf numFmtId="0" fontId="8" fillId="0" borderId="14" xfId="0" applyFont="1" applyBorder="1"/>
    <xf numFmtId="8" fontId="4" fillId="0" borderId="18" xfId="0" applyNumberFormat="1" applyFont="1" applyBorder="1"/>
    <xf numFmtId="0" fontId="33" fillId="0" borderId="0" xfId="0" applyFont="1" applyAlignment="1"/>
    <xf numFmtId="0" fontId="34" fillId="0" borderId="0" xfId="0" applyFont="1" applyAlignment="1"/>
    <xf numFmtId="0" fontId="35" fillId="0" borderId="0" xfId="0" applyFont="1" applyAlignment="1"/>
    <xf numFmtId="0" fontId="36" fillId="0" borderId="0" xfId="0" applyFont="1" applyAlignment="1"/>
    <xf numFmtId="0" fontId="33" fillId="0" borderId="38" xfId="0" applyFont="1" applyBorder="1" applyAlignment="1"/>
    <xf numFmtId="0" fontId="36" fillId="0" borderId="38" xfId="0" applyFont="1" applyBorder="1" applyAlignment="1"/>
    <xf numFmtId="171" fontId="0" fillId="0" borderId="38" xfId="0" applyNumberFormat="1" applyFont="1" applyBorder="1" applyAlignment="1"/>
    <xf numFmtId="172" fontId="0" fillId="0" borderId="38" xfId="0" applyNumberFormat="1" applyFont="1" applyBorder="1" applyAlignment="1"/>
    <xf numFmtId="0" fontId="33" fillId="0" borderId="39" xfId="0" applyFont="1" applyBorder="1" applyAlignment="1"/>
    <xf numFmtId="0" fontId="36" fillId="0" borderId="39" xfId="0" applyFont="1" applyBorder="1" applyAlignment="1"/>
    <xf numFmtId="0" fontId="37" fillId="0" borderId="0" xfId="0" applyFont="1"/>
    <xf numFmtId="0" fontId="0" fillId="0" borderId="1" xfId="0" applyFont="1" applyBorder="1" applyAlignment="1"/>
    <xf numFmtId="3" fontId="0" fillId="0" borderId="0" xfId="0" applyNumberFormat="1" applyFont="1" applyAlignment="1"/>
    <xf numFmtId="4" fontId="0" fillId="0" borderId="0" xfId="0" applyNumberFormat="1" applyFont="1" applyAlignment="1">
      <alignment horizontal="center"/>
    </xf>
    <xf numFmtId="4" fontId="34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3" fontId="34" fillId="0" borderId="0" xfId="0" applyNumberFormat="1" applyFont="1" applyAlignment="1">
      <alignment horizontal="center"/>
    </xf>
    <xf numFmtId="3" fontId="34" fillId="0" borderId="0" xfId="0" applyNumberFormat="1" applyFont="1" applyAlignment="1"/>
    <xf numFmtId="0" fontId="33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4" fontId="0" fillId="0" borderId="0" xfId="0" applyNumberFormat="1" applyFont="1" applyAlignment="1">
      <alignment horizontal="left"/>
    </xf>
    <xf numFmtId="3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4" fontId="34" fillId="0" borderId="0" xfId="0" applyNumberFormat="1" applyFont="1" applyAlignment="1">
      <alignment horizontal="left"/>
    </xf>
    <xf numFmtId="3" fontId="34" fillId="0" borderId="0" xfId="0" applyNumberFormat="1" applyFont="1" applyAlignment="1">
      <alignment horizontal="left"/>
    </xf>
    <xf numFmtId="2" fontId="0" fillId="0" borderId="0" xfId="0" applyNumberFormat="1" applyFont="1" applyAlignment="1"/>
    <xf numFmtId="3" fontId="39" fillId="0" borderId="0" xfId="0" applyNumberFormat="1" applyFont="1" applyAlignment="1"/>
    <xf numFmtId="0" fontId="33" fillId="0" borderId="38" xfId="0" applyFont="1" applyBorder="1" applyAlignment="1">
      <alignment horizontal="left"/>
    </xf>
    <xf numFmtId="0" fontId="33" fillId="0" borderId="39" xfId="0" applyFont="1" applyBorder="1" applyAlignment="1">
      <alignment horizontal="left"/>
    </xf>
    <xf numFmtId="9" fontId="0" fillId="0" borderId="0" xfId="0" applyNumberFormat="1" applyFont="1" applyAlignment="1"/>
    <xf numFmtId="3" fontId="29" fillId="0" borderId="0" xfId="0" applyNumberFormat="1" applyFont="1" applyAlignment="1"/>
    <xf numFmtId="9" fontId="40" fillId="0" borderId="0" xfId="0" applyNumberFormat="1" applyFont="1" applyAlignment="1"/>
    <xf numFmtId="0" fontId="0" fillId="0" borderId="39" xfId="0" applyFont="1" applyBorder="1" applyAlignment="1"/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4" fillId="0" borderId="0" xfId="0" applyFont="1" applyAlignment="1">
      <alignment horizontal="left"/>
    </xf>
    <xf numFmtId="0" fontId="33" fillId="0" borderId="1" xfId="0" applyFont="1" applyBorder="1" applyAlignment="1"/>
    <xf numFmtId="174" fontId="41" fillId="0" borderId="39" xfId="0" applyNumberFormat="1" applyFont="1" applyFill="1" applyBorder="1"/>
    <xf numFmtId="3" fontId="29" fillId="0" borderId="37" xfId="0" applyNumberFormat="1" applyFont="1" applyBorder="1" applyAlignment="1"/>
    <xf numFmtId="0" fontId="33" fillId="0" borderId="0" xfId="0" quotePrefix="1" applyFont="1" applyAlignment="1"/>
    <xf numFmtId="0" fontId="41" fillId="0" borderId="0" xfId="0" applyFont="1"/>
    <xf numFmtId="37" fontId="0" fillId="0" borderId="0" xfId="0" applyNumberFormat="1" applyFont="1" applyAlignment="1"/>
    <xf numFmtId="0" fontId="0" fillId="0" borderId="1" xfId="0" applyFont="1" applyFill="1" applyBorder="1" applyAlignment="1"/>
    <xf numFmtId="8" fontId="44" fillId="0" borderId="1" xfId="1" applyNumberFormat="1" applyFont="1" applyFill="1" applyBorder="1" applyAlignment="1">
      <alignment horizontal="right"/>
    </xf>
    <xf numFmtId="8" fontId="42" fillId="0" borderId="1" xfId="1" applyNumberFormat="1" applyFont="1" applyFill="1" applyBorder="1" applyAlignment="1">
      <alignment horizontal="right"/>
    </xf>
    <xf numFmtId="0" fontId="34" fillId="0" borderId="16" xfId="0" applyFont="1" applyBorder="1"/>
    <xf numFmtId="0" fontId="33" fillId="0" borderId="1" xfId="0" applyFont="1" applyFill="1" applyBorder="1"/>
    <xf numFmtId="0" fontId="33" fillId="0" borderId="0" xfId="0" applyFont="1"/>
    <xf numFmtId="0" fontId="33" fillId="0" borderId="16" xfId="0" applyFont="1" applyBorder="1"/>
    <xf numFmtId="171" fontId="34" fillId="0" borderId="0" xfId="0" applyNumberFormat="1" applyFont="1"/>
    <xf numFmtId="0" fontId="36" fillId="0" borderId="16" xfId="0" applyFont="1" applyBorder="1"/>
    <xf numFmtId="169" fontId="36" fillId="0" borderId="39" xfId="0" applyNumberFormat="1" applyFont="1" applyBorder="1"/>
    <xf numFmtId="172" fontId="34" fillId="0" borderId="0" xfId="0" applyNumberFormat="1" applyFont="1"/>
    <xf numFmtId="0" fontId="33" fillId="0" borderId="1" xfId="0" applyFont="1" applyFill="1" applyBorder="1" applyAlignment="1">
      <alignment horizontal="centerContinuous"/>
    </xf>
    <xf numFmtId="175" fontId="41" fillId="0" borderId="1" xfId="1" applyFont="1" applyFill="1" applyBorder="1" applyAlignment="1">
      <alignment horizontal="left"/>
    </xf>
    <xf numFmtId="0" fontId="45" fillId="0" borderId="42" xfId="0" applyFont="1" applyFill="1" applyBorder="1" applyAlignment="1">
      <alignment horizontal="center"/>
    </xf>
    <xf numFmtId="171" fontId="41" fillId="0" borderId="1" xfId="0" applyNumberFormat="1" applyFont="1" applyFill="1" applyBorder="1" applyAlignment="1">
      <alignment horizontal="center"/>
    </xf>
    <xf numFmtId="0" fontId="45" fillId="0" borderId="1" xfId="0" applyFont="1" applyFill="1" applyBorder="1" applyAlignment="1">
      <alignment horizontal="center"/>
    </xf>
    <xf numFmtId="172" fontId="41" fillId="0" borderId="1" xfId="0" applyNumberFormat="1" applyFont="1" applyFill="1" applyBorder="1" applyAlignment="1">
      <alignment horizontal="center"/>
    </xf>
    <xf numFmtId="1" fontId="45" fillId="0" borderId="1" xfId="0" applyNumberFormat="1" applyFont="1" applyFill="1" applyBorder="1" applyAlignment="1">
      <alignment horizontal="right"/>
    </xf>
    <xf numFmtId="0" fontId="33" fillId="0" borderId="1" xfId="0" applyFont="1" applyFill="1" applyBorder="1" applyAlignment="1">
      <alignment horizontal="center"/>
    </xf>
    <xf numFmtId="175" fontId="41" fillId="0" borderId="1" xfId="1" applyFont="1" applyFill="1" applyBorder="1"/>
    <xf numFmtId="0" fontId="45" fillId="0" borderId="1" xfId="0" applyFont="1" applyFill="1" applyBorder="1"/>
    <xf numFmtId="0" fontId="33" fillId="0" borderId="1" xfId="0" applyFont="1" applyFill="1" applyBorder="1" applyAlignment="1">
      <alignment horizontal="left"/>
    </xf>
    <xf numFmtId="0" fontId="33" fillId="0" borderId="39" xfId="0" applyFont="1" applyFill="1" applyBorder="1" applyAlignment="1">
      <alignment horizontal="left"/>
    </xf>
    <xf numFmtId="0" fontId="45" fillId="0" borderId="43" xfId="0" applyFont="1" applyFill="1" applyBorder="1" applyAlignment="1">
      <alignment horizontal="center"/>
    </xf>
    <xf numFmtId="1" fontId="45" fillId="0" borderId="44" xfId="0" applyNumberFormat="1" applyFont="1" applyFill="1" applyBorder="1" applyAlignment="1">
      <alignment horizontal="center"/>
    </xf>
    <xf numFmtId="0" fontId="33" fillId="0" borderId="44" xfId="0" applyFont="1" applyFill="1" applyBorder="1"/>
    <xf numFmtId="176" fontId="40" fillId="0" borderId="44" xfId="0" applyNumberFormat="1" applyFont="1" applyFill="1" applyBorder="1" applyAlignment="1">
      <alignment horizontal="center"/>
    </xf>
    <xf numFmtId="0" fontId="33" fillId="0" borderId="44" xfId="0" applyFont="1" applyFill="1" applyBorder="1" applyAlignment="1">
      <alignment horizontal="center"/>
    </xf>
    <xf numFmtId="5" fontId="29" fillId="0" borderId="1" xfId="0" applyNumberFormat="1" applyFont="1" applyFill="1" applyBorder="1"/>
    <xf numFmtId="177" fontId="0" fillId="0" borderId="0" xfId="0" applyNumberFormat="1" applyFont="1" applyAlignment="1"/>
    <xf numFmtId="0" fontId="33" fillId="0" borderId="1" xfId="0" applyFont="1" applyFill="1" applyBorder="1" applyAlignment="1"/>
    <xf numFmtId="5" fontId="33" fillId="0" borderId="1" xfId="0" applyNumberFormat="1" applyFont="1" applyFill="1" applyBorder="1"/>
    <xf numFmtId="0" fontId="33" fillId="0" borderId="39" xfId="0" applyFont="1" applyFill="1" applyBorder="1"/>
    <xf numFmtId="8" fontId="46" fillId="0" borderId="39" xfId="1" applyNumberFormat="1" applyFont="1" applyFill="1" applyBorder="1" applyAlignment="1">
      <alignment horizontal="right"/>
    </xf>
    <xf numFmtId="5" fontId="29" fillId="0" borderId="39" xfId="1" applyNumberFormat="1" applyFont="1" applyFill="1" applyBorder="1" applyAlignment="1">
      <alignment horizontal="right"/>
    </xf>
    <xf numFmtId="6" fontId="41" fillId="0" borderId="1" xfId="1" applyNumberFormat="1" applyFont="1" applyFill="1" applyBorder="1" applyAlignment="1">
      <alignment horizontal="right"/>
    </xf>
    <xf numFmtId="6" fontId="29" fillId="0" borderId="1" xfId="1" applyNumberFormat="1" applyFont="1" applyFill="1" applyBorder="1" applyAlignment="1">
      <alignment horizontal="right"/>
    </xf>
    <xf numFmtId="8" fontId="46" fillId="0" borderId="44" xfId="1" applyNumberFormat="1" applyFont="1" applyFill="1" applyBorder="1" applyAlignment="1">
      <alignment horizontal="right"/>
    </xf>
    <xf numFmtId="8" fontId="46" fillId="0" borderId="1" xfId="1" applyNumberFormat="1" applyFont="1" applyFill="1" applyBorder="1" applyAlignment="1">
      <alignment horizontal="right"/>
    </xf>
    <xf numFmtId="8" fontId="41" fillId="0" borderId="1" xfId="1" applyNumberFormat="1" applyFont="1" applyFill="1" applyBorder="1" applyAlignment="1">
      <alignment horizontal="right"/>
    </xf>
    <xf numFmtId="8" fontId="46" fillId="0" borderId="45" xfId="1" applyNumberFormat="1" applyFont="1" applyFill="1" applyBorder="1" applyAlignment="1">
      <alignment horizontal="right"/>
    </xf>
    <xf numFmtId="164" fontId="29" fillId="0" borderId="0" xfId="0" applyNumberFormat="1" applyFont="1" applyAlignment="1"/>
    <xf numFmtId="164" fontId="40" fillId="0" borderId="0" xfId="0" applyNumberFormat="1" applyFont="1" applyAlignment="1"/>
    <xf numFmtId="0" fontId="36" fillId="0" borderId="0" xfId="0" applyFont="1" applyAlignment="1">
      <alignment horizontal="left" indent="1"/>
    </xf>
    <xf numFmtId="0" fontId="33" fillId="0" borderId="0" xfId="0" applyFont="1" applyAlignment="1">
      <alignment horizontal="left" indent="1"/>
    </xf>
    <xf numFmtId="0" fontId="33" fillId="0" borderId="39" xfId="0" quotePrefix="1" applyFont="1" applyBorder="1" applyAlignment="1"/>
    <xf numFmtId="3" fontId="0" fillId="0" borderId="39" xfId="0" applyNumberFormat="1" applyFont="1" applyBorder="1" applyAlignment="1"/>
    <xf numFmtId="37" fontId="29" fillId="0" borderId="39" xfId="0" applyNumberFormat="1" applyFont="1" applyBorder="1" applyAlignment="1"/>
    <xf numFmtId="0" fontId="33" fillId="0" borderId="37" xfId="0" applyFont="1" applyBorder="1" applyAlignment="1"/>
    <xf numFmtId="0" fontId="33" fillId="0" borderId="37" xfId="0" quotePrefix="1" applyFont="1" applyBorder="1" applyAlignment="1"/>
    <xf numFmtId="0" fontId="0" fillId="0" borderId="37" xfId="0" applyFont="1" applyBorder="1" applyAlignment="1"/>
    <xf numFmtId="37" fontId="29" fillId="0" borderId="37" xfId="0" applyNumberFormat="1" applyFont="1" applyBorder="1" applyAlignment="1"/>
    <xf numFmtId="0" fontId="33" fillId="0" borderId="37" xfId="0" applyFont="1" applyFill="1" applyBorder="1" applyAlignment="1"/>
    <xf numFmtId="0" fontId="38" fillId="0" borderId="0" xfId="0" applyFont="1" applyAlignment="1">
      <alignment horizontal="left" vertical="center"/>
    </xf>
    <xf numFmtId="3" fontId="40" fillId="0" borderId="1" xfId="0" applyNumberFormat="1" applyFont="1" applyBorder="1" applyAlignment="1"/>
    <xf numFmtId="37" fontId="29" fillId="0" borderId="1" xfId="0" applyNumberFormat="1" applyFont="1" applyBorder="1" applyAlignment="1"/>
    <xf numFmtId="3" fontId="29" fillId="0" borderId="1" xfId="0" applyNumberFormat="1" applyFont="1" applyBorder="1" applyAlignment="1"/>
    <xf numFmtId="2" fontId="0" fillId="0" borderId="0" xfId="0" applyNumberFormat="1" applyFont="1" applyAlignment="1">
      <alignment horizontal="left"/>
    </xf>
    <xf numFmtId="2" fontId="34" fillId="0" borderId="0" xfId="0" applyNumberFormat="1" applyFont="1" applyAlignment="1">
      <alignment horizontal="left"/>
    </xf>
    <xf numFmtId="173" fontId="0" fillId="0" borderId="0" xfId="0" applyNumberFormat="1" applyFont="1" applyAlignment="1"/>
    <xf numFmtId="164" fontId="36" fillId="0" borderId="0" xfId="0" applyNumberFormat="1" applyFont="1" applyAlignment="1"/>
    <xf numFmtId="164" fontId="47" fillId="0" borderId="0" xfId="0" applyNumberFormat="1" applyFont="1" applyAlignment="1"/>
    <xf numFmtId="0" fontId="0" fillId="0" borderId="41" xfId="0" applyFont="1" applyBorder="1" applyAlignment="1"/>
    <xf numFmtId="0" fontId="41" fillId="0" borderId="0" xfId="0" applyFont="1" applyAlignment="1"/>
    <xf numFmtId="4" fontId="29" fillId="0" borderId="0" xfId="0" applyNumberFormat="1" applyFont="1" applyAlignment="1"/>
    <xf numFmtId="0" fontId="40" fillId="0" borderId="40" xfId="0" applyFont="1" applyBorder="1" applyAlignment="1"/>
    <xf numFmtId="3" fontId="33" fillId="0" borderId="0" xfId="0" applyNumberFormat="1" applyFont="1" applyAlignment="1"/>
    <xf numFmtId="3" fontId="29" fillId="0" borderId="39" xfId="0" applyNumberFormat="1" applyFont="1" applyBorder="1" applyAlignment="1"/>
    <xf numFmtId="6" fontId="0" fillId="0" borderId="0" xfId="0" applyNumberFormat="1" applyFont="1" applyAlignment="1"/>
    <xf numFmtId="41" fontId="0" fillId="0" borderId="0" xfId="0" applyNumberFormat="1" applyFont="1" applyAlignment="1"/>
    <xf numFmtId="0" fontId="40" fillId="0" borderId="0" xfId="0" applyFont="1" applyAlignment="1"/>
    <xf numFmtId="0" fontId="40" fillId="0" borderId="37" xfId="0" applyFont="1" applyBorder="1" applyAlignment="1"/>
    <xf numFmtId="6" fontId="29" fillId="0" borderId="39" xfId="0" applyNumberFormat="1" applyFont="1" applyBorder="1" applyAlignment="1"/>
    <xf numFmtId="6" fontId="29" fillId="0" borderId="0" xfId="0" applyNumberFormat="1" applyFont="1" applyAlignment="1"/>
    <xf numFmtId="9" fontId="29" fillId="0" borderId="0" xfId="0" applyNumberFormat="1" applyFont="1" applyAlignment="1"/>
    <xf numFmtId="164" fontId="49" fillId="0" borderId="0" xfId="0" applyNumberFormat="1" applyFont="1" applyAlignment="1"/>
    <xf numFmtId="164" fontId="47" fillId="0" borderId="40" xfId="0" applyNumberFormat="1" applyFont="1" applyBorder="1" applyAlignment="1"/>
    <xf numFmtId="164" fontId="47" fillId="0" borderId="37" xfId="0" applyNumberFormat="1" applyFont="1" applyBorder="1" applyAlignment="1"/>
    <xf numFmtId="2" fontId="29" fillId="0" borderId="0" xfId="0" applyNumberFormat="1" applyFont="1" applyAlignment="1"/>
    <xf numFmtId="37" fontId="0" fillId="0" borderId="39" xfId="0" applyNumberFormat="1" applyFont="1" applyBorder="1" applyAlignment="1"/>
    <xf numFmtId="164" fontId="29" fillId="0" borderId="1" xfId="0" applyNumberFormat="1" applyFont="1" applyBorder="1" applyAlignment="1"/>
    <xf numFmtId="38" fontId="0" fillId="0" borderId="0" xfId="0" applyNumberFormat="1" applyFont="1" applyAlignment="1"/>
    <xf numFmtId="176" fontId="40" fillId="0" borderId="44" xfId="1" applyNumberFormat="1" applyFont="1" applyFill="1" applyBorder="1" applyAlignment="1">
      <alignment horizontal="center"/>
    </xf>
    <xf numFmtId="177" fontId="29" fillId="0" borderId="0" xfId="0" applyNumberFormat="1" applyFont="1" applyAlignment="1"/>
    <xf numFmtId="177" fontId="29" fillId="0" borderId="39" xfId="0" applyNumberFormat="1" applyFont="1" applyBorder="1" applyAlignment="1"/>
    <xf numFmtId="10" fontId="0" fillId="0" borderId="39" xfId="0" applyNumberFormat="1" applyFont="1" applyBorder="1" applyAlignment="1"/>
    <xf numFmtId="164" fontId="47" fillId="0" borderId="41" xfId="0" applyNumberFormat="1" applyFont="1" applyBorder="1" applyAlignment="1"/>
    <xf numFmtId="0" fontId="36" fillId="0" borderId="38" xfId="0" applyFont="1" applyBorder="1" applyAlignment="1">
      <alignment horizontal="right"/>
    </xf>
    <xf numFmtId="0" fontId="33" fillId="0" borderId="38" xfId="0" applyFont="1" applyBorder="1" applyAlignment="1">
      <alignment horizontal="right"/>
    </xf>
    <xf numFmtId="4" fontId="33" fillId="0" borderId="0" xfId="0" applyNumberFormat="1" applyFont="1" applyAlignment="1">
      <alignment horizontal="left"/>
    </xf>
    <xf numFmtId="3" fontId="33" fillId="0" borderId="0" xfId="0" applyNumberFormat="1" applyFont="1" applyAlignment="1">
      <alignment horizontal="left"/>
    </xf>
    <xf numFmtId="0" fontId="34" fillId="0" borderId="46" xfId="0" applyFont="1" applyBorder="1" applyAlignment="1">
      <alignment horizontal="left"/>
    </xf>
    <xf numFmtId="0" fontId="34" fillId="0" borderId="46" xfId="0" applyFont="1" applyBorder="1" applyAlignment="1"/>
    <xf numFmtId="2" fontId="33" fillId="0" borderId="0" xfId="0" applyNumberFormat="1" applyFont="1" applyAlignment="1">
      <alignment horizontal="left"/>
    </xf>
    <xf numFmtId="174" fontId="0" fillId="0" borderId="0" xfId="0" applyNumberFormat="1" applyFont="1" applyAlignment="1"/>
    <xf numFmtId="37" fontId="41" fillId="0" borderId="1" xfId="0" applyNumberFormat="1" applyFont="1" applyBorder="1" applyAlignment="1"/>
    <xf numFmtId="37" fontId="41" fillId="0" borderId="0" xfId="0" applyNumberFormat="1" applyFont="1" applyAlignment="1"/>
    <xf numFmtId="3" fontId="41" fillId="0" borderId="39" xfId="0" applyNumberFormat="1" applyFont="1" applyBorder="1" applyAlignment="1"/>
    <xf numFmtId="166" fontId="0" fillId="0" borderId="0" xfId="0" applyNumberFormat="1" applyFont="1" applyAlignment="1"/>
    <xf numFmtId="3" fontId="33" fillId="0" borderId="39" xfId="0" applyNumberFormat="1" applyFont="1" applyBorder="1" applyAlignment="1"/>
    <xf numFmtId="0" fontId="36" fillId="0" borderId="39" xfId="0" applyFont="1" applyBorder="1"/>
    <xf numFmtId="178" fontId="33" fillId="0" borderId="38" xfId="0" applyNumberFormat="1" applyFont="1" applyBorder="1" applyAlignment="1">
      <alignment horizontal="right"/>
    </xf>
    <xf numFmtId="0" fontId="33" fillId="0" borderId="0" xfId="0" applyFont="1" applyAlignment="1">
      <alignment horizontal="left" indent="2"/>
    </xf>
    <xf numFmtId="3" fontId="33" fillId="0" borderId="0" xfId="0" applyNumberFormat="1" applyFont="1" applyAlignment="1">
      <alignment horizontal="left" indent="2"/>
    </xf>
    <xf numFmtId="4" fontId="33" fillId="0" borderId="0" xfId="0" applyNumberFormat="1" applyFont="1" applyAlignment="1"/>
    <xf numFmtId="0" fontId="0" fillId="0" borderId="0" xfId="0" applyFont="1" applyAlignment="1">
      <alignment horizontal="left" indent="1"/>
    </xf>
    <xf numFmtId="41" fontId="33" fillId="0" borderId="0" xfId="0" applyNumberFormat="1" applyFont="1" applyAlignment="1"/>
    <xf numFmtId="0" fontId="34" fillId="0" borderId="0" xfId="0" applyFont="1" applyAlignment="1">
      <alignment horizontal="left" indent="1"/>
    </xf>
    <xf numFmtId="41" fontId="34" fillId="0" borderId="0" xfId="0" applyNumberFormat="1" applyFont="1" applyAlignment="1"/>
    <xf numFmtId="0" fontId="38" fillId="0" borderId="0" xfId="0" applyFont="1" applyAlignment="1"/>
    <xf numFmtId="164" fontId="0" fillId="0" borderId="0" xfId="0" applyNumberFormat="1" applyFont="1" applyAlignment="1"/>
    <xf numFmtId="0" fontId="51" fillId="0" borderId="0" xfId="0" applyFont="1" applyAlignment="1"/>
    <xf numFmtId="0" fontId="38" fillId="0" borderId="0" xfId="0" applyFont="1" applyAlignment="1">
      <alignment horizontal="left"/>
    </xf>
    <xf numFmtId="10" fontId="0" fillId="0" borderId="0" xfId="0" applyNumberFormat="1" applyFont="1" applyAlignment="1"/>
    <xf numFmtId="0" fontId="0" fillId="0" borderId="1" xfId="0" applyBorder="1" applyAlignment="1">
      <alignment horizontal="left" indent="1"/>
    </xf>
    <xf numFmtId="171" fontId="34" fillId="0" borderId="39" xfId="0" applyNumberFormat="1" applyFont="1" applyBorder="1" applyAlignment="1"/>
    <xf numFmtId="0" fontId="52" fillId="0" borderId="0" xfId="0" applyFont="1" applyAlignment="1">
      <alignment horizontal="right"/>
    </xf>
    <xf numFmtId="172" fontId="34" fillId="0" borderId="39" xfId="0" applyNumberFormat="1" applyFont="1" applyBorder="1"/>
    <xf numFmtId="3" fontId="41" fillId="0" borderId="0" xfId="0" applyNumberFormat="1" applyFont="1" applyAlignment="1"/>
    <xf numFmtId="4" fontId="41" fillId="0" borderId="0" xfId="0" applyNumberFormat="1" applyFont="1" applyAlignment="1"/>
    <xf numFmtId="9" fontId="41" fillId="0" borderId="0" xfId="0" applyNumberFormat="1" applyFont="1" applyAlignment="1"/>
    <xf numFmtId="37" fontId="0" fillId="0" borderId="37" xfId="0" applyNumberFormat="1" applyFont="1" applyBorder="1" applyAlignment="1"/>
    <xf numFmtId="41" fontId="0" fillId="0" borderId="0" xfId="0" applyNumberFormat="1" applyFont="1" applyAlignment="1">
      <alignment horizontal="right"/>
    </xf>
    <xf numFmtId="0" fontId="34" fillId="0" borderId="1" xfId="0" applyFont="1" applyBorder="1"/>
    <xf numFmtId="14" fontId="53" fillId="0" borderId="39" xfId="0" applyNumberFormat="1" applyFont="1" applyBorder="1" applyAlignment="1">
      <alignment horizontal="left"/>
    </xf>
    <xf numFmtId="164" fontId="0" fillId="0" borderId="39" xfId="0" applyNumberFormat="1" applyFont="1" applyBorder="1" applyAlignment="1"/>
    <xf numFmtId="164" fontId="40" fillId="0" borderId="39" xfId="0" applyNumberFormat="1" applyFont="1" applyBorder="1" applyAlignment="1"/>
    <xf numFmtId="0" fontId="34" fillId="0" borderId="39" xfId="0" applyFont="1" applyBorder="1"/>
    <xf numFmtId="171" fontId="34" fillId="0" borderId="1" xfId="0" applyNumberFormat="1" applyFont="1" applyBorder="1" applyAlignment="1"/>
    <xf numFmtId="0" fontId="54" fillId="0" borderId="0" xfId="0" applyFont="1" applyAlignment="1">
      <alignment horizontal="left"/>
    </xf>
    <xf numFmtId="37" fontId="41" fillId="0" borderId="39" xfId="0" applyNumberFormat="1" applyFont="1" applyBorder="1" applyAlignment="1"/>
    <xf numFmtId="3" fontId="40" fillId="0" borderId="0" xfId="0" applyNumberFormat="1" applyFont="1" applyAlignment="1"/>
    <xf numFmtId="3" fontId="40" fillId="0" borderId="38" xfId="0" applyNumberFormat="1" applyFont="1" applyBorder="1" applyAlignment="1"/>
    <xf numFmtId="0" fontId="40" fillId="0" borderId="38" xfId="0" applyFont="1" applyBorder="1" applyAlignment="1"/>
    <xf numFmtId="3" fontId="41" fillId="0" borderId="38" xfId="0" applyNumberFormat="1" applyFont="1" applyBorder="1" applyAlignment="1"/>
    <xf numFmtId="3" fontId="29" fillId="0" borderId="38" xfId="0" applyNumberFormat="1" applyFont="1" applyBorder="1" applyAlignment="1"/>
    <xf numFmtId="37" fontId="41" fillId="0" borderId="37" xfId="0" applyNumberFormat="1" applyFont="1" applyBorder="1" applyAlignment="1"/>
    <xf numFmtId="41" fontId="0" fillId="0" borderId="37" xfId="0" applyNumberFormat="1" applyFont="1" applyBorder="1" applyAlignment="1"/>
    <xf numFmtId="174" fontId="41" fillId="0" borderId="1" xfId="0" applyNumberFormat="1" applyFont="1" applyFill="1" applyBorder="1" applyAlignment="1"/>
    <xf numFmtId="9" fontId="0" fillId="0" borderId="0" xfId="2" applyFont="1" applyAlignment="1"/>
    <xf numFmtId="0" fontId="33" fillId="0" borderId="1" xfId="0" applyFont="1" applyBorder="1" applyAlignment="1">
      <alignment horizontal="right"/>
    </xf>
    <xf numFmtId="169" fontId="36" fillId="0" borderId="1" xfId="0" applyNumberFormat="1" applyFont="1" applyBorder="1"/>
    <xf numFmtId="9" fontId="40" fillId="0" borderId="0" xfId="2" applyFont="1" applyAlignment="1"/>
    <xf numFmtId="9" fontId="41" fillId="0" borderId="0" xfId="2" applyFont="1" applyAlignment="1"/>
    <xf numFmtId="179" fontId="0" fillId="0" borderId="0" xfId="0" applyNumberFormat="1" applyFont="1" applyAlignment="1"/>
    <xf numFmtId="179" fontId="33" fillId="0" borderId="0" xfId="0" applyNumberFormat="1" applyFont="1" applyAlignment="1"/>
    <xf numFmtId="43" fontId="34" fillId="0" borderId="0" xfId="0" applyNumberFormat="1" applyFont="1" applyAlignment="1"/>
    <xf numFmtId="4" fontId="34" fillId="0" borderId="0" xfId="0" applyNumberFormat="1" applyFont="1" applyAlignment="1"/>
    <xf numFmtId="164" fontId="0" fillId="0" borderId="0" xfId="2" applyNumberFormat="1" applyFont="1" applyAlignment="1"/>
    <xf numFmtId="37" fontId="34" fillId="0" borderId="16" xfId="0" applyNumberFormat="1" applyFont="1" applyBorder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left" indent="1"/>
    </xf>
    <xf numFmtId="0" fontId="33" fillId="0" borderId="47" xfId="0" applyFont="1" applyBorder="1" applyAlignment="1">
      <alignment horizontal="left" indent="1"/>
    </xf>
    <xf numFmtId="0" fontId="34" fillId="0" borderId="1" xfId="0" applyFont="1" applyBorder="1" applyAlignment="1">
      <alignment horizontal="left" indent="1"/>
    </xf>
    <xf numFmtId="0" fontId="50" fillId="0" borderId="1" xfId="0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6" fillId="0" borderId="38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37" fontId="34" fillId="0" borderId="39" xfId="0" applyNumberFormat="1" applyFont="1" applyBorder="1"/>
    <xf numFmtId="14" fontId="33" fillId="0" borderId="39" xfId="0" applyNumberFormat="1" applyFont="1" applyBorder="1"/>
    <xf numFmtId="41" fontId="54" fillId="0" borderId="0" xfId="0" applyNumberFormat="1" applyFont="1" applyAlignment="1">
      <alignment horizontal="right"/>
    </xf>
    <xf numFmtId="0" fontId="34" fillId="0" borderId="39" xfId="0" applyFont="1" applyBorder="1" applyAlignment="1"/>
    <xf numFmtId="184" fontId="0" fillId="0" borderId="0" xfId="0" applyNumberFormat="1" applyFont="1" applyAlignment="1"/>
    <xf numFmtId="184" fontId="40" fillId="0" borderId="0" xfId="0" applyNumberFormat="1" applyFont="1" applyAlignment="1"/>
    <xf numFmtId="14" fontId="9" fillId="0" borderId="0" xfId="0" applyNumberFormat="1" applyFont="1" applyAlignment="1"/>
    <xf numFmtId="170" fontId="48" fillId="0" borderId="1" xfId="0" applyNumberFormat="1" applyFont="1" applyBorder="1" applyAlignment="1">
      <alignment horizontal="center"/>
    </xf>
    <xf numFmtId="168" fontId="52" fillId="6" borderId="36" xfId="0" applyNumberFormat="1" applyFont="1" applyFill="1" applyBorder="1" applyAlignment="1">
      <alignment horizontal="center"/>
    </xf>
  </cellXfs>
  <cellStyles count="3">
    <cellStyle name="Normal" xfId="0" builtinId="0"/>
    <cellStyle name="Normal_OXY MS model" xfId="1" xr:uid="{A62AF775-D4CB-BE49-B0B0-BDBA3A606E1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ris Luyckx" id="{C8E651E8-B4D7-1F4B-8792-60BD8C4F5C16}" userId="S::cluyckx.mifft2022@london.edu::8b26b3bf-4726-4d0d-bd4b-b1dbe767c5a9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8" dT="2022-03-03T12:46:40.30" personId="{C8E651E8-B4D7-1F4B-8792-60BD8C4F5C16}" id="{1747ADDE-89F6-2848-8403-B0896FC1B8A9}">
    <text>Asset sold in Dec 2018</text>
  </threadedComment>
  <threadedComment ref="B30" dT="2022-03-03T12:46:40.30" personId="{C8E651E8-B4D7-1F4B-8792-60BD8C4F5C16}" id="{628F84AF-1829-CE48-96F7-E9DAD2472A4E}">
    <text>Asset sold in Dec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X38" dT="2022-03-02T12:50:27.03" personId="{C8E651E8-B4D7-1F4B-8792-60BD8C4F5C16}" id="{19A338BD-9AA0-2145-9C20-9558CBDDB5E7}">
    <text>Maintenance CAPEX guide for FY21 $19.5m</text>
  </threadedComment>
  <threadedComment ref="X39" dT="2022-03-02T12:50:27.03" personId="{C8E651E8-B4D7-1F4B-8792-60BD8C4F5C16}" id="{4FC991C5-53B0-AB40-9897-99580171A409}">
    <text>Expansion CAPEX guide for FY21 $22m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Y38" dT="2022-03-02T12:50:27.03" personId="{C8E651E8-B4D7-1F4B-8792-60BD8C4F5C16}" id="{A4F55196-7360-DC4C-A318-5FC175649986}">
    <text>Maintenance CAPEX guide for FY21 $27m, but Q3 earnings stated it will be well short</text>
  </threadedComment>
  <threadedComment ref="Y39" dT="2022-03-02T12:50:27.03" personId="{C8E651E8-B4D7-1F4B-8792-60BD8C4F5C16}" id="{F6724DA4-6EB6-0545-9438-B2D7FBDFE6EE}">
    <text>Expansion CAPEX guide for FY21 $62.5m, but Q3 earning stated will be slightly higher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D38" dT="2022-03-02T12:50:27.03" personId="{C8E651E8-B4D7-1F4B-8792-60BD8C4F5C16}" id="{CBCC12E9-2AF1-714D-8FC9-93AB4AF16EF3}">
    <text>Maintenance CAPEX guide for FY21 $28m</text>
  </threadedComment>
  <threadedComment ref="AD39" dT="2022-03-02T12:50:27.03" personId="{C8E651E8-B4D7-1F4B-8792-60BD8C4F5C16}" id="{4F71561C-0CB0-154B-9FC0-C78CDDBAC68C}">
    <text>Expansion CAPEX guide for FY21 $40m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Y38" dT="2022-03-02T12:50:27.03" personId="{C8E651E8-B4D7-1F4B-8792-60BD8C4F5C16}" id="{49FAF4FC-F93E-A443-9EFD-109D52B9FD17}">
    <text xml:space="preserve">Maintenance CAPEX initial guide for FY21 $11m, but Q3 earnings stated will be well short </text>
  </threadedComment>
  <threadedComment ref="Y39" dT="2022-03-02T12:50:27.03" personId="{C8E651E8-B4D7-1F4B-8792-60BD8C4F5C16}" id="{78BBF378-B727-F148-8929-D374E6345E52}">
    <text>Expansion CAPEX guide for FY21 $5m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E38" dT="2022-03-02T12:50:27.03" personId="{C8E651E8-B4D7-1F4B-8792-60BD8C4F5C16}" id="{B28813F0-F09C-0F46-9200-CF8FE702029F}">
    <text>Maintenance CAPEX guide for FY21 $39.5m, Q3 earnings stated that will come in a bit higher</text>
  </threadedComment>
  <threadedComment ref="AE39" dT="2022-03-02T12:50:27.03" personId="{C8E651E8-B4D7-1F4B-8792-60BD8C4F5C16}" id="{E6AFEEA2-B4A2-C04C-904C-ADD7B2D5292A}">
    <text>Expansion CAPEX guide for FY21 $19.5m</text>
  </threadedComment>
</ThreadedComment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zoomScale="150" workbookViewId="0">
      <selection activeCell="D8" sqref="D8"/>
    </sheetView>
  </sheetViews>
  <sheetFormatPr baseColWidth="10" defaultColWidth="12.6640625" defaultRowHeight="15" customHeight="1"/>
  <cols>
    <col min="1" max="1" width="19.6640625" customWidth="1"/>
    <col min="2" max="2" width="9.83203125" bestFit="1" customWidth="1"/>
    <col min="3" max="3" width="6" customWidth="1"/>
    <col min="4" max="4" width="6.33203125" customWidth="1"/>
    <col min="5" max="5" width="6" customWidth="1"/>
    <col min="6" max="6" width="6.1640625" customWidth="1"/>
    <col min="7" max="7" width="1.1640625" customWidth="1"/>
    <col min="8" max="8" width="23.83203125" customWidth="1"/>
    <col min="9" max="9" width="6.83203125" customWidth="1"/>
    <col min="10" max="10" width="7.33203125" customWidth="1"/>
    <col min="11" max="11" width="7.83203125" customWidth="1"/>
    <col min="12" max="12" width="9" customWidth="1"/>
    <col min="13" max="13" width="8.1640625" customWidth="1"/>
    <col min="14" max="24" width="7.6640625" customWidth="1"/>
  </cols>
  <sheetData>
    <row r="1" spans="1:24">
      <c r="A1" s="5" t="s">
        <v>131</v>
      </c>
      <c r="B1" s="1"/>
      <c r="C1" s="6"/>
      <c r="D1" s="1"/>
      <c r="E1" s="1"/>
      <c r="F1" s="1"/>
      <c r="G1" s="1"/>
      <c r="H1" s="6" t="s">
        <v>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">
      <c r="A2" s="2" t="s">
        <v>1</v>
      </c>
      <c r="B2" s="7"/>
      <c r="C2" s="7"/>
      <c r="D2" s="7"/>
      <c r="E2" s="7"/>
      <c r="F2" s="7"/>
      <c r="G2" s="8"/>
      <c r="H2" s="2" t="s">
        <v>2</v>
      </c>
      <c r="I2" s="9">
        <v>2018</v>
      </c>
      <c r="J2" s="9">
        <v>2019</v>
      </c>
      <c r="K2" s="9" t="s">
        <v>3</v>
      </c>
      <c r="L2" s="9" t="s">
        <v>4</v>
      </c>
      <c r="M2" s="10" t="s">
        <v>5</v>
      </c>
      <c r="N2" s="8"/>
      <c r="O2" s="8"/>
    </row>
    <row r="3" spans="1:24" ht="14">
      <c r="A3" s="8" t="s">
        <v>6</v>
      </c>
      <c r="B3" s="8"/>
      <c r="C3" s="8"/>
      <c r="D3" s="8"/>
      <c r="E3" s="8"/>
      <c r="F3" s="8"/>
      <c r="G3" s="8"/>
      <c r="H3" s="11" t="s">
        <v>7</v>
      </c>
      <c r="I3" s="12" t="e">
        <f>'Financials &amp; Valuation'!B9</f>
        <v>#REF!</v>
      </c>
      <c r="J3" s="12" t="e">
        <f>'Financials &amp; Valuation'!C9</f>
        <v>#REF!</v>
      </c>
      <c r="K3" s="12" t="e">
        <f>'Financials &amp; Valuation'!D9</f>
        <v>#REF!</v>
      </c>
      <c r="L3" s="12" t="e">
        <f>'Financials &amp; Valuation'!E9</f>
        <v>#REF!</v>
      </c>
      <c r="M3" s="12" t="e">
        <f>'Financials &amp; Valuation'!F9</f>
        <v>#REF!</v>
      </c>
      <c r="N3" s="8"/>
    </row>
    <row r="4" spans="1:24" ht="14">
      <c r="A4" s="8" t="s">
        <v>8</v>
      </c>
      <c r="B4" s="365">
        <v>4745.3980000000001</v>
      </c>
      <c r="C4" s="8"/>
      <c r="D4" s="8"/>
      <c r="E4" s="8"/>
      <c r="F4" s="8"/>
      <c r="G4" s="8"/>
      <c r="H4" s="13" t="s">
        <v>9</v>
      </c>
      <c r="I4" s="14"/>
      <c r="J4" s="14" t="e">
        <f>J3/I3-1</f>
        <v>#REF!</v>
      </c>
      <c r="K4" s="14" t="e">
        <f>K3/J3-1</f>
        <v>#REF!</v>
      </c>
      <c r="L4" s="14" t="e">
        <f>L3/K3-1</f>
        <v>#REF!</v>
      </c>
      <c r="M4" s="14" t="e">
        <f>M3/L3-1</f>
        <v>#REF!</v>
      </c>
      <c r="N4" s="8"/>
      <c r="O4" s="8"/>
    </row>
    <row r="5" spans="1:24" ht="14">
      <c r="A5" s="8" t="s">
        <v>10</v>
      </c>
      <c r="B5" s="8"/>
      <c r="C5" s="8"/>
      <c r="D5" s="8"/>
      <c r="E5" s="8"/>
      <c r="F5" s="8"/>
      <c r="G5" s="8"/>
      <c r="H5" s="8" t="s">
        <v>11</v>
      </c>
      <c r="I5" s="15" t="e">
        <f>I6-I3</f>
        <v>#REF!</v>
      </c>
      <c r="J5" s="15" t="e">
        <f>J6-J3</f>
        <v>#REF!</v>
      </c>
      <c r="K5" s="15" t="e">
        <f>K6-K3</f>
        <v>#REF!</v>
      </c>
      <c r="L5" s="15" t="e">
        <f>L6-L3</f>
        <v>#REF!</v>
      </c>
      <c r="M5" s="15" t="e">
        <f>M6-M3</f>
        <v>#REF!</v>
      </c>
      <c r="N5" s="8"/>
      <c r="O5" s="8"/>
    </row>
    <row r="6" spans="1:24" ht="14">
      <c r="A6" s="8" t="s">
        <v>12</v>
      </c>
      <c r="B6" s="8"/>
      <c r="C6" s="8"/>
      <c r="D6" s="8"/>
      <c r="E6" s="8"/>
      <c r="F6" s="8"/>
      <c r="G6" s="8"/>
      <c r="H6" s="16" t="s">
        <v>13</v>
      </c>
      <c r="I6" s="12" t="e">
        <f>'Financials &amp; Valuation'!B11</f>
        <v>#REF!</v>
      </c>
      <c r="J6" s="12" t="e">
        <f>'Financials &amp; Valuation'!C11</f>
        <v>#REF!</v>
      </c>
      <c r="K6" s="12" t="e">
        <f>'Financials &amp; Valuation'!D11</f>
        <v>#REF!</v>
      </c>
      <c r="L6" s="12" t="e">
        <f>'Financials &amp; Valuation'!E11</f>
        <v>#REF!</v>
      </c>
      <c r="M6" s="12" t="e">
        <f>'Financials &amp; Valuation'!F11</f>
        <v>#REF!</v>
      </c>
      <c r="N6" s="8"/>
      <c r="O6" s="8"/>
    </row>
    <row r="7" spans="1:24" ht="14">
      <c r="A7" s="34" t="s">
        <v>130</v>
      </c>
      <c r="B7" s="364">
        <v>44196</v>
      </c>
      <c r="G7" s="8"/>
      <c r="H7" s="8" t="s">
        <v>15</v>
      </c>
      <c r="I7" s="15" t="e">
        <f>#REF!</f>
        <v>#REF!</v>
      </c>
      <c r="J7" s="15" t="e">
        <f>#REF!</f>
        <v>#REF!</v>
      </c>
      <c r="K7" s="15" t="e">
        <f>#REF!</f>
        <v>#REF!</v>
      </c>
      <c r="L7" s="15" t="e">
        <f>#REF!</f>
        <v>#REF!</v>
      </c>
      <c r="M7" s="15" t="e">
        <f>#REF!</f>
        <v>#REF!</v>
      </c>
      <c r="N7" s="8"/>
      <c r="O7" s="8"/>
    </row>
    <row r="8" spans="1:24" ht="14">
      <c r="A8" s="34" t="s">
        <v>193</v>
      </c>
      <c r="B8" s="364">
        <v>44469</v>
      </c>
      <c r="G8" s="8"/>
      <c r="H8" s="8" t="s">
        <v>16</v>
      </c>
      <c r="I8" s="15" t="e">
        <f>#REF!</f>
        <v>#REF!</v>
      </c>
      <c r="J8" s="15" t="e">
        <f>#REF!</f>
        <v>#REF!</v>
      </c>
      <c r="K8" s="15" t="e">
        <f>#REF!</f>
        <v>#REF!</v>
      </c>
      <c r="L8" s="15" t="e">
        <f>#REF!</f>
        <v>#REF!</v>
      </c>
      <c r="M8" s="15" t="e">
        <f>#REF!</f>
        <v>#REF!</v>
      </c>
      <c r="N8" s="8"/>
      <c r="O8" s="8"/>
    </row>
    <row r="9" spans="1:24" ht="14">
      <c r="A9" s="34" t="s">
        <v>165</v>
      </c>
      <c r="B9" s="366" t="s">
        <v>166</v>
      </c>
      <c r="G9" s="8"/>
      <c r="H9" s="16" t="s">
        <v>17</v>
      </c>
      <c r="I9" s="12" t="e">
        <f>'Financials &amp; Valuation'!B13</f>
        <v>#REF!</v>
      </c>
      <c r="J9" s="12" t="e">
        <f>'Financials &amp; Valuation'!C13</f>
        <v>#REF!</v>
      </c>
      <c r="K9" s="12" t="e">
        <f>'Financials &amp; Valuation'!D13</f>
        <v>#REF!</v>
      </c>
      <c r="L9" s="12" t="e">
        <f>'Financials &amp; Valuation'!E13</f>
        <v>#REF!</v>
      </c>
      <c r="M9" s="12" t="e">
        <f>'Financials &amp; Valuation'!F13</f>
        <v>#REF!</v>
      </c>
      <c r="N9" s="8"/>
      <c r="O9" s="8"/>
    </row>
    <row r="10" spans="1:24" ht="14">
      <c r="G10" s="8"/>
      <c r="H10" s="13" t="s">
        <v>9</v>
      </c>
      <c r="I10" s="14"/>
      <c r="J10" s="14" t="e">
        <f>J9/I9-1</f>
        <v>#REF!</v>
      </c>
      <c r="K10" s="14" t="e">
        <f>K9/J9-1</f>
        <v>#REF!</v>
      </c>
      <c r="L10" s="14" t="e">
        <f>L9/K9-1</f>
        <v>#REF!</v>
      </c>
      <c r="M10" s="14" t="e">
        <f>M9/L9-1</f>
        <v>#REF!</v>
      </c>
      <c r="N10" s="8"/>
      <c r="O10" s="8"/>
    </row>
    <row r="11" spans="1:24">
      <c r="A11" s="2" t="s">
        <v>14</v>
      </c>
      <c r="B11" s="7">
        <f>I$2</f>
        <v>2018</v>
      </c>
      <c r="C11" s="7">
        <f>J$2</f>
        <v>2019</v>
      </c>
      <c r="D11" s="7" t="str">
        <f>K$2</f>
        <v>2020E</v>
      </c>
      <c r="E11" s="7" t="str">
        <f>L$2</f>
        <v>2021E</v>
      </c>
      <c r="F11" s="7" t="str">
        <f>M$2</f>
        <v>2021e</v>
      </c>
      <c r="G11" s="8"/>
      <c r="H11" s="16" t="s">
        <v>18</v>
      </c>
      <c r="I11" s="18" t="e">
        <f>I9/I$3</f>
        <v>#REF!</v>
      </c>
      <c r="J11" s="18" t="e">
        <f>J9/J$3</f>
        <v>#REF!</v>
      </c>
      <c r="K11" s="18" t="e">
        <f>K9/K$3</f>
        <v>#REF!</v>
      </c>
      <c r="L11" s="18" t="e">
        <f>L9/L$3</f>
        <v>#REF!</v>
      </c>
      <c r="M11" s="18" t="e">
        <f>M9/M$3</f>
        <v>#REF!</v>
      </c>
      <c r="N11" s="8"/>
      <c r="O11" s="8"/>
      <c r="P11" s="1"/>
      <c r="Q11" s="1"/>
      <c r="R11" s="1"/>
      <c r="S11" s="1"/>
      <c r="T11" s="1"/>
      <c r="U11" s="1"/>
      <c r="V11" s="1"/>
      <c r="W11" s="1"/>
      <c r="X11" s="1"/>
    </row>
    <row r="12" spans="1:24" ht="14">
      <c r="A12" s="8"/>
      <c r="B12" s="17"/>
      <c r="C12" s="17"/>
      <c r="D12" s="17"/>
      <c r="E12" s="17"/>
      <c r="F12" s="17"/>
      <c r="G12" s="8"/>
      <c r="H12" s="8" t="s">
        <v>19</v>
      </c>
      <c r="I12" s="15" t="e">
        <f>'Financials &amp; Valuation'!B16</f>
        <v>#REF!</v>
      </c>
      <c r="J12" s="15" t="e">
        <f>'Financials &amp; Valuation'!C16</f>
        <v>#REF!</v>
      </c>
      <c r="K12" s="15" t="e">
        <f>'Financials &amp; Valuation'!D16</f>
        <v>#REF!</v>
      </c>
      <c r="L12" s="15" t="e">
        <f>'Financials &amp; Valuation'!E16</f>
        <v>#REF!</v>
      </c>
      <c r="M12" s="15" t="e">
        <f>'Financials &amp; Valuation'!F16</f>
        <v>#REF!</v>
      </c>
      <c r="N12" s="8"/>
      <c r="O12" s="8"/>
    </row>
    <row r="13" spans="1:24" ht="14">
      <c r="A13" s="13" t="s">
        <v>9</v>
      </c>
      <c r="B13" s="14"/>
      <c r="C13" s="14" t="e">
        <f>C12/B12-1</f>
        <v>#DIV/0!</v>
      </c>
      <c r="D13" s="14" t="e">
        <f>D12/C12-1</f>
        <v>#DIV/0!</v>
      </c>
      <c r="E13" s="14" t="e">
        <f>E12/D12-1</f>
        <v>#DIV/0!</v>
      </c>
      <c r="F13" s="14" t="e">
        <f>F12/E12-1</f>
        <v>#DIV/0!</v>
      </c>
      <c r="G13" s="8"/>
      <c r="H13" s="16" t="s">
        <v>20</v>
      </c>
      <c r="I13" s="12" t="e">
        <f>'Financials &amp; Valuation'!B17</f>
        <v>#REF!</v>
      </c>
      <c r="J13" s="12" t="e">
        <f>'Financials &amp; Valuation'!C17</f>
        <v>#REF!</v>
      </c>
      <c r="K13" s="12" t="e">
        <f>'Financials &amp; Valuation'!D17</f>
        <v>#REF!</v>
      </c>
      <c r="L13" s="12" t="e">
        <f>'Financials &amp; Valuation'!E17</f>
        <v>#REF!</v>
      </c>
      <c r="M13" s="12" t="e">
        <f>'Financials &amp; Valuation'!F17</f>
        <v>#REF!</v>
      </c>
      <c r="N13" s="8"/>
      <c r="O13" s="8"/>
    </row>
    <row r="14" spans="1:24" ht="14">
      <c r="A14" s="8"/>
      <c r="B14" s="15"/>
      <c r="C14" s="15"/>
      <c r="D14" s="15"/>
      <c r="E14" s="15"/>
      <c r="F14" s="15"/>
      <c r="G14" s="8"/>
      <c r="H14" s="8" t="s">
        <v>21</v>
      </c>
      <c r="I14" s="20">
        <f>'Financials &amp; Valuation'!B18</f>
        <v>0</v>
      </c>
      <c r="J14" s="20" t="e">
        <f>'Financials &amp; Valuation'!C18</f>
        <v>#REF!</v>
      </c>
      <c r="K14" s="20" t="e">
        <f>'Financials &amp; Valuation'!D18</f>
        <v>#REF!</v>
      </c>
      <c r="L14" s="20" t="e">
        <f>'Financials &amp; Valuation'!E18</f>
        <v>#REF!</v>
      </c>
      <c r="M14" s="20" t="e">
        <f>'Financials &amp; Valuation'!F18</f>
        <v>#REF!</v>
      </c>
      <c r="N14" s="8"/>
      <c r="O14" s="8"/>
    </row>
    <row r="15" spans="1:24" ht="14">
      <c r="A15" s="8"/>
      <c r="B15" s="15"/>
      <c r="C15" s="15"/>
      <c r="D15" s="15"/>
      <c r="E15" s="15"/>
      <c r="F15" s="15"/>
      <c r="G15" s="17"/>
      <c r="H15" s="8" t="s">
        <v>22</v>
      </c>
      <c r="I15" s="15" t="e">
        <f>'Financials &amp; Valuation'!B20</f>
        <v>#REF!</v>
      </c>
      <c r="J15" s="15" t="e">
        <f>'Financials &amp; Valuation'!C20</f>
        <v>#REF!</v>
      </c>
      <c r="K15" s="15" t="e">
        <f>'Financials &amp; Valuation'!D20</f>
        <v>#REF!</v>
      </c>
      <c r="L15" s="15" t="e">
        <f>'Financials &amp; Valuation'!E20</f>
        <v>#REF!</v>
      </c>
      <c r="M15" s="15" t="e">
        <f>'Financials &amp; Valuation'!F20</f>
        <v>#REF!</v>
      </c>
      <c r="N15" s="8"/>
      <c r="O15" s="17"/>
    </row>
    <row r="16" spans="1:24" ht="14">
      <c r="A16" s="13" t="s">
        <v>9</v>
      </c>
      <c r="B16" s="14"/>
      <c r="C16" s="14" t="e">
        <f>C14/B14-1</f>
        <v>#DIV/0!</v>
      </c>
      <c r="D16" s="14" t="e">
        <f>D14/C14-1</f>
        <v>#DIV/0!</v>
      </c>
      <c r="E16" s="14" t="e">
        <f>E14/D14-1</f>
        <v>#DIV/0!</v>
      </c>
      <c r="F16" s="14" t="e">
        <f>F14/E14-1</f>
        <v>#DIV/0!</v>
      </c>
      <c r="G16" s="17"/>
      <c r="H16" s="8" t="s">
        <v>23</v>
      </c>
      <c r="I16" s="15">
        <f>'Financials &amp; Valuation'!B21</f>
        <v>0</v>
      </c>
      <c r="J16" s="15">
        <f>'Financials &amp; Valuation'!C21</f>
        <v>0</v>
      </c>
      <c r="K16" s="15" t="e">
        <f>'Financials &amp; Valuation'!D21</f>
        <v>#REF!</v>
      </c>
      <c r="L16" s="15" t="e">
        <f>'Financials &amp; Valuation'!E21</f>
        <v>#REF!</v>
      </c>
      <c r="M16" s="15" t="e">
        <f>'Financials &amp; Valuation'!F21</f>
        <v>#REF!</v>
      </c>
      <c r="N16" s="8"/>
      <c r="O16" s="17"/>
    </row>
    <row r="17" spans="1:15" ht="14">
      <c r="A17" s="8"/>
      <c r="B17" s="19"/>
      <c r="C17" s="17"/>
      <c r="D17" s="17"/>
      <c r="E17" s="17"/>
      <c r="F17" s="17"/>
      <c r="G17" s="17"/>
      <c r="H17" s="8" t="s">
        <v>24</v>
      </c>
      <c r="I17" s="15">
        <f>'Financials &amp; Valuation'!B23</f>
        <v>0</v>
      </c>
      <c r="J17" s="15">
        <f>'Financials &amp; Valuation'!C23</f>
        <v>0</v>
      </c>
      <c r="K17" s="15">
        <f>'Financials &amp; Valuation'!D23</f>
        <v>0</v>
      </c>
      <c r="L17" s="15">
        <f>'Financials &amp; Valuation'!E23</f>
        <v>0</v>
      </c>
      <c r="M17" s="15">
        <f>'Financials &amp; Valuation'!F23</f>
        <v>0</v>
      </c>
      <c r="N17" s="8"/>
      <c r="O17" s="17"/>
    </row>
    <row r="18" spans="1:15" ht="14">
      <c r="A18" s="8"/>
      <c r="B18" s="8"/>
      <c r="C18" s="8"/>
      <c r="D18" s="8"/>
      <c r="E18" s="8"/>
      <c r="F18" s="8"/>
      <c r="G18" s="8"/>
      <c r="H18" s="16" t="s">
        <v>25</v>
      </c>
      <c r="I18" s="12" t="e">
        <f>'Financials &amp; Valuation'!B24</f>
        <v>#REF!</v>
      </c>
      <c r="J18" s="12" t="e">
        <f>'Financials &amp; Valuation'!C24</f>
        <v>#REF!</v>
      </c>
      <c r="K18" s="12" t="e">
        <f>'Financials &amp; Valuation'!D24</f>
        <v>#REF!</v>
      </c>
      <c r="L18" s="12" t="e">
        <f>'Financials &amp; Valuation'!E24</f>
        <v>#REF!</v>
      </c>
      <c r="M18" s="12" t="e">
        <f>'Financials &amp; Valuation'!F24</f>
        <v>#REF!</v>
      </c>
      <c r="N18" s="8"/>
      <c r="O18" s="8"/>
    </row>
    <row r="19" spans="1:15" ht="14">
      <c r="G19" s="8"/>
      <c r="H19" s="13" t="s">
        <v>9</v>
      </c>
      <c r="I19" s="14"/>
      <c r="J19" s="14" t="e">
        <f>J18/I18-1</f>
        <v>#REF!</v>
      </c>
      <c r="K19" s="14" t="e">
        <f>K18/J18-1</f>
        <v>#REF!</v>
      </c>
      <c r="L19" s="14" t="e">
        <f>L18/K18-1</f>
        <v>#REF!</v>
      </c>
      <c r="M19" s="14" t="e">
        <f>M18/L18-1</f>
        <v>#REF!</v>
      </c>
      <c r="N19" s="8"/>
      <c r="O19" s="8"/>
    </row>
    <row r="20" spans="1:15" ht="14">
      <c r="G20" s="8"/>
      <c r="H20" s="16" t="s">
        <v>27</v>
      </c>
      <c r="I20" s="18" t="e">
        <f>I18/I$3</f>
        <v>#REF!</v>
      </c>
      <c r="J20" s="18" t="e">
        <f>J18/J$3</f>
        <v>#REF!</v>
      </c>
      <c r="K20" s="18" t="e">
        <f>K18/K$3</f>
        <v>#REF!</v>
      </c>
      <c r="L20" s="18" t="e">
        <f>L18/L$3</f>
        <v>#REF!</v>
      </c>
      <c r="M20" s="18" t="e">
        <f>M18/M$3</f>
        <v>#REF!</v>
      </c>
      <c r="N20" s="8"/>
      <c r="O20" s="8"/>
    </row>
    <row r="21" spans="1:15" ht="15.75" customHeight="1">
      <c r="G21" s="8"/>
      <c r="H21" s="2" t="s">
        <v>28</v>
      </c>
      <c r="I21" s="7">
        <f>I$2</f>
        <v>2018</v>
      </c>
      <c r="J21" s="7">
        <f>J$2</f>
        <v>2019</v>
      </c>
      <c r="K21" s="7" t="str">
        <f>K$2</f>
        <v>2020E</v>
      </c>
      <c r="L21" s="7" t="str">
        <f>L$2</f>
        <v>2021E</v>
      </c>
      <c r="M21" s="7" t="str">
        <f>M$2</f>
        <v>2021e</v>
      </c>
      <c r="N21" s="8"/>
      <c r="O21" s="8"/>
    </row>
    <row r="22" spans="1:15" ht="15.75" customHeight="1">
      <c r="G22" s="8"/>
      <c r="H22" s="8" t="s">
        <v>29</v>
      </c>
      <c r="I22" s="15" t="e">
        <f>#REF!</f>
        <v>#REF!</v>
      </c>
      <c r="J22" s="15" t="e">
        <f>#REF!</f>
        <v>#REF!</v>
      </c>
      <c r="K22" s="15" t="e">
        <f>#REF!</f>
        <v>#REF!</v>
      </c>
      <c r="L22" s="15" t="e">
        <f>#REF!</f>
        <v>#REF!</v>
      </c>
      <c r="M22" s="15" t="e">
        <f>#REF!</f>
        <v>#REF!</v>
      </c>
      <c r="N22" s="24"/>
      <c r="O22" s="24"/>
    </row>
    <row r="23" spans="1:15" ht="15.75" customHeight="1">
      <c r="A23" s="2" t="s">
        <v>26</v>
      </c>
      <c r="B23" s="7">
        <f>I$2</f>
        <v>2018</v>
      </c>
      <c r="C23" s="7">
        <f>J$2</f>
        <v>2019</v>
      </c>
      <c r="D23" s="7" t="str">
        <f>K$2</f>
        <v>2020E</v>
      </c>
      <c r="E23" s="7" t="str">
        <f>L$2</f>
        <v>2021E</v>
      </c>
      <c r="F23" s="7" t="str">
        <f>M$2</f>
        <v>2021e</v>
      </c>
      <c r="G23" s="8"/>
      <c r="H23" s="8" t="s">
        <v>30</v>
      </c>
      <c r="I23" s="15" t="e">
        <f>#REF!</f>
        <v>#REF!</v>
      </c>
      <c r="J23" s="15" t="e">
        <f>#REF!</f>
        <v>#REF!</v>
      </c>
      <c r="K23" s="15" t="e">
        <f>#REF!</f>
        <v>#REF!</v>
      </c>
      <c r="L23" s="15" t="e">
        <f>#REF!</f>
        <v>#REF!</v>
      </c>
      <c r="M23" s="15" t="e">
        <f>#REF!</f>
        <v>#REF!</v>
      </c>
      <c r="N23" s="24"/>
      <c r="O23" s="24"/>
    </row>
    <row r="24" spans="1:15" ht="15.75" customHeight="1">
      <c r="A24" s="8"/>
      <c r="B24" s="17"/>
      <c r="C24" s="17"/>
      <c r="D24" s="17"/>
      <c r="E24" s="17"/>
      <c r="F24" s="17"/>
      <c r="G24" s="8"/>
      <c r="H24" s="8" t="s">
        <v>31</v>
      </c>
      <c r="I24" s="15" t="e">
        <f>#REF!</f>
        <v>#REF!</v>
      </c>
      <c r="J24" s="15" t="e">
        <f>#REF!</f>
        <v>#REF!</v>
      </c>
      <c r="K24" s="15" t="e">
        <f>#REF!</f>
        <v>#REF!</v>
      </c>
      <c r="L24" s="15" t="e">
        <f>#REF!</f>
        <v>#REF!</v>
      </c>
      <c r="M24" s="15" t="e">
        <f>#REF!</f>
        <v>#REF!</v>
      </c>
      <c r="N24" s="8"/>
      <c r="O24" s="8"/>
    </row>
    <row r="25" spans="1:15" ht="15.75" customHeight="1">
      <c r="A25" s="13" t="s">
        <v>9</v>
      </c>
      <c r="B25" s="14"/>
      <c r="C25" s="14" t="e">
        <f>C24/B24-1</f>
        <v>#DIV/0!</v>
      </c>
      <c r="D25" s="14" t="e">
        <f>D24/C24-1</f>
        <v>#DIV/0!</v>
      </c>
      <c r="E25" s="14" t="e">
        <f>E24/D24-1</f>
        <v>#DIV/0!</v>
      </c>
      <c r="F25" s="14" t="e">
        <f>F24/E24-1</f>
        <v>#DIV/0!</v>
      </c>
      <c r="G25" s="8"/>
      <c r="H25" s="26" t="s">
        <v>32</v>
      </c>
      <c r="I25" s="12" t="e">
        <f>#REF!</f>
        <v>#REF!</v>
      </c>
      <c r="J25" s="12" t="e">
        <f>#REF!</f>
        <v>#REF!</v>
      </c>
      <c r="K25" s="12" t="e">
        <f>#REF!</f>
        <v>#REF!</v>
      </c>
      <c r="L25" s="12" t="e">
        <f>#REF!</f>
        <v>#REF!</v>
      </c>
      <c r="M25" s="12" t="e">
        <f>#REF!</f>
        <v>#REF!</v>
      </c>
      <c r="N25" s="8"/>
      <c r="O25" s="8"/>
    </row>
    <row r="26" spans="1:15" ht="15.75" customHeight="1">
      <c r="A26" s="21"/>
      <c r="B26" s="22"/>
      <c r="C26" s="23"/>
      <c r="D26" s="22"/>
      <c r="E26" s="22"/>
      <c r="F26" s="22"/>
      <c r="G26" s="8"/>
      <c r="H26" s="27" t="s">
        <v>34</v>
      </c>
      <c r="I26" s="28" t="e">
        <f>I23+I24-I22</f>
        <v>#REF!</v>
      </c>
      <c r="J26" s="28" t="e">
        <f>J23+J24-J22</f>
        <v>#REF!</v>
      </c>
      <c r="K26" s="28" t="e">
        <f>K23+K24-K22</f>
        <v>#REF!</v>
      </c>
      <c r="L26" s="28" t="e">
        <f>L23+L24-L22</f>
        <v>#REF!</v>
      </c>
      <c r="M26" s="28" t="e">
        <f>M23+M24-M22</f>
        <v>#REF!</v>
      </c>
      <c r="N26" s="8"/>
      <c r="O26" s="8"/>
    </row>
    <row r="27" spans="1:15" ht="15.75" customHeight="1">
      <c r="A27" s="13" t="s">
        <v>9</v>
      </c>
      <c r="B27" s="14"/>
      <c r="C27" s="14" t="e">
        <f>C26/B26-1</f>
        <v>#DIV/0!</v>
      </c>
      <c r="D27" s="14" t="e">
        <f>D26/C26-1</f>
        <v>#DIV/0!</v>
      </c>
      <c r="E27" s="14" t="e">
        <f>E26/D26-1</f>
        <v>#DIV/0!</v>
      </c>
      <c r="F27" s="14" t="e">
        <f>F26/E26-1</f>
        <v>#DIV/0!</v>
      </c>
      <c r="G27" s="8"/>
      <c r="H27" s="8"/>
      <c r="I27" s="30"/>
      <c r="J27" s="30"/>
      <c r="K27" s="30"/>
      <c r="L27" s="30"/>
      <c r="M27" s="30"/>
      <c r="N27" s="8"/>
      <c r="O27" s="8"/>
    </row>
    <row r="28" spans="1:15" ht="15.75" customHeight="1">
      <c r="A28" s="25"/>
      <c r="B28" s="17"/>
      <c r="C28" s="17"/>
      <c r="D28" s="17"/>
      <c r="E28" s="17"/>
      <c r="F28" s="17"/>
      <c r="G28" s="8"/>
      <c r="H28" s="2" t="s">
        <v>37</v>
      </c>
      <c r="I28" s="7">
        <f>I$2</f>
        <v>2018</v>
      </c>
      <c r="J28" s="7">
        <f>J$2</f>
        <v>2019</v>
      </c>
      <c r="K28" s="7" t="str">
        <f>K$2</f>
        <v>2020E</v>
      </c>
      <c r="L28" s="7" t="str">
        <f>L$2</f>
        <v>2021E</v>
      </c>
      <c r="M28" s="7" t="str">
        <f>M$2</f>
        <v>2021e</v>
      </c>
      <c r="N28" s="8"/>
      <c r="O28" s="8"/>
    </row>
    <row r="29" spans="1:15" ht="15.75" customHeight="1">
      <c r="A29" s="25"/>
      <c r="B29" s="17"/>
      <c r="C29" s="17"/>
      <c r="D29" s="17"/>
      <c r="E29" s="17"/>
      <c r="F29" s="17"/>
      <c r="G29" s="8"/>
      <c r="H29" s="8" t="s">
        <v>25</v>
      </c>
      <c r="I29" s="15" t="e">
        <f>'Financials &amp; Valuation'!B24</f>
        <v>#REF!</v>
      </c>
      <c r="J29" s="15" t="e">
        <f>'Financials &amp; Valuation'!C24</f>
        <v>#REF!</v>
      </c>
      <c r="K29" s="15" t="e">
        <f>'Financials &amp; Valuation'!D24</f>
        <v>#REF!</v>
      </c>
      <c r="L29" s="15" t="e">
        <f>'Financials &amp; Valuation'!E24</f>
        <v>#REF!</v>
      </c>
      <c r="M29" s="15" t="e">
        <f>'Financials &amp; Valuation'!F24</f>
        <v>#REF!</v>
      </c>
      <c r="N29" s="8"/>
      <c r="O29" s="8"/>
    </row>
    <row r="30" spans="1:15" ht="15.75" customHeight="1">
      <c r="A30" s="2" t="s">
        <v>33</v>
      </c>
      <c r="B30" s="7">
        <f>I$2</f>
        <v>2018</v>
      </c>
      <c r="C30" s="7">
        <f>J$2</f>
        <v>2019</v>
      </c>
      <c r="D30" s="7" t="str">
        <f>K$2</f>
        <v>2020E</v>
      </c>
      <c r="E30" s="7" t="str">
        <f>L$2</f>
        <v>2021E</v>
      </c>
      <c r="F30" s="7" t="str">
        <f>M$2</f>
        <v>2021e</v>
      </c>
      <c r="G30" s="8"/>
      <c r="H30" s="8" t="s">
        <v>19</v>
      </c>
      <c r="I30" s="15" t="e">
        <f>#REF!</f>
        <v>#REF!</v>
      </c>
      <c r="J30" s="15" t="e">
        <f>#REF!</f>
        <v>#REF!</v>
      </c>
      <c r="K30" s="15" t="e">
        <f>#REF!</f>
        <v>#REF!</v>
      </c>
      <c r="L30" s="15" t="e">
        <f>#REF!</f>
        <v>#REF!</v>
      </c>
      <c r="M30" s="15" t="e">
        <f>#REF!</f>
        <v>#REF!</v>
      </c>
      <c r="N30" s="8"/>
      <c r="O30" s="8"/>
    </row>
    <row r="31" spans="1:15" ht="15.75" customHeight="1">
      <c r="A31" s="8" t="s">
        <v>35</v>
      </c>
      <c r="B31" s="29" t="e">
        <f>$B$5/I18</f>
        <v>#REF!</v>
      </c>
      <c r="C31" s="29" t="e">
        <f>$B$5/J18</f>
        <v>#REF!</v>
      </c>
      <c r="D31" s="29" t="e">
        <f>$B$5/K18</f>
        <v>#REF!</v>
      </c>
      <c r="E31" s="29" t="e">
        <f>$B$5/L18</f>
        <v>#REF!</v>
      </c>
      <c r="F31" s="29" t="e">
        <f>$B$5/M18</f>
        <v>#REF!</v>
      </c>
      <c r="G31" s="8"/>
      <c r="H31" s="8" t="s">
        <v>41</v>
      </c>
      <c r="I31" s="15" t="e">
        <f>#REF!</f>
        <v>#REF!</v>
      </c>
      <c r="J31" s="15" t="e">
        <f>#REF!</f>
        <v>#REF!</v>
      </c>
      <c r="K31" s="15" t="e">
        <f>#REF!</f>
        <v>#REF!</v>
      </c>
      <c r="L31" s="15" t="e">
        <f>#REF!</f>
        <v>#REF!</v>
      </c>
      <c r="M31" s="15" t="e">
        <f>#REF!</f>
        <v>#REF!</v>
      </c>
      <c r="N31" s="8"/>
      <c r="O31" s="8"/>
    </row>
    <row r="32" spans="1:15" ht="15.75" customHeight="1">
      <c r="A32" s="8" t="s">
        <v>36</v>
      </c>
      <c r="B32" s="29" t="e">
        <f>$B$6/I9</f>
        <v>#REF!</v>
      </c>
      <c r="C32" s="29" t="e">
        <f>$B$6/J9</f>
        <v>#REF!</v>
      </c>
      <c r="D32" s="29" t="e">
        <f>$B$6/K9</f>
        <v>#REF!</v>
      </c>
      <c r="E32" s="29" t="e">
        <f>$B$6/L9</f>
        <v>#REF!</v>
      </c>
      <c r="F32" s="29" t="e">
        <f>$B$6/M9</f>
        <v>#REF!</v>
      </c>
      <c r="G32" s="8"/>
      <c r="H32" s="8" t="s">
        <v>43</v>
      </c>
      <c r="I32" s="15" t="e">
        <f>#REF!</f>
        <v>#REF!</v>
      </c>
      <c r="J32" s="15" t="e">
        <f>#REF!</f>
        <v>#REF!</v>
      </c>
      <c r="K32" s="15" t="e">
        <f>#REF!</f>
        <v>#REF!</v>
      </c>
      <c r="L32" s="15" t="e">
        <f>#REF!</f>
        <v>#REF!</v>
      </c>
      <c r="M32" s="15" t="e">
        <f>#REF!</f>
        <v>#REF!</v>
      </c>
      <c r="N32" s="8"/>
      <c r="O32" s="8"/>
    </row>
    <row r="33" spans="1:15" ht="15.75" customHeight="1">
      <c r="A33" s="8" t="s">
        <v>38</v>
      </c>
      <c r="B33" s="31" t="e">
        <f>I9/I$3</f>
        <v>#REF!</v>
      </c>
      <c r="C33" s="31" t="e">
        <f>J9/J$3</f>
        <v>#REF!</v>
      </c>
      <c r="D33" s="31" t="e">
        <f>K9/K$3</f>
        <v>#REF!</v>
      </c>
      <c r="E33" s="31" t="e">
        <f>L9/L$3</f>
        <v>#REF!</v>
      </c>
      <c r="F33" s="31" t="e">
        <f>M9/M$3</f>
        <v>#REF!</v>
      </c>
      <c r="G33" s="8"/>
      <c r="H33" s="21" t="s">
        <v>45</v>
      </c>
      <c r="I33" s="12" t="e">
        <f>#REF!</f>
        <v>#REF!</v>
      </c>
      <c r="J33" s="12" t="e">
        <f>#REF!</f>
        <v>#REF!</v>
      </c>
      <c r="K33" s="12" t="e">
        <f>#REF!</f>
        <v>#REF!</v>
      </c>
      <c r="L33" s="12" t="e">
        <f>#REF!</f>
        <v>#REF!</v>
      </c>
      <c r="M33" s="12" t="e">
        <f>#REF!</f>
        <v>#REF!</v>
      </c>
      <c r="N33" s="8"/>
      <c r="O33" s="8"/>
    </row>
    <row r="34" spans="1:15" ht="15.75" customHeight="1">
      <c r="A34" s="8" t="s">
        <v>39</v>
      </c>
      <c r="B34" s="31" t="e">
        <f>I13/I$3</f>
        <v>#REF!</v>
      </c>
      <c r="C34" s="31" t="e">
        <f>J13/J$3</f>
        <v>#REF!</v>
      </c>
      <c r="D34" s="31" t="e">
        <f>K13/K$3</f>
        <v>#REF!</v>
      </c>
      <c r="E34" s="31" t="e">
        <f>L13/L$3</f>
        <v>#REF!</v>
      </c>
      <c r="F34" s="31" t="e">
        <f>M13/M$3</f>
        <v>#REF!</v>
      </c>
      <c r="G34" s="8"/>
      <c r="H34" s="8" t="s">
        <v>47</v>
      </c>
      <c r="I34" s="15" t="e">
        <f>#REF!</f>
        <v>#REF!</v>
      </c>
      <c r="J34" s="15" t="e">
        <f>#REF!</f>
        <v>#REF!</v>
      </c>
      <c r="K34" s="15" t="e">
        <f>#REF!</f>
        <v>#REF!</v>
      </c>
      <c r="L34" s="15" t="e">
        <f>#REF!</f>
        <v>#REF!</v>
      </c>
      <c r="M34" s="15" t="e">
        <f>#REF!</f>
        <v>#REF!</v>
      </c>
      <c r="N34" s="8"/>
      <c r="O34" s="8"/>
    </row>
    <row r="35" spans="1:15" ht="15.75" customHeight="1">
      <c r="A35" s="8" t="s">
        <v>40</v>
      </c>
      <c r="B35" s="31" t="e">
        <f>I18/I$3</f>
        <v>#REF!</v>
      </c>
      <c r="C35" s="31" t="e">
        <f>J18/J$3</f>
        <v>#REF!</v>
      </c>
      <c r="D35" s="31" t="e">
        <f>K18/K$3</f>
        <v>#REF!</v>
      </c>
      <c r="E35" s="31" t="e">
        <f>L18/L$3</f>
        <v>#REF!</v>
      </c>
      <c r="F35" s="31" t="e">
        <f>M18/M$3</f>
        <v>#REF!</v>
      </c>
      <c r="G35" s="8"/>
      <c r="H35" s="8" t="s">
        <v>49</v>
      </c>
      <c r="I35" s="15" t="e">
        <f>#REF!</f>
        <v>#REF!</v>
      </c>
      <c r="J35" s="15" t="e">
        <f>#REF!</f>
        <v>#REF!</v>
      </c>
      <c r="K35" s="15" t="e">
        <f>#REF!</f>
        <v>#REF!</v>
      </c>
      <c r="L35" s="15" t="e">
        <f>#REF!</f>
        <v>#REF!</v>
      </c>
      <c r="M35" s="15" t="e">
        <f>#REF!</f>
        <v>#REF!</v>
      </c>
      <c r="N35" s="8"/>
      <c r="O35" s="8"/>
    </row>
    <row r="36" spans="1:15" ht="15.75" customHeight="1">
      <c r="A36" s="8" t="s">
        <v>42</v>
      </c>
      <c r="B36" s="31" t="e">
        <f>'Financials &amp; Valuation'!B33</f>
        <v>#REF!</v>
      </c>
      <c r="C36" s="31" t="e">
        <f>'Financials &amp; Valuation'!C33</f>
        <v>#REF!</v>
      </c>
      <c r="D36" s="31" t="e">
        <f>'Financials &amp; Valuation'!D33</f>
        <v>#REF!</v>
      </c>
      <c r="E36" s="31" t="e">
        <f>'Financials &amp; Valuation'!E33</f>
        <v>#REF!</v>
      </c>
      <c r="F36" s="31" t="e">
        <f>'Financials &amp; Valuation'!F33</f>
        <v>#REF!</v>
      </c>
      <c r="G36" s="8"/>
      <c r="H36" s="8" t="s">
        <v>43</v>
      </c>
      <c r="I36" s="15" t="e">
        <f>#REF!</f>
        <v>#REF!</v>
      </c>
      <c r="J36" s="15" t="e">
        <f>#REF!</f>
        <v>#REF!</v>
      </c>
      <c r="K36" s="15" t="e">
        <f>#REF!</f>
        <v>#REF!</v>
      </c>
      <c r="L36" s="15" t="e">
        <f>#REF!</f>
        <v>#REF!</v>
      </c>
      <c r="M36" s="15" t="e">
        <f>#REF!</f>
        <v>#REF!</v>
      </c>
      <c r="N36" s="8"/>
      <c r="O36" s="8"/>
    </row>
    <row r="37" spans="1:15" ht="15.75" customHeight="1">
      <c r="A37" s="8" t="s">
        <v>44</v>
      </c>
      <c r="B37" s="32" t="e">
        <f>IF(I26/(I26+I25)&lt;0,"NM",I26/(I26+I25))</f>
        <v>#REF!</v>
      </c>
      <c r="C37" s="32" t="e">
        <f>IF(J26/(J26+J25)&lt;0,"NM",J26/(J26+J25))</f>
        <v>#REF!</v>
      </c>
      <c r="D37" s="32" t="e">
        <f>IF(K26/(K26+K25)&lt;0,"NM",K26/(K26+K25))</f>
        <v>#REF!</v>
      </c>
      <c r="E37" s="32" t="e">
        <f>IF(L26/(L26+L25)&lt;0,"NM",L26/(L26+L25))</f>
        <v>#REF!</v>
      </c>
      <c r="F37" s="32" t="e">
        <f>IF(M26/(M26+M25)&lt;0,"NM",M26/(M26+M25))</f>
        <v>#REF!</v>
      </c>
      <c r="G37" s="8"/>
      <c r="H37" s="21" t="s">
        <v>52</v>
      </c>
      <c r="I37" s="12" t="e">
        <f>#REF!</f>
        <v>#REF!</v>
      </c>
      <c r="J37" s="12" t="e">
        <f>#REF!</f>
        <v>#REF!</v>
      </c>
      <c r="K37" s="12" t="e">
        <f>#REF!</f>
        <v>#REF!</v>
      </c>
      <c r="L37" s="12" t="e">
        <f>#REF!</f>
        <v>#REF!</v>
      </c>
      <c r="M37" s="12" t="e">
        <f>#REF!</f>
        <v>#REF!</v>
      </c>
      <c r="N37" s="8"/>
      <c r="O37" s="8"/>
    </row>
    <row r="38" spans="1:15" ht="15.75" customHeight="1">
      <c r="A38" s="8" t="s">
        <v>46</v>
      </c>
      <c r="B38" s="33" t="e">
        <f>'Financials &amp; Valuation'!B13/'Financials &amp; Valuation'!B18</f>
        <v>#REF!</v>
      </c>
      <c r="C38" s="33" t="e">
        <f>'Financials &amp; Valuation'!C13/'Financials &amp; Valuation'!C18</f>
        <v>#REF!</v>
      </c>
      <c r="D38" s="33" t="e">
        <f>'Financials &amp; Valuation'!D13/'Financials &amp; Valuation'!D18</f>
        <v>#REF!</v>
      </c>
      <c r="E38" s="33" t="e">
        <f>'Financials &amp; Valuation'!E13/'Financials &amp; Valuation'!E18</f>
        <v>#REF!</v>
      </c>
      <c r="F38" s="33" t="e">
        <f>'Financials &amp; Valuation'!F13/'Financials &amp; Valuation'!F18</f>
        <v>#REF!</v>
      </c>
      <c r="G38" s="8"/>
      <c r="H38" s="8" t="s">
        <v>54</v>
      </c>
      <c r="I38" s="15" t="e">
        <f>#REF!</f>
        <v>#REF!</v>
      </c>
      <c r="J38" s="15" t="e">
        <f>#REF!</f>
        <v>#REF!</v>
      </c>
      <c r="K38" s="15" t="e">
        <f>#REF!</f>
        <v>#REF!</v>
      </c>
      <c r="L38" s="15" t="e">
        <f>#REF!</f>
        <v>#REF!</v>
      </c>
      <c r="M38" s="15" t="e">
        <f>#REF!</f>
        <v>#REF!</v>
      </c>
      <c r="N38" s="8"/>
      <c r="O38" s="8"/>
    </row>
    <row r="39" spans="1:15" ht="15.75" customHeight="1">
      <c r="A39" s="34" t="s">
        <v>48</v>
      </c>
      <c r="B39" s="32"/>
      <c r="C39" s="32"/>
      <c r="D39" s="32"/>
      <c r="E39" s="32"/>
      <c r="F39" s="32"/>
      <c r="G39" s="8"/>
      <c r="H39" s="8" t="s">
        <v>55</v>
      </c>
      <c r="I39" s="15" t="e">
        <f>#REF!</f>
        <v>#REF!</v>
      </c>
      <c r="J39" s="15" t="e">
        <f>#REF!</f>
        <v>#REF!</v>
      </c>
      <c r="K39" s="15" t="e">
        <f>#REF!</f>
        <v>#REF!</v>
      </c>
      <c r="L39" s="15" t="e">
        <f>#REF!</f>
        <v>#REF!</v>
      </c>
      <c r="M39" s="15" t="e">
        <f>#REF!</f>
        <v>#REF!</v>
      </c>
      <c r="N39" s="8"/>
      <c r="O39" s="8"/>
    </row>
    <row r="40" spans="1:15" ht="15.75" customHeight="1">
      <c r="A40" s="8" t="s">
        <v>50</v>
      </c>
      <c r="B40" s="32" t="e">
        <f>IF((I33+I34)/$B$5&lt;0,"NM",(I33+I34)/$B$5)</f>
        <v>#REF!</v>
      </c>
      <c r="C40" s="32" t="e">
        <f>IF((J33+J34)/$B$5&lt;0,"NM",(J33+J34)/$B$5)</f>
        <v>#REF!</v>
      </c>
      <c r="D40" s="32" t="e">
        <f>IF((K33+K34)/$B$5&lt;0,"NM",(K33+K34)/$B$5)</f>
        <v>#REF!</v>
      </c>
      <c r="E40" s="32" t="e">
        <f>IF((L33+L34)/$B$5&lt;0,"NM",(L33+L34)/$B$5)</f>
        <v>#REF!</v>
      </c>
      <c r="F40" s="32" t="e">
        <f>IF((M33+M34)/$B$5&lt;0,"NM",(M33+M34)/$B$5)</f>
        <v>#REF!</v>
      </c>
      <c r="G40" s="8"/>
      <c r="H40" s="8" t="s">
        <v>43</v>
      </c>
      <c r="I40" s="15" t="e">
        <f>I41-SUM(I38:I39)</f>
        <v>#REF!</v>
      </c>
      <c r="J40" s="15" t="e">
        <f>J41-SUM(J38:J39)</f>
        <v>#REF!</v>
      </c>
      <c r="K40" s="15" t="e">
        <f>K41-SUM(K38:K39)</f>
        <v>#REF!</v>
      </c>
      <c r="L40" s="38" t="e">
        <f>L41-SUM(L38:L39)</f>
        <v>#REF!</v>
      </c>
      <c r="M40" s="38" t="e">
        <f>M41-SUM(M38:M39)</f>
        <v>#REF!</v>
      </c>
      <c r="N40" s="8"/>
      <c r="O40" s="8"/>
    </row>
    <row r="41" spans="1:15" ht="15.75" customHeight="1">
      <c r="A41" s="2" t="s">
        <v>51</v>
      </c>
      <c r="B41" s="7">
        <f>I$2</f>
        <v>2018</v>
      </c>
      <c r="C41" s="7">
        <f>J$2</f>
        <v>2019</v>
      </c>
      <c r="D41" s="7" t="str">
        <f>K$2</f>
        <v>2020E</v>
      </c>
      <c r="E41" s="7" t="str">
        <f>L$2</f>
        <v>2021E</v>
      </c>
      <c r="F41" s="7" t="str">
        <f>M$2</f>
        <v>2021e</v>
      </c>
      <c r="G41" s="8"/>
      <c r="H41" s="16" t="s">
        <v>56</v>
      </c>
      <c r="I41" s="12" t="e">
        <f>#REF!</f>
        <v>#REF!</v>
      </c>
      <c r="J41" s="12" t="e">
        <f>#REF!</f>
        <v>#REF!</v>
      </c>
      <c r="K41" s="12" t="e">
        <f>#REF!</f>
        <v>#REF!</v>
      </c>
      <c r="L41" s="12" t="e">
        <f>#REF!</f>
        <v>#REF!</v>
      </c>
      <c r="M41" s="12" t="e">
        <f>#REF!</f>
        <v>#REF!</v>
      </c>
      <c r="N41" s="8"/>
      <c r="O41" s="8"/>
    </row>
    <row r="42" spans="1:15" ht="15.75" customHeight="1">
      <c r="A42" s="35" t="s">
        <v>53</v>
      </c>
      <c r="B42" s="35"/>
      <c r="C42" s="35"/>
      <c r="D42" s="35"/>
      <c r="E42" s="35"/>
      <c r="F42" s="35"/>
      <c r="G42" s="8"/>
      <c r="H42" s="26" t="s">
        <v>57</v>
      </c>
      <c r="I42" s="15"/>
      <c r="J42" s="15"/>
      <c r="K42" s="15"/>
      <c r="L42" s="38"/>
      <c r="M42" s="38"/>
      <c r="N42" s="8"/>
      <c r="O42" s="8"/>
    </row>
    <row r="43" spans="1:15" ht="15.75" customHeight="1">
      <c r="A43" s="36"/>
      <c r="B43" s="37"/>
      <c r="C43" s="37"/>
      <c r="D43" s="37"/>
      <c r="E43" s="37"/>
      <c r="F43" s="37"/>
      <c r="G43" s="8"/>
      <c r="H43" s="27" t="s">
        <v>59</v>
      </c>
      <c r="I43" s="28" t="e">
        <f>#REF!</f>
        <v>#REF!</v>
      </c>
      <c r="J43" s="28" t="e">
        <f>#REF!</f>
        <v>#REF!</v>
      </c>
      <c r="K43" s="28" t="e">
        <f>#REF!</f>
        <v>#REF!</v>
      </c>
      <c r="L43" s="28" t="e">
        <f>#REF!</f>
        <v>#REF!</v>
      </c>
      <c r="M43" s="28" t="e">
        <f>#REF!</f>
        <v>#REF!</v>
      </c>
      <c r="N43" s="8"/>
      <c r="O43" s="8"/>
    </row>
    <row r="44" spans="1:15" ht="15.75" customHeight="1">
      <c r="A44" s="36"/>
      <c r="B44" s="37"/>
      <c r="C44" s="37"/>
      <c r="D44" s="37"/>
      <c r="E44" s="37"/>
      <c r="F44" s="37"/>
      <c r="G44" s="8"/>
      <c r="N44" s="8"/>
      <c r="O44" s="8"/>
    </row>
    <row r="45" spans="1:15" ht="15.75" customHeight="1">
      <c r="A45" s="36"/>
      <c r="B45" s="37"/>
      <c r="C45" s="37"/>
      <c r="D45" s="37"/>
      <c r="E45" s="37"/>
      <c r="F45" s="37"/>
      <c r="G45" s="8"/>
      <c r="N45" s="8"/>
      <c r="O45" s="8"/>
    </row>
    <row r="46" spans="1:15" ht="15.75" customHeight="1">
      <c r="G46" s="8"/>
      <c r="N46" s="8"/>
      <c r="O46" s="8"/>
    </row>
    <row r="47" spans="1:15" ht="15.75" customHeight="1">
      <c r="A47" s="2" t="s">
        <v>58</v>
      </c>
      <c r="B47" s="7"/>
      <c r="C47" s="7"/>
      <c r="D47" s="7"/>
      <c r="E47" s="7"/>
      <c r="F47" s="7"/>
      <c r="G47" s="8"/>
      <c r="N47" s="8"/>
      <c r="O47" s="8"/>
    </row>
    <row r="48" spans="1:15" ht="15.75" customHeight="1">
      <c r="A48" s="8" t="s">
        <v>60</v>
      </c>
      <c r="B48" s="39"/>
      <c r="C48" s="39"/>
      <c r="D48" s="39"/>
      <c r="E48" s="39"/>
      <c r="F48" s="39"/>
      <c r="G48" s="8"/>
      <c r="N48" s="8"/>
      <c r="O48" s="8"/>
    </row>
    <row r="49" spans="1:15" ht="15.75" customHeight="1">
      <c r="A49" s="8" t="s">
        <v>61</v>
      </c>
      <c r="B49" s="36"/>
      <c r="C49" s="36"/>
      <c r="D49" s="36"/>
      <c r="E49" s="36"/>
      <c r="F49" s="36"/>
      <c r="G49" s="8"/>
      <c r="N49" s="8"/>
      <c r="O49" s="8"/>
    </row>
    <row r="50" spans="1:15" ht="15.75" customHeight="1">
      <c r="A50" s="8" t="s">
        <v>62</v>
      </c>
      <c r="B50" s="36"/>
      <c r="C50" s="36"/>
      <c r="D50" s="36"/>
      <c r="E50" s="36"/>
      <c r="F50" s="36"/>
      <c r="G50" s="8"/>
      <c r="N50" s="8"/>
      <c r="O50" s="8"/>
    </row>
    <row r="51" spans="1:15" ht="15.75" customHeight="1">
      <c r="A51" s="41"/>
      <c r="G51" s="8"/>
      <c r="N51" s="8"/>
      <c r="O51" s="8"/>
    </row>
    <row r="52" spans="1:15" ht="15.75" customHeight="1">
      <c r="A52" s="39"/>
      <c r="G52" s="8"/>
      <c r="N52" s="8"/>
      <c r="O52" s="8"/>
    </row>
    <row r="53" spans="1:15" ht="15.75" customHeight="1">
      <c r="A53" s="36"/>
      <c r="G53" s="8"/>
      <c r="N53" s="8"/>
    </row>
    <row r="54" spans="1:15" ht="15.75" customHeight="1">
      <c r="A54" s="40"/>
      <c r="G54" s="8"/>
      <c r="N54" s="8"/>
    </row>
    <row r="55" spans="1:15" ht="15.75" customHeight="1">
      <c r="A55" s="36"/>
      <c r="G55" s="8"/>
      <c r="N55" s="8"/>
    </row>
    <row r="56" spans="1:15" ht="15.75" customHeight="1">
      <c r="A56" s="8"/>
      <c r="B56" s="8"/>
      <c r="C56" s="8"/>
      <c r="D56" s="8"/>
      <c r="E56" s="8"/>
      <c r="F56" s="8"/>
      <c r="G56" s="8"/>
      <c r="N56" s="8"/>
    </row>
    <row r="57" spans="1:15" ht="15.75" customHeight="1">
      <c r="A57" s="8"/>
      <c r="B57" s="8"/>
      <c r="C57" s="8"/>
      <c r="D57" s="8"/>
      <c r="E57" s="8"/>
      <c r="F57" s="8"/>
      <c r="G57" s="8"/>
      <c r="N57" s="8"/>
    </row>
    <row r="58" spans="1:15" ht="15.75" customHeight="1">
      <c r="A58" s="8"/>
      <c r="B58" s="8"/>
      <c r="C58" s="8"/>
      <c r="D58" s="8"/>
      <c r="E58" s="8"/>
      <c r="F58" s="8"/>
      <c r="G58" s="8"/>
      <c r="N58" s="8"/>
    </row>
    <row r="59" spans="1:15" ht="15.75" customHeight="1">
      <c r="A59" s="8"/>
      <c r="B59" s="8"/>
      <c r="C59" s="8"/>
      <c r="D59" s="8"/>
      <c r="E59" s="8"/>
      <c r="F59" s="8"/>
      <c r="G59" s="8"/>
      <c r="N59" s="8"/>
    </row>
    <row r="60" spans="1:15" ht="15.75" customHeight="1">
      <c r="A60" s="8"/>
      <c r="B60" s="8"/>
      <c r="C60" s="8"/>
      <c r="D60" s="8"/>
      <c r="E60" s="8"/>
      <c r="F60" s="8"/>
      <c r="G60" s="8"/>
      <c r="N60" s="8"/>
    </row>
    <row r="61" spans="1:15" ht="15.75" customHeight="1">
      <c r="A61" s="8"/>
      <c r="B61" s="8"/>
      <c r="C61" s="8"/>
      <c r="D61" s="8"/>
      <c r="E61" s="8"/>
      <c r="F61" s="8"/>
      <c r="G61" s="8"/>
      <c r="N61" s="8"/>
    </row>
    <row r="62" spans="1:15" ht="15.75" customHeight="1">
      <c r="A62" s="8"/>
      <c r="B62" s="8"/>
      <c r="C62" s="8"/>
      <c r="D62" s="8"/>
      <c r="E62" s="8"/>
      <c r="F62" s="8"/>
      <c r="G62" s="8"/>
      <c r="N62" s="8"/>
      <c r="O62" s="8"/>
    </row>
    <row r="63" spans="1:15" ht="15.75" customHeight="1">
      <c r="A63" s="8"/>
      <c r="B63" s="8"/>
      <c r="C63" s="8"/>
      <c r="D63" s="8"/>
      <c r="E63" s="8"/>
      <c r="F63" s="8"/>
    </row>
    <row r="64" spans="1:15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45" right="0.45" top="0.5" bottom="0.5" header="0" footer="0"/>
  <pageSetup scale="7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A42469E-63CA-284E-A344-89368799B36F}">
          <x14:formula1>
            <xm:f>Assumptions!$B$8:$B$10</xm:f>
          </x14:formula1>
          <xm:sqref>B9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4F06-1D3A-1344-AA0E-4AA36D5E4F97}">
  <dimension ref="B2:BM60"/>
  <sheetViews>
    <sheetView zoomScale="120" zoomScaleNormal="120" workbookViewId="0">
      <pane xSplit="3" ySplit="5" topLeftCell="D24" activePane="bottomRight" state="frozen"/>
      <selection pane="topRight" activeCell="D1" sqref="D1"/>
      <selection pane="bottomLeft" activeCell="A6" sqref="A6"/>
      <selection pane="bottomRight" activeCell="H5" sqref="H5"/>
    </sheetView>
  </sheetViews>
  <sheetFormatPr baseColWidth="10" defaultRowHeight="14" outlineLevelCol="1"/>
  <cols>
    <col min="1" max="1" width="2.6640625" customWidth="1"/>
    <col min="2" max="2" width="34.33203125" bestFit="1" customWidth="1"/>
    <col min="3" max="3" width="8" customWidth="1"/>
    <col min="4" max="4" width="18.83203125" bestFit="1" customWidth="1"/>
    <col min="5" max="5" width="11" customWidth="1"/>
    <col min="7" max="7" width="12" bestFit="1" customWidth="1"/>
    <col min="18" max="18" width="2.33203125" customWidth="1"/>
    <col min="19" max="19" width="13.5" bestFit="1" customWidth="1"/>
    <col min="20" max="63" width="10.83203125" customWidth="1" outlineLevel="1"/>
    <col min="64" max="64" width="2" customWidth="1"/>
  </cols>
  <sheetData>
    <row r="2" spans="2:65" ht="18">
      <c r="B2" s="158" t="s">
        <v>189</v>
      </c>
    </row>
    <row r="3" spans="2:65" ht="18">
      <c r="B3" s="158" t="s">
        <v>247</v>
      </c>
    </row>
    <row r="4" spans="2:65">
      <c r="B4" s="160"/>
      <c r="C4" s="183" t="s">
        <v>128</v>
      </c>
      <c r="D4" s="161" t="s">
        <v>129</v>
      </c>
      <c r="E4" s="162">
        <f>F4-1</f>
        <v>2017</v>
      </c>
      <c r="F4" s="162">
        <f>G4-1</f>
        <v>2018</v>
      </c>
      <c r="G4" s="162">
        <f>H4-1</f>
        <v>2019</v>
      </c>
      <c r="H4" s="162">
        <f>YEAR(SUMMARY!B7)</f>
        <v>2020</v>
      </c>
      <c r="I4" s="163">
        <f t="shared" ref="I4:Q4" si="0">H4+1</f>
        <v>2021</v>
      </c>
      <c r="J4" s="163">
        <f t="shared" si="0"/>
        <v>2022</v>
      </c>
      <c r="K4" s="163">
        <f t="shared" si="0"/>
        <v>2023</v>
      </c>
      <c r="L4" s="163">
        <f t="shared" si="0"/>
        <v>2024</v>
      </c>
      <c r="M4" s="163">
        <f t="shared" si="0"/>
        <v>2025</v>
      </c>
      <c r="N4" s="163">
        <f t="shared" si="0"/>
        <v>2026</v>
      </c>
      <c r="O4" s="163">
        <f t="shared" si="0"/>
        <v>2027</v>
      </c>
      <c r="P4" s="163">
        <f t="shared" si="0"/>
        <v>2028</v>
      </c>
      <c r="Q4" s="163">
        <f t="shared" si="0"/>
        <v>2029</v>
      </c>
      <c r="S4" s="161" t="s">
        <v>222</v>
      </c>
      <c r="T4" s="160" t="s">
        <v>224</v>
      </c>
      <c r="U4" s="160" t="s">
        <v>225</v>
      </c>
      <c r="V4" s="160" t="s">
        <v>226</v>
      </c>
      <c r="W4" s="160" t="s">
        <v>227</v>
      </c>
      <c r="X4" s="160" t="s">
        <v>194</v>
      </c>
      <c r="Y4" s="160" t="s">
        <v>195</v>
      </c>
      <c r="Z4" s="160" t="s">
        <v>196</v>
      </c>
      <c r="AA4" s="160" t="s">
        <v>197</v>
      </c>
      <c r="AB4" s="160" t="s">
        <v>198</v>
      </c>
      <c r="AC4" s="160" t="s">
        <v>199</v>
      </c>
      <c r="AD4" s="160" t="s">
        <v>200</v>
      </c>
      <c r="AE4" s="160" t="s">
        <v>201</v>
      </c>
      <c r="AF4" s="160" t="s">
        <v>202</v>
      </c>
      <c r="AG4" s="160" t="s">
        <v>203</v>
      </c>
      <c r="AH4" s="160" t="s">
        <v>204</v>
      </c>
      <c r="AI4" s="160" t="s">
        <v>205</v>
      </c>
      <c r="AJ4" s="160" t="s">
        <v>206</v>
      </c>
      <c r="AK4" s="160" t="s">
        <v>207</v>
      </c>
      <c r="AL4" s="160" t="s">
        <v>208</v>
      </c>
      <c r="AM4" s="160" t="s">
        <v>209</v>
      </c>
      <c r="AN4" s="160" t="s">
        <v>210</v>
      </c>
      <c r="AO4" s="160" t="s">
        <v>211</v>
      </c>
      <c r="AP4" s="160" t="s">
        <v>212</v>
      </c>
      <c r="AQ4" s="160" t="s">
        <v>213</v>
      </c>
      <c r="AR4" s="160" t="s">
        <v>214</v>
      </c>
      <c r="AS4" s="160" t="s">
        <v>215</v>
      </c>
      <c r="AT4" s="160" t="s">
        <v>216</v>
      </c>
      <c r="AU4" s="160" t="s">
        <v>217</v>
      </c>
      <c r="AV4" s="160" t="s">
        <v>218</v>
      </c>
      <c r="AW4" s="160" t="s">
        <v>219</v>
      </c>
      <c r="AX4" s="160" t="s">
        <v>220</v>
      </c>
      <c r="AY4" s="160" t="s">
        <v>221</v>
      </c>
      <c r="AZ4" s="160" t="s">
        <v>228</v>
      </c>
      <c r="BA4" s="160" t="s">
        <v>229</v>
      </c>
      <c r="BB4" s="160" t="s">
        <v>230</v>
      </c>
      <c r="BC4" s="160" t="s">
        <v>231</v>
      </c>
      <c r="BD4" s="160" t="s">
        <v>232</v>
      </c>
      <c r="BE4" s="160" t="s">
        <v>233</v>
      </c>
      <c r="BF4" s="160" t="s">
        <v>234</v>
      </c>
      <c r="BG4" s="160" t="s">
        <v>235</v>
      </c>
      <c r="BH4" s="160" t="s">
        <v>236</v>
      </c>
      <c r="BI4" s="160" t="s">
        <v>237</v>
      </c>
      <c r="BJ4" s="160" t="s">
        <v>238</v>
      </c>
      <c r="BK4" s="160" t="s">
        <v>239</v>
      </c>
      <c r="BM4" s="356" t="s">
        <v>154</v>
      </c>
    </row>
    <row r="5" spans="2:65">
      <c r="B5" s="164"/>
      <c r="C5" s="184"/>
      <c r="D5" s="165" t="s">
        <v>158</v>
      </c>
      <c r="E5" s="194">
        <v>12</v>
      </c>
      <c r="F5" s="194">
        <v>11</v>
      </c>
      <c r="G5" s="194">
        <v>10</v>
      </c>
      <c r="H5" s="194">
        <v>9</v>
      </c>
      <c r="I5" s="194">
        <v>8</v>
      </c>
      <c r="J5" s="194">
        <v>7</v>
      </c>
      <c r="K5" s="194">
        <v>6</v>
      </c>
      <c r="L5" s="194">
        <v>5</v>
      </c>
      <c r="M5" s="194">
        <v>4</v>
      </c>
      <c r="N5" s="194">
        <v>3</v>
      </c>
      <c r="O5" s="194">
        <v>2</v>
      </c>
      <c r="P5" s="194">
        <v>1</v>
      </c>
      <c r="Q5" s="337">
        <v>0</v>
      </c>
      <c r="S5" s="164" t="s">
        <v>158</v>
      </c>
      <c r="T5" s="164">
        <v>11</v>
      </c>
      <c r="U5" s="164">
        <v>10.75</v>
      </c>
      <c r="V5" s="164">
        <v>10.5</v>
      </c>
      <c r="W5" s="188">
        <v>10.25</v>
      </c>
      <c r="X5" s="164">
        <v>10</v>
      </c>
      <c r="Y5" s="164">
        <v>9.75</v>
      </c>
      <c r="Z5" s="164">
        <v>9.5</v>
      </c>
      <c r="AA5" s="188">
        <v>9.25</v>
      </c>
      <c r="AB5" s="164">
        <v>9</v>
      </c>
      <c r="AC5" s="164">
        <v>8.75</v>
      </c>
      <c r="AD5" s="164">
        <v>8.5</v>
      </c>
      <c r="AE5" s="188">
        <v>8.25</v>
      </c>
      <c r="AF5" s="164">
        <v>8</v>
      </c>
      <c r="AG5" s="164">
        <v>7.75</v>
      </c>
      <c r="AH5" s="164">
        <v>7.5</v>
      </c>
      <c r="AI5" s="188">
        <v>7.25</v>
      </c>
      <c r="AJ5" s="164">
        <v>7</v>
      </c>
      <c r="AK5" s="164">
        <v>6.75</v>
      </c>
      <c r="AL5" s="164">
        <v>6.5</v>
      </c>
      <c r="AM5" s="188">
        <v>6.25</v>
      </c>
      <c r="AN5" s="164">
        <v>6</v>
      </c>
      <c r="AO5" s="164">
        <v>5.75</v>
      </c>
      <c r="AP5" s="164">
        <v>5.5</v>
      </c>
      <c r="AQ5" s="188">
        <v>5.25</v>
      </c>
      <c r="AR5" s="164">
        <v>5</v>
      </c>
      <c r="AS5" s="164">
        <v>4.75</v>
      </c>
      <c r="AT5" s="164">
        <v>4.5</v>
      </c>
      <c r="AU5" s="188">
        <v>4.25</v>
      </c>
      <c r="AV5" s="164">
        <v>4</v>
      </c>
      <c r="AW5" s="164">
        <v>3.75</v>
      </c>
      <c r="AX5" s="164">
        <v>3.5</v>
      </c>
      <c r="AY5" s="188">
        <v>3.25</v>
      </c>
      <c r="AZ5" s="164">
        <v>3</v>
      </c>
      <c r="BA5" s="164">
        <v>2.75</v>
      </c>
      <c r="BB5" s="164">
        <v>2.5</v>
      </c>
      <c r="BC5" s="188">
        <v>2.25</v>
      </c>
      <c r="BD5" s="164">
        <v>2</v>
      </c>
      <c r="BE5" s="164">
        <v>1.75</v>
      </c>
      <c r="BF5" s="164">
        <v>1.5</v>
      </c>
      <c r="BG5" s="188">
        <v>1.25</v>
      </c>
      <c r="BH5" s="164">
        <v>1</v>
      </c>
      <c r="BI5" s="164">
        <v>0.75</v>
      </c>
      <c r="BJ5" s="164">
        <v>0.5</v>
      </c>
      <c r="BK5" s="188">
        <v>0.25</v>
      </c>
      <c r="BM5" s="357"/>
    </row>
    <row r="6" spans="2:65" ht="18">
      <c r="B6" s="158" t="s">
        <v>127</v>
      </c>
      <c r="C6" s="178"/>
    </row>
    <row r="7" spans="2:65">
      <c r="C7" s="178"/>
    </row>
    <row r="8" spans="2:65">
      <c r="B8" s="197" t="s">
        <v>132</v>
      </c>
      <c r="C8" s="174" t="s">
        <v>153</v>
      </c>
      <c r="E8">
        <v>813</v>
      </c>
      <c r="F8" s="168">
        <v>3948</v>
      </c>
      <c r="G8" s="186">
        <f ca="1">SUM(OFFSET($T$8,,(COLUMNS($G$8:G8)-1)*4,,4))</f>
        <v>4144</v>
      </c>
      <c r="H8" s="186">
        <f ca="1">SUM(OFFSET($T$8,,(COLUMNS($G$8:H8)-1)*4,,4))</f>
        <v>4228</v>
      </c>
      <c r="I8" s="186">
        <f ca="1">SUM(OFFSET($T$8,,(COLUMNS($G$8:I8)-1)*4,,4))</f>
        <v>4553.363636363636</v>
      </c>
      <c r="J8" s="186">
        <f ca="1">SUM(OFFSET($T$8,,(COLUMNS($G$8:J8)-1)*4,,4))</f>
        <v>4625.454545454546</v>
      </c>
      <c r="K8" s="186">
        <f ca="1">SUM(OFFSET($T$8,,(COLUMNS($G$8:K8)-1)*4,,4))</f>
        <v>4625.454545454546</v>
      </c>
      <c r="L8" s="186">
        <f ca="1">SUM(OFFSET($T$8,,(COLUMNS($G$8:L8)-1)*4,,4))</f>
        <v>4625.454545454546</v>
      </c>
      <c r="M8" s="186">
        <f ca="1">SUM(OFFSET($T$8,,(COLUMNS($G$8:M8)-1)*4,,4))</f>
        <v>4625.454545454546</v>
      </c>
      <c r="N8" s="186">
        <f ca="1">SUM(OFFSET($T$8,,(COLUMNS($G$8:N8)-1)*4,,4))</f>
        <v>4625.4545454545441</v>
      </c>
      <c r="O8" s="186">
        <f ca="1">SUM(OFFSET($T$8,,(COLUMNS($G$8:O8)-1)*4,,4))</f>
        <v>4625.4545454545441</v>
      </c>
      <c r="P8" s="186">
        <f ca="1">SUM(OFFSET($T$8,,(COLUMNS($G$8:P8)-1)*4,,4))</f>
        <v>4625.4545454545441</v>
      </c>
      <c r="Q8" s="186">
        <f ca="1">SUM(OFFSET($T$8,,(COLUMNS($G$8:Q8)-1)*4,,4))</f>
        <v>4625.4545454545414</v>
      </c>
      <c r="T8" s="168">
        <v>1034</v>
      </c>
      <c r="U8" s="168">
        <v>1043</v>
      </c>
      <c r="V8" s="168">
        <v>1015</v>
      </c>
      <c r="W8" s="168">
        <v>1052</v>
      </c>
      <c r="X8" s="168">
        <v>1066</v>
      </c>
      <c r="Y8" s="168">
        <v>1035</v>
      </c>
      <c r="Z8" s="168">
        <v>1010</v>
      </c>
      <c r="AA8" s="168">
        <v>1117</v>
      </c>
      <c r="AB8" s="168">
        <v>1147</v>
      </c>
      <c r="AC8" s="168">
        <v>1108</v>
      </c>
      <c r="AD8" s="168">
        <v>1142</v>
      </c>
      <c r="AE8" s="186">
        <f>IF(AE9=0,((('Reserves and Resources'!$F$23*1000)-AD10)/AE5)/4,AE9)</f>
        <v>1156.3636363636363</v>
      </c>
      <c r="AF8" s="186">
        <f>IF(AF9=0,((('Reserves and Resources'!$F$23*1000)-AE10)/AF5)/4,AF9)</f>
        <v>1156.3636363636365</v>
      </c>
      <c r="AG8" s="186">
        <f>IF(AG9=0,((('Reserves and Resources'!$F$23*1000)-AF10)/AG5)/4,AG9)</f>
        <v>1156.3636363636365</v>
      </c>
      <c r="AH8" s="186">
        <f>IF(AH9=0,((('Reserves and Resources'!$F$23*1000)-AG10)/AH5)/4,AH9)</f>
        <v>1156.3636363636363</v>
      </c>
      <c r="AI8" s="186">
        <f>IF(AI9=0,((('Reserves and Resources'!$F$23*1000)-AH10)/AI5)/4,AI9)</f>
        <v>1156.3636363636365</v>
      </c>
      <c r="AJ8" s="186">
        <f>IF(AJ9=0,((('Reserves and Resources'!$F$23*1000)-AI10)/AJ5)/4,AJ9)</f>
        <v>1156.3636363636365</v>
      </c>
      <c r="AK8" s="186">
        <f>IF(AK9=0,((('Reserves and Resources'!$F$23*1000)-AJ10)/AK5)/4,AK9)</f>
        <v>1156.3636363636365</v>
      </c>
      <c r="AL8" s="186">
        <f>IF(AL9=0,((('Reserves and Resources'!$F$23*1000)-AK10)/AL5)/4,AL9)</f>
        <v>1156.3636363636365</v>
      </c>
      <c r="AM8" s="186">
        <f>IF(AM9=0,((('Reserves and Resources'!$F$23*1000)-AL10)/AM5)/4,AM9)</f>
        <v>1156.3636363636365</v>
      </c>
      <c r="AN8" s="186">
        <f>IF(AN9=0,((('Reserves and Resources'!$F$23*1000)-AM10)/AN5)/4,AN9)</f>
        <v>1156.3636363636365</v>
      </c>
      <c r="AO8" s="186">
        <f>IF(AO9=0,((('Reserves and Resources'!$F$23*1000)-AN10)/AO5)/4,AO9)</f>
        <v>1156.3636363636365</v>
      </c>
      <c r="AP8" s="186">
        <f>IF(AP9=0,((('Reserves and Resources'!$F$23*1000)-AO10)/AP5)/4,AP9)</f>
        <v>1156.3636363636365</v>
      </c>
      <c r="AQ8" s="186">
        <f>IF(AQ9=0,((('Reserves and Resources'!$F$23*1000)-AP10)/AQ5)/4,AQ9)</f>
        <v>1156.3636363636365</v>
      </c>
      <c r="AR8" s="186">
        <f>IF(AR9=0,((('Reserves and Resources'!$F$23*1000)-AQ10)/AR5)/4,AR9)</f>
        <v>1156.3636363636365</v>
      </c>
      <c r="AS8" s="186">
        <f>IF(AS9=0,((('Reserves and Resources'!$F$23*1000)-AR10)/AS5)/4,AS9)</f>
        <v>1156.3636363636367</v>
      </c>
      <c r="AT8" s="186">
        <f>IF(AT9=0,((('Reserves and Resources'!$F$23*1000)-AS10)/AT5)/4,AT9)</f>
        <v>1156.3636363636365</v>
      </c>
      <c r="AU8" s="186">
        <f>IF(AU9=0,((('Reserves and Resources'!$F$23*1000)-AT10)/AU5)/4,AU9)</f>
        <v>1156.3636363636363</v>
      </c>
      <c r="AV8" s="186">
        <f>IF(AV9=0,((('Reserves and Resources'!$F$23*1000)-AU10)/AV5)/4,AV9)</f>
        <v>1156.363636363636</v>
      </c>
      <c r="AW8" s="186">
        <f>IF(AW9=0,((('Reserves and Resources'!$F$23*1000)-AV10)/AW5)/4,AW9)</f>
        <v>1156.3636363636363</v>
      </c>
      <c r="AX8" s="186">
        <f>IF(AX9=0,((('Reserves and Resources'!$F$23*1000)-AW10)/AX5)/4,AX9)</f>
        <v>1156.363636363636</v>
      </c>
      <c r="AY8" s="186">
        <f>IF(AY9=0,((('Reserves and Resources'!$F$23*1000)-AX10)/AY5)/4,AY9)</f>
        <v>1156.3636363636358</v>
      </c>
      <c r="AZ8" s="186">
        <f>IF(AZ9=0,((('Reserves and Resources'!$F$23*1000)-AY10)/AZ5)/4,AZ9)</f>
        <v>1156.363636363636</v>
      </c>
      <c r="BA8" s="186">
        <f>IF(BA9=0,((('Reserves and Resources'!$F$23*1000)-AZ10)/BA5)/4,BA9)</f>
        <v>1156.3636363636363</v>
      </c>
      <c r="BB8" s="186">
        <f>IF(BB9=0,((('Reserves and Resources'!$F$23*1000)-BA10)/BB5)/4,BB9)</f>
        <v>1156.363636363636</v>
      </c>
      <c r="BC8" s="186">
        <f>IF(BC9=0,((('Reserves and Resources'!$F$23*1000)-BB10)/BC5)/4,BC9)</f>
        <v>1156.3636363636356</v>
      </c>
      <c r="BD8" s="186">
        <f>IF(BD9=0,((('Reserves and Resources'!$F$23*1000)-BC10)/BD5)/4,BD9)</f>
        <v>1156.363636363636</v>
      </c>
      <c r="BE8" s="186">
        <f>IF(BE9=0,((('Reserves and Resources'!$F$23*1000)-BD10)/BE5)/4,BE9)</f>
        <v>1156.3636363636365</v>
      </c>
      <c r="BF8" s="186">
        <f>IF(BF9=0,((('Reserves and Resources'!$F$23*1000)-BE10)/BF5)/4,BF9)</f>
        <v>1156.363636363636</v>
      </c>
      <c r="BG8" s="186">
        <f>IF(BG9=0,((('Reserves and Resources'!$F$23*1000)-BF10)/BG5)/4,BG9)</f>
        <v>1156.3636363636354</v>
      </c>
      <c r="BH8" s="186">
        <f>IF(BH9=0,((('Reserves and Resources'!$F$23*1000)-BG10)/BH5)/4,BH9)</f>
        <v>1156.363636363636</v>
      </c>
      <c r="BI8" s="186">
        <f>IF(BI9=0,((('Reserves and Resources'!$F$23*1000)-BH10)/BI5)/4,BI9)</f>
        <v>1156.3636363636372</v>
      </c>
      <c r="BJ8" s="186">
        <f>IF(BJ9=0,((('Reserves and Resources'!$F$23*1000)-BI10)/BJ5)/4,BJ9)</f>
        <v>1156.363636363636</v>
      </c>
      <c r="BK8" s="186">
        <f>IF(BK9=0,((('Reserves and Resources'!$F$23*1000)-BJ10)/BK5)/4,BK9)</f>
        <v>1156.3636363636324</v>
      </c>
      <c r="BM8" s="156" t="s">
        <v>160</v>
      </c>
    </row>
    <row r="9" spans="2:65" ht="16">
      <c r="B9" s="166"/>
      <c r="C9" s="174"/>
      <c r="F9" s="168"/>
      <c r="G9" s="168"/>
      <c r="H9" s="168"/>
      <c r="I9" s="253"/>
      <c r="J9" s="253"/>
      <c r="K9" s="253"/>
      <c r="L9" s="253"/>
      <c r="M9" s="253"/>
      <c r="N9" s="253"/>
      <c r="O9" s="253"/>
      <c r="P9" s="253"/>
      <c r="Q9" s="253"/>
      <c r="AE9" s="264"/>
      <c r="AF9" s="270"/>
      <c r="AG9" s="270"/>
      <c r="AH9" s="270"/>
      <c r="AI9" s="270"/>
      <c r="BM9" s="156" t="s">
        <v>159</v>
      </c>
    </row>
    <row r="10" spans="2:65">
      <c r="B10" s="159" t="s">
        <v>133</v>
      </c>
      <c r="C10" s="175" t="s">
        <v>153</v>
      </c>
      <c r="D10" s="159"/>
      <c r="E10" s="182">
        <f t="shared" ref="E10:Q10" si="1">IF(E8=0,0,E8+D10)</f>
        <v>813</v>
      </c>
      <c r="F10" s="182">
        <f t="shared" si="1"/>
        <v>4761</v>
      </c>
      <c r="G10" s="182">
        <f t="shared" ca="1" si="1"/>
        <v>8905</v>
      </c>
      <c r="H10" s="182">
        <f t="shared" ca="1" si="1"/>
        <v>13133</v>
      </c>
      <c r="I10" s="182">
        <f t="shared" ca="1" si="1"/>
        <v>17686.363636363636</v>
      </c>
      <c r="J10" s="182">
        <f t="shared" ca="1" si="1"/>
        <v>22311.818181818184</v>
      </c>
      <c r="K10" s="182">
        <f t="shared" ca="1" si="1"/>
        <v>26937.272727272728</v>
      </c>
      <c r="L10" s="182">
        <f t="shared" ca="1" si="1"/>
        <v>31562.727272727272</v>
      </c>
      <c r="M10" s="182">
        <f t="shared" ca="1" si="1"/>
        <v>36188.181818181816</v>
      </c>
      <c r="N10" s="182">
        <f t="shared" ca="1" si="1"/>
        <v>40813.63636363636</v>
      </c>
      <c r="O10" s="182">
        <f t="shared" ca="1" si="1"/>
        <v>45439.090909090904</v>
      </c>
      <c r="P10" s="182">
        <f t="shared" ca="1" si="1"/>
        <v>50064.545454545449</v>
      </c>
      <c r="Q10" s="182">
        <f t="shared" ca="1" si="1"/>
        <v>54689.999999999993</v>
      </c>
      <c r="T10" s="186">
        <f>IF(T8=0,0,T8+S10)+E8+F8</f>
        <v>5795</v>
      </c>
      <c r="U10" s="186">
        <f>IF(U8=0,0,U8+T10)</f>
        <v>6838</v>
      </c>
      <c r="V10" s="186">
        <f>IF(V8=0,0,V8+U10)</f>
        <v>7853</v>
      </c>
      <c r="W10" s="186">
        <f>IF(W8=0,0,W8+V10)</f>
        <v>8905</v>
      </c>
      <c r="X10" s="186">
        <f>IF(X8=0,0,X8+W10)</f>
        <v>9971</v>
      </c>
      <c r="Y10" s="186">
        <f>IF(Y8=0,0,Y8+X10)</f>
        <v>11006</v>
      </c>
      <c r="Z10" s="186">
        <f t="shared" ref="Z10:BK10" si="2">IF(Z8=0,0,Z8+Y10)</f>
        <v>12016</v>
      </c>
      <c r="AA10" s="186">
        <f t="shared" si="2"/>
        <v>13133</v>
      </c>
      <c r="AB10" s="186">
        <f t="shared" si="2"/>
        <v>14280</v>
      </c>
      <c r="AC10" s="186">
        <f t="shared" si="2"/>
        <v>15388</v>
      </c>
      <c r="AD10" s="186">
        <f t="shared" si="2"/>
        <v>16530</v>
      </c>
      <c r="AE10" s="186">
        <f t="shared" si="2"/>
        <v>17686.363636363636</v>
      </c>
      <c r="AF10" s="186">
        <f t="shared" si="2"/>
        <v>18842.727272727272</v>
      </c>
      <c r="AG10" s="186">
        <f t="shared" si="2"/>
        <v>19999.090909090908</v>
      </c>
      <c r="AH10" s="186">
        <f t="shared" si="2"/>
        <v>21155.454545454544</v>
      </c>
      <c r="AI10" s="186">
        <f t="shared" si="2"/>
        <v>22311.81818181818</v>
      </c>
      <c r="AJ10" s="186">
        <f t="shared" si="2"/>
        <v>23468.181818181816</v>
      </c>
      <c r="AK10" s="186">
        <f t="shared" si="2"/>
        <v>24624.545454545452</v>
      </c>
      <c r="AL10" s="186">
        <f t="shared" si="2"/>
        <v>25780.909090909088</v>
      </c>
      <c r="AM10" s="186">
        <f t="shared" si="2"/>
        <v>26937.272727272724</v>
      </c>
      <c r="AN10" s="186">
        <f t="shared" si="2"/>
        <v>28093.63636363636</v>
      </c>
      <c r="AO10" s="186">
        <f t="shared" si="2"/>
        <v>29249.999999999996</v>
      </c>
      <c r="AP10" s="186">
        <f t="shared" si="2"/>
        <v>30406.363636363632</v>
      </c>
      <c r="AQ10" s="186">
        <f t="shared" si="2"/>
        <v>31562.727272727268</v>
      </c>
      <c r="AR10" s="186">
        <f t="shared" si="2"/>
        <v>32719.090909090904</v>
      </c>
      <c r="AS10" s="186">
        <f t="shared" si="2"/>
        <v>33875.454545454544</v>
      </c>
      <c r="AT10" s="186">
        <f t="shared" si="2"/>
        <v>35031.818181818184</v>
      </c>
      <c r="AU10" s="186">
        <f t="shared" si="2"/>
        <v>36188.181818181823</v>
      </c>
      <c r="AV10" s="186">
        <f t="shared" si="2"/>
        <v>37344.545454545456</v>
      </c>
      <c r="AW10" s="186">
        <f t="shared" si="2"/>
        <v>38500.909090909096</v>
      </c>
      <c r="AX10" s="186">
        <f t="shared" si="2"/>
        <v>39657.272727272735</v>
      </c>
      <c r="AY10" s="186">
        <f t="shared" si="2"/>
        <v>40813.636363636368</v>
      </c>
      <c r="AZ10" s="186">
        <f t="shared" si="2"/>
        <v>41970</v>
      </c>
      <c r="BA10" s="186">
        <f t="shared" si="2"/>
        <v>43126.36363636364</v>
      </c>
      <c r="BB10" s="186">
        <f t="shared" si="2"/>
        <v>44282.727272727279</v>
      </c>
      <c r="BC10" s="186">
        <f t="shared" si="2"/>
        <v>45439.090909090912</v>
      </c>
      <c r="BD10" s="186">
        <f t="shared" si="2"/>
        <v>46595.454545454544</v>
      </c>
      <c r="BE10" s="186">
        <f t="shared" si="2"/>
        <v>47751.818181818184</v>
      </c>
      <c r="BF10" s="186">
        <f t="shared" si="2"/>
        <v>48908.181818181823</v>
      </c>
      <c r="BG10" s="186">
        <f t="shared" si="2"/>
        <v>50064.545454545456</v>
      </c>
      <c r="BH10" s="186">
        <f t="shared" si="2"/>
        <v>51220.909090909088</v>
      </c>
      <c r="BI10" s="186">
        <f t="shared" si="2"/>
        <v>52377.272727272728</v>
      </c>
      <c r="BJ10" s="186">
        <f t="shared" si="2"/>
        <v>53533.636363636368</v>
      </c>
      <c r="BK10" s="186">
        <f t="shared" si="2"/>
        <v>54690</v>
      </c>
    </row>
    <row r="11" spans="2:65">
      <c r="C11" s="178"/>
    </row>
    <row r="12" spans="2:65">
      <c r="B12" t="s">
        <v>134</v>
      </c>
      <c r="C12" s="178" t="s">
        <v>139</v>
      </c>
      <c r="E12" s="181">
        <v>2.75</v>
      </c>
      <c r="F12" s="181">
        <v>2.29</v>
      </c>
      <c r="G12" s="181">
        <v>1.83</v>
      </c>
      <c r="H12" s="263">
        <f ca="1">AVERAGE(OFFSET($P$12,,(COLUMNS($G$12:H12)-1)*4,,4))</f>
        <v>1.8274999999999999</v>
      </c>
      <c r="I12" s="263">
        <f ca="1">AVERAGE(OFFSET($T$12,,(COLUMNS($G$12:I12)-1)*4,,4))</f>
        <v>2.1566666666666667</v>
      </c>
      <c r="J12" s="263">
        <f ca="1">AVERAGE(OFFSET($T$12,,(COLUMNS($G$12:J12)-1)*4,,4))</f>
        <v>2.1566666666666667</v>
      </c>
      <c r="K12" s="263">
        <f ca="1">AVERAGE(OFFSET($T$12,,(COLUMNS($G$12:K12)-1)*4,,4))</f>
        <v>2.1566666666666667</v>
      </c>
      <c r="L12" s="263">
        <f ca="1">AVERAGE(OFFSET($T$12,,(COLUMNS($G$12:L12)-1)*4,,4))</f>
        <v>2.1066666666666669</v>
      </c>
      <c r="M12" s="263">
        <f ca="1">AVERAGE(OFFSET($T$12,,(COLUMNS($G$12:M12)-1)*4,,4))</f>
        <v>2.0566666666666671</v>
      </c>
      <c r="N12" s="263">
        <f ca="1">AVERAGE(OFFSET($T$12,,(COLUMNS($G$12:N12)-1)*4,,4))</f>
        <v>2.0066666666666673</v>
      </c>
      <c r="O12" s="263">
        <f ca="1">AVERAGE(OFFSET($T$12,,(COLUMNS($G$12:O12)-1)*4,,4))</f>
        <v>1.9566666666666672</v>
      </c>
      <c r="P12" s="263">
        <f ca="1">AVERAGE(OFFSET($T$12,,(COLUMNS($G$12:P12)-1)*4,,4))</f>
        <v>1.9066666666666672</v>
      </c>
      <c r="Q12" s="263">
        <f ca="1">AVERAGE(OFFSET($T$12,,(COLUMNS($G$12:Q12)-1)*4,,4))</f>
        <v>1.8566666666666671</v>
      </c>
      <c r="T12" s="181">
        <v>1.8</v>
      </c>
      <c r="U12" s="181">
        <v>1.88</v>
      </c>
      <c r="V12" s="181">
        <v>1.85</v>
      </c>
      <c r="W12" s="181">
        <v>1.78</v>
      </c>
      <c r="X12" s="181">
        <v>1.76</v>
      </c>
      <c r="Y12" s="181">
        <v>1.91</v>
      </c>
      <c r="Z12" s="181">
        <v>2.06</v>
      </c>
      <c r="AA12" s="181">
        <v>3.06</v>
      </c>
      <c r="AB12" s="181">
        <v>1.89</v>
      </c>
      <c r="AC12" s="181">
        <v>2.4700000000000002</v>
      </c>
      <c r="AD12" s="181">
        <v>2.11</v>
      </c>
      <c r="AE12" s="277">
        <f>AVERAGE(AB12:AD12)</f>
        <v>2.1566666666666667</v>
      </c>
      <c r="AF12" s="277">
        <f>AE12</f>
        <v>2.1566666666666667</v>
      </c>
      <c r="AG12" s="277">
        <f t="shared" ref="AG12:AY12" si="3">AF12</f>
        <v>2.1566666666666667</v>
      </c>
      <c r="AH12" s="277">
        <f t="shared" si="3"/>
        <v>2.1566666666666667</v>
      </c>
      <c r="AI12" s="277">
        <f t="shared" si="3"/>
        <v>2.1566666666666667</v>
      </c>
      <c r="AJ12" s="277">
        <f t="shared" si="3"/>
        <v>2.1566666666666667</v>
      </c>
      <c r="AK12" s="277">
        <f t="shared" si="3"/>
        <v>2.1566666666666667</v>
      </c>
      <c r="AL12" s="277">
        <f t="shared" si="3"/>
        <v>2.1566666666666667</v>
      </c>
      <c r="AM12" s="277">
        <f t="shared" si="3"/>
        <v>2.1566666666666667</v>
      </c>
      <c r="AN12" s="277">
        <f>AM12-0.05</f>
        <v>2.1066666666666669</v>
      </c>
      <c r="AO12" s="277">
        <f t="shared" si="3"/>
        <v>2.1066666666666669</v>
      </c>
      <c r="AP12" s="277">
        <f t="shared" si="3"/>
        <v>2.1066666666666669</v>
      </c>
      <c r="AQ12" s="277">
        <f t="shared" si="3"/>
        <v>2.1066666666666669</v>
      </c>
      <c r="AR12" s="277">
        <f>AQ12-0.05</f>
        <v>2.0566666666666671</v>
      </c>
      <c r="AS12" s="277">
        <f t="shared" si="3"/>
        <v>2.0566666666666671</v>
      </c>
      <c r="AT12" s="277">
        <f t="shared" si="3"/>
        <v>2.0566666666666671</v>
      </c>
      <c r="AU12" s="277">
        <f t="shared" si="3"/>
        <v>2.0566666666666671</v>
      </c>
      <c r="AV12" s="277">
        <f>AU12-0.05</f>
        <v>2.0066666666666673</v>
      </c>
      <c r="AW12" s="277">
        <f t="shared" si="3"/>
        <v>2.0066666666666673</v>
      </c>
      <c r="AX12" s="277">
        <f t="shared" si="3"/>
        <v>2.0066666666666673</v>
      </c>
      <c r="AY12" s="277">
        <f t="shared" si="3"/>
        <v>2.0066666666666673</v>
      </c>
      <c r="AZ12" s="277">
        <f>AY12-0.05</f>
        <v>1.9566666666666672</v>
      </c>
      <c r="BA12" s="277">
        <f>AZ12</f>
        <v>1.9566666666666672</v>
      </c>
      <c r="BB12" s="277">
        <f>BA12</f>
        <v>1.9566666666666672</v>
      </c>
      <c r="BC12" s="277">
        <f>BB12</f>
        <v>1.9566666666666672</v>
      </c>
      <c r="BD12" s="263">
        <f>BC12-0.05</f>
        <v>1.9066666666666672</v>
      </c>
      <c r="BE12" s="263">
        <f>BD12</f>
        <v>1.9066666666666672</v>
      </c>
      <c r="BF12" s="263">
        <f>BE12</f>
        <v>1.9066666666666672</v>
      </c>
      <c r="BG12" s="263">
        <f>BF12</f>
        <v>1.9066666666666672</v>
      </c>
      <c r="BH12" s="263">
        <f>BG12-0.05</f>
        <v>1.8566666666666671</v>
      </c>
      <c r="BI12" s="263">
        <f>BH12</f>
        <v>1.8566666666666671</v>
      </c>
      <c r="BJ12" s="263">
        <f>BI12</f>
        <v>1.8566666666666671</v>
      </c>
      <c r="BK12" s="263">
        <f>BJ12</f>
        <v>1.8566666666666671</v>
      </c>
      <c r="BL12" s="263"/>
      <c r="BM12" s="156"/>
    </row>
    <row r="13" spans="2:65">
      <c r="C13" s="178"/>
    </row>
    <row r="14" spans="2:65">
      <c r="B14" t="s">
        <v>135</v>
      </c>
      <c r="C14" s="174" t="s">
        <v>156</v>
      </c>
      <c r="E14" s="186">
        <f>(E8*E12/31.1035*1000)</f>
        <v>71880.978024981101</v>
      </c>
      <c r="F14" s="186">
        <f>(F8*F12/31.1035*1000)</f>
        <v>290672.11085569148</v>
      </c>
      <c r="G14" s="186">
        <f ca="1">SUM(OFFSET($T$14,,(COLUMNS($G$14:G14)-1)*4,,4))</f>
        <v>243456.52418538107</v>
      </c>
      <c r="H14" s="186">
        <f ca="1">SUM(OFFSET($T$14,,(COLUMNS($G$14:H14)-1)*4,,4))</f>
        <v>300661.66187085054</v>
      </c>
      <c r="I14" s="186">
        <f ca="1">SUM(OFFSET($T$14,,(COLUMNS($G$14:I14)-1)*4,,4))</f>
        <v>315337.53143829177</v>
      </c>
      <c r="J14" s="186">
        <f ca="1">SUM(OFFSET($T$14,,(COLUMNS($G$14:J14)-1)*4,,4))</f>
        <v>320721.57912658178</v>
      </c>
      <c r="K14" s="186">
        <f ca="1">SUM(OFFSET($T$14,,(COLUMNS($G$14:K14)-1)*4,,4))</f>
        <v>320721.57912658184</v>
      </c>
      <c r="L14" s="186">
        <f ca="1">SUM(OFFSET($T$14,,(COLUMNS($G$14:L14)-1)*4,,4))</f>
        <v>313285.9938299841</v>
      </c>
      <c r="M14" s="186">
        <f ca="1">SUM(OFFSET($T$14,,(COLUMNS($G$14:M14)-1)*4,,4))</f>
        <v>305850.40853338642</v>
      </c>
      <c r="N14" s="186">
        <f ca="1">SUM(OFFSET($T$14,,(COLUMNS($G$14:N14)-1)*4,,4))</f>
        <v>298414.82323678862</v>
      </c>
      <c r="O14" s="186">
        <f ca="1">SUM(OFFSET($T$14,,(COLUMNS($G$14:O14)-1)*4,,4))</f>
        <v>290979.23794019083</v>
      </c>
      <c r="P14" s="186">
        <f ca="1">SUM(OFFSET($T$14,,(COLUMNS($G$14:P14)-1)*4,,4))</f>
        <v>283543.6526435932</v>
      </c>
      <c r="Q14" s="186">
        <f ca="1">SUM(OFFSET($T$14,,(COLUMNS($G$14:Q14)-1)*4,,4))</f>
        <v>276108.06734699523</v>
      </c>
      <c r="T14" s="186">
        <f>(T8*T12/31.1035*1000)</f>
        <v>59838.924879836675</v>
      </c>
      <c r="U14" s="186">
        <f>(U8*U12/31.1035*1000)</f>
        <v>63042.422878454192</v>
      </c>
      <c r="V14" s="186">
        <f>(V8*V12/31.1035*1000)</f>
        <v>60371.019338659637</v>
      </c>
      <c r="W14" s="186">
        <f>(W8*W12/31.1035*1000)</f>
        <v>60204.157088430562</v>
      </c>
      <c r="X14" s="186">
        <f>(X8*X12/31.1035*1000)</f>
        <v>60319.899689745529</v>
      </c>
      <c r="Y14" s="186">
        <f t="shared" ref="Y14:AX14" si="4">(Y8*Y12/31.1035*1000)</f>
        <v>63557.155947079904</v>
      </c>
      <c r="Z14" s="186">
        <f t="shared" si="4"/>
        <v>66892.793415532011</v>
      </c>
      <c r="AA14" s="186">
        <f t="shared" si="4"/>
        <v>109891.8128184931</v>
      </c>
      <c r="AB14" s="186">
        <f t="shared" si="4"/>
        <v>69697.300946838775</v>
      </c>
      <c r="AC14" s="186">
        <f t="shared" si="4"/>
        <v>87988.811548539554</v>
      </c>
      <c r="AD14" s="186">
        <f t="shared" si="4"/>
        <v>77471.024161268026</v>
      </c>
      <c r="AE14" s="186">
        <f t="shared" si="4"/>
        <v>80180.394781645431</v>
      </c>
      <c r="AF14" s="186">
        <f t="shared" si="4"/>
        <v>80180.39478164546</v>
      </c>
      <c r="AG14" s="186">
        <f t="shared" si="4"/>
        <v>80180.39478164546</v>
      </c>
      <c r="AH14" s="186">
        <f t="shared" si="4"/>
        <v>80180.394781645431</v>
      </c>
      <c r="AI14" s="186">
        <f t="shared" si="4"/>
        <v>80180.39478164546</v>
      </c>
      <c r="AJ14" s="186">
        <f t="shared" si="4"/>
        <v>80180.39478164546</v>
      </c>
      <c r="AK14" s="186">
        <f t="shared" si="4"/>
        <v>80180.39478164546</v>
      </c>
      <c r="AL14" s="186">
        <f t="shared" si="4"/>
        <v>80180.39478164546</v>
      </c>
      <c r="AM14" s="186">
        <f t="shared" si="4"/>
        <v>80180.39478164546</v>
      </c>
      <c r="AN14" s="186">
        <f t="shared" si="4"/>
        <v>78321.498457496025</v>
      </c>
      <c r="AO14" s="186">
        <f t="shared" si="4"/>
        <v>78321.498457496025</v>
      </c>
      <c r="AP14" s="186">
        <f t="shared" si="4"/>
        <v>78321.498457496025</v>
      </c>
      <c r="AQ14" s="186">
        <f t="shared" si="4"/>
        <v>78321.498457496025</v>
      </c>
      <c r="AR14" s="186">
        <f t="shared" si="4"/>
        <v>76462.602133346605</v>
      </c>
      <c r="AS14" s="186">
        <f t="shared" si="4"/>
        <v>76462.60213334662</v>
      </c>
      <c r="AT14" s="186">
        <f t="shared" si="4"/>
        <v>76462.602133346605</v>
      </c>
      <c r="AU14" s="186">
        <f t="shared" si="4"/>
        <v>76462.602133346591</v>
      </c>
      <c r="AV14" s="186">
        <f t="shared" si="4"/>
        <v>74603.705809197156</v>
      </c>
      <c r="AW14" s="186">
        <f t="shared" si="4"/>
        <v>74603.70580919717</v>
      </c>
      <c r="AX14" s="186">
        <f t="shared" si="4"/>
        <v>74603.705809197156</v>
      </c>
      <c r="AY14" s="186">
        <f>(AY8*AY12/31.1035*1000)</f>
        <v>74603.705809197141</v>
      </c>
      <c r="AZ14" s="186">
        <f t="shared" ref="AZ14:BK14" si="5">(AZ8*AZ12/31.1035*1000)</f>
        <v>72744.809485047706</v>
      </c>
      <c r="BA14" s="186">
        <f t="shared" si="5"/>
        <v>72744.809485047736</v>
      </c>
      <c r="BB14" s="186">
        <f t="shared" si="5"/>
        <v>72744.809485047706</v>
      </c>
      <c r="BC14" s="186">
        <f t="shared" si="5"/>
        <v>72744.809485047677</v>
      </c>
      <c r="BD14" s="186">
        <f t="shared" si="5"/>
        <v>70885.913160898301</v>
      </c>
      <c r="BE14" s="186">
        <f t="shared" si="5"/>
        <v>70885.913160898315</v>
      </c>
      <c r="BF14" s="186">
        <f t="shared" si="5"/>
        <v>70885.913160898301</v>
      </c>
      <c r="BG14" s="186">
        <f t="shared" si="5"/>
        <v>70885.913160898257</v>
      </c>
      <c r="BH14" s="186">
        <f t="shared" si="5"/>
        <v>69027.016836748851</v>
      </c>
      <c r="BI14" s="186">
        <f t="shared" si="5"/>
        <v>69027.01683674891</v>
      </c>
      <c r="BJ14" s="186">
        <f t="shared" si="5"/>
        <v>69027.016836748851</v>
      </c>
      <c r="BK14" s="186">
        <f t="shared" si="5"/>
        <v>69027.016836748648</v>
      </c>
    </row>
    <row r="15" spans="2:65">
      <c r="B15" s="159" t="s">
        <v>133</v>
      </c>
      <c r="C15" s="174" t="s">
        <v>156</v>
      </c>
      <c r="D15" s="159"/>
      <c r="E15" s="182">
        <f>IF(E14=0,0,E14+D15)</f>
        <v>71880.978024981101</v>
      </c>
      <c r="F15" s="182">
        <f>IF(F14=0,0,F14+E15)</f>
        <v>362553.08888067259</v>
      </c>
      <c r="G15" s="182">
        <f ca="1">IF(G14=0,0,G14+F15)</f>
        <v>606009.61306605372</v>
      </c>
      <c r="H15" s="182">
        <f t="shared" ref="H15:N15" ca="1" si="6">IF(H14=0,0,H14+G15)</f>
        <v>906671.2749369042</v>
      </c>
      <c r="I15" s="182">
        <f t="shared" ca="1" si="6"/>
        <v>1222008.806375196</v>
      </c>
      <c r="J15" s="182">
        <f t="shared" ca="1" si="6"/>
        <v>1542730.3855017778</v>
      </c>
      <c r="K15" s="182">
        <f t="shared" ca="1" si="6"/>
        <v>1863451.9646283595</v>
      </c>
      <c r="L15" s="182">
        <f t="shared" ca="1" si="6"/>
        <v>2176737.9584583435</v>
      </c>
      <c r="M15" s="182">
        <f t="shared" ca="1" si="6"/>
        <v>2482588.3669917299</v>
      </c>
      <c r="N15" s="182">
        <f t="shared" ca="1" si="6"/>
        <v>2781003.1902285186</v>
      </c>
      <c r="O15" s="182">
        <f ca="1">IF(O14=0,0,O14+N15)</f>
        <v>3071982.4281687094</v>
      </c>
      <c r="P15" s="182">
        <f ca="1">IF(P14=0,0,P14+O15)</f>
        <v>3355526.0808123024</v>
      </c>
      <c r="Q15" s="182">
        <f ca="1">IF(Q14=0,0,Q14+P15)</f>
        <v>3631634.1481592976</v>
      </c>
      <c r="T15" s="186">
        <f>IF(T14=0,0,T14+S15)+E14+F14</f>
        <v>422392.01376050926</v>
      </c>
      <c r="U15" s="186">
        <f>IF(U14=0,0,U14+T15)</f>
        <v>485434.43663896347</v>
      </c>
      <c r="V15" s="186">
        <f t="shared" ref="V15:AY15" si="7">IF(V14=0,0,V14+U15)</f>
        <v>545805.45597762312</v>
      </c>
      <c r="W15" s="186">
        <f t="shared" si="7"/>
        <v>606009.61306605372</v>
      </c>
      <c r="X15" s="186">
        <f t="shared" si="7"/>
        <v>666329.51275579922</v>
      </c>
      <c r="Y15" s="186">
        <f t="shared" si="7"/>
        <v>729886.66870287911</v>
      </c>
      <c r="Z15" s="186">
        <f t="shared" si="7"/>
        <v>796779.46211841109</v>
      </c>
      <c r="AA15" s="186">
        <f t="shared" si="7"/>
        <v>906671.2749369042</v>
      </c>
      <c r="AB15" s="186">
        <f t="shared" si="7"/>
        <v>976368.575883743</v>
      </c>
      <c r="AC15" s="186">
        <f t="shared" si="7"/>
        <v>1064357.3874322826</v>
      </c>
      <c r="AD15" s="186">
        <f t="shared" si="7"/>
        <v>1141828.4115935506</v>
      </c>
      <c r="AE15" s="186">
        <f t="shared" si="7"/>
        <v>1222008.806375196</v>
      </c>
      <c r="AF15" s="186">
        <f t="shared" si="7"/>
        <v>1302189.2011568414</v>
      </c>
      <c r="AG15" s="186">
        <f t="shared" si="7"/>
        <v>1382369.5959384867</v>
      </c>
      <c r="AH15" s="186">
        <f t="shared" si="7"/>
        <v>1462549.9907201321</v>
      </c>
      <c r="AI15" s="186">
        <f t="shared" si="7"/>
        <v>1542730.3855017775</v>
      </c>
      <c r="AJ15" s="186">
        <f t="shared" si="7"/>
        <v>1622910.7802834229</v>
      </c>
      <c r="AK15" s="186">
        <f t="shared" si="7"/>
        <v>1703091.1750650683</v>
      </c>
      <c r="AL15" s="186">
        <f t="shared" si="7"/>
        <v>1783271.5698467137</v>
      </c>
      <c r="AM15" s="186">
        <f t="shared" si="7"/>
        <v>1863451.9646283591</v>
      </c>
      <c r="AN15" s="186">
        <f t="shared" si="7"/>
        <v>1941773.4630858551</v>
      </c>
      <c r="AO15" s="186">
        <f t="shared" si="7"/>
        <v>2020094.9615433512</v>
      </c>
      <c r="AP15" s="186">
        <f t="shared" si="7"/>
        <v>2098416.460000847</v>
      </c>
      <c r="AQ15" s="186">
        <f t="shared" si="7"/>
        <v>2176737.9584583431</v>
      </c>
      <c r="AR15" s="186">
        <f t="shared" si="7"/>
        <v>2253200.5605916898</v>
      </c>
      <c r="AS15" s="186">
        <f t="shared" si="7"/>
        <v>2329663.1627250365</v>
      </c>
      <c r="AT15" s="186">
        <f t="shared" si="7"/>
        <v>2406125.7648583832</v>
      </c>
      <c r="AU15" s="186">
        <f t="shared" si="7"/>
        <v>2482588.3669917299</v>
      </c>
      <c r="AV15" s="186">
        <f t="shared" si="7"/>
        <v>2557192.0728009269</v>
      </c>
      <c r="AW15" s="186">
        <f t="shared" si="7"/>
        <v>2631795.7786101243</v>
      </c>
      <c r="AX15" s="186">
        <f t="shared" si="7"/>
        <v>2706399.4844193216</v>
      </c>
      <c r="AY15" s="186">
        <f t="shared" si="7"/>
        <v>2781003.1902285186</v>
      </c>
      <c r="AZ15" s="186">
        <f t="shared" ref="AZ15:BK15" si="8">IF(AZ14=0,0,AZ14+AY15)</f>
        <v>2853747.9997135662</v>
      </c>
      <c r="BA15" s="186">
        <f t="shared" si="8"/>
        <v>2926492.8091986137</v>
      </c>
      <c r="BB15" s="186">
        <f t="shared" si="8"/>
        <v>2999237.6186836613</v>
      </c>
      <c r="BC15" s="186">
        <f t="shared" si="8"/>
        <v>3071982.4281687089</v>
      </c>
      <c r="BD15" s="186">
        <f t="shared" si="8"/>
        <v>3142868.3413296072</v>
      </c>
      <c r="BE15" s="186">
        <f t="shared" si="8"/>
        <v>3213754.2544905054</v>
      </c>
      <c r="BF15" s="186">
        <f t="shared" si="8"/>
        <v>3284640.1676514037</v>
      </c>
      <c r="BG15" s="186">
        <f t="shared" si="8"/>
        <v>3355526.080812302</v>
      </c>
      <c r="BH15" s="186">
        <f t="shared" si="8"/>
        <v>3424553.0976490509</v>
      </c>
      <c r="BI15" s="186">
        <f t="shared" si="8"/>
        <v>3493580.1144857998</v>
      </c>
      <c r="BJ15" s="186">
        <f t="shared" si="8"/>
        <v>3562607.1313225487</v>
      </c>
      <c r="BK15" s="186">
        <f t="shared" si="8"/>
        <v>3631634.1481592972</v>
      </c>
    </row>
    <row r="16" spans="2:65">
      <c r="C16" s="178"/>
    </row>
    <row r="17" spans="2:65">
      <c r="B17" t="s">
        <v>136</v>
      </c>
      <c r="C17" s="178" t="s">
        <v>140</v>
      </c>
      <c r="E17" s="185">
        <v>0.95</v>
      </c>
      <c r="F17" s="185">
        <v>0.94</v>
      </c>
      <c r="G17" s="273">
        <f ca="1">AVERAGE(OFFSET($T$17,,(COLUMNS($G$17:G17)-1)*4,,4))</f>
        <v>0.92500000000000004</v>
      </c>
      <c r="H17" s="273">
        <f ca="1">AVERAGE(OFFSET($T$17,,(COLUMNS($G$17:H17)-1)*4,,4))</f>
        <v>0.92249999999999999</v>
      </c>
      <c r="I17" s="273">
        <f ca="1">AVERAGE(OFFSET($T$17,,(COLUMNS($G$17:I17)-1)*4,,4))</f>
        <v>0.92500000000000004</v>
      </c>
      <c r="J17" s="273">
        <f ca="1">AVERAGE(OFFSET($T$17,,(COLUMNS($G$17:J17)-1)*4,,4))</f>
        <v>0.93</v>
      </c>
      <c r="K17" s="273">
        <f ca="1">AVERAGE(OFFSET($T$17,,(COLUMNS($G$17:K17)-1)*4,,4))</f>
        <v>0.93</v>
      </c>
      <c r="L17" s="273">
        <f ca="1">AVERAGE(OFFSET($T$17,,(COLUMNS($G$17:L17)-1)*4,,4))</f>
        <v>0.93</v>
      </c>
      <c r="M17" s="273">
        <f ca="1">AVERAGE(OFFSET($T$17,,(COLUMNS($G$17:M17)-1)*4,,4))</f>
        <v>0.93</v>
      </c>
      <c r="N17" s="273">
        <f ca="1">AVERAGE(OFFSET($T$17,,(COLUMNS($G$17:N17)-1)*4,,4))</f>
        <v>0.93</v>
      </c>
      <c r="O17" s="273">
        <f ca="1">AVERAGE(OFFSET($T$17,,(COLUMNS($G$17:O17)-1)*4,,4))</f>
        <v>0.93</v>
      </c>
      <c r="P17" s="273">
        <f ca="1">AVERAGE(OFFSET($T$17,,(COLUMNS($G$17:P17)-1)*4,,4))</f>
        <v>0.93</v>
      </c>
      <c r="Q17" s="273">
        <f ca="1">AVERAGE(OFFSET($T$17,,(COLUMNS($G$17:Q17)-1)*4,,4))</f>
        <v>0.93</v>
      </c>
      <c r="T17" s="185">
        <v>0.93</v>
      </c>
      <c r="U17" s="185">
        <v>0.93</v>
      </c>
      <c r="V17" s="185">
        <v>0.92</v>
      </c>
      <c r="W17" s="185">
        <v>0.92</v>
      </c>
      <c r="X17" s="185">
        <v>0.91</v>
      </c>
      <c r="Y17" s="185">
        <v>0.92</v>
      </c>
      <c r="Z17" s="185">
        <v>0.92</v>
      </c>
      <c r="AA17" s="185">
        <v>0.94</v>
      </c>
      <c r="AB17" s="185">
        <v>0.91</v>
      </c>
      <c r="AC17" s="185">
        <v>0.92</v>
      </c>
      <c r="AD17" s="185">
        <v>0.92</v>
      </c>
      <c r="AE17" s="185">
        <v>0.95</v>
      </c>
      <c r="AF17" s="187">
        <v>0.93</v>
      </c>
      <c r="AG17" s="187">
        <f>AF17</f>
        <v>0.93</v>
      </c>
      <c r="AH17" s="187">
        <f t="shared" ref="AH17:BK17" si="9">AG17</f>
        <v>0.93</v>
      </c>
      <c r="AI17" s="187">
        <f t="shared" si="9"/>
        <v>0.93</v>
      </c>
      <c r="AJ17" s="187">
        <f t="shared" si="9"/>
        <v>0.93</v>
      </c>
      <c r="AK17" s="187">
        <f t="shared" si="9"/>
        <v>0.93</v>
      </c>
      <c r="AL17" s="187">
        <f t="shared" si="9"/>
        <v>0.93</v>
      </c>
      <c r="AM17" s="187">
        <f t="shared" si="9"/>
        <v>0.93</v>
      </c>
      <c r="AN17" s="187">
        <f t="shared" si="9"/>
        <v>0.93</v>
      </c>
      <c r="AO17" s="187">
        <f t="shared" si="9"/>
        <v>0.93</v>
      </c>
      <c r="AP17" s="187">
        <f t="shared" si="9"/>
        <v>0.93</v>
      </c>
      <c r="AQ17" s="187">
        <f t="shared" si="9"/>
        <v>0.93</v>
      </c>
      <c r="AR17" s="187">
        <f t="shared" si="9"/>
        <v>0.93</v>
      </c>
      <c r="AS17" s="187">
        <f t="shared" si="9"/>
        <v>0.93</v>
      </c>
      <c r="AT17" s="187">
        <f t="shared" si="9"/>
        <v>0.93</v>
      </c>
      <c r="AU17" s="187">
        <f t="shared" si="9"/>
        <v>0.93</v>
      </c>
      <c r="AV17" s="187">
        <f t="shared" si="9"/>
        <v>0.93</v>
      </c>
      <c r="AW17" s="187">
        <f t="shared" si="9"/>
        <v>0.93</v>
      </c>
      <c r="AX17" s="187">
        <f t="shared" si="9"/>
        <v>0.93</v>
      </c>
      <c r="AY17" s="187">
        <f t="shared" si="9"/>
        <v>0.93</v>
      </c>
      <c r="AZ17" s="187">
        <f t="shared" si="9"/>
        <v>0.93</v>
      </c>
      <c r="BA17" s="187">
        <f t="shared" si="9"/>
        <v>0.93</v>
      </c>
      <c r="BB17" s="187">
        <f t="shared" si="9"/>
        <v>0.93</v>
      </c>
      <c r="BC17" s="187">
        <f t="shared" si="9"/>
        <v>0.93</v>
      </c>
      <c r="BD17" s="187">
        <f t="shared" si="9"/>
        <v>0.93</v>
      </c>
      <c r="BE17" s="187">
        <f t="shared" si="9"/>
        <v>0.93</v>
      </c>
      <c r="BF17" s="187">
        <f t="shared" si="9"/>
        <v>0.93</v>
      </c>
      <c r="BG17" s="187">
        <f t="shared" si="9"/>
        <v>0.93</v>
      </c>
      <c r="BH17" s="187">
        <f t="shared" si="9"/>
        <v>0.93</v>
      </c>
      <c r="BI17" s="187">
        <f t="shared" si="9"/>
        <v>0.93</v>
      </c>
      <c r="BJ17" s="187">
        <f t="shared" si="9"/>
        <v>0.93</v>
      </c>
      <c r="BK17" s="187">
        <f t="shared" si="9"/>
        <v>0.93</v>
      </c>
      <c r="BM17" s="156"/>
    </row>
    <row r="18" spans="2:65">
      <c r="C18" s="178"/>
    </row>
    <row r="19" spans="2:65">
      <c r="B19" t="s">
        <v>137</v>
      </c>
      <c r="C19" s="174" t="s">
        <v>156</v>
      </c>
      <c r="E19" s="168">
        <v>68754</v>
      </c>
      <c r="F19" s="168">
        <v>277218</v>
      </c>
      <c r="G19" s="186">
        <f ca="1">SUM(OFFSET($T$19,,(COLUMNS($G$19:G19)-1)*4,,4))</f>
        <v>223305</v>
      </c>
      <c r="H19" s="186">
        <f ca="1">SUM(OFFSET($T$19,,(COLUMNS($G$19:H19)-1)*4,,4))</f>
        <v>276709</v>
      </c>
      <c r="I19" s="186">
        <f ca="1">SUM(OFFSET($T$19,,(COLUMNS($G$19:I19)-1)*4,,4))</f>
        <v>292066.37504256319</v>
      </c>
      <c r="J19" s="186">
        <f ca="1">SUM(OFFSET($T$19,,(COLUMNS($G$19:J19)-1)*4,,4))</f>
        <v>298271.06858772109</v>
      </c>
      <c r="K19" s="186">
        <f ca="1">SUM(OFFSET($T$19,,(COLUMNS($G$19:K19)-1)*4,,4))</f>
        <v>298271.06858772115</v>
      </c>
      <c r="L19" s="186">
        <f ca="1">SUM(OFFSET($T$19,,(COLUMNS($G$19:L19)-1)*4,,4))</f>
        <v>291355.97426188522</v>
      </c>
      <c r="M19" s="186">
        <f ca="1">SUM(OFFSET($T$19,,(COLUMNS($G$19:M19)-1)*4,,4))</f>
        <v>284440.87993604946</v>
      </c>
      <c r="N19" s="186">
        <f ca="1">SUM(OFFSET($T$19,,(COLUMNS($G$19:N19)-1)*4,,4))</f>
        <v>277525.78561021341</v>
      </c>
      <c r="O19" s="186">
        <f ca="1">SUM(OFFSET($T$19,,(COLUMNS($G$19:O19)-1)*4,,4))</f>
        <v>270610.69128437748</v>
      </c>
      <c r="P19" s="186">
        <f ca="1">SUM(OFFSET($T$19,,(COLUMNS($G$19:P19)-1)*4,,4))</f>
        <v>263695.59695854166</v>
      </c>
      <c r="Q19" s="186">
        <f ca="1">SUM(OFFSET($T$19,,(COLUMNS($G$19:Q19)-1)*4,,4))</f>
        <v>256780.50263270561</v>
      </c>
      <c r="T19" s="168">
        <v>55360</v>
      </c>
      <c r="U19" s="168">
        <v>58232</v>
      </c>
      <c r="V19" s="168">
        <v>54708</v>
      </c>
      <c r="W19" s="168">
        <v>55005</v>
      </c>
      <c r="X19" s="168">
        <v>55860</v>
      </c>
      <c r="Y19" s="168">
        <v>57444</v>
      </c>
      <c r="Z19" s="168">
        <v>62038</v>
      </c>
      <c r="AA19" s="168">
        <v>101367</v>
      </c>
      <c r="AB19" s="168">
        <v>66054</v>
      </c>
      <c r="AC19" s="168">
        <v>79632</v>
      </c>
      <c r="AD19" s="168">
        <v>70209</v>
      </c>
      <c r="AE19" s="186">
        <f>AE14*AE17</f>
        <v>76171.375042563159</v>
      </c>
      <c r="AF19" s="186">
        <f t="shared" ref="AF19:AX19" si="10">AF14*AF17</f>
        <v>74567.767146930288</v>
      </c>
      <c r="AG19" s="186">
        <f t="shared" si="10"/>
        <v>74567.767146930288</v>
      </c>
      <c r="AH19" s="186">
        <f t="shared" si="10"/>
        <v>74567.767146930259</v>
      </c>
      <c r="AI19" s="186">
        <f t="shared" si="10"/>
        <v>74567.767146930288</v>
      </c>
      <c r="AJ19" s="186">
        <f t="shared" si="10"/>
        <v>74567.767146930288</v>
      </c>
      <c r="AK19" s="186">
        <f t="shared" si="10"/>
        <v>74567.767146930288</v>
      </c>
      <c r="AL19" s="186">
        <f t="shared" si="10"/>
        <v>74567.767146930288</v>
      </c>
      <c r="AM19" s="186">
        <f t="shared" si="10"/>
        <v>74567.767146930288</v>
      </c>
      <c r="AN19" s="186">
        <f t="shared" si="10"/>
        <v>72838.993565471304</v>
      </c>
      <c r="AO19" s="186">
        <f t="shared" si="10"/>
        <v>72838.993565471304</v>
      </c>
      <c r="AP19" s="186">
        <f t="shared" si="10"/>
        <v>72838.993565471304</v>
      </c>
      <c r="AQ19" s="186">
        <f t="shared" si="10"/>
        <v>72838.993565471304</v>
      </c>
      <c r="AR19" s="186">
        <f t="shared" si="10"/>
        <v>71110.21998401235</v>
      </c>
      <c r="AS19" s="186">
        <f t="shared" si="10"/>
        <v>71110.219984012365</v>
      </c>
      <c r="AT19" s="186">
        <f t="shared" si="10"/>
        <v>71110.21998401235</v>
      </c>
      <c r="AU19" s="186">
        <f t="shared" si="10"/>
        <v>71110.219984012336</v>
      </c>
      <c r="AV19" s="186">
        <f t="shared" si="10"/>
        <v>69381.446402553353</v>
      </c>
      <c r="AW19" s="186">
        <f t="shared" si="10"/>
        <v>69381.446402553367</v>
      </c>
      <c r="AX19" s="186">
        <f t="shared" si="10"/>
        <v>69381.446402553353</v>
      </c>
      <c r="AY19" s="186">
        <f>AY14*AY17</f>
        <v>69381.446402553338</v>
      </c>
      <c r="AZ19" s="186">
        <f t="shared" ref="AZ19:BK19" si="11">AZ14*AZ17</f>
        <v>67652.672821094369</v>
      </c>
      <c r="BA19" s="186">
        <f t="shared" si="11"/>
        <v>67652.672821094398</v>
      </c>
      <c r="BB19" s="186">
        <f t="shared" si="11"/>
        <v>67652.672821094369</v>
      </c>
      <c r="BC19" s="186">
        <f t="shared" si="11"/>
        <v>67652.67282109434</v>
      </c>
      <c r="BD19" s="186">
        <f t="shared" si="11"/>
        <v>65923.89923963543</v>
      </c>
      <c r="BE19" s="186">
        <f t="shared" si="11"/>
        <v>65923.89923963543</v>
      </c>
      <c r="BF19" s="186">
        <f t="shared" si="11"/>
        <v>65923.89923963543</v>
      </c>
      <c r="BG19" s="186">
        <f t="shared" si="11"/>
        <v>65923.899239635386</v>
      </c>
      <c r="BH19" s="186">
        <f t="shared" si="11"/>
        <v>64195.125658176432</v>
      </c>
      <c r="BI19" s="186">
        <f t="shared" si="11"/>
        <v>64195.12565817649</v>
      </c>
      <c r="BJ19" s="186">
        <f t="shared" si="11"/>
        <v>64195.125658176432</v>
      </c>
      <c r="BK19" s="186">
        <f t="shared" si="11"/>
        <v>64195.125658176243</v>
      </c>
    </row>
    <row r="20" spans="2:65">
      <c r="B20" s="159" t="s">
        <v>138</v>
      </c>
      <c r="C20" s="174" t="s">
        <v>156</v>
      </c>
      <c r="D20" s="159"/>
      <c r="E20" s="159"/>
      <c r="F20" s="182">
        <f>IF(F19=0,0,F19+E20)</f>
        <v>277218</v>
      </c>
      <c r="G20" s="182">
        <f t="shared" ref="G20:Q20" ca="1" si="12">IF(G19=0,0,G19+F20)</f>
        <v>500523</v>
      </c>
      <c r="H20" s="182">
        <f t="shared" ca="1" si="12"/>
        <v>777232</v>
      </c>
      <c r="I20" s="182">
        <f t="shared" ca="1" si="12"/>
        <v>1069298.3750425633</v>
      </c>
      <c r="J20" s="182">
        <f t="shared" ca="1" si="12"/>
        <v>1367569.4436302844</v>
      </c>
      <c r="K20" s="182">
        <f t="shared" ca="1" si="12"/>
        <v>1665840.5122180055</v>
      </c>
      <c r="L20" s="182">
        <f t="shared" ca="1" si="12"/>
        <v>1957196.4864798908</v>
      </c>
      <c r="M20" s="182">
        <f t="shared" ca="1" si="12"/>
        <v>2241637.3664159402</v>
      </c>
      <c r="N20" s="182">
        <f t="shared" ca="1" si="12"/>
        <v>2519163.1520261536</v>
      </c>
      <c r="O20" s="182">
        <f t="shared" ca="1" si="12"/>
        <v>2789773.8433105312</v>
      </c>
      <c r="P20" s="182">
        <f t="shared" ca="1" si="12"/>
        <v>3053469.440269073</v>
      </c>
      <c r="Q20" s="182">
        <f t="shared" ca="1" si="12"/>
        <v>3310249.9429017785</v>
      </c>
      <c r="T20" s="186">
        <f>IF(T19=0,0,T19+S20)+E19+F19</f>
        <v>401332</v>
      </c>
      <c r="U20" s="186">
        <f>IF(U19=0,0,U19+T20)</f>
        <v>459564</v>
      </c>
      <c r="V20" s="186">
        <f t="shared" ref="V20:AX20" si="13">IF(V19=0,0,V19+U20)</f>
        <v>514272</v>
      </c>
      <c r="W20" s="186">
        <f t="shared" si="13"/>
        <v>569277</v>
      </c>
      <c r="X20" s="186">
        <f t="shared" si="13"/>
        <v>625137</v>
      </c>
      <c r="Y20" s="186">
        <f t="shared" si="13"/>
        <v>682581</v>
      </c>
      <c r="Z20" s="186">
        <f t="shared" si="13"/>
        <v>744619</v>
      </c>
      <c r="AA20" s="186">
        <f t="shared" si="13"/>
        <v>845986</v>
      </c>
      <c r="AB20" s="186">
        <f t="shared" si="13"/>
        <v>912040</v>
      </c>
      <c r="AC20" s="186">
        <f t="shared" si="13"/>
        <v>991672</v>
      </c>
      <c r="AD20" s="186">
        <f t="shared" si="13"/>
        <v>1061881</v>
      </c>
      <c r="AE20" s="186">
        <f t="shared" si="13"/>
        <v>1138052.3750425631</v>
      </c>
      <c r="AF20" s="186">
        <f t="shared" si="13"/>
        <v>1212620.1421894934</v>
      </c>
      <c r="AG20" s="186">
        <f t="shared" si="13"/>
        <v>1287187.9093364237</v>
      </c>
      <c r="AH20" s="186">
        <f t="shared" si="13"/>
        <v>1361755.6764833541</v>
      </c>
      <c r="AI20" s="186">
        <f t="shared" si="13"/>
        <v>1436323.4436302844</v>
      </c>
      <c r="AJ20" s="186">
        <f t="shared" si="13"/>
        <v>1510891.2107772147</v>
      </c>
      <c r="AK20" s="186">
        <f t="shared" si="13"/>
        <v>1585458.9779241451</v>
      </c>
      <c r="AL20" s="186">
        <f t="shared" si="13"/>
        <v>1660026.7450710754</v>
      </c>
      <c r="AM20" s="186">
        <f t="shared" si="13"/>
        <v>1734594.5122180057</v>
      </c>
      <c r="AN20" s="186">
        <f t="shared" si="13"/>
        <v>1807433.5057834771</v>
      </c>
      <c r="AO20" s="186">
        <f t="shared" si="13"/>
        <v>1880272.4993489485</v>
      </c>
      <c r="AP20" s="186">
        <f t="shared" si="13"/>
        <v>1953111.4929144199</v>
      </c>
      <c r="AQ20" s="186">
        <f t="shared" si="13"/>
        <v>2025950.4864798912</v>
      </c>
      <c r="AR20" s="186">
        <f t="shared" si="13"/>
        <v>2097060.7064639037</v>
      </c>
      <c r="AS20" s="186">
        <f t="shared" si="13"/>
        <v>2168170.9264479158</v>
      </c>
      <c r="AT20" s="186">
        <f t="shared" si="13"/>
        <v>2239281.146431928</v>
      </c>
      <c r="AU20" s="186">
        <f t="shared" si="13"/>
        <v>2310391.3664159402</v>
      </c>
      <c r="AV20" s="186">
        <f t="shared" si="13"/>
        <v>2379772.8128184937</v>
      </c>
      <c r="AW20" s="186">
        <f t="shared" si="13"/>
        <v>2449154.2592210472</v>
      </c>
      <c r="AX20" s="186">
        <f t="shared" si="13"/>
        <v>2518535.7056236006</v>
      </c>
      <c r="AY20" s="186">
        <f>IF(AY19=0,0,AY19+AX20)</f>
        <v>2587917.1520261541</v>
      </c>
      <c r="AZ20" s="186">
        <f t="shared" ref="AZ20:BK20" si="14">IF(AZ19=0,0,AZ19+AY20)</f>
        <v>2655569.8248472484</v>
      </c>
      <c r="BA20" s="186">
        <f t="shared" si="14"/>
        <v>2723222.4976683427</v>
      </c>
      <c r="BB20" s="186">
        <f t="shared" si="14"/>
        <v>2790875.1704894369</v>
      </c>
      <c r="BC20" s="186">
        <f t="shared" si="14"/>
        <v>2858527.8433105312</v>
      </c>
      <c r="BD20" s="186">
        <f t="shared" si="14"/>
        <v>2924451.7425501668</v>
      </c>
      <c r="BE20" s="186">
        <f t="shared" si="14"/>
        <v>2990375.6417898024</v>
      </c>
      <c r="BF20" s="186">
        <f t="shared" si="14"/>
        <v>3056299.5410294379</v>
      </c>
      <c r="BG20" s="186">
        <f t="shared" si="14"/>
        <v>3122223.4402690735</v>
      </c>
      <c r="BH20" s="186">
        <f t="shared" si="14"/>
        <v>3186418.5659272498</v>
      </c>
      <c r="BI20" s="186">
        <f t="shared" si="14"/>
        <v>3250613.6915854262</v>
      </c>
      <c r="BJ20" s="186">
        <f t="shared" si="14"/>
        <v>3314808.8172436026</v>
      </c>
      <c r="BK20" s="186">
        <f t="shared" si="14"/>
        <v>3379003.942901779</v>
      </c>
    </row>
    <row r="21" spans="2:65">
      <c r="C21" s="174"/>
    </row>
    <row r="22" spans="2:65">
      <c r="B22" s="156" t="s">
        <v>155</v>
      </c>
      <c r="C22" s="174" t="s">
        <v>156</v>
      </c>
      <c r="E22" s="168">
        <v>60990</v>
      </c>
      <c r="F22" s="168">
        <v>276046</v>
      </c>
      <c r="G22" s="168">
        <v>227290</v>
      </c>
      <c r="H22" s="168">
        <v>276709</v>
      </c>
      <c r="I22" s="186">
        <f t="shared" ref="I22:Q22" ca="1" si="15">I19</f>
        <v>292066.37504256319</v>
      </c>
      <c r="J22" s="186">
        <f t="shared" ca="1" si="15"/>
        <v>298271.06858772109</v>
      </c>
      <c r="K22" s="186">
        <f t="shared" ca="1" si="15"/>
        <v>298271.06858772115</v>
      </c>
      <c r="L22" s="186">
        <f t="shared" ca="1" si="15"/>
        <v>291355.97426188522</v>
      </c>
      <c r="M22" s="186">
        <f t="shared" ca="1" si="15"/>
        <v>284440.87993604946</v>
      </c>
      <c r="N22" s="186">
        <f t="shared" ca="1" si="15"/>
        <v>277525.78561021341</v>
      </c>
      <c r="O22" s="186">
        <f t="shared" ca="1" si="15"/>
        <v>270610.69128437748</v>
      </c>
      <c r="P22" s="186">
        <f t="shared" ca="1" si="15"/>
        <v>263695.59695854166</v>
      </c>
      <c r="Q22" s="186">
        <f t="shared" ca="1" si="15"/>
        <v>256780.50263270561</v>
      </c>
      <c r="T22" s="168">
        <v>59576</v>
      </c>
      <c r="U22" s="168">
        <v>54255</v>
      </c>
      <c r="V22" s="168">
        <v>58392</v>
      </c>
      <c r="W22" s="168">
        <v>55067</v>
      </c>
      <c r="X22" s="168">
        <v>56671</v>
      </c>
      <c r="Y22" s="168">
        <v>57431</v>
      </c>
      <c r="Z22" s="168">
        <v>62273</v>
      </c>
      <c r="AA22" s="168">
        <v>101512</v>
      </c>
      <c r="AB22" s="168">
        <v>67031</v>
      </c>
      <c r="AC22" s="168">
        <v>76827</v>
      </c>
      <c r="AD22" s="168">
        <v>75381</v>
      </c>
      <c r="AE22" s="168">
        <f>AE19</f>
        <v>76171.375042563159</v>
      </c>
      <c r="AF22" s="168">
        <f>AF19</f>
        <v>74567.767146930288</v>
      </c>
      <c r="AG22" s="168">
        <f t="shared" ref="AG22:BK22" si="16">AG19</f>
        <v>74567.767146930288</v>
      </c>
      <c r="AH22" s="168">
        <f t="shared" si="16"/>
        <v>74567.767146930259</v>
      </c>
      <c r="AI22" s="168">
        <f t="shared" si="16"/>
        <v>74567.767146930288</v>
      </c>
      <c r="AJ22" s="168">
        <f t="shared" si="16"/>
        <v>74567.767146930288</v>
      </c>
      <c r="AK22" s="168">
        <f t="shared" si="16"/>
        <v>74567.767146930288</v>
      </c>
      <c r="AL22" s="168">
        <f t="shared" si="16"/>
        <v>74567.767146930288</v>
      </c>
      <c r="AM22" s="168">
        <f t="shared" si="16"/>
        <v>74567.767146930288</v>
      </c>
      <c r="AN22" s="168">
        <f t="shared" si="16"/>
        <v>72838.993565471304</v>
      </c>
      <c r="AO22" s="168">
        <f t="shared" si="16"/>
        <v>72838.993565471304</v>
      </c>
      <c r="AP22" s="168">
        <f t="shared" si="16"/>
        <v>72838.993565471304</v>
      </c>
      <c r="AQ22" s="168">
        <f t="shared" si="16"/>
        <v>72838.993565471304</v>
      </c>
      <c r="AR22" s="168">
        <f t="shared" si="16"/>
        <v>71110.21998401235</v>
      </c>
      <c r="AS22" s="168">
        <f t="shared" si="16"/>
        <v>71110.219984012365</v>
      </c>
      <c r="AT22" s="168">
        <f t="shared" si="16"/>
        <v>71110.21998401235</v>
      </c>
      <c r="AU22" s="168">
        <f t="shared" si="16"/>
        <v>71110.219984012336</v>
      </c>
      <c r="AV22" s="168">
        <f t="shared" si="16"/>
        <v>69381.446402553353</v>
      </c>
      <c r="AW22" s="168">
        <f t="shared" si="16"/>
        <v>69381.446402553367</v>
      </c>
      <c r="AX22" s="168">
        <f t="shared" si="16"/>
        <v>69381.446402553353</v>
      </c>
      <c r="AY22" s="168">
        <f t="shared" si="16"/>
        <v>69381.446402553338</v>
      </c>
      <c r="AZ22" s="168">
        <f t="shared" si="16"/>
        <v>67652.672821094369</v>
      </c>
      <c r="BA22" s="168">
        <f t="shared" si="16"/>
        <v>67652.672821094398</v>
      </c>
      <c r="BB22" s="168">
        <f t="shared" si="16"/>
        <v>67652.672821094369</v>
      </c>
      <c r="BC22" s="168">
        <f t="shared" si="16"/>
        <v>67652.67282109434</v>
      </c>
      <c r="BD22" s="168">
        <f t="shared" si="16"/>
        <v>65923.89923963543</v>
      </c>
      <c r="BE22" s="168">
        <f t="shared" si="16"/>
        <v>65923.89923963543</v>
      </c>
      <c r="BF22" s="168">
        <f t="shared" si="16"/>
        <v>65923.89923963543</v>
      </c>
      <c r="BG22" s="168">
        <f t="shared" si="16"/>
        <v>65923.899239635386</v>
      </c>
      <c r="BH22" s="168">
        <f t="shared" si="16"/>
        <v>64195.125658176432</v>
      </c>
      <c r="BI22" s="168">
        <f t="shared" si="16"/>
        <v>64195.12565817649</v>
      </c>
      <c r="BJ22" s="168">
        <f t="shared" si="16"/>
        <v>64195.125658176432</v>
      </c>
      <c r="BK22" s="168">
        <f t="shared" si="16"/>
        <v>64195.125658176243</v>
      </c>
    </row>
    <row r="24" spans="2:65" ht="18">
      <c r="B24" s="158" t="s">
        <v>142</v>
      </c>
      <c r="C24" s="174"/>
      <c r="H24" s="168"/>
      <c r="I24" s="186"/>
      <c r="J24" s="186"/>
      <c r="K24" s="186"/>
      <c r="L24" s="186"/>
      <c r="M24" s="186"/>
      <c r="N24" s="186"/>
      <c r="O24" s="186"/>
      <c r="P24" s="186"/>
      <c r="Q24" s="186"/>
    </row>
    <row r="26" spans="2:65">
      <c r="B26" t="s">
        <v>141</v>
      </c>
      <c r="C26" s="156" t="s">
        <v>187</v>
      </c>
      <c r="G26" s="228">
        <f>Assumptions!E11</f>
        <v>1393</v>
      </c>
      <c r="H26" s="228">
        <f>Assumptions!F11</f>
        <v>1772</v>
      </c>
      <c r="I26" s="228">
        <f>Assumptions!G11</f>
        <v>1799</v>
      </c>
      <c r="J26" s="228">
        <f ca="1">Assumptions!H11</f>
        <v>2087.5</v>
      </c>
      <c r="K26" s="228">
        <f ca="1">Assumptions!I11</f>
        <v>2025</v>
      </c>
      <c r="L26" s="228">
        <f ca="1">Assumptions!J11</f>
        <v>1925</v>
      </c>
      <c r="M26" s="228">
        <f ca="1">Assumptions!K11</f>
        <v>1850</v>
      </c>
      <c r="N26" s="228">
        <f ca="1">Assumptions!L11</f>
        <v>1750</v>
      </c>
      <c r="O26" s="228">
        <f ca="1">N26</f>
        <v>1750</v>
      </c>
      <c r="P26" s="228">
        <f ca="1">O26</f>
        <v>1750</v>
      </c>
      <c r="Q26" s="228">
        <f ca="1">P26</f>
        <v>1750</v>
      </c>
      <c r="X26" s="267">
        <f>Assumptions!O11</f>
        <v>1577</v>
      </c>
      <c r="Y26" s="267">
        <f>Assumptions!P11</f>
        <v>1780</v>
      </c>
      <c r="Z26" s="267">
        <f>Assumptions!Q11</f>
        <v>1885</v>
      </c>
      <c r="AA26" s="267">
        <f>Assumptions!R11</f>
        <v>1898</v>
      </c>
      <c r="AB26" s="267">
        <f>Assumptions!S11</f>
        <v>1707</v>
      </c>
      <c r="AC26" s="267">
        <f>Assumptions!T11</f>
        <v>1770</v>
      </c>
      <c r="AD26" s="267">
        <f>Assumptions!U11</f>
        <v>1756</v>
      </c>
      <c r="AE26" s="267">
        <f>Assumptions!V11</f>
        <v>1829</v>
      </c>
      <c r="AF26" s="267">
        <f ca="1">Assumptions!W11</f>
        <v>2050</v>
      </c>
      <c r="AG26" s="267">
        <f ca="1">Assumptions!X11</f>
        <v>2100</v>
      </c>
      <c r="AH26" s="267">
        <f ca="1">Assumptions!Y11</f>
        <v>2100</v>
      </c>
      <c r="AI26" s="267">
        <f ca="1">Assumptions!Z11</f>
        <v>2100</v>
      </c>
      <c r="AJ26" s="267">
        <f ca="1">Assumptions!AA11</f>
        <v>2050</v>
      </c>
      <c r="AK26" s="267">
        <f ca="1">Assumptions!AB11</f>
        <v>2050</v>
      </c>
      <c r="AL26" s="267">
        <f ca="1">Assumptions!AC11</f>
        <v>2000</v>
      </c>
      <c r="AM26" s="267">
        <f ca="1">Assumptions!AD11</f>
        <v>2000</v>
      </c>
      <c r="AN26" s="267">
        <f ca="1">Assumptions!AE11</f>
        <v>1950</v>
      </c>
      <c r="AO26" s="267">
        <f ca="1">Assumptions!AF11</f>
        <v>1950</v>
      </c>
      <c r="AP26" s="267">
        <f ca="1">Assumptions!AG11</f>
        <v>1900</v>
      </c>
      <c r="AQ26" s="267">
        <f ca="1">Assumptions!AH11</f>
        <v>1900</v>
      </c>
      <c r="AR26" s="267">
        <f ca="1">Assumptions!AI11</f>
        <v>1850</v>
      </c>
      <c r="AS26" s="267">
        <f ca="1">Assumptions!AJ11</f>
        <v>1850</v>
      </c>
      <c r="AT26" s="267">
        <f ca="1">Assumptions!AK11</f>
        <v>1850</v>
      </c>
      <c r="AU26" s="267">
        <f ca="1">Assumptions!AL11</f>
        <v>1850</v>
      </c>
      <c r="AV26" s="267">
        <f ca="1">Assumptions!L11</f>
        <v>1750</v>
      </c>
      <c r="AW26" s="267">
        <f ca="1">AV26</f>
        <v>1750</v>
      </c>
      <c r="AX26" s="267">
        <f t="shared" ref="AX26:BK26" ca="1" si="17">AW26</f>
        <v>1750</v>
      </c>
      <c r="AY26" s="267">
        <f t="shared" ca="1" si="17"/>
        <v>1750</v>
      </c>
      <c r="AZ26" s="267">
        <f t="shared" ca="1" si="17"/>
        <v>1750</v>
      </c>
      <c r="BA26" s="267">
        <f t="shared" ca="1" si="17"/>
        <v>1750</v>
      </c>
      <c r="BB26" s="267">
        <f t="shared" ca="1" si="17"/>
        <v>1750</v>
      </c>
      <c r="BC26" s="267">
        <f t="shared" ca="1" si="17"/>
        <v>1750</v>
      </c>
      <c r="BD26" s="267">
        <f t="shared" ca="1" si="17"/>
        <v>1750</v>
      </c>
      <c r="BE26" s="267">
        <f t="shared" ca="1" si="17"/>
        <v>1750</v>
      </c>
      <c r="BF26" s="267">
        <f t="shared" ca="1" si="17"/>
        <v>1750</v>
      </c>
      <c r="BG26" s="267">
        <f t="shared" ca="1" si="17"/>
        <v>1750</v>
      </c>
      <c r="BH26" s="267">
        <f t="shared" ca="1" si="17"/>
        <v>1750</v>
      </c>
      <c r="BI26" s="267">
        <f t="shared" ca="1" si="17"/>
        <v>1750</v>
      </c>
      <c r="BJ26" s="267">
        <f t="shared" ca="1" si="17"/>
        <v>1750</v>
      </c>
      <c r="BK26" s="267">
        <f t="shared" ca="1" si="17"/>
        <v>1750</v>
      </c>
    </row>
    <row r="28" spans="2:65">
      <c r="B28" s="188" t="s">
        <v>7</v>
      </c>
      <c r="C28" s="244" t="s">
        <v>161</v>
      </c>
      <c r="D28" s="188"/>
      <c r="E28" s="245">
        <v>77188</v>
      </c>
      <c r="F28" s="245">
        <v>351129</v>
      </c>
      <c r="G28" s="245">
        <v>316148</v>
      </c>
      <c r="H28" s="245">
        <v>494045</v>
      </c>
      <c r="I28" s="266">
        <f ca="1">SUM(OFFSET($T$28,,(COLUMNS($I$28:I28)-1)*4,,4))</f>
        <v>316148</v>
      </c>
      <c r="J28" s="266">
        <f ca="1">SUM(OFFSET($T$28,,(COLUMNS($I$28:J28)-1)*4,,4))</f>
        <v>494045</v>
      </c>
      <c r="K28" s="266">
        <f ca="1">SUM(OFFSET($T$28,,(COLUMNS($I$28:K28)-1)*4,,4))</f>
        <v>529788.44495284802</v>
      </c>
      <c r="L28" s="266">
        <f ca="1">SUM(OFFSET($T$28,,(COLUMNS($I$28:L28)-1)*4,,4))</f>
        <v>622640.85567686777</v>
      </c>
      <c r="M28" s="266">
        <f ca="1">SUM(OFFSET($T$28,,(COLUMNS($I$28:M28)-1)*4,,4))</f>
        <v>603998.91389013536</v>
      </c>
      <c r="N28" s="266">
        <f ca="1">SUM(OFFSET($T$28,,(COLUMNS($I$28:N28)-1)*4,,4))</f>
        <v>560860.25045412907</v>
      </c>
      <c r="O28" s="266">
        <f ca="1">SUM(OFFSET($T$28,,(COLUMNS($I$28:O28)-1)*4,,4))</f>
        <v>526215.62788169144</v>
      </c>
      <c r="P28" s="266">
        <f ca="1">SUM(OFFSET($T$28,,(COLUMNS($I$28:P28)-1)*4,,4))</f>
        <v>485670.12481787347</v>
      </c>
      <c r="Q28" s="266">
        <f ca="1">SUM(OFFSET($T$28,,(COLUMNS($I$28:Q28)-1)*4,,4))</f>
        <v>473568.70974766056</v>
      </c>
      <c r="T28" s="245">
        <v>77503</v>
      </c>
      <c r="U28" s="245">
        <v>71013</v>
      </c>
      <c r="V28" s="245">
        <v>86289</v>
      </c>
      <c r="W28" s="245">
        <v>81343</v>
      </c>
      <c r="X28" s="245">
        <v>88836</v>
      </c>
      <c r="Y28" s="245">
        <v>100189</v>
      </c>
      <c r="Z28" s="245">
        <v>115721</v>
      </c>
      <c r="AA28" s="245">
        <v>189299</v>
      </c>
      <c r="AB28" s="245">
        <v>118521</v>
      </c>
      <c r="AC28" s="245">
        <v>137549</v>
      </c>
      <c r="AD28" s="245">
        <v>134401</v>
      </c>
      <c r="AE28" s="266">
        <f t="shared" ref="AE28:AK28" si="18">AE22*AE26/1000</f>
        <v>139317.44495284802</v>
      </c>
      <c r="AF28" s="266">
        <f t="shared" ca="1" si="18"/>
        <v>152863.9226512071</v>
      </c>
      <c r="AG28" s="266">
        <f t="shared" ca="1" si="18"/>
        <v>156592.3110085536</v>
      </c>
      <c r="AH28" s="266">
        <f t="shared" ca="1" si="18"/>
        <v>156592.31100855354</v>
      </c>
      <c r="AI28" s="266">
        <f t="shared" ca="1" si="18"/>
        <v>156592.3110085536</v>
      </c>
      <c r="AJ28" s="266">
        <f t="shared" ca="1" si="18"/>
        <v>152863.9226512071</v>
      </c>
      <c r="AK28" s="266">
        <f t="shared" ca="1" si="18"/>
        <v>152863.9226512071</v>
      </c>
      <c r="AL28" s="266">
        <f t="shared" ref="AL28:BK28" ca="1" si="19">AL22*AL26/1000</f>
        <v>149135.53429386058</v>
      </c>
      <c r="AM28" s="266">
        <f t="shared" ca="1" si="19"/>
        <v>149135.53429386058</v>
      </c>
      <c r="AN28" s="266">
        <f t="shared" ca="1" si="19"/>
        <v>142036.03745266906</v>
      </c>
      <c r="AO28" s="266">
        <f t="shared" ca="1" si="19"/>
        <v>142036.03745266906</v>
      </c>
      <c r="AP28" s="266">
        <f t="shared" ca="1" si="19"/>
        <v>138394.08777439548</v>
      </c>
      <c r="AQ28" s="266">
        <f t="shared" ca="1" si="19"/>
        <v>138394.08777439548</v>
      </c>
      <c r="AR28" s="266">
        <f t="shared" ca="1" si="19"/>
        <v>131553.90697042286</v>
      </c>
      <c r="AS28" s="266">
        <f t="shared" ca="1" si="19"/>
        <v>131553.90697042289</v>
      </c>
      <c r="AT28" s="266">
        <f t="shared" ca="1" si="19"/>
        <v>131553.90697042286</v>
      </c>
      <c r="AU28" s="266">
        <f t="shared" ca="1" si="19"/>
        <v>131553.90697042283</v>
      </c>
      <c r="AV28" s="266">
        <f t="shared" ca="1" si="19"/>
        <v>121417.53120446837</v>
      </c>
      <c r="AW28" s="266">
        <f t="shared" ca="1" si="19"/>
        <v>121417.5312044684</v>
      </c>
      <c r="AX28" s="266">
        <f t="shared" ca="1" si="19"/>
        <v>121417.53120446837</v>
      </c>
      <c r="AY28" s="266">
        <f t="shared" ca="1" si="19"/>
        <v>121417.53120446834</v>
      </c>
      <c r="AZ28" s="266">
        <f t="shared" ca="1" si="19"/>
        <v>118392.17743691514</v>
      </c>
      <c r="BA28" s="266">
        <f t="shared" ca="1" si="19"/>
        <v>118392.1774369152</v>
      </c>
      <c r="BB28" s="266">
        <f t="shared" ca="1" si="19"/>
        <v>118392.17743691514</v>
      </c>
      <c r="BC28" s="266">
        <f t="shared" ca="1" si="19"/>
        <v>118392.1774369151</v>
      </c>
      <c r="BD28" s="266">
        <f t="shared" ca="1" si="19"/>
        <v>115366.82366936201</v>
      </c>
      <c r="BE28" s="266">
        <f t="shared" ca="1" si="19"/>
        <v>115366.82366936201</v>
      </c>
      <c r="BF28" s="266">
        <f t="shared" ca="1" si="19"/>
        <v>115366.82366936201</v>
      </c>
      <c r="BG28" s="266">
        <f t="shared" ca="1" si="19"/>
        <v>115366.82366936193</v>
      </c>
      <c r="BH28" s="266">
        <f t="shared" ca="1" si="19"/>
        <v>112341.46990180876</v>
      </c>
      <c r="BI28" s="266">
        <f t="shared" ca="1" si="19"/>
        <v>112341.46990180886</v>
      </c>
      <c r="BJ28" s="266">
        <f t="shared" ca="1" si="19"/>
        <v>112341.46990180876</v>
      </c>
      <c r="BK28" s="266">
        <f t="shared" ca="1" si="19"/>
        <v>112341.46990180842</v>
      </c>
    </row>
    <row r="29" spans="2:65">
      <c r="B29" s="156" t="s">
        <v>162</v>
      </c>
      <c r="C29" s="196" t="s">
        <v>161</v>
      </c>
      <c r="E29" s="198">
        <v>-11826</v>
      </c>
      <c r="F29" s="198">
        <v>-126732</v>
      </c>
      <c r="G29" s="198">
        <v>-158938</v>
      </c>
      <c r="H29" s="198">
        <v>-156608</v>
      </c>
      <c r="I29" s="254">
        <f ca="1">SUM(OFFSET($T$29,,(COLUMNS($I$29:I29)-1)*4,,4))</f>
        <v>-158938</v>
      </c>
      <c r="J29" s="254">
        <f ca="1">SUM(OFFSET($T$29,,(COLUMNS($I$29:J29)-1)*4,,4))</f>
        <v>-156608</v>
      </c>
      <c r="K29" s="254">
        <f ca="1">SUM(OFFSET($T$29,,(COLUMNS($I$29:K29)-1)*4,,4))</f>
        <v>-164281.79999999999</v>
      </c>
      <c r="L29" s="254">
        <f ca="1">SUM(OFFSET($T$29,,(COLUMNS($I$29:L29)-1)*4,,4))</f>
        <v>-192991.63560975611</v>
      </c>
      <c r="M29" s="254">
        <f ca="1">SUM(OFFSET($T$29,,(COLUMNS($I$29:M29)-1)*4,,4))</f>
        <v>-187213.4429268293</v>
      </c>
      <c r="N29" s="254">
        <f ca="1">SUM(OFFSET($T$29,,(COLUMNS($I$29:N29)-1)*4,,4))</f>
        <v>-173842.32996720323</v>
      </c>
      <c r="O29" s="254">
        <f ca="1">SUM(OFFSET($T$29,,(COLUMNS($I$29:O29)-1)*4,,4))</f>
        <v>-163104.00093791238</v>
      </c>
      <c r="P29" s="254">
        <f ca="1">SUM(OFFSET($T$29,,(COLUMNS($I$29:P29)-1)*4,,4))</f>
        <v>-150536.65512119725</v>
      </c>
      <c r="Q29" s="254">
        <f ca="1">SUM(OFFSET($T$29,,(COLUMNS($I$29:Q29)-1)*4,,4))</f>
        <v>-146785.74178761255</v>
      </c>
      <c r="T29" s="198">
        <v>-38007</v>
      </c>
      <c r="U29" s="198">
        <v>-33688</v>
      </c>
      <c r="V29" s="198">
        <v>-41517</v>
      </c>
      <c r="W29" s="198">
        <f>-39602-6124</f>
        <v>-45726</v>
      </c>
      <c r="X29" s="198">
        <v>-42103</v>
      </c>
      <c r="Y29" s="198">
        <v>-36304</v>
      </c>
      <c r="Z29" s="198">
        <v>-37353</v>
      </c>
      <c r="AA29" s="198">
        <v>-40848</v>
      </c>
      <c r="AB29" s="198">
        <v>-40494</v>
      </c>
      <c r="AC29" s="198">
        <v>-41556</v>
      </c>
      <c r="AD29" s="198">
        <v>-39158</v>
      </c>
      <c r="AE29" s="89">
        <f t="shared" ref="AE29:BK29" si="20">IF(AE31=0,(-AD29/AD28)*-AE28,AD29*(1+AE31))</f>
        <v>-43073.8</v>
      </c>
      <c r="AF29" s="89">
        <f t="shared" si="20"/>
        <v>-47381.180000000008</v>
      </c>
      <c r="AG29" s="89">
        <f t="shared" ca="1" si="20"/>
        <v>-48536.818536585371</v>
      </c>
      <c r="AH29" s="89">
        <f t="shared" ca="1" si="20"/>
        <v>-48536.818536585357</v>
      </c>
      <c r="AI29" s="89">
        <f t="shared" ca="1" si="20"/>
        <v>-48536.818536585371</v>
      </c>
      <c r="AJ29" s="89">
        <f t="shared" ca="1" si="20"/>
        <v>-47381.180000000008</v>
      </c>
      <c r="AK29" s="89">
        <f t="shared" ca="1" si="20"/>
        <v>-47381.180000000008</v>
      </c>
      <c r="AL29" s="89">
        <f t="shared" ca="1" si="20"/>
        <v>-46225.541463414644</v>
      </c>
      <c r="AM29" s="89">
        <f t="shared" ca="1" si="20"/>
        <v>-46225.541463414644</v>
      </c>
      <c r="AN29" s="89">
        <f t="shared" ca="1" si="20"/>
        <v>-44025.005641044976</v>
      </c>
      <c r="AO29" s="89">
        <f t="shared" ca="1" si="20"/>
        <v>-44025.005641044976</v>
      </c>
      <c r="AP29" s="89">
        <f t="shared" ca="1" si="20"/>
        <v>-42896.159342556639</v>
      </c>
      <c r="AQ29" s="89">
        <f t="shared" ca="1" si="20"/>
        <v>-42896.159342556639</v>
      </c>
      <c r="AR29" s="89">
        <f t="shared" ca="1" si="20"/>
        <v>-40776.000234478088</v>
      </c>
      <c r="AS29" s="89">
        <f t="shared" ca="1" si="20"/>
        <v>-40776.000234478102</v>
      </c>
      <c r="AT29" s="89">
        <f t="shared" ca="1" si="20"/>
        <v>-40776.000234478088</v>
      </c>
      <c r="AU29" s="89">
        <f t="shared" ca="1" si="20"/>
        <v>-40776.000234478081</v>
      </c>
      <c r="AV29" s="89">
        <f t="shared" ca="1" si="20"/>
        <v>-37634.163780299314</v>
      </c>
      <c r="AW29" s="89">
        <f t="shared" ca="1" si="20"/>
        <v>-37634.163780299321</v>
      </c>
      <c r="AX29" s="89">
        <f t="shared" ca="1" si="20"/>
        <v>-37634.163780299314</v>
      </c>
      <c r="AY29" s="89">
        <f t="shared" ca="1" si="20"/>
        <v>-37634.163780299299</v>
      </c>
      <c r="AZ29" s="89">
        <f t="shared" ca="1" si="20"/>
        <v>-36696.435446903139</v>
      </c>
      <c r="BA29" s="89">
        <f t="shared" ca="1" si="20"/>
        <v>-36696.43544690316</v>
      </c>
      <c r="BB29" s="89">
        <f t="shared" ca="1" si="20"/>
        <v>-36696.435446903139</v>
      </c>
      <c r="BC29" s="89">
        <f t="shared" ca="1" si="20"/>
        <v>-36696.435446903124</v>
      </c>
      <c r="BD29" s="89">
        <f t="shared" ca="1" si="20"/>
        <v>-35758.707113507</v>
      </c>
      <c r="BE29" s="89">
        <f t="shared" ca="1" si="20"/>
        <v>-35758.707113507</v>
      </c>
      <c r="BF29" s="89">
        <f t="shared" ca="1" si="20"/>
        <v>-35758.707113507</v>
      </c>
      <c r="BG29" s="89">
        <f t="shared" ca="1" si="20"/>
        <v>-35758.707113506971</v>
      </c>
      <c r="BH29" s="89">
        <f t="shared" ca="1" si="20"/>
        <v>-34820.978780110818</v>
      </c>
      <c r="BI29" s="89">
        <f t="shared" ca="1" si="20"/>
        <v>-34820.978780110854</v>
      </c>
      <c r="BJ29" s="89">
        <f t="shared" ca="1" si="20"/>
        <v>-34820.978780110825</v>
      </c>
      <c r="BK29" s="89">
        <f t="shared" ca="1" si="20"/>
        <v>-34820.978780110723</v>
      </c>
    </row>
    <row r="30" spans="2:65">
      <c r="B30" s="242" t="s">
        <v>223</v>
      </c>
      <c r="C30" s="159" t="s">
        <v>140</v>
      </c>
      <c r="E30" s="198"/>
      <c r="F30" s="259">
        <f>F29/E29-1</f>
        <v>9.7163876204972102</v>
      </c>
      <c r="G30" s="259">
        <f>G29/F29-1</f>
        <v>0.2541268187987249</v>
      </c>
      <c r="H30" s="259">
        <f>H29/G29-1</f>
        <v>-1.4659804452050507E-2</v>
      </c>
      <c r="I30" s="259">
        <f t="shared" ref="I30:Q30" ca="1" si="21">I29/H29-1</f>
        <v>1.4877911728647275E-2</v>
      </c>
      <c r="J30" s="259">
        <f t="shared" ca="1" si="21"/>
        <v>-1.4659804452050507E-2</v>
      </c>
      <c r="K30" s="259">
        <f t="shared" ca="1" si="21"/>
        <v>4.9000051082958684E-2</v>
      </c>
      <c r="L30" s="259">
        <f t="shared" ca="1" si="21"/>
        <v>0.1747596849423132</v>
      </c>
      <c r="M30" s="259">
        <f t="shared" ca="1" si="21"/>
        <v>-2.9940119760478945E-2</v>
      </c>
      <c r="N30" s="259">
        <f t="shared" ca="1" si="21"/>
        <v>-7.142175663556416E-2</v>
      </c>
      <c r="O30" s="259">
        <f t="shared" ca="1" si="21"/>
        <v>-6.177050797303929E-2</v>
      </c>
      <c r="P30" s="259">
        <f t="shared" ca="1" si="21"/>
        <v>-7.7051119190503781E-2</v>
      </c>
      <c r="Q30" s="259">
        <f t="shared" ca="1" si="21"/>
        <v>-2.4916943521595014E-2</v>
      </c>
      <c r="T30" s="198"/>
      <c r="U30" s="198"/>
      <c r="X30" s="259">
        <f t="shared" ref="X30:BK30" si="22">X29/T29-1</f>
        <v>0.10776962138553414</v>
      </c>
      <c r="Y30" s="259">
        <f t="shared" si="22"/>
        <v>7.7653763951555543E-2</v>
      </c>
      <c r="Z30" s="259">
        <f t="shared" si="22"/>
        <v>-0.10029626418093796</v>
      </c>
      <c r="AA30" s="259">
        <f t="shared" si="22"/>
        <v>-0.1066789135284083</v>
      </c>
      <c r="AB30" s="259">
        <f t="shared" si="22"/>
        <v>-3.8215804099470341E-2</v>
      </c>
      <c r="AC30" s="259">
        <f t="shared" si="22"/>
        <v>0.14466725429704708</v>
      </c>
      <c r="AD30" s="259">
        <f t="shared" si="22"/>
        <v>4.8322758546836875E-2</v>
      </c>
      <c r="AE30" s="259">
        <f t="shared" si="22"/>
        <v>5.4489815902859506E-2</v>
      </c>
      <c r="AF30" s="259">
        <f t="shared" si="22"/>
        <v>0.17007902405294639</v>
      </c>
      <c r="AG30" s="259">
        <f t="shared" ca="1" si="22"/>
        <v>0.16798581520322875</v>
      </c>
      <c r="AH30" s="259">
        <f t="shared" ca="1" si="22"/>
        <v>0.23951219512195099</v>
      </c>
      <c r="AI30" s="259">
        <f t="shared" ca="1" si="22"/>
        <v>0.12682926829268304</v>
      </c>
      <c r="AJ30" s="259">
        <f t="shared" ca="1" si="22"/>
        <v>0</v>
      </c>
      <c r="AK30" s="259">
        <f t="shared" ca="1" si="22"/>
        <v>-2.3809523809523725E-2</v>
      </c>
      <c r="AL30" s="259">
        <f t="shared" ca="1" si="22"/>
        <v>-4.7619047619047228E-2</v>
      </c>
      <c r="AM30" s="259">
        <f t="shared" ca="1" si="22"/>
        <v>-4.7619047619047561E-2</v>
      </c>
      <c r="AN30" s="259">
        <f t="shared" ca="1" si="22"/>
        <v>-7.0833490406001509E-2</v>
      </c>
      <c r="AO30" s="259">
        <f t="shared" ca="1" si="22"/>
        <v>-7.0833490406001509E-2</v>
      </c>
      <c r="AP30" s="259">
        <f t="shared" ca="1" si="22"/>
        <v>-7.2024729520865804E-2</v>
      </c>
      <c r="AQ30" s="259">
        <f t="shared" ca="1" si="22"/>
        <v>-7.2024729520865804E-2</v>
      </c>
      <c r="AR30" s="259">
        <f t="shared" ca="1" si="22"/>
        <v>-7.3799091204154399E-2</v>
      </c>
      <c r="AS30" s="259">
        <f t="shared" ca="1" si="22"/>
        <v>-7.3799091204154066E-2</v>
      </c>
      <c r="AT30" s="259">
        <f t="shared" ca="1" si="22"/>
        <v>-4.9425383077947749E-2</v>
      </c>
      <c r="AU30" s="259">
        <f t="shared" ca="1" si="22"/>
        <v>-4.9425383077947971E-2</v>
      </c>
      <c r="AV30" s="259">
        <f t="shared" ca="1" si="22"/>
        <v>-7.7051119190503559E-2</v>
      </c>
      <c r="AW30" s="259">
        <f t="shared" ca="1" si="22"/>
        <v>-7.7051119190503781E-2</v>
      </c>
      <c r="AX30" s="259">
        <f t="shared" ca="1" si="22"/>
        <v>-7.7051119190503559E-2</v>
      </c>
      <c r="AY30" s="259">
        <f t="shared" ca="1" si="22"/>
        <v>-7.7051119190503781E-2</v>
      </c>
      <c r="AZ30" s="259">
        <f t="shared" ca="1" si="22"/>
        <v>-2.4916943521595014E-2</v>
      </c>
      <c r="BA30" s="259">
        <f t="shared" ca="1" si="22"/>
        <v>-2.4916943521594681E-2</v>
      </c>
      <c r="BB30" s="259">
        <f t="shared" ca="1" si="22"/>
        <v>-2.4916943521595014E-2</v>
      </c>
      <c r="BC30" s="259">
        <f t="shared" ca="1" si="22"/>
        <v>-2.4916943521595014E-2</v>
      </c>
      <c r="BD30" s="259">
        <f t="shared" ca="1" si="22"/>
        <v>-2.5553662691651824E-2</v>
      </c>
      <c r="BE30" s="259">
        <f t="shared" ca="1" si="22"/>
        <v>-2.5553662691652379E-2</v>
      </c>
      <c r="BF30" s="259">
        <f t="shared" ca="1" si="22"/>
        <v>-2.5553662691651824E-2</v>
      </c>
      <c r="BG30" s="259">
        <f t="shared" ca="1" si="22"/>
        <v>-2.5553662691652268E-2</v>
      </c>
      <c r="BH30" s="259">
        <f t="shared" ca="1" si="22"/>
        <v>-2.6223776223776807E-2</v>
      </c>
      <c r="BI30" s="259">
        <f t="shared" ca="1" si="22"/>
        <v>-2.6223776223775808E-2</v>
      </c>
      <c r="BJ30" s="259">
        <f t="shared" ca="1" si="22"/>
        <v>-2.6223776223776585E-2</v>
      </c>
      <c r="BK30" s="259">
        <f t="shared" ca="1" si="22"/>
        <v>-2.6223776223778583E-2</v>
      </c>
    </row>
    <row r="31" spans="2:65">
      <c r="B31" s="242" t="s">
        <v>240</v>
      </c>
      <c r="C31" s="159" t="s">
        <v>140</v>
      </c>
      <c r="H31" s="259"/>
      <c r="I31" s="260"/>
      <c r="J31" s="260"/>
      <c r="K31" s="260"/>
      <c r="L31" s="260"/>
      <c r="M31" s="260"/>
      <c r="N31" s="260"/>
      <c r="O31" s="260"/>
      <c r="P31" s="260"/>
      <c r="Q31" s="260"/>
      <c r="AE31" s="275">
        <v>0.1</v>
      </c>
      <c r="AF31" s="276">
        <v>0.1</v>
      </c>
      <c r="AG31" s="249"/>
      <c r="AH31" s="249"/>
      <c r="AI31" s="261"/>
    </row>
    <row r="32" spans="2:65">
      <c r="B32" s="243" t="s">
        <v>178</v>
      </c>
      <c r="C32" s="156" t="s">
        <v>140</v>
      </c>
      <c r="E32" s="240">
        <f>-E33/E28</f>
        <v>5.9529978753174069E-2</v>
      </c>
      <c r="F32" s="240">
        <f>-F33/F28</f>
        <v>6.2116771898646936E-2</v>
      </c>
      <c r="G32" s="240">
        <f>-G33/G28</f>
        <v>6.7952351430342756E-2</v>
      </c>
      <c r="H32" s="240">
        <f>-H33/H28</f>
        <v>7.8460464127761642E-2</v>
      </c>
      <c r="I32" s="240">
        <f ca="1">-I33/I28</f>
        <v>6.7952351430342756E-2</v>
      </c>
      <c r="J32" s="240">
        <f t="shared" ref="J32:Q32" ca="1" si="23">-J33/J28</f>
        <v>7.8460464127761642E-2</v>
      </c>
      <c r="K32" s="240">
        <f t="shared" ca="1" si="23"/>
        <v>6.5504192235095612E-2</v>
      </c>
      <c r="L32" s="240">
        <f t="shared" ca="1" si="23"/>
        <v>6.2628742514970068E-2</v>
      </c>
      <c r="M32" s="240">
        <f t="shared" ca="1" si="23"/>
        <v>6.3E-2</v>
      </c>
      <c r="N32" s="240">
        <f t="shared" ca="1" si="23"/>
        <v>6.1506493506493516E-2</v>
      </c>
      <c r="O32" s="240">
        <f t="shared" ca="1" si="23"/>
        <v>6.0999999999999999E-2</v>
      </c>
      <c r="P32" s="240">
        <f t="shared" ca="1" si="23"/>
        <v>0.06</v>
      </c>
      <c r="Q32" s="240">
        <f t="shared" ca="1" si="23"/>
        <v>0.06</v>
      </c>
      <c r="T32" s="240">
        <f t="shared" ref="T32:AD32" si="24">-T33/T28</f>
        <v>6.8036076022863629E-2</v>
      </c>
      <c r="U32" s="240">
        <f t="shared" si="24"/>
        <v>6.294622111444384E-2</v>
      </c>
      <c r="V32" s="240">
        <f t="shared" si="24"/>
        <v>7.0008923501257397E-2</v>
      </c>
      <c r="W32" s="240">
        <f t="shared" si="24"/>
        <v>7.0061345167992325E-2</v>
      </c>
      <c r="X32" s="240">
        <f t="shared" si="24"/>
        <v>7.9978837408257911E-2</v>
      </c>
      <c r="Y32" s="240">
        <f t="shared" si="24"/>
        <v>8.0098613620257719E-2</v>
      </c>
      <c r="Z32" s="240">
        <f t="shared" si="24"/>
        <v>8.2232265535209681E-2</v>
      </c>
      <c r="AA32" s="240">
        <f t="shared" si="24"/>
        <v>7.4575143027696925E-2</v>
      </c>
      <c r="AB32" s="240">
        <f t="shared" si="24"/>
        <v>9.291180465908995E-2</v>
      </c>
      <c r="AC32" s="240">
        <f t="shared" si="24"/>
        <v>4.945873834051865E-2</v>
      </c>
      <c r="AD32" s="240">
        <f t="shared" si="24"/>
        <v>6.2425130765396089E-2</v>
      </c>
      <c r="AE32" s="241">
        <v>6.0999999999999999E-2</v>
      </c>
      <c r="AF32" s="241">
        <v>6.2E-2</v>
      </c>
      <c r="AG32" s="241">
        <v>6.25E-2</v>
      </c>
      <c r="AH32" s="241">
        <v>6.3E-2</v>
      </c>
      <c r="AI32" s="241">
        <v>6.3E-2</v>
      </c>
      <c r="AJ32" s="241">
        <v>6.3E-2</v>
      </c>
      <c r="AK32" s="241">
        <v>6.3E-2</v>
      </c>
      <c r="AL32" s="241">
        <v>6.3E-2</v>
      </c>
      <c r="AM32" s="241">
        <v>6.3E-2</v>
      </c>
      <c r="AN32" s="241">
        <v>6.2E-2</v>
      </c>
      <c r="AO32" s="241">
        <v>6.2E-2</v>
      </c>
      <c r="AP32" s="241">
        <v>6.0999999999999999E-2</v>
      </c>
      <c r="AQ32" s="241">
        <v>6.0999999999999999E-2</v>
      </c>
      <c r="AR32" s="241">
        <v>6.0999999999999999E-2</v>
      </c>
      <c r="AS32" s="241">
        <v>6.0999999999999999E-2</v>
      </c>
      <c r="AT32" s="241">
        <v>6.0999999999999999E-2</v>
      </c>
      <c r="AU32" s="241">
        <v>6.0999999999999999E-2</v>
      </c>
      <c r="AV32" s="241">
        <v>0.06</v>
      </c>
      <c r="AW32" s="241">
        <v>0.06</v>
      </c>
      <c r="AX32" s="241">
        <v>0.06</v>
      </c>
      <c r="AY32" s="241">
        <v>0.06</v>
      </c>
      <c r="AZ32" s="241">
        <v>0.06</v>
      </c>
      <c r="BA32" s="241">
        <v>0.06</v>
      </c>
      <c r="BB32" s="241">
        <v>0.06</v>
      </c>
      <c r="BC32" s="241">
        <v>0.06</v>
      </c>
      <c r="BD32" s="241">
        <v>0.06</v>
      </c>
      <c r="BE32" s="241">
        <v>0.06</v>
      </c>
      <c r="BF32" s="241">
        <v>0.06</v>
      </c>
      <c r="BG32" s="241">
        <v>0.06</v>
      </c>
      <c r="BH32" s="241">
        <v>0.06</v>
      </c>
      <c r="BI32" s="241">
        <v>0.06</v>
      </c>
      <c r="BJ32" s="241">
        <v>0.06</v>
      </c>
      <c r="BK32" s="241">
        <v>0.06</v>
      </c>
      <c r="BM32" s="156"/>
    </row>
    <row r="33" spans="2:63">
      <c r="B33" s="156" t="s">
        <v>192</v>
      </c>
      <c r="C33" s="196" t="s">
        <v>161</v>
      </c>
      <c r="E33" s="198">
        <v>-4595</v>
      </c>
      <c r="F33" s="198">
        <v>-21811</v>
      </c>
      <c r="G33" s="198">
        <v>-21483</v>
      </c>
      <c r="H33" s="198">
        <v>-38763</v>
      </c>
      <c r="I33" s="89">
        <f ca="1">SUM(OFFSET($T$33,,(COLUMNS($I$33:I33)-1)*4,,4))</f>
        <v>-21483</v>
      </c>
      <c r="J33" s="89">
        <f ca="1">SUM(OFFSET($T$33,,(COLUMNS($I$33:J33)-1)*4,,4))</f>
        <v>-38763</v>
      </c>
      <c r="K33" s="89">
        <f ca="1">SUM(OFFSET($T$33,,(COLUMNS($I$33:K33)-1)*4,,4))</f>
        <v>-34703.364142123726</v>
      </c>
      <c r="L33" s="89">
        <f ca="1">SUM(OFFSET($T$33,,(COLUMNS($I$33:L33)-1)*4,,4))</f>
        <v>-38995.213829487191</v>
      </c>
      <c r="M33" s="89">
        <f ca="1">SUM(OFFSET($T$33,,(COLUMNS($I$33:M33)-1)*4,,4))</f>
        <v>-38051.931575078524</v>
      </c>
      <c r="N33" s="89">
        <f ca="1">SUM(OFFSET($T$33,,(COLUMNS($I$33:N33)-1)*4,,4))</f>
        <v>-34496.547352607216</v>
      </c>
      <c r="O33" s="89">
        <f ca="1">SUM(OFFSET($T$33,,(COLUMNS($I$33:O33)-1)*4,,4))</f>
        <v>-32099.153300783179</v>
      </c>
      <c r="P33" s="89">
        <f ca="1">SUM(OFFSET($T$33,,(COLUMNS($I$33:P33)-1)*4,,4))</f>
        <v>-29140.207489072407</v>
      </c>
      <c r="Q33" s="89">
        <f ca="1">SUM(OFFSET($T$33,,(COLUMNS($I$33:Q33)-1)*4,,4))</f>
        <v>-28414.122584859633</v>
      </c>
      <c r="T33" s="198">
        <v>-5273</v>
      </c>
      <c r="U33" s="198">
        <v>-4470</v>
      </c>
      <c r="V33" s="198">
        <v>-6041</v>
      </c>
      <c r="W33" s="198">
        <v>-5699</v>
      </c>
      <c r="X33" s="198">
        <v>-7105</v>
      </c>
      <c r="Y33" s="198">
        <v>-8025</v>
      </c>
      <c r="Z33" s="198">
        <v>-9516</v>
      </c>
      <c r="AA33" s="198">
        <v>-14117</v>
      </c>
      <c r="AB33" s="198">
        <v>-11012</v>
      </c>
      <c r="AC33" s="198">
        <v>-6803</v>
      </c>
      <c r="AD33" s="198">
        <v>-8390</v>
      </c>
      <c r="AE33" s="89">
        <f t="shared" ref="AE33:BK33" si="25">-AE28*AE32</f>
        <v>-8498.364142123728</v>
      </c>
      <c r="AF33" s="89">
        <f t="shared" ca="1" si="25"/>
        <v>-9477.563204374841</v>
      </c>
      <c r="AG33" s="89">
        <f t="shared" ca="1" si="25"/>
        <v>-9787.0194380346002</v>
      </c>
      <c r="AH33" s="89">
        <f t="shared" ca="1" si="25"/>
        <v>-9865.3155935388731</v>
      </c>
      <c r="AI33" s="89">
        <f t="shared" ca="1" si="25"/>
        <v>-9865.3155935388768</v>
      </c>
      <c r="AJ33" s="89">
        <f t="shared" ca="1" si="25"/>
        <v>-9630.4271270260469</v>
      </c>
      <c r="AK33" s="89">
        <f t="shared" ca="1" si="25"/>
        <v>-9630.4271270260469</v>
      </c>
      <c r="AL33" s="89">
        <f t="shared" ca="1" si="25"/>
        <v>-9395.5386605132171</v>
      </c>
      <c r="AM33" s="89">
        <f t="shared" ca="1" si="25"/>
        <v>-9395.5386605132171</v>
      </c>
      <c r="AN33" s="89">
        <f t="shared" ca="1" si="25"/>
        <v>-8806.234322065482</v>
      </c>
      <c r="AO33" s="89">
        <f t="shared" ca="1" si="25"/>
        <v>-8806.234322065482</v>
      </c>
      <c r="AP33" s="89">
        <f t="shared" ca="1" si="25"/>
        <v>-8442.0393542381244</v>
      </c>
      <c r="AQ33" s="89">
        <f t="shared" ca="1" si="25"/>
        <v>-8442.0393542381244</v>
      </c>
      <c r="AR33" s="89">
        <f t="shared" ca="1" si="25"/>
        <v>-8024.7883251957946</v>
      </c>
      <c r="AS33" s="89">
        <f t="shared" ca="1" si="25"/>
        <v>-8024.7883251957965</v>
      </c>
      <c r="AT33" s="89">
        <f t="shared" ca="1" si="25"/>
        <v>-8024.7883251957946</v>
      </c>
      <c r="AU33" s="89">
        <f t="shared" ca="1" si="25"/>
        <v>-8024.7883251957928</v>
      </c>
      <c r="AV33" s="89">
        <f t="shared" ca="1" si="25"/>
        <v>-7285.0518722681018</v>
      </c>
      <c r="AW33" s="89">
        <f t="shared" ca="1" si="25"/>
        <v>-7285.0518722681036</v>
      </c>
      <c r="AX33" s="89">
        <f t="shared" ca="1" si="25"/>
        <v>-7285.0518722681018</v>
      </c>
      <c r="AY33" s="89">
        <f t="shared" ca="1" si="25"/>
        <v>-7285.0518722680999</v>
      </c>
      <c r="AZ33" s="89">
        <f t="shared" ca="1" si="25"/>
        <v>-7103.5306462149083</v>
      </c>
      <c r="BA33" s="89">
        <f t="shared" ca="1" si="25"/>
        <v>-7103.5306462149119</v>
      </c>
      <c r="BB33" s="89">
        <f t="shared" ca="1" si="25"/>
        <v>-7103.5306462149083</v>
      </c>
      <c r="BC33" s="89">
        <f t="shared" ca="1" si="25"/>
        <v>-7103.5306462149056</v>
      </c>
      <c r="BD33" s="89">
        <f t="shared" ca="1" si="25"/>
        <v>-6922.0094201617203</v>
      </c>
      <c r="BE33" s="89">
        <f t="shared" ca="1" si="25"/>
        <v>-6922.0094201617203</v>
      </c>
      <c r="BF33" s="89">
        <f t="shared" ca="1" si="25"/>
        <v>-6922.0094201617203</v>
      </c>
      <c r="BG33" s="89">
        <f t="shared" ca="1" si="25"/>
        <v>-6922.0094201617148</v>
      </c>
      <c r="BH33" s="89">
        <f t="shared" ca="1" si="25"/>
        <v>-6740.488194108525</v>
      </c>
      <c r="BI33" s="89">
        <f t="shared" ca="1" si="25"/>
        <v>-6740.4881941085314</v>
      </c>
      <c r="BJ33" s="89">
        <f t="shared" ca="1" si="25"/>
        <v>-6740.488194108525</v>
      </c>
      <c r="BK33" s="89">
        <f t="shared" ca="1" si="25"/>
        <v>-6740.488194108505</v>
      </c>
    </row>
    <row r="34" spans="2:63">
      <c r="B34" s="156" t="s">
        <v>180</v>
      </c>
      <c r="C34" s="196" t="s">
        <v>161</v>
      </c>
      <c r="E34" s="258">
        <v>0</v>
      </c>
      <c r="F34" s="198">
        <v>-1241</v>
      </c>
      <c r="G34" s="168">
        <v>7542</v>
      </c>
      <c r="H34" s="258">
        <v>0</v>
      </c>
      <c r="I34" s="280">
        <f ca="1">SUM(OFFSET($T$34,,(COLUMNS($G$34:I34)-1)*4,,4))</f>
        <v>0</v>
      </c>
      <c r="J34" s="258">
        <f ca="1">SUM(OFFSET($T$34,,(COLUMNS($G$34:J34)-1)*4,,4))</f>
        <v>0</v>
      </c>
      <c r="K34" s="258">
        <f ca="1">SUM(OFFSET($T$34,,(COLUMNS($G$34:K34)-1)*4,,4))</f>
        <v>0</v>
      </c>
      <c r="L34" s="258">
        <f ca="1">SUM(OFFSET($T$34,,(COLUMNS($G$34:L34)-1)*4,,4))</f>
        <v>0</v>
      </c>
      <c r="M34" s="258">
        <f ca="1">SUM(OFFSET($T$34,,(COLUMNS($G$34:M34)-1)*4,,4))</f>
        <v>0</v>
      </c>
      <c r="N34" s="258">
        <f ca="1">SUM(OFFSET($T$34,,(COLUMNS($G$34:N34)-1)*4,,4))</f>
        <v>0</v>
      </c>
      <c r="O34" s="258">
        <f ca="1">SUM(OFFSET($T$34,,(COLUMNS($G$34:O34)-1)*4,,4))</f>
        <v>0</v>
      </c>
      <c r="P34" s="258">
        <f ca="1">SUM(OFFSET($T$34,,(COLUMNS($G$34:P34)-1)*4,,4))</f>
        <v>0</v>
      </c>
      <c r="Q34" s="258">
        <f ca="1">SUM(OFFSET($T$34,,(COLUMNS($G$34:Q34)-1)*4,,4))</f>
        <v>0</v>
      </c>
      <c r="T34" s="268">
        <v>2208</v>
      </c>
      <c r="U34" s="268">
        <v>0</v>
      </c>
      <c r="V34" s="268">
        <v>0</v>
      </c>
      <c r="W34" s="268">
        <v>1419</v>
      </c>
      <c r="X34" s="268">
        <v>6123</v>
      </c>
      <c r="Y34" s="268">
        <v>-35</v>
      </c>
      <c r="Z34" s="265">
        <v>35</v>
      </c>
      <c r="AA34" s="268">
        <v>0</v>
      </c>
      <c r="AB34" s="268">
        <v>0</v>
      </c>
      <c r="AC34" s="268">
        <v>0</v>
      </c>
      <c r="AD34" s="268">
        <v>0</v>
      </c>
      <c r="AE34" s="268">
        <f>AD34</f>
        <v>0</v>
      </c>
      <c r="AF34" s="268">
        <f t="shared" ref="AF34:AM34" si="26">AE34</f>
        <v>0</v>
      </c>
      <c r="AG34" s="268">
        <f t="shared" si="26"/>
        <v>0</v>
      </c>
      <c r="AH34" s="268">
        <f t="shared" si="26"/>
        <v>0</v>
      </c>
      <c r="AI34" s="268">
        <f t="shared" si="26"/>
        <v>0</v>
      </c>
      <c r="AJ34" s="268">
        <f t="shared" si="26"/>
        <v>0</v>
      </c>
      <c r="AK34" s="268">
        <f t="shared" si="26"/>
        <v>0</v>
      </c>
      <c r="AL34" s="268">
        <f t="shared" si="26"/>
        <v>0</v>
      </c>
      <c r="AM34" s="268">
        <f t="shared" si="26"/>
        <v>0</v>
      </c>
      <c r="AN34" s="268">
        <f t="shared" ref="AN34:BK34" si="27">AM34</f>
        <v>0</v>
      </c>
      <c r="AO34" s="268">
        <f t="shared" si="27"/>
        <v>0</v>
      </c>
      <c r="AP34" s="268">
        <f t="shared" si="27"/>
        <v>0</v>
      </c>
      <c r="AQ34" s="268">
        <f t="shared" si="27"/>
        <v>0</v>
      </c>
      <c r="AR34" s="268">
        <f t="shared" si="27"/>
        <v>0</v>
      </c>
      <c r="AS34" s="268">
        <f t="shared" si="27"/>
        <v>0</v>
      </c>
      <c r="AT34" s="268">
        <f t="shared" si="27"/>
        <v>0</v>
      </c>
      <c r="AU34" s="268">
        <f t="shared" si="27"/>
        <v>0</v>
      </c>
      <c r="AV34" s="268">
        <f t="shared" si="27"/>
        <v>0</v>
      </c>
      <c r="AW34" s="268">
        <f t="shared" si="27"/>
        <v>0</v>
      </c>
      <c r="AX34" s="268">
        <f t="shared" si="27"/>
        <v>0</v>
      </c>
      <c r="AY34" s="268">
        <f t="shared" si="27"/>
        <v>0</v>
      </c>
      <c r="AZ34" s="268">
        <f t="shared" si="27"/>
        <v>0</v>
      </c>
      <c r="BA34" s="268">
        <f t="shared" si="27"/>
        <v>0</v>
      </c>
      <c r="BB34" s="268">
        <f t="shared" si="27"/>
        <v>0</v>
      </c>
      <c r="BC34" s="268">
        <f t="shared" si="27"/>
        <v>0</v>
      </c>
      <c r="BD34" s="268">
        <f t="shared" si="27"/>
        <v>0</v>
      </c>
      <c r="BE34" s="268">
        <f t="shared" si="27"/>
        <v>0</v>
      </c>
      <c r="BF34" s="268">
        <f t="shared" si="27"/>
        <v>0</v>
      </c>
      <c r="BG34" s="268">
        <f t="shared" si="27"/>
        <v>0</v>
      </c>
      <c r="BH34" s="268">
        <f t="shared" si="27"/>
        <v>0</v>
      </c>
      <c r="BI34" s="268">
        <f t="shared" si="27"/>
        <v>0</v>
      </c>
      <c r="BJ34" s="268">
        <f t="shared" si="27"/>
        <v>0</v>
      </c>
      <c r="BK34" s="268">
        <f t="shared" si="27"/>
        <v>0</v>
      </c>
    </row>
    <row r="35" spans="2:63">
      <c r="B35" s="164" t="s">
        <v>181</v>
      </c>
      <c r="C35" s="244" t="s">
        <v>161</v>
      </c>
      <c r="D35" s="188"/>
      <c r="E35" s="246">
        <f t="shared" ref="E35:Q35" si="28">E29+E33+E34</f>
        <v>-16421</v>
      </c>
      <c r="F35" s="246">
        <f t="shared" si="28"/>
        <v>-149784</v>
      </c>
      <c r="G35" s="246">
        <f t="shared" si="28"/>
        <v>-172879</v>
      </c>
      <c r="H35" s="246">
        <f t="shared" si="28"/>
        <v>-195371</v>
      </c>
      <c r="I35" s="246">
        <f t="shared" ca="1" si="28"/>
        <v>-180421</v>
      </c>
      <c r="J35" s="246">
        <f t="shared" ca="1" si="28"/>
        <v>-195371</v>
      </c>
      <c r="K35" s="246">
        <f t="shared" ca="1" si="28"/>
        <v>-198985.16414212371</v>
      </c>
      <c r="L35" s="246">
        <f t="shared" ca="1" si="28"/>
        <v>-231986.84943924329</v>
      </c>
      <c r="M35" s="246">
        <f t="shared" ca="1" si="28"/>
        <v>-225265.37450190782</v>
      </c>
      <c r="N35" s="246">
        <f t="shared" ca="1" si="28"/>
        <v>-208338.87731981045</v>
      </c>
      <c r="O35" s="246">
        <f t="shared" ca="1" si="28"/>
        <v>-195203.15423869557</v>
      </c>
      <c r="P35" s="246">
        <f t="shared" ca="1" si="28"/>
        <v>-179676.86261026966</v>
      </c>
      <c r="Q35" s="246">
        <f t="shared" ca="1" si="28"/>
        <v>-175199.86437247219</v>
      </c>
      <c r="T35" s="246">
        <f t="shared" ref="T35:BK35" si="29">T29+T33+T34</f>
        <v>-41072</v>
      </c>
      <c r="U35" s="246">
        <f t="shared" si="29"/>
        <v>-38158</v>
      </c>
      <c r="V35" s="246">
        <f t="shared" si="29"/>
        <v>-47558</v>
      </c>
      <c r="W35" s="246">
        <f t="shared" si="29"/>
        <v>-50006</v>
      </c>
      <c r="X35" s="246">
        <f t="shared" si="29"/>
        <v>-43085</v>
      </c>
      <c r="Y35" s="246">
        <f t="shared" si="29"/>
        <v>-44364</v>
      </c>
      <c r="Z35" s="246">
        <f t="shared" si="29"/>
        <v>-46834</v>
      </c>
      <c r="AA35" s="246">
        <f t="shared" si="29"/>
        <v>-54965</v>
      </c>
      <c r="AB35" s="254">
        <f t="shared" si="29"/>
        <v>-51506</v>
      </c>
      <c r="AC35" s="254">
        <f t="shared" si="29"/>
        <v>-48359</v>
      </c>
      <c r="AD35" s="254">
        <f t="shared" si="29"/>
        <v>-47548</v>
      </c>
      <c r="AE35" s="254">
        <f t="shared" si="29"/>
        <v>-51572.164142123729</v>
      </c>
      <c r="AF35" s="254">
        <f t="shared" ca="1" si="29"/>
        <v>-56858.743204374849</v>
      </c>
      <c r="AG35" s="254">
        <f t="shared" ca="1" si="29"/>
        <v>-58323.837974619972</v>
      </c>
      <c r="AH35" s="254">
        <f t="shared" ca="1" si="29"/>
        <v>-58402.134130124228</v>
      </c>
      <c r="AI35" s="254">
        <f t="shared" ca="1" si="29"/>
        <v>-58402.13413012425</v>
      </c>
      <c r="AJ35" s="254">
        <f t="shared" ca="1" si="29"/>
        <v>-57011.607127026058</v>
      </c>
      <c r="AK35" s="254">
        <f t="shared" ca="1" si="29"/>
        <v>-57011.607127026058</v>
      </c>
      <c r="AL35" s="254">
        <f t="shared" ca="1" si="29"/>
        <v>-55621.080123927859</v>
      </c>
      <c r="AM35" s="254">
        <f t="shared" ca="1" si="29"/>
        <v>-55621.080123927859</v>
      </c>
      <c r="AN35" s="254">
        <f t="shared" ca="1" si="29"/>
        <v>-52831.239963110456</v>
      </c>
      <c r="AO35" s="254">
        <f t="shared" ca="1" si="29"/>
        <v>-52831.239963110456</v>
      </c>
      <c r="AP35" s="254">
        <f t="shared" ca="1" si="29"/>
        <v>-51338.19869679476</v>
      </c>
      <c r="AQ35" s="254">
        <f t="shared" ca="1" si="29"/>
        <v>-51338.19869679476</v>
      </c>
      <c r="AR35" s="254">
        <f t="shared" ca="1" si="29"/>
        <v>-48800.788559673885</v>
      </c>
      <c r="AS35" s="254">
        <f t="shared" ca="1" si="29"/>
        <v>-48800.7885596739</v>
      </c>
      <c r="AT35" s="254">
        <f t="shared" ca="1" si="29"/>
        <v>-48800.788559673885</v>
      </c>
      <c r="AU35" s="254">
        <f t="shared" ca="1" si="29"/>
        <v>-48800.788559673871</v>
      </c>
      <c r="AV35" s="254">
        <f t="shared" ca="1" si="29"/>
        <v>-44919.215652567415</v>
      </c>
      <c r="AW35" s="254">
        <f t="shared" ca="1" si="29"/>
        <v>-44919.215652567422</v>
      </c>
      <c r="AX35" s="254">
        <f t="shared" ca="1" si="29"/>
        <v>-44919.215652567415</v>
      </c>
      <c r="AY35" s="254">
        <f t="shared" ca="1" si="29"/>
        <v>-44919.2156525674</v>
      </c>
      <c r="AZ35" s="254">
        <f t="shared" ca="1" si="29"/>
        <v>-43799.966093118048</v>
      </c>
      <c r="BA35" s="254">
        <f t="shared" ca="1" si="29"/>
        <v>-43799.96609311807</v>
      </c>
      <c r="BB35" s="254">
        <f t="shared" ca="1" si="29"/>
        <v>-43799.966093118048</v>
      </c>
      <c r="BC35" s="254">
        <f t="shared" ca="1" si="29"/>
        <v>-43799.966093118026</v>
      </c>
      <c r="BD35" s="254">
        <f t="shared" ca="1" si="29"/>
        <v>-42680.716533668718</v>
      </c>
      <c r="BE35" s="254">
        <f t="shared" ca="1" si="29"/>
        <v>-42680.716533668718</v>
      </c>
      <c r="BF35" s="254">
        <f t="shared" ca="1" si="29"/>
        <v>-42680.716533668718</v>
      </c>
      <c r="BG35" s="254">
        <f t="shared" ca="1" si="29"/>
        <v>-42680.716533668688</v>
      </c>
      <c r="BH35" s="254">
        <f t="shared" ca="1" si="29"/>
        <v>-41561.466974219344</v>
      </c>
      <c r="BI35" s="254">
        <f t="shared" ca="1" si="29"/>
        <v>-41561.466974219387</v>
      </c>
      <c r="BJ35" s="254">
        <f t="shared" ca="1" si="29"/>
        <v>-41561.466974219351</v>
      </c>
      <c r="BK35" s="254">
        <f t="shared" ca="1" si="29"/>
        <v>-41561.466974219227</v>
      </c>
    </row>
    <row r="36" spans="2:63">
      <c r="B36" s="164" t="s">
        <v>19</v>
      </c>
      <c r="C36" s="244" t="s">
        <v>161</v>
      </c>
      <c r="D36" s="188"/>
      <c r="E36" s="246">
        <f ca="1">SUM(OFFSET($T$36,,(COLUMNS(E$36:$E36)-1)*4,,4))</f>
        <v>-65846</v>
      </c>
      <c r="F36" s="246">
        <f ca="1">SUM(OFFSET($T$36,,(COLUMNS($E$36:F36)-1)*4,,4))</f>
        <v>-62581</v>
      </c>
      <c r="G36" s="246">
        <f ca="1">SUM(OFFSET($T$36,,(COLUMNS($G$36:G36)-1)*4,,4))</f>
        <v>-65846</v>
      </c>
      <c r="H36" s="246">
        <f ca="1">SUM(OFFSET($T$36,,(COLUMNS($G$36:H36)-1)*4,,4))</f>
        <v>-62581</v>
      </c>
      <c r="I36" s="246">
        <f ca="1">SUM(OFFSET($T$36,,(COLUMNS($I$36:I36)-1)*4,,4))</f>
        <v>-65846</v>
      </c>
      <c r="J36" s="246">
        <f ca="1">SUM(OFFSET($T$36,,(COLUMNS($I$36:J36)-1)*4,,4))</f>
        <v>-62581</v>
      </c>
      <c r="K36" s="246">
        <f ca="1">SUM(OFFSET($T$36,,(COLUMNS($I$36:K36)-1)*4,,4))</f>
        <v>-76097.843760640797</v>
      </c>
      <c r="L36" s="246">
        <f ca="1">SUM(OFFSET($T$36,,(COLUMNS($I$36:L36)-1)*4,,4))</f>
        <v>-74567.767146930273</v>
      </c>
      <c r="M36" s="246">
        <f ca="1">SUM(OFFSET($T$36,,(COLUMNS($I$36:M36)-1)*4,,4))</f>
        <v>-74567.767146930288</v>
      </c>
      <c r="N36" s="246">
        <f ca="1">SUM(OFFSET($T$36,,(COLUMNS($I$36:N36)-1)*4,,4))</f>
        <v>-72838.993565471304</v>
      </c>
      <c r="O36" s="246">
        <f ca="1">SUM(OFFSET($T$36,,(COLUMNS($I$36:O36)-1)*4,,4))</f>
        <v>-71110.219984012365</v>
      </c>
      <c r="P36" s="246">
        <f ca="1">SUM(OFFSET($T$36,,(COLUMNS($I$36:P36)-1)*4,,4))</f>
        <v>-69381.446402553353</v>
      </c>
      <c r="Q36" s="246">
        <f ca="1">SUM(OFFSET($T$36,,(COLUMNS($I$36:Q36)-1)*4,,4))</f>
        <v>-67652.672821094369</v>
      </c>
      <c r="T36" s="329">
        <v>-15677</v>
      </c>
      <c r="U36" s="329">
        <v>-16243</v>
      </c>
      <c r="V36" s="329">
        <v>-18353</v>
      </c>
      <c r="W36" s="329">
        <f>-65846-SUM(T36:V36)</f>
        <v>-15573</v>
      </c>
      <c r="X36" s="329">
        <v>-16403</v>
      </c>
      <c r="Y36" s="329">
        <v>-13726</v>
      </c>
      <c r="Z36" s="329">
        <v>-14413</v>
      </c>
      <c r="AA36" s="329">
        <f>-62581-SUM(X36:Z36)</f>
        <v>-18039</v>
      </c>
      <c r="AB36" s="294">
        <v>-16345</v>
      </c>
      <c r="AC36" s="294">
        <v>-20919</v>
      </c>
      <c r="AD36" s="294">
        <v>-19791</v>
      </c>
      <c r="AE36" s="89">
        <f>-AE51*AE$19/10^3</f>
        <v>-19042.84376064079</v>
      </c>
      <c r="AF36" s="254">
        <f t="shared" ref="AF36:BK36" si="30">-AF51*AF$19/10^3</f>
        <v>-18641.941786732572</v>
      </c>
      <c r="AG36" s="254">
        <f t="shared" si="30"/>
        <v>-18641.941786732572</v>
      </c>
      <c r="AH36" s="254">
        <f t="shared" si="30"/>
        <v>-18641.941786732565</v>
      </c>
      <c r="AI36" s="254">
        <f t="shared" si="30"/>
        <v>-18641.941786732572</v>
      </c>
      <c r="AJ36" s="254">
        <f t="shared" si="30"/>
        <v>-18641.941786732572</v>
      </c>
      <c r="AK36" s="254">
        <f t="shared" si="30"/>
        <v>-18641.941786732572</v>
      </c>
      <c r="AL36" s="254">
        <f t="shared" si="30"/>
        <v>-18641.941786732572</v>
      </c>
      <c r="AM36" s="254">
        <f t="shared" si="30"/>
        <v>-18641.941786732572</v>
      </c>
      <c r="AN36" s="254">
        <f t="shared" si="30"/>
        <v>-18209.748391367826</v>
      </c>
      <c r="AO36" s="254">
        <f t="shared" si="30"/>
        <v>-18209.748391367826</v>
      </c>
      <c r="AP36" s="254">
        <f t="shared" si="30"/>
        <v>-18209.748391367826</v>
      </c>
      <c r="AQ36" s="254">
        <f t="shared" si="30"/>
        <v>-18209.748391367826</v>
      </c>
      <c r="AR36" s="254">
        <f t="shared" si="30"/>
        <v>-17777.554996003088</v>
      </c>
      <c r="AS36" s="254">
        <f t="shared" si="30"/>
        <v>-17777.554996003091</v>
      </c>
      <c r="AT36" s="254">
        <f t="shared" si="30"/>
        <v>-17777.554996003088</v>
      </c>
      <c r="AU36" s="254">
        <f t="shared" si="30"/>
        <v>-17777.554996003084</v>
      </c>
      <c r="AV36" s="254">
        <f t="shared" si="30"/>
        <v>-17345.361600638338</v>
      </c>
      <c r="AW36" s="254">
        <f t="shared" si="30"/>
        <v>-17345.361600638342</v>
      </c>
      <c r="AX36" s="254">
        <f t="shared" si="30"/>
        <v>-17345.361600638338</v>
      </c>
      <c r="AY36" s="254">
        <f t="shared" si="30"/>
        <v>-17345.361600638334</v>
      </c>
      <c r="AZ36" s="254">
        <f t="shared" si="30"/>
        <v>-16913.168205273592</v>
      </c>
      <c r="BA36" s="254">
        <f t="shared" si="30"/>
        <v>-16913.1682052736</v>
      </c>
      <c r="BB36" s="254">
        <f t="shared" si="30"/>
        <v>-16913.168205273592</v>
      </c>
      <c r="BC36" s="254">
        <f t="shared" si="30"/>
        <v>-16913.168205273585</v>
      </c>
      <c r="BD36" s="254">
        <f t="shared" si="30"/>
        <v>-13184.779847927086</v>
      </c>
      <c r="BE36" s="254">
        <f t="shared" si="30"/>
        <v>-13184.779847927086</v>
      </c>
      <c r="BF36" s="254">
        <f t="shared" si="30"/>
        <v>-13184.779847927086</v>
      </c>
      <c r="BG36" s="254">
        <f t="shared" si="30"/>
        <v>-13184.779847927077</v>
      </c>
      <c r="BH36" s="254">
        <f t="shared" si="30"/>
        <v>-12839.025131635286</v>
      </c>
      <c r="BI36" s="254">
        <f t="shared" si="30"/>
        <v>-12839.025131635297</v>
      </c>
      <c r="BJ36" s="254">
        <f t="shared" si="30"/>
        <v>-12839.025131635286</v>
      </c>
      <c r="BK36" s="254">
        <f t="shared" si="30"/>
        <v>-12839.025131635248</v>
      </c>
    </row>
    <row r="37" spans="2:63">
      <c r="B37" s="247" t="s">
        <v>17</v>
      </c>
      <c r="C37" s="248" t="s">
        <v>161</v>
      </c>
      <c r="D37" s="249"/>
      <c r="E37" s="195">
        <f>E28+E35</f>
        <v>60767</v>
      </c>
      <c r="F37" s="195">
        <f>F28+F35</f>
        <v>201345</v>
      </c>
      <c r="G37" s="195">
        <f t="shared" ref="G37:Q37" si="31">G28+G35</f>
        <v>143269</v>
      </c>
      <c r="H37" s="195">
        <f t="shared" si="31"/>
        <v>298674</v>
      </c>
      <c r="I37" s="195">
        <f t="shared" ca="1" si="31"/>
        <v>135727</v>
      </c>
      <c r="J37" s="195">
        <f t="shared" ca="1" si="31"/>
        <v>298674</v>
      </c>
      <c r="K37" s="195">
        <f t="shared" ca="1" si="31"/>
        <v>330803.2808107243</v>
      </c>
      <c r="L37" s="195">
        <f t="shared" ca="1" si="31"/>
        <v>390654.00623762445</v>
      </c>
      <c r="M37" s="195">
        <f t="shared" ca="1" si="31"/>
        <v>378733.53938822751</v>
      </c>
      <c r="N37" s="195">
        <f t="shared" ca="1" si="31"/>
        <v>352521.37313431862</v>
      </c>
      <c r="O37" s="195">
        <f t="shared" ca="1" si="31"/>
        <v>331012.47364299587</v>
      </c>
      <c r="P37" s="195">
        <f t="shared" ca="1" si="31"/>
        <v>305993.26220760378</v>
      </c>
      <c r="Q37" s="195">
        <f t="shared" ca="1" si="31"/>
        <v>298368.84537518839</v>
      </c>
      <c r="T37" s="266">
        <f>T28+T35-T36</f>
        <v>52108</v>
      </c>
      <c r="U37" s="266">
        <f t="shared" ref="U37:BK37" si="32">U28+U35-U36</f>
        <v>49098</v>
      </c>
      <c r="V37" s="266">
        <f t="shared" si="32"/>
        <v>57084</v>
      </c>
      <c r="W37" s="266">
        <f t="shared" si="32"/>
        <v>46910</v>
      </c>
      <c r="X37" s="266">
        <f t="shared" si="32"/>
        <v>62154</v>
      </c>
      <c r="Y37" s="266">
        <f t="shared" si="32"/>
        <v>69551</v>
      </c>
      <c r="Z37" s="266">
        <f t="shared" si="32"/>
        <v>83300</v>
      </c>
      <c r="AA37" s="266">
        <f t="shared" si="32"/>
        <v>152373</v>
      </c>
      <c r="AB37" s="195">
        <f t="shared" si="32"/>
        <v>83360</v>
      </c>
      <c r="AC37" s="195">
        <f t="shared" si="32"/>
        <v>110109</v>
      </c>
      <c r="AD37" s="195">
        <f t="shared" si="32"/>
        <v>106644</v>
      </c>
      <c r="AE37" s="195">
        <f t="shared" si="32"/>
        <v>106788.12457136507</v>
      </c>
      <c r="AF37" s="195">
        <f t="shared" ca="1" si="32"/>
        <v>114647.12123356482</v>
      </c>
      <c r="AG37" s="195">
        <f t="shared" ca="1" si="32"/>
        <v>116910.41482066621</v>
      </c>
      <c r="AH37" s="195">
        <f t="shared" ca="1" si="32"/>
        <v>116832.11866516188</v>
      </c>
      <c r="AI37" s="195">
        <f t="shared" ca="1" si="32"/>
        <v>116832.11866516192</v>
      </c>
      <c r="AJ37" s="195">
        <f t="shared" ca="1" si="32"/>
        <v>114494.25731091361</v>
      </c>
      <c r="AK37" s="195">
        <f t="shared" ca="1" si="32"/>
        <v>114494.25731091361</v>
      </c>
      <c r="AL37" s="195">
        <f t="shared" ca="1" si="32"/>
        <v>112156.39595666529</v>
      </c>
      <c r="AM37" s="195">
        <f t="shared" ca="1" si="32"/>
        <v>112156.39595666529</v>
      </c>
      <c r="AN37" s="195">
        <f t="shared" ca="1" si="32"/>
        <v>107414.54588092644</v>
      </c>
      <c r="AO37" s="195">
        <f t="shared" ca="1" si="32"/>
        <v>107414.54588092644</v>
      </c>
      <c r="AP37" s="195">
        <f t="shared" ca="1" si="32"/>
        <v>105265.63746896855</v>
      </c>
      <c r="AQ37" s="195">
        <f t="shared" ca="1" si="32"/>
        <v>105265.63746896855</v>
      </c>
      <c r="AR37" s="195">
        <f t="shared" ca="1" si="32"/>
        <v>100530.67340675207</v>
      </c>
      <c r="AS37" s="195">
        <f t="shared" ca="1" si="32"/>
        <v>100530.67340675207</v>
      </c>
      <c r="AT37" s="195">
        <f t="shared" ca="1" si="32"/>
        <v>100530.67340675207</v>
      </c>
      <c r="AU37" s="195">
        <f t="shared" ca="1" si="32"/>
        <v>100530.67340675203</v>
      </c>
      <c r="AV37" s="195">
        <f t="shared" ca="1" si="32"/>
        <v>93843.677152539283</v>
      </c>
      <c r="AW37" s="195">
        <f t="shared" ca="1" si="32"/>
        <v>93843.677152539312</v>
      </c>
      <c r="AX37" s="195">
        <f t="shared" ca="1" si="32"/>
        <v>93843.677152539283</v>
      </c>
      <c r="AY37" s="195">
        <f t="shared" ca="1" si="32"/>
        <v>93843.677152539283</v>
      </c>
      <c r="AZ37" s="195">
        <f t="shared" ca="1" si="32"/>
        <v>91505.379549070698</v>
      </c>
      <c r="BA37" s="195">
        <f t="shared" ca="1" si="32"/>
        <v>91505.379549070727</v>
      </c>
      <c r="BB37" s="195">
        <f t="shared" ca="1" si="32"/>
        <v>91505.379549070698</v>
      </c>
      <c r="BC37" s="195">
        <f t="shared" ca="1" si="32"/>
        <v>91505.379549070654</v>
      </c>
      <c r="BD37" s="195">
        <f t="shared" ca="1" si="32"/>
        <v>85870.886983620381</v>
      </c>
      <c r="BE37" s="195">
        <f t="shared" ca="1" si="32"/>
        <v>85870.886983620381</v>
      </c>
      <c r="BF37" s="195">
        <f t="shared" ca="1" si="32"/>
        <v>85870.886983620381</v>
      </c>
      <c r="BG37" s="195">
        <f t="shared" ca="1" si="32"/>
        <v>85870.886983620308</v>
      </c>
      <c r="BH37" s="195">
        <f t="shared" ca="1" si="32"/>
        <v>83619.028059224685</v>
      </c>
      <c r="BI37" s="195">
        <f t="shared" ca="1" si="32"/>
        <v>83619.028059224758</v>
      </c>
      <c r="BJ37" s="195">
        <f t="shared" ca="1" si="32"/>
        <v>83619.028059224685</v>
      </c>
      <c r="BK37" s="195">
        <f t="shared" ca="1" si="32"/>
        <v>83619.028059224453</v>
      </c>
    </row>
    <row r="38" spans="2:63">
      <c r="B38" s="174" t="s">
        <v>76</v>
      </c>
      <c r="C38" s="196" t="s">
        <v>161</v>
      </c>
      <c r="E38" s="198">
        <v>-3995</v>
      </c>
      <c r="F38" s="198">
        <v>-7152</v>
      </c>
      <c r="G38" s="198">
        <v>-23081</v>
      </c>
      <c r="H38" s="198">
        <v>-37073</v>
      </c>
      <c r="I38" s="89">
        <f ca="1">SUM(OFFSET($T$38,,(COLUMNS($I$38:I38)-1)*4,,4))</f>
        <v>-23081</v>
      </c>
      <c r="J38" s="89">
        <f ca="1">SUM(OFFSET($T$38,,(COLUMNS($I$38:J38)-1)*4,,4))</f>
        <v>-37073</v>
      </c>
      <c r="K38" s="89">
        <f ca="1">SUM(OFFSET($T$38,,(COLUMNS($I$38:K38)-1)*4,,4))</f>
        <v>-42000</v>
      </c>
      <c r="L38" s="89">
        <f ca="1">SUM(OFFSET($T$38,,(COLUMNS($I$38:L38)-1)*4,,4))</f>
        <v>-29827.106858772109</v>
      </c>
      <c r="M38" s="89">
        <f ca="1">SUM(OFFSET($T$38,,(COLUMNS($I$38:M38)-1)*4,,4))</f>
        <v>-29827.106858772113</v>
      </c>
      <c r="N38" s="89">
        <f ca="1">SUM(OFFSET($T$38,,(COLUMNS($I$38:N38)-1)*4,,4))</f>
        <v>-29135.59742618852</v>
      </c>
      <c r="O38" s="89">
        <f ca="1">SUM(OFFSET($T$38,,(COLUMNS($I$38:O38)-1)*4,,4))</f>
        <v>-28444.087993604939</v>
      </c>
      <c r="P38" s="89">
        <f ca="1">SUM(OFFSET($T$38,,(COLUMNS($I$38:P38)-1)*4,,4))</f>
        <v>-27752.578561021342</v>
      </c>
      <c r="Q38" s="89">
        <f ca="1">SUM(OFFSET($T$38,,(COLUMNS($I$38:Q38)-1)*4,,4))</f>
        <v>-27061.06912843775</v>
      </c>
      <c r="T38" s="198">
        <v>-3271</v>
      </c>
      <c r="U38" s="198">
        <v>-7223</v>
      </c>
      <c r="V38" s="198">
        <v>-9548</v>
      </c>
      <c r="W38" s="198">
        <v>-3039</v>
      </c>
      <c r="X38" s="198">
        <v>-11774</v>
      </c>
      <c r="Y38" s="198">
        <v>-11117</v>
      </c>
      <c r="Z38" s="198">
        <v>-6999</v>
      </c>
      <c r="AA38" s="198">
        <v>-7183</v>
      </c>
      <c r="AB38" s="198">
        <v>-4702</v>
      </c>
      <c r="AC38" s="198">
        <v>-8602</v>
      </c>
      <c r="AD38" s="198">
        <v>-21858</v>
      </c>
      <c r="AE38" s="89">
        <f>(42000+SUM(AB38:AD38))*-1</f>
        <v>-6838</v>
      </c>
      <c r="AF38" s="89">
        <f>-AF47*AF$19/10^3</f>
        <v>-7456.7767146930282</v>
      </c>
      <c r="AG38" s="89">
        <f t="shared" ref="AG38:AM38" si="33">-AG47*AG$19/10^3</f>
        <v>-7456.7767146930282</v>
      </c>
      <c r="AH38" s="89">
        <f t="shared" si="33"/>
        <v>-7456.7767146930255</v>
      </c>
      <c r="AI38" s="89">
        <f t="shared" si="33"/>
        <v>-7456.7767146930282</v>
      </c>
      <c r="AJ38" s="89">
        <f t="shared" si="33"/>
        <v>-7456.7767146930282</v>
      </c>
      <c r="AK38" s="89">
        <f t="shared" si="33"/>
        <v>-7456.7767146930282</v>
      </c>
      <c r="AL38" s="89">
        <f t="shared" si="33"/>
        <v>-7456.7767146930282</v>
      </c>
      <c r="AM38" s="89">
        <f t="shared" si="33"/>
        <v>-7456.7767146930282</v>
      </c>
      <c r="AN38" s="89">
        <f t="shared" ref="AN38:BK38" si="34">-AN47*AN$19/10^3</f>
        <v>-7283.8993565471301</v>
      </c>
      <c r="AO38" s="89">
        <f t="shared" si="34"/>
        <v>-7283.8993565471301</v>
      </c>
      <c r="AP38" s="89">
        <f t="shared" si="34"/>
        <v>-7283.8993565471301</v>
      </c>
      <c r="AQ38" s="89">
        <f t="shared" si="34"/>
        <v>-7283.8993565471301</v>
      </c>
      <c r="AR38" s="89">
        <f t="shared" si="34"/>
        <v>-7111.0219984012347</v>
      </c>
      <c r="AS38" s="89">
        <f t="shared" si="34"/>
        <v>-7111.0219984012365</v>
      </c>
      <c r="AT38" s="89">
        <f t="shared" si="34"/>
        <v>-7111.0219984012347</v>
      </c>
      <c r="AU38" s="89">
        <f t="shared" si="34"/>
        <v>-7111.0219984012338</v>
      </c>
      <c r="AV38" s="89">
        <f t="shared" si="34"/>
        <v>-6938.1446402553356</v>
      </c>
      <c r="AW38" s="89">
        <f t="shared" si="34"/>
        <v>-6938.1446402553365</v>
      </c>
      <c r="AX38" s="89">
        <f t="shared" si="34"/>
        <v>-6938.1446402553356</v>
      </c>
      <c r="AY38" s="89">
        <f t="shared" si="34"/>
        <v>-6938.1446402553338</v>
      </c>
      <c r="AZ38" s="89">
        <f t="shared" si="34"/>
        <v>-6765.2672821094366</v>
      </c>
      <c r="BA38" s="89">
        <f t="shared" si="34"/>
        <v>-6765.2672821094393</v>
      </c>
      <c r="BB38" s="89">
        <f t="shared" si="34"/>
        <v>-6765.2672821094366</v>
      </c>
      <c r="BC38" s="89">
        <f t="shared" si="34"/>
        <v>-6765.2672821094338</v>
      </c>
      <c r="BD38" s="89">
        <f t="shared" si="34"/>
        <v>-6592.389923963543</v>
      </c>
      <c r="BE38" s="89">
        <f t="shared" si="34"/>
        <v>-6592.389923963543</v>
      </c>
      <c r="BF38" s="89">
        <f t="shared" si="34"/>
        <v>-6592.389923963543</v>
      </c>
      <c r="BG38" s="89">
        <f t="shared" si="34"/>
        <v>-6592.3899239635384</v>
      </c>
      <c r="BH38" s="89">
        <f t="shared" si="34"/>
        <v>-6419.512565817643</v>
      </c>
      <c r="BI38" s="89">
        <f t="shared" si="34"/>
        <v>-6419.5125658176485</v>
      </c>
      <c r="BJ38" s="89">
        <f t="shared" si="34"/>
        <v>0</v>
      </c>
      <c r="BK38" s="89">
        <f t="shared" si="34"/>
        <v>0</v>
      </c>
    </row>
    <row r="39" spans="2:63">
      <c r="B39" s="174" t="s">
        <v>182</v>
      </c>
      <c r="C39" s="196" t="s">
        <v>161</v>
      </c>
      <c r="E39" s="258">
        <v>0</v>
      </c>
      <c r="F39" s="198">
        <v>-5005</v>
      </c>
      <c r="G39" s="198">
        <v>-17287</v>
      </c>
      <c r="H39" s="198">
        <v>-19732</v>
      </c>
      <c r="I39" s="89">
        <f ca="1">SUM(OFFSET($T$39,,(COLUMNS($I$39:I39)-1)*4,,4))</f>
        <v>-17286</v>
      </c>
      <c r="J39" s="89">
        <f ca="1">SUM(OFFSET($T$39,,(COLUMNS($I$39:J39)-1)*4,,4))</f>
        <v>-19732</v>
      </c>
      <c r="K39" s="89">
        <f ca="1">SUM(OFFSET($T$39,,(COLUMNS($I$39:K39)-1)*4,,4))</f>
        <v>-22000</v>
      </c>
      <c r="L39" s="89">
        <f ca="1">SUM(OFFSET($T$39,,(COLUMNS($I$39:L39)-1)*4,,4))</f>
        <v>-22370.330144079082</v>
      </c>
      <c r="M39" s="89">
        <f ca="1">SUM(OFFSET($T$39,,(COLUMNS($I$39:M39)-1)*4,,4))</f>
        <v>-22370.330144079086</v>
      </c>
      <c r="N39" s="89">
        <f ca="1">SUM(OFFSET($T$39,,(COLUMNS($I$39:N39)-1)*4,,4))</f>
        <v>-21851.698069641392</v>
      </c>
      <c r="O39" s="89">
        <f ca="1">SUM(OFFSET($T$39,,(COLUMNS($I$39:O39)-1)*4,,4))</f>
        <v>0</v>
      </c>
      <c r="P39" s="89">
        <f ca="1">SUM(OFFSET($T$39,,(COLUMNS($I$39:P39)-1)*4,,4))</f>
        <v>0</v>
      </c>
      <c r="Q39" s="89">
        <f ca="1">SUM(OFFSET($T$39,,(COLUMNS($I$39:Q39)-1)*4,,4))</f>
        <v>0</v>
      </c>
      <c r="T39" s="198">
        <v>-6104</v>
      </c>
      <c r="U39" s="198">
        <v>-3191</v>
      </c>
      <c r="V39" s="198">
        <v>-1445</v>
      </c>
      <c r="W39" s="198">
        <v>-6546</v>
      </c>
      <c r="X39" s="198">
        <v>-1815</v>
      </c>
      <c r="Y39" s="198">
        <v>-5750</v>
      </c>
      <c r="Z39" s="198">
        <v>-7327</v>
      </c>
      <c r="AA39" s="198">
        <v>-4840</v>
      </c>
      <c r="AB39" s="198">
        <v>-6696</v>
      </c>
      <c r="AC39" s="198">
        <v>-2985</v>
      </c>
      <c r="AD39" s="198">
        <v>-619</v>
      </c>
      <c r="AE39" s="89">
        <f>(22000+SUM(AB39:AD39))*-1</f>
        <v>-11700</v>
      </c>
      <c r="AF39" s="89">
        <f>-AF48*AF$19/10^3</f>
        <v>-5592.5825360197714</v>
      </c>
      <c r="AG39" s="89">
        <f t="shared" ref="AG39:AM39" si="35">-AG48*AG$19/10^3</f>
        <v>-5592.5825360197714</v>
      </c>
      <c r="AH39" s="89">
        <f t="shared" si="35"/>
        <v>-5592.5825360197696</v>
      </c>
      <c r="AI39" s="89">
        <f t="shared" si="35"/>
        <v>-5592.5825360197714</v>
      </c>
      <c r="AJ39" s="89">
        <f t="shared" si="35"/>
        <v>-5592.5825360197714</v>
      </c>
      <c r="AK39" s="89">
        <f t="shared" si="35"/>
        <v>-5592.5825360197714</v>
      </c>
      <c r="AL39" s="89">
        <f t="shared" si="35"/>
        <v>-5592.5825360197714</v>
      </c>
      <c r="AM39" s="89">
        <f t="shared" si="35"/>
        <v>-5592.5825360197714</v>
      </c>
      <c r="AN39" s="89">
        <f t="shared" ref="AN39:BK39" si="36">-AN48*AN$19/10^3</f>
        <v>-5462.924517410348</v>
      </c>
      <c r="AO39" s="89">
        <f t="shared" si="36"/>
        <v>-5462.924517410348</v>
      </c>
      <c r="AP39" s="89">
        <f t="shared" si="36"/>
        <v>-5462.924517410348</v>
      </c>
      <c r="AQ39" s="89">
        <f t="shared" si="36"/>
        <v>-5462.924517410348</v>
      </c>
      <c r="AR39" s="89">
        <f t="shared" si="36"/>
        <v>0</v>
      </c>
      <c r="AS39" s="89">
        <f t="shared" si="36"/>
        <v>0</v>
      </c>
      <c r="AT39" s="89">
        <f t="shared" si="36"/>
        <v>0</v>
      </c>
      <c r="AU39" s="89">
        <f t="shared" si="36"/>
        <v>0</v>
      </c>
      <c r="AV39" s="89">
        <f t="shared" si="36"/>
        <v>0</v>
      </c>
      <c r="AW39" s="89">
        <f t="shared" si="36"/>
        <v>0</v>
      </c>
      <c r="AX39" s="89">
        <f t="shared" si="36"/>
        <v>0</v>
      </c>
      <c r="AY39" s="89">
        <f t="shared" si="36"/>
        <v>0</v>
      </c>
      <c r="AZ39" s="89">
        <f t="shared" si="36"/>
        <v>0</v>
      </c>
      <c r="BA39" s="89">
        <f t="shared" si="36"/>
        <v>0</v>
      </c>
      <c r="BB39" s="89">
        <f t="shared" si="36"/>
        <v>0</v>
      </c>
      <c r="BC39" s="89">
        <f t="shared" si="36"/>
        <v>0</v>
      </c>
      <c r="BD39" s="89">
        <f t="shared" si="36"/>
        <v>0</v>
      </c>
      <c r="BE39" s="89">
        <f t="shared" si="36"/>
        <v>0</v>
      </c>
      <c r="BF39" s="89">
        <f t="shared" si="36"/>
        <v>0</v>
      </c>
      <c r="BG39" s="89">
        <f t="shared" si="36"/>
        <v>0</v>
      </c>
      <c r="BH39" s="89">
        <f t="shared" si="36"/>
        <v>0</v>
      </c>
      <c r="BI39" s="89">
        <f t="shared" si="36"/>
        <v>0</v>
      </c>
      <c r="BJ39" s="89">
        <f t="shared" si="36"/>
        <v>0</v>
      </c>
      <c r="BK39" s="89">
        <f t="shared" si="36"/>
        <v>0</v>
      </c>
    </row>
    <row r="40" spans="2:63">
      <c r="B40" s="164" t="s">
        <v>184</v>
      </c>
      <c r="C40" s="244" t="s">
        <v>161</v>
      </c>
      <c r="D40" s="188"/>
      <c r="E40" s="246">
        <f>SUM(E38:E39)</f>
        <v>-3995</v>
      </c>
      <c r="F40" s="246">
        <f>SUM(F38:F39)</f>
        <v>-12157</v>
      </c>
      <c r="G40" s="246">
        <f>SUM(G38:G39)</f>
        <v>-40368</v>
      </c>
      <c r="H40" s="246">
        <f>SUM(H38:H39)</f>
        <v>-56805</v>
      </c>
      <c r="I40" s="246">
        <f t="shared" ref="I40:N40" ca="1" si="37">SUM(I38:I39)</f>
        <v>-40367</v>
      </c>
      <c r="J40" s="246">
        <f t="shared" ca="1" si="37"/>
        <v>-56805</v>
      </c>
      <c r="K40" s="246">
        <f t="shared" ca="1" si="37"/>
        <v>-64000</v>
      </c>
      <c r="L40" s="246">
        <f t="shared" ca="1" si="37"/>
        <v>-52197.437002851191</v>
      </c>
      <c r="M40" s="246">
        <f t="shared" ca="1" si="37"/>
        <v>-52197.437002851198</v>
      </c>
      <c r="N40" s="246">
        <f t="shared" ca="1" si="37"/>
        <v>-50987.295495829909</v>
      </c>
      <c r="O40" s="246">
        <f ca="1">SUM(O38:O39)</f>
        <v>-28444.087993604939</v>
      </c>
      <c r="P40" s="246">
        <f ca="1">SUM(P38:P39)</f>
        <v>-27752.578561021342</v>
      </c>
      <c r="Q40" s="246">
        <f ca="1">SUM(Q38:Q39)</f>
        <v>-27061.06912843775</v>
      </c>
      <c r="T40" s="246">
        <f t="shared" ref="T40:AF40" si="38">SUM(T38:T39)</f>
        <v>-9375</v>
      </c>
      <c r="U40" s="246">
        <f t="shared" si="38"/>
        <v>-10414</v>
      </c>
      <c r="V40" s="246">
        <f t="shared" si="38"/>
        <v>-10993</v>
      </c>
      <c r="W40" s="246">
        <f t="shared" si="38"/>
        <v>-9585</v>
      </c>
      <c r="X40" s="246">
        <f t="shared" si="38"/>
        <v>-13589</v>
      </c>
      <c r="Y40" s="246">
        <f t="shared" si="38"/>
        <v>-16867</v>
      </c>
      <c r="Z40" s="246">
        <f t="shared" si="38"/>
        <v>-14326</v>
      </c>
      <c r="AA40" s="254">
        <f t="shared" si="38"/>
        <v>-12023</v>
      </c>
      <c r="AB40" s="254">
        <f t="shared" si="38"/>
        <v>-11398</v>
      </c>
      <c r="AC40" s="254">
        <f t="shared" si="38"/>
        <v>-11587</v>
      </c>
      <c r="AD40" s="254">
        <f t="shared" si="38"/>
        <v>-22477</v>
      </c>
      <c r="AE40" s="254">
        <f t="shared" si="38"/>
        <v>-18538</v>
      </c>
      <c r="AF40" s="254">
        <f t="shared" si="38"/>
        <v>-13049.3592507128</v>
      </c>
      <c r="AG40" s="254">
        <f t="shared" ref="AG40:AM40" si="39">SUM(AG38:AG39)</f>
        <v>-13049.3592507128</v>
      </c>
      <c r="AH40" s="254">
        <f t="shared" si="39"/>
        <v>-13049.359250712794</v>
      </c>
      <c r="AI40" s="254">
        <f t="shared" si="39"/>
        <v>-13049.3592507128</v>
      </c>
      <c r="AJ40" s="254">
        <f t="shared" si="39"/>
        <v>-13049.3592507128</v>
      </c>
      <c r="AK40" s="254">
        <f t="shared" si="39"/>
        <v>-13049.3592507128</v>
      </c>
      <c r="AL40" s="254">
        <f t="shared" si="39"/>
        <v>-13049.3592507128</v>
      </c>
      <c r="AM40" s="254">
        <f t="shared" si="39"/>
        <v>-13049.3592507128</v>
      </c>
      <c r="AN40" s="254">
        <f t="shared" ref="AN40:BK40" si="40">SUM(AN38:AN39)</f>
        <v>-12746.823873957477</v>
      </c>
      <c r="AO40" s="254">
        <f t="shared" si="40"/>
        <v>-12746.823873957477</v>
      </c>
      <c r="AP40" s="254">
        <f t="shared" si="40"/>
        <v>-12746.823873957477</v>
      </c>
      <c r="AQ40" s="254">
        <f t="shared" si="40"/>
        <v>-12746.823873957477</v>
      </c>
      <c r="AR40" s="254">
        <f t="shared" si="40"/>
        <v>-7111.0219984012347</v>
      </c>
      <c r="AS40" s="254">
        <f t="shared" si="40"/>
        <v>-7111.0219984012365</v>
      </c>
      <c r="AT40" s="254">
        <f t="shared" si="40"/>
        <v>-7111.0219984012347</v>
      </c>
      <c r="AU40" s="254">
        <f t="shared" si="40"/>
        <v>-7111.0219984012338</v>
      </c>
      <c r="AV40" s="254">
        <f t="shared" si="40"/>
        <v>-6938.1446402553356</v>
      </c>
      <c r="AW40" s="254">
        <f t="shared" si="40"/>
        <v>-6938.1446402553365</v>
      </c>
      <c r="AX40" s="254">
        <f t="shared" si="40"/>
        <v>-6938.1446402553356</v>
      </c>
      <c r="AY40" s="254">
        <f t="shared" si="40"/>
        <v>-6938.1446402553338</v>
      </c>
      <c r="AZ40" s="254">
        <f t="shared" si="40"/>
        <v>-6765.2672821094366</v>
      </c>
      <c r="BA40" s="254">
        <f t="shared" si="40"/>
        <v>-6765.2672821094393</v>
      </c>
      <c r="BB40" s="254">
        <f t="shared" si="40"/>
        <v>-6765.2672821094366</v>
      </c>
      <c r="BC40" s="254">
        <f t="shared" si="40"/>
        <v>-6765.2672821094338</v>
      </c>
      <c r="BD40" s="254">
        <f t="shared" si="40"/>
        <v>-6592.389923963543</v>
      </c>
      <c r="BE40" s="254">
        <f t="shared" si="40"/>
        <v>-6592.389923963543</v>
      </c>
      <c r="BF40" s="254">
        <f t="shared" si="40"/>
        <v>-6592.389923963543</v>
      </c>
      <c r="BG40" s="254">
        <f t="shared" si="40"/>
        <v>-6592.3899239635384</v>
      </c>
      <c r="BH40" s="254">
        <f t="shared" si="40"/>
        <v>-6419.512565817643</v>
      </c>
      <c r="BI40" s="254">
        <f t="shared" si="40"/>
        <v>-6419.5125658176485</v>
      </c>
      <c r="BJ40" s="254">
        <f t="shared" si="40"/>
        <v>0</v>
      </c>
      <c r="BK40" s="254">
        <f t="shared" si="40"/>
        <v>0</v>
      </c>
    </row>
    <row r="41" spans="2:63">
      <c r="B41" s="247" t="s">
        <v>183</v>
      </c>
      <c r="C41" s="248" t="s">
        <v>161</v>
      </c>
      <c r="D41" s="249"/>
      <c r="E41" s="250">
        <f>E35+E38</f>
        <v>-20416</v>
      </c>
      <c r="F41" s="250">
        <f>F35+F38</f>
        <v>-156936</v>
      </c>
      <c r="G41" s="250">
        <f>G35+G38</f>
        <v>-195960</v>
      </c>
      <c r="H41" s="250">
        <f t="shared" ref="H41:N41" si="41">H35+H38</f>
        <v>-232444</v>
      </c>
      <c r="I41" s="250">
        <f t="shared" ca="1" si="41"/>
        <v>-203502</v>
      </c>
      <c r="J41" s="250">
        <f t="shared" ca="1" si="41"/>
        <v>-232444</v>
      </c>
      <c r="K41" s="250">
        <f t="shared" ca="1" si="41"/>
        <v>-240985.16414212371</v>
      </c>
      <c r="L41" s="250">
        <f t="shared" ca="1" si="41"/>
        <v>-261813.9562980154</v>
      </c>
      <c r="M41" s="250">
        <f t="shared" ca="1" si="41"/>
        <v>-255092.48136067993</v>
      </c>
      <c r="N41" s="250">
        <f t="shared" ca="1" si="41"/>
        <v>-237474.47474599897</v>
      </c>
      <c r="O41" s="250">
        <f ca="1">O35+O38</f>
        <v>-223647.24223230052</v>
      </c>
      <c r="P41" s="250">
        <f ca="1">P35+P38</f>
        <v>-207429.44117129099</v>
      </c>
      <c r="Q41" s="250">
        <f ca="1">Q35+Q38</f>
        <v>-202260.93350090994</v>
      </c>
      <c r="T41" s="89">
        <f t="shared" ref="T41:AM41" si="42">T35+T38</f>
        <v>-44343</v>
      </c>
      <c r="U41" s="89">
        <f t="shared" si="42"/>
        <v>-45381</v>
      </c>
      <c r="V41" s="89">
        <f t="shared" si="42"/>
        <v>-57106</v>
      </c>
      <c r="W41" s="89">
        <f t="shared" si="42"/>
        <v>-53045</v>
      </c>
      <c r="X41" s="89">
        <f t="shared" si="42"/>
        <v>-54859</v>
      </c>
      <c r="Y41" s="89">
        <f t="shared" si="42"/>
        <v>-55481</v>
      </c>
      <c r="Z41" s="89">
        <f t="shared" si="42"/>
        <v>-53833</v>
      </c>
      <c r="AA41" s="250">
        <f t="shared" si="42"/>
        <v>-62148</v>
      </c>
      <c r="AB41" s="250">
        <f t="shared" si="42"/>
        <v>-56208</v>
      </c>
      <c r="AC41" s="250">
        <f t="shared" si="42"/>
        <v>-56961</v>
      </c>
      <c r="AD41" s="250">
        <f t="shared" si="42"/>
        <v>-69406</v>
      </c>
      <c r="AE41" s="250">
        <f t="shared" si="42"/>
        <v>-58410.164142123729</v>
      </c>
      <c r="AF41" s="250">
        <f t="shared" ca="1" si="42"/>
        <v>-64315.519919067876</v>
      </c>
      <c r="AG41" s="250">
        <f t="shared" ca="1" si="42"/>
        <v>-65780.614689313006</v>
      </c>
      <c r="AH41" s="250">
        <f t="shared" ca="1" si="42"/>
        <v>-65858.910844817248</v>
      </c>
      <c r="AI41" s="250">
        <f t="shared" ca="1" si="42"/>
        <v>-65858.910844817277</v>
      </c>
      <c r="AJ41" s="250">
        <f t="shared" ca="1" si="42"/>
        <v>-64468.383841719085</v>
      </c>
      <c r="AK41" s="250">
        <f t="shared" ca="1" si="42"/>
        <v>-64468.383841719085</v>
      </c>
      <c r="AL41" s="250">
        <f t="shared" ca="1" si="42"/>
        <v>-63077.856838620886</v>
      </c>
      <c r="AM41" s="250">
        <f t="shared" ca="1" si="42"/>
        <v>-63077.856838620886</v>
      </c>
      <c r="AN41" s="250">
        <f t="shared" ref="AN41:BK41" ca="1" si="43">AN35+AN38</f>
        <v>-60115.139319657588</v>
      </c>
      <c r="AO41" s="250">
        <f t="shared" ca="1" si="43"/>
        <v>-60115.139319657588</v>
      </c>
      <c r="AP41" s="250">
        <f t="shared" ca="1" si="43"/>
        <v>-58622.098053341892</v>
      </c>
      <c r="AQ41" s="250">
        <f t="shared" ca="1" si="43"/>
        <v>-58622.098053341892</v>
      </c>
      <c r="AR41" s="250">
        <f t="shared" ca="1" si="43"/>
        <v>-55911.810558075122</v>
      </c>
      <c r="AS41" s="250">
        <f t="shared" ca="1" si="43"/>
        <v>-55911.810558075136</v>
      </c>
      <c r="AT41" s="250">
        <f t="shared" ca="1" si="43"/>
        <v>-55911.810558075122</v>
      </c>
      <c r="AU41" s="250">
        <f t="shared" ca="1" si="43"/>
        <v>-55911.810558075107</v>
      </c>
      <c r="AV41" s="250">
        <f t="shared" ca="1" si="43"/>
        <v>-51857.360292822748</v>
      </c>
      <c r="AW41" s="250">
        <f t="shared" ca="1" si="43"/>
        <v>-51857.360292822756</v>
      </c>
      <c r="AX41" s="250">
        <f t="shared" ca="1" si="43"/>
        <v>-51857.360292822748</v>
      </c>
      <c r="AY41" s="250">
        <f t="shared" ca="1" si="43"/>
        <v>-51857.360292822734</v>
      </c>
      <c r="AZ41" s="250">
        <f t="shared" ca="1" si="43"/>
        <v>-50565.233375227486</v>
      </c>
      <c r="BA41" s="250">
        <f t="shared" ca="1" si="43"/>
        <v>-50565.233375227508</v>
      </c>
      <c r="BB41" s="250">
        <f t="shared" ca="1" si="43"/>
        <v>-50565.233375227486</v>
      </c>
      <c r="BC41" s="250">
        <f t="shared" ca="1" si="43"/>
        <v>-50565.233375227457</v>
      </c>
      <c r="BD41" s="250">
        <f t="shared" ca="1" si="43"/>
        <v>-49273.106457632261</v>
      </c>
      <c r="BE41" s="250">
        <f t="shared" ca="1" si="43"/>
        <v>-49273.106457632261</v>
      </c>
      <c r="BF41" s="250">
        <f t="shared" ca="1" si="43"/>
        <v>-49273.106457632261</v>
      </c>
      <c r="BG41" s="250">
        <f t="shared" ca="1" si="43"/>
        <v>-49273.106457632224</v>
      </c>
      <c r="BH41" s="250">
        <f t="shared" ca="1" si="43"/>
        <v>-47980.979540036984</v>
      </c>
      <c r="BI41" s="250">
        <f t="shared" ca="1" si="43"/>
        <v>-47980.979540037035</v>
      </c>
      <c r="BJ41" s="250">
        <f t="shared" ca="1" si="43"/>
        <v>-41561.466974219351</v>
      </c>
      <c r="BK41" s="250">
        <f t="shared" ca="1" si="43"/>
        <v>-41561.466974219227</v>
      </c>
    </row>
    <row r="42" spans="2:63">
      <c r="B42" s="251" t="s">
        <v>185</v>
      </c>
      <c r="C42" s="248" t="s">
        <v>161</v>
      </c>
      <c r="D42" s="249"/>
      <c r="E42" s="250">
        <f>E41+E39</f>
        <v>-20416</v>
      </c>
      <c r="F42" s="250">
        <f>F41+F39</f>
        <v>-161941</v>
      </c>
      <c r="G42" s="250">
        <f>G41+G39</f>
        <v>-213247</v>
      </c>
      <c r="H42" s="250">
        <f t="shared" ref="H42:N42" si="44">H41+H39</f>
        <v>-252176</v>
      </c>
      <c r="I42" s="250">
        <f t="shared" ca="1" si="44"/>
        <v>-220788</v>
      </c>
      <c r="J42" s="250">
        <f t="shared" ca="1" si="44"/>
        <v>-252176</v>
      </c>
      <c r="K42" s="250">
        <f t="shared" ca="1" si="44"/>
        <v>-262985.16414212371</v>
      </c>
      <c r="L42" s="250">
        <f t="shared" ca="1" si="44"/>
        <v>-284184.28644209448</v>
      </c>
      <c r="M42" s="250">
        <f t="shared" ca="1" si="44"/>
        <v>-277462.81150475901</v>
      </c>
      <c r="N42" s="250">
        <f t="shared" ca="1" si="44"/>
        <v>-259326.17281564037</v>
      </c>
      <c r="O42" s="250">
        <f ca="1">O41+O39</f>
        <v>-223647.24223230052</v>
      </c>
      <c r="P42" s="250">
        <f ca="1">P41+P39</f>
        <v>-207429.44117129099</v>
      </c>
      <c r="Q42" s="250">
        <f ca="1">Q41+Q39</f>
        <v>-202260.93350090994</v>
      </c>
      <c r="T42" s="250">
        <f t="shared" ref="T42:BK42" si="45">T41+T39</f>
        <v>-50447</v>
      </c>
      <c r="U42" s="250">
        <f t="shared" si="45"/>
        <v>-48572</v>
      </c>
      <c r="V42" s="250">
        <f t="shared" si="45"/>
        <v>-58551</v>
      </c>
      <c r="W42" s="250">
        <f t="shared" si="45"/>
        <v>-59591</v>
      </c>
      <c r="X42" s="250">
        <f t="shared" si="45"/>
        <v>-56674</v>
      </c>
      <c r="Y42" s="250">
        <f t="shared" si="45"/>
        <v>-61231</v>
      </c>
      <c r="Z42" s="250">
        <f t="shared" si="45"/>
        <v>-61160</v>
      </c>
      <c r="AA42" s="250">
        <f t="shared" si="45"/>
        <v>-66988</v>
      </c>
      <c r="AB42" s="250">
        <f t="shared" si="45"/>
        <v>-62904</v>
      </c>
      <c r="AC42" s="250">
        <f t="shared" si="45"/>
        <v>-59946</v>
      </c>
      <c r="AD42" s="250">
        <f t="shared" si="45"/>
        <v>-70025</v>
      </c>
      <c r="AE42" s="250">
        <f t="shared" si="45"/>
        <v>-70110.164142123729</v>
      </c>
      <c r="AF42" s="250">
        <f t="shared" ca="1" si="45"/>
        <v>-69908.102455087646</v>
      </c>
      <c r="AG42" s="250">
        <f t="shared" ca="1" si="45"/>
        <v>-71373.197225332784</v>
      </c>
      <c r="AH42" s="250">
        <f t="shared" ca="1" si="45"/>
        <v>-71451.493380837012</v>
      </c>
      <c r="AI42" s="250">
        <f t="shared" ca="1" si="45"/>
        <v>-71451.493380837055</v>
      </c>
      <c r="AJ42" s="250">
        <f t="shared" ca="1" si="45"/>
        <v>-70060.966377738863</v>
      </c>
      <c r="AK42" s="250">
        <f t="shared" ca="1" si="45"/>
        <v>-70060.966377738863</v>
      </c>
      <c r="AL42" s="250">
        <f t="shared" ca="1" si="45"/>
        <v>-68670.439374640657</v>
      </c>
      <c r="AM42" s="250">
        <f t="shared" ca="1" si="45"/>
        <v>-68670.439374640657</v>
      </c>
      <c r="AN42" s="250">
        <f t="shared" ca="1" si="45"/>
        <v>-65578.063837067937</v>
      </c>
      <c r="AO42" s="250">
        <f t="shared" ca="1" si="45"/>
        <v>-65578.063837067937</v>
      </c>
      <c r="AP42" s="250">
        <f t="shared" ca="1" si="45"/>
        <v>-64085.02257075224</v>
      </c>
      <c r="AQ42" s="250">
        <f t="shared" ca="1" si="45"/>
        <v>-64085.02257075224</v>
      </c>
      <c r="AR42" s="250">
        <f t="shared" ca="1" si="45"/>
        <v>-55911.810558075122</v>
      </c>
      <c r="AS42" s="250">
        <f t="shared" ca="1" si="45"/>
        <v>-55911.810558075136</v>
      </c>
      <c r="AT42" s="250">
        <f t="shared" ca="1" si="45"/>
        <v>-55911.810558075122</v>
      </c>
      <c r="AU42" s="250">
        <f t="shared" ca="1" si="45"/>
        <v>-55911.810558075107</v>
      </c>
      <c r="AV42" s="250">
        <f t="shared" ca="1" si="45"/>
        <v>-51857.360292822748</v>
      </c>
      <c r="AW42" s="250">
        <f t="shared" ca="1" si="45"/>
        <v>-51857.360292822756</v>
      </c>
      <c r="AX42" s="250">
        <f t="shared" ca="1" si="45"/>
        <v>-51857.360292822748</v>
      </c>
      <c r="AY42" s="250">
        <f t="shared" ca="1" si="45"/>
        <v>-51857.360292822734</v>
      </c>
      <c r="AZ42" s="250">
        <f t="shared" ca="1" si="45"/>
        <v>-50565.233375227486</v>
      </c>
      <c r="BA42" s="250">
        <f t="shared" ca="1" si="45"/>
        <v>-50565.233375227508</v>
      </c>
      <c r="BB42" s="250">
        <f t="shared" ca="1" si="45"/>
        <v>-50565.233375227486</v>
      </c>
      <c r="BC42" s="250">
        <f t="shared" ca="1" si="45"/>
        <v>-50565.233375227457</v>
      </c>
      <c r="BD42" s="250">
        <f t="shared" ca="1" si="45"/>
        <v>-49273.106457632261</v>
      </c>
      <c r="BE42" s="250">
        <f t="shared" ca="1" si="45"/>
        <v>-49273.106457632261</v>
      </c>
      <c r="BF42" s="250">
        <f t="shared" ca="1" si="45"/>
        <v>-49273.106457632261</v>
      </c>
      <c r="BG42" s="250">
        <f t="shared" ca="1" si="45"/>
        <v>-49273.106457632224</v>
      </c>
      <c r="BH42" s="250">
        <f t="shared" ca="1" si="45"/>
        <v>-47980.979540036984</v>
      </c>
      <c r="BI42" s="250">
        <f t="shared" ca="1" si="45"/>
        <v>-47980.979540037035</v>
      </c>
      <c r="BJ42" s="250">
        <f t="shared" ca="1" si="45"/>
        <v>-41561.466974219351</v>
      </c>
      <c r="BK42" s="250">
        <f t="shared" ca="1" si="45"/>
        <v>-41561.466974219227</v>
      </c>
    </row>
    <row r="43" spans="2:63">
      <c r="B43" s="251" t="s">
        <v>186</v>
      </c>
      <c r="C43" s="247" t="s">
        <v>187</v>
      </c>
      <c r="D43" s="249"/>
      <c r="E43" s="249">
        <v>194</v>
      </c>
      <c r="F43" s="249">
        <v>459</v>
      </c>
      <c r="G43" s="249">
        <v>761</v>
      </c>
      <c r="H43" s="249">
        <v>703</v>
      </c>
      <c r="I43" s="195">
        <f t="shared" ref="I43:Q43" ca="1" si="46">-I35/I22*1000</f>
        <v>617.73971746561733</v>
      </c>
      <c r="J43" s="195">
        <f t="shared" ca="1" si="46"/>
        <v>655.01156691146423</v>
      </c>
      <c r="K43" s="195">
        <f t="shared" ca="1" si="46"/>
        <v>667.12861252113839</v>
      </c>
      <c r="L43" s="195">
        <f t="shared" ca="1" si="46"/>
        <v>796.23165451456305</v>
      </c>
      <c r="M43" s="195">
        <f t="shared" ca="1" si="46"/>
        <v>791.95850664135901</v>
      </c>
      <c r="N43" s="195">
        <f t="shared" ca="1" si="46"/>
        <v>750.70097310677875</v>
      </c>
      <c r="O43" s="195">
        <f t="shared" ca="1" si="46"/>
        <v>721.34309739285879</v>
      </c>
      <c r="P43" s="195">
        <f t="shared" ca="1" si="46"/>
        <v>681.37983600279267</v>
      </c>
      <c r="Q43" s="195">
        <f t="shared" ca="1" si="46"/>
        <v>682.29426524285236</v>
      </c>
      <c r="T43" s="195">
        <f t="shared" ref="T43:Y43" si="47">-T35/T22*1000</f>
        <v>689.40512958238219</v>
      </c>
      <c r="U43" s="195">
        <f t="shared" si="47"/>
        <v>703.30845083402448</v>
      </c>
      <c r="V43" s="195">
        <f t="shared" si="47"/>
        <v>814.4608850527469</v>
      </c>
      <c r="W43" s="195">
        <f t="shared" si="47"/>
        <v>908.09377667205399</v>
      </c>
      <c r="X43" s="195">
        <f t="shared" si="47"/>
        <v>760.26539147006395</v>
      </c>
      <c r="Y43" s="195">
        <f t="shared" si="47"/>
        <v>772.47479584196685</v>
      </c>
      <c r="Z43" s="195">
        <f t="shared" ref="Z43:AE43" si="48">-Z35/Z22*1000</f>
        <v>752.07553835530655</v>
      </c>
      <c r="AA43" s="195">
        <f t="shared" si="48"/>
        <v>541.46307825675774</v>
      </c>
      <c r="AB43" s="195">
        <f t="shared" si="48"/>
        <v>768.39074458086554</v>
      </c>
      <c r="AC43" s="195">
        <f t="shared" si="48"/>
        <v>629.45318703060127</v>
      </c>
      <c r="AD43" s="195">
        <f>-AD35/AD22*1000</f>
        <v>630.76902667781007</v>
      </c>
      <c r="AE43" s="195">
        <f t="shared" si="48"/>
        <v>677.05439363942367</v>
      </c>
      <c r="AF43" s="195">
        <f t="shared" ref="AF43:AM43" ca="1" si="49">-AF35/AF22*1000</f>
        <v>762.51100683139521</v>
      </c>
      <c r="AG43" s="195">
        <f t="shared" ca="1" si="49"/>
        <v>782.15883626630728</v>
      </c>
      <c r="AH43" s="195">
        <f t="shared" ca="1" si="49"/>
        <v>783.20883626630734</v>
      </c>
      <c r="AI43" s="195">
        <f t="shared" ca="1" si="49"/>
        <v>783.20883626630723</v>
      </c>
      <c r="AJ43" s="195">
        <f t="shared" ca="1" si="49"/>
        <v>764.56100683139528</v>
      </c>
      <c r="AK43" s="195">
        <f t="shared" ca="1" si="49"/>
        <v>764.56100683139528</v>
      </c>
      <c r="AL43" s="195">
        <f t="shared" ca="1" si="49"/>
        <v>745.91317739648309</v>
      </c>
      <c r="AM43" s="195">
        <f t="shared" ca="1" si="49"/>
        <v>745.91317739648309</v>
      </c>
      <c r="AN43" s="195">
        <f t="shared" ref="AN43:BK43" ca="1" si="50">-AN35/AN22*1000</f>
        <v>725.31534796157109</v>
      </c>
      <c r="AO43" s="195">
        <f t="shared" ca="1" si="50"/>
        <v>725.31534796157109</v>
      </c>
      <c r="AP43" s="195">
        <f t="shared" ca="1" si="50"/>
        <v>704.81751852665889</v>
      </c>
      <c r="AQ43" s="195">
        <f t="shared" ca="1" si="50"/>
        <v>704.81751852665889</v>
      </c>
      <c r="AR43" s="195">
        <f t="shared" ca="1" si="50"/>
        <v>686.26968909174695</v>
      </c>
      <c r="AS43" s="195">
        <f t="shared" ca="1" si="50"/>
        <v>686.26968909174707</v>
      </c>
      <c r="AT43" s="195">
        <f t="shared" ca="1" si="50"/>
        <v>686.26968909174695</v>
      </c>
      <c r="AU43" s="195">
        <f t="shared" ca="1" si="50"/>
        <v>686.26968909174695</v>
      </c>
      <c r="AV43" s="195">
        <f t="shared" ca="1" si="50"/>
        <v>647.42403022192275</v>
      </c>
      <c r="AW43" s="195">
        <f t="shared" ca="1" si="50"/>
        <v>647.42403022192275</v>
      </c>
      <c r="AX43" s="195">
        <f t="shared" ca="1" si="50"/>
        <v>647.42403022192275</v>
      </c>
      <c r="AY43" s="195">
        <f t="shared" ca="1" si="50"/>
        <v>647.42403022192264</v>
      </c>
      <c r="AZ43" s="195">
        <f t="shared" ca="1" si="50"/>
        <v>647.42403022192264</v>
      </c>
      <c r="BA43" s="195">
        <f t="shared" ca="1" si="50"/>
        <v>647.42403022192275</v>
      </c>
      <c r="BB43" s="195">
        <f t="shared" ca="1" si="50"/>
        <v>647.42403022192264</v>
      </c>
      <c r="BC43" s="195">
        <f t="shared" ca="1" si="50"/>
        <v>647.42403022192264</v>
      </c>
      <c r="BD43" s="195">
        <f t="shared" ca="1" si="50"/>
        <v>647.42403022192275</v>
      </c>
      <c r="BE43" s="195">
        <f t="shared" ca="1" si="50"/>
        <v>647.42403022192275</v>
      </c>
      <c r="BF43" s="195">
        <f t="shared" ca="1" si="50"/>
        <v>647.42403022192275</v>
      </c>
      <c r="BG43" s="195">
        <f t="shared" ca="1" si="50"/>
        <v>647.42403022192275</v>
      </c>
      <c r="BH43" s="195">
        <f t="shared" ca="1" si="50"/>
        <v>647.42403022192275</v>
      </c>
      <c r="BI43" s="195">
        <f t="shared" ca="1" si="50"/>
        <v>647.42403022192275</v>
      </c>
      <c r="BJ43" s="195">
        <f t="shared" ca="1" si="50"/>
        <v>647.42403022192286</v>
      </c>
      <c r="BK43" s="195">
        <f t="shared" ca="1" si="50"/>
        <v>647.42403022192275</v>
      </c>
    </row>
    <row r="44" spans="2:63">
      <c r="B44" s="251" t="s">
        <v>188</v>
      </c>
      <c r="C44" s="247" t="s">
        <v>187</v>
      </c>
      <c r="D44" s="249"/>
      <c r="E44" s="249">
        <v>335</v>
      </c>
      <c r="F44" s="249">
        <v>564</v>
      </c>
      <c r="G44" s="249">
        <v>862</v>
      </c>
      <c r="H44" s="249">
        <v>836</v>
      </c>
      <c r="I44" s="195">
        <f t="shared" ref="I44:N44" ca="1" si="51">-I41/I22*1000</f>
        <v>696.76627434549221</v>
      </c>
      <c r="J44" s="195">
        <f t="shared" ca="1" si="51"/>
        <v>779.30454703701355</v>
      </c>
      <c r="K44" s="195">
        <f t="shared" ca="1" si="51"/>
        <v>807.94012400585973</v>
      </c>
      <c r="L44" s="195">
        <f t="shared" ca="1" si="51"/>
        <v>898.60507223608204</v>
      </c>
      <c r="M44" s="195">
        <f t="shared" ca="1" si="51"/>
        <v>896.82074327020825</v>
      </c>
      <c r="N44" s="195">
        <f t="shared" ca="1" si="51"/>
        <v>855.68436181109769</v>
      </c>
      <c r="O44" s="195">
        <f ca="1">-O41/O22*1000</f>
        <v>826.45382993118938</v>
      </c>
      <c r="P44" s="195">
        <f ca="1">-P41/P22*1000</f>
        <v>786.62459124754798</v>
      </c>
      <c r="Q44" s="195">
        <f ca="1">-Q41/Q22*1000</f>
        <v>787.68026165218816</v>
      </c>
      <c r="T44" s="195">
        <f t="shared" ref="T44:Y44" si="52">-T41/T22*1000</f>
        <v>744.30978917684979</v>
      </c>
      <c r="U44" s="195">
        <f t="shared" si="52"/>
        <v>836.43903787669342</v>
      </c>
      <c r="V44" s="195">
        <f t="shared" si="52"/>
        <v>977.97643512809975</v>
      </c>
      <c r="W44" s="195">
        <f t="shared" si="52"/>
        <v>963.28109394010926</v>
      </c>
      <c r="X44" s="195">
        <f t="shared" si="52"/>
        <v>968.02597448430413</v>
      </c>
      <c r="Y44" s="195">
        <f t="shared" si="52"/>
        <v>966.0462119761105</v>
      </c>
      <c r="Z44" s="195">
        <f t="shared" ref="Z44:AE44" si="53">-Z41/Z22*1000</f>
        <v>864.46774685658306</v>
      </c>
      <c r="AA44" s="195">
        <f t="shared" si="53"/>
        <v>612.22318543620463</v>
      </c>
      <c r="AB44" s="195">
        <f t="shared" si="53"/>
        <v>838.53739314645463</v>
      </c>
      <c r="AC44" s="195">
        <f t="shared" si="53"/>
        <v>741.41903237143197</v>
      </c>
      <c r="AD44" s="195">
        <f>-AD41/AD22*1000</f>
        <v>920.73599448136804</v>
      </c>
      <c r="AE44" s="195">
        <f t="shared" si="53"/>
        <v>766.82564952365908</v>
      </c>
      <c r="AF44" s="195">
        <f t="shared" ref="AF44:AM44" ca="1" si="54">-AF41/AF22*1000</f>
        <v>862.51100683139509</v>
      </c>
      <c r="AG44" s="195">
        <f t="shared" ca="1" si="54"/>
        <v>882.15883626630728</v>
      </c>
      <c r="AH44" s="195">
        <f t="shared" ca="1" si="54"/>
        <v>883.20883626630723</v>
      </c>
      <c r="AI44" s="195">
        <f t="shared" ca="1" si="54"/>
        <v>883.20883626630723</v>
      </c>
      <c r="AJ44" s="195">
        <f t="shared" ca="1" si="54"/>
        <v>864.56100683139528</v>
      </c>
      <c r="AK44" s="195">
        <f t="shared" ca="1" si="54"/>
        <v>864.56100683139528</v>
      </c>
      <c r="AL44" s="195">
        <f t="shared" ca="1" si="54"/>
        <v>845.91317739648309</v>
      </c>
      <c r="AM44" s="195">
        <f t="shared" ca="1" si="54"/>
        <v>845.91317739648309</v>
      </c>
      <c r="AN44" s="195">
        <f t="shared" ref="AN44:BK44" ca="1" si="55">-AN41/AN22*1000</f>
        <v>825.31534796157109</v>
      </c>
      <c r="AO44" s="195">
        <f t="shared" ca="1" si="55"/>
        <v>825.31534796157109</v>
      </c>
      <c r="AP44" s="195">
        <f t="shared" ca="1" si="55"/>
        <v>804.817518526659</v>
      </c>
      <c r="AQ44" s="195">
        <f t="shared" ca="1" si="55"/>
        <v>804.817518526659</v>
      </c>
      <c r="AR44" s="195">
        <f t="shared" ca="1" si="55"/>
        <v>786.26968909174695</v>
      </c>
      <c r="AS44" s="195">
        <f t="shared" ca="1" si="55"/>
        <v>786.26968909174695</v>
      </c>
      <c r="AT44" s="195">
        <f t="shared" ca="1" si="55"/>
        <v>786.26968909174695</v>
      </c>
      <c r="AU44" s="195">
        <f t="shared" ca="1" si="55"/>
        <v>786.26968909174684</v>
      </c>
      <c r="AV44" s="195">
        <f t="shared" ca="1" si="55"/>
        <v>747.42403022192275</v>
      </c>
      <c r="AW44" s="195">
        <f t="shared" ca="1" si="55"/>
        <v>747.42403022192275</v>
      </c>
      <c r="AX44" s="195">
        <f t="shared" ca="1" si="55"/>
        <v>747.42403022192275</v>
      </c>
      <c r="AY44" s="195">
        <f t="shared" ca="1" si="55"/>
        <v>747.42403022192275</v>
      </c>
      <c r="AZ44" s="195">
        <f t="shared" ca="1" si="55"/>
        <v>747.42403022192275</v>
      </c>
      <c r="BA44" s="195">
        <f t="shared" ca="1" si="55"/>
        <v>747.42403022192275</v>
      </c>
      <c r="BB44" s="195">
        <f t="shared" ca="1" si="55"/>
        <v>747.42403022192275</v>
      </c>
      <c r="BC44" s="195">
        <f t="shared" ca="1" si="55"/>
        <v>747.42403022192264</v>
      </c>
      <c r="BD44" s="195">
        <f t="shared" ca="1" si="55"/>
        <v>747.42403022192275</v>
      </c>
      <c r="BE44" s="195">
        <f t="shared" ca="1" si="55"/>
        <v>747.42403022192275</v>
      </c>
      <c r="BF44" s="195">
        <f t="shared" ca="1" si="55"/>
        <v>747.42403022192275</v>
      </c>
      <c r="BG44" s="195">
        <f t="shared" ca="1" si="55"/>
        <v>747.42403022192275</v>
      </c>
      <c r="BH44" s="195">
        <f t="shared" ca="1" si="55"/>
        <v>747.42403022192264</v>
      </c>
      <c r="BI44" s="195">
        <f t="shared" ca="1" si="55"/>
        <v>747.42403022192275</v>
      </c>
      <c r="BJ44" s="195">
        <f t="shared" ca="1" si="55"/>
        <v>647.42403022192286</v>
      </c>
      <c r="BK44" s="195">
        <f t="shared" ca="1" si="55"/>
        <v>647.42403022192275</v>
      </c>
    </row>
    <row r="45" spans="2:63">
      <c r="T45" s="167"/>
    </row>
    <row r="46" spans="2:63">
      <c r="B46" s="164" t="s">
        <v>241</v>
      </c>
      <c r="C46" s="164"/>
      <c r="D46" s="188"/>
      <c r="E46" s="188"/>
      <c r="F46" s="188"/>
      <c r="G46" s="245"/>
      <c r="H46" s="245"/>
      <c r="I46" s="188"/>
      <c r="J46" s="188"/>
      <c r="K46" s="188"/>
      <c r="L46" s="188"/>
      <c r="M46" s="188"/>
      <c r="N46" s="188"/>
      <c r="O46" s="188"/>
      <c r="P46" s="188"/>
      <c r="Q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</row>
    <row r="47" spans="2:63">
      <c r="B47" s="243" t="s">
        <v>242</v>
      </c>
      <c r="C47" s="193" t="s">
        <v>187</v>
      </c>
      <c r="E47" s="186"/>
      <c r="F47" s="186"/>
      <c r="G47" s="186">
        <f ca="1">AVERAGE(OFFSET($T$47,,(COLUMNS($G$47:G47)-1)*4,,4))</f>
        <v>103.22510308407314</v>
      </c>
      <c r="H47" s="186">
        <f ca="1">AVERAGE(OFFSET($T$47,,(COLUMNS($G$47:H47)-1)*4,,4))</f>
        <v>146.99595695508759</v>
      </c>
      <c r="I47" s="186">
        <f ca="1">AVERAGE(OFFSET($T$47,,(COLUMNS($G$47:I47)-1)*4,,4))</f>
        <v>145.07623670944531</v>
      </c>
      <c r="J47" s="186">
        <f ca="1">AVERAGE(OFFSET($T$47,,(COLUMNS($G$47:J47)-1)*4,,4))</f>
        <v>100</v>
      </c>
      <c r="K47" s="186">
        <f ca="1">AVERAGE(OFFSET($T$47,,(COLUMNS($G$47:K47)-1)*4,,4))</f>
        <v>100</v>
      </c>
      <c r="L47" s="186">
        <f ca="1">AVERAGE(OFFSET($T$47,,(COLUMNS($G$47:L47)-1)*4,,4))</f>
        <v>100</v>
      </c>
      <c r="M47" s="186">
        <f ca="1">AVERAGE(OFFSET($T$47,,(COLUMNS($G$47:M47)-1)*4,,4))</f>
        <v>100</v>
      </c>
      <c r="N47" s="186">
        <f ca="1">AVERAGE(OFFSET($T$47,,(COLUMNS($G$47:N47)-1)*4,,4))</f>
        <v>100</v>
      </c>
      <c r="O47" s="186">
        <f ca="1">AVERAGE(OFFSET($T$47,,(COLUMNS($G$47:O47)-1)*4,,4))</f>
        <v>100</v>
      </c>
      <c r="P47" s="186">
        <f ca="1">AVERAGE(OFFSET($T$47,,(COLUMNS($G$47:P47)-1)*4,,4))</f>
        <v>100</v>
      </c>
      <c r="Q47" s="186">
        <f ca="1">AVERAGE(OFFSET($T$47,,(COLUMNS($G$47:Q47)-1)*4,,4))</f>
        <v>50</v>
      </c>
      <c r="T47" s="186">
        <f t="shared" ref="T47:AE47" si="56">-T38/T$19*10^3</f>
        <v>59.085982658959537</v>
      </c>
      <c r="U47" s="186">
        <f t="shared" si="56"/>
        <v>124.03832944085725</v>
      </c>
      <c r="V47" s="186">
        <f t="shared" si="56"/>
        <v>174.52657746581855</v>
      </c>
      <c r="W47" s="186">
        <f t="shared" si="56"/>
        <v>55.249522770657215</v>
      </c>
      <c r="X47" s="186">
        <f t="shared" si="56"/>
        <v>210.77694235588973</v>
      </c>
      <c r="Y47" s="186">
        <f t="shared" si="56"/>
        <v>193.5276094979458</v>
      </c>
      <c r="Z47" s="186">
        <f t="shared" si="56"/>
        <v>112.81795028853284</v>
      </c>
      <c r="AA47" s="186">
        <f t="shared" si="56"/>
        <v>70.861325677981995</v>
      </c>
      <c r="AB47" s="186">
        <f t="shared" si="56"/>
        <v>71.184182638447339</v>
      </c>
      <c r="AC47" s="186">
        <f t="shared" si="56"/>
        <v>108.02190074341974</v>
      </c>
      <c r="AD47" s="186">
        <f t="shared" si="56"/>
        <v>311.32760757167881</v>
      </c>
      <c r="AE47" s="186">
        <f t="shared" si="56"/>
        <v>89.771255884235401</v>
      </c>
      <c r="AF47" s="269">
        <v>100</v>
      </c>
      <c r="AG47" s="269">
        <f>AF47</f>
        <v>100</v>
      </c>
      <c r="AH47" s="269">
        <f>AG47</f>
        <v>100</v>
      </c>
      <c r="AI47" s="269">
        <f t="shared" ref="AI47:BI47" si="57">AH47</f>
        <v>100</v>
      </c>
      <c r="AJ47" s="269">
        <f t="shared" si="57"/>
        <v>100</v>
      </c>
      <c r="AK47" s="269">
        <f t="shared" si="57"/>
        <v>100</v>
      </c>
      <c r="AL47" s="269">
        <f t="shared" si="57"/>
        <v>100</v>
      </c>
      <c r="AM47" s="269">
        <f t="shared" si="57"/>
        <v>100</v>
      </c>
      <c r="AN47" s="269">
        <f t="shared" si="57"/>
        <v>100</v>
      </c>
      <c r="AO47" s="269">
        <f t="shared" si="57"/>
        <v>100</v>
      </c>
      <c r="AP47" s="269">
        <f t="shared" si="57"/>
        <v>100</v>
      </c>
      <c r="AQ47" s="269">
        <f t="shared" si="57"/>
        <v>100</v>
      </c>
      <c r="AR47" s="269">
        <f t="shared" si="57"/>
        <v>100</v>
      </c>
      <c r="AS47" s="269">
        <f t="shared" si="57"/>
        <v>100</v>
      </c>
      <c r="AT47" s="269">
        <f t="shared" si="57"/>
        <v>100</v>
      </c>
      <c r="AU47" s="269">
        <f t="shared" si="57"/>
        <v>100</v>
      </c>
      <c r="AV47" s="269">
        <f t="shared" si="57"/>
        <v>100</v>
      </c>
      <c r="AW47" s="269">
        <f t="shared" si="57"/>
        <v>100</v>
      </c>
      <c r="AX47" s="269">
        <f t="shared" si="57"/>
        <v>100</v>
      </c>
      <c r="AY47" s="269">
        <f t="shared" si="57"/>
        <v>100</v>
      </c>
      <c r="AZ47" s="269">
        <f t="shared" si="57"/>
        <v>100</v>
      </c>
      <c r="BA47" s="269">
        <f t="shared" si="57"/>
        <v>100</v>
      </c>
      <c r="BB47" s="269">
        <f t="shared" si="57"/>
        <v>100</v>
      </c>
      <c r="BC47" s="269">
        <f t="shared" si="57"/>
        <v>100</v>
      </c>
      <c r="BD47" s="269">
        <f t="shared" si="57"/>
        <v>100</v>
      </c>
      <c r="BE47" s="269">
        <f t="shared" si="57"/>
        <v>100</v>
      </c>
      <c r="BF47" s="269">
        <f t="shared" si="57"/>
        <v>100</v>
      </c>
      <c r="BG47" s="269">
        <f t="shared" si="57"/>
        <v>100</v>
      </c>
      <c r="BH47" s="269">
        <f t="shared" si="57"/>
        <v>100</v>
      </c>
      <c r="BI47" s="269">
        <f t="shared" si="57"/>
        <v>100</v>
      </c>
      <c r="BJ47" s="269">
        <v>0</v>
      </c>
      <c r="BK47" s="269">
        <v>0</v>
      </c>
    </row>
    <row r="48" spans="2:63">
      <c r="B48" s="243" t="s">
        <v>243</v>
      </c>
      <c r="C48" s="193" t="s">
        <v>187</v>
      </c>
      <c r="E48" s="186"/>
      <c r="F48" s="186"/>
      <c r="G48" s="186">
        <f ca="1">AVERAGE(OFFSET($T$48,,(COLUMNS($E$48:G48)-1)*4,,4))</f>
        <v>75.31851934783657</v>
      </c>
      <c r="H48" s="186">
        <f ca="1">AVERAGE(OFFSET($T$48,,(COLUMNS($E$48:H48)-1)*4,,4))</f>
        <v>75</v>
      </c>
      <c r="I48" s="186">
        <f ca="1">AVERAGE(OFFSET($T$48,,(COLUMNS($E$48:I48)-1)*4,,4))</f>
        <v>75</v>
      </c>
      <c r="J48" s="186">
        <f ca="1">AVERAGE(OFFSET($T$48,,(COLUMNS($E$48:J48)-1)*4,,4))</f>
        <v>75</v>
      </c>
      <c r="K48" s="186">
        <f ca="1">AVERAGE(OFFSET($T$48,,(COLUMNS($E$48:K48)-1)*4,,4))</f>
        <v>0</v>
      </c>
      <c r="L48" s="186">
        <f ca="1">AVERAGE(OFFSET($T$48,,(COLUMNS($E$48:L48)-1)*4,,4))</f>
        <v>0</v>
      </c>
      <c r="M48" s="186">
        <f ca="1">AVERAGE(OFFSET($T$48,,(COLUMNS($E$48:M48)-1)*4,,4))</f>
        <v>0</v>
      </c>
      <c r="N48" s="186">
        <f ca="1">AVERAGE(OFFSET($T$48,,(COLUMNS($E$48:N48)-1)*4,,4))</f>
        <v>0</v>
      </c>
      <c r="O48" s="186">
        <f ca="1">AVERAGE(OFFSET($T$48,,(COLUMNS($E$48:O48)-1)*4,,4))</f>
        <v>0</v>
      </c>
      <c r="P48" s="186">
        <v>0</v>
      </c>
      <c r="Q48" s="186">
        <v>0</v>
      </c>
      <c r="T48" s="186">
        <f t="shared" ref="T48:AE48" si="58">-T39/T$19*10^3</f>
        <v>110.26011560693641</v>
      </c>
      <c r="U48" s="186">
        <f t="shared" si="58"/>
        <v>54.798049182580023</v>
      </c>
      <c r="V48" s="186">
        <f t="shared" si="58"/>
        <v>26.412956057614974</v>
      </c>
      <c r="W48" s="186">
        <f t="shared" si="58"/>
        <v>119.00736296700299</v>
      </c>
      <c r="X48" s="186">
        <f t="shared" si="58"/>
        <v>32.491944146079483</v>
      </c>
      <c r="Y48" s="186">
        <f t="shared" si="58"/>
        <v>100.0974862474758</v>
      </c>
      <c r="Z48" s="186">
        <f t="shared" si="58"/>
        <v>118.10503239949709</v>
      </c>
      <c r="AA48" s="186">
        <f t="shared" si="58"/>
        <v>47.747294484398275</v>
      </c>
      <c r="AB48" s="186">
        <f t="shared" si="58"/>
        <v>101.37160505041331</v>
      </c>
      <c r="AC48" s="186">
        <f t="shared" si="58"/>
        <v>37.484930681133214</v>
      </c>
      <c r="AD48" s="186">
        <f t="shared" si="58"/>
        <v>8.816533492857042</v>
      </c>
      <c r="AE48" s="186">
        <f t="shared" si="58"/>
        <v>153.60100816694273</v>
      </c>
      <c r="AF48" s="269">
        <v>75</v>
      </c>
      <c r="AG48" s="269">
        <f>AF48</f>
        <v>75</v>
      </c>
      <c r="AH48" s="269">
        <f t="shared" ref="AH48:AQ48" si="59">AG48</f>
        <v>75</v>
      </c>
      <c r="AI48" s="269">
        <f t="shared" si="59"/>
        <v>75</v>
      </c>
      <c r="AJ48" s="269">
        <f t="shared" si="59"/>
        <v>75</v>
      </c>
      <c r="AK48" s="269">
        <f t="shared" si="59"/>
        <v>75</v>
      </c>
      <c r="AL48" s="269">
        <f t="shared" si="59"/>
        <v>75</v>
      </c>
      <c r="AM48" s="269">
        <f t="shared" si="59"/>
        <v>75</v>
      </c>
      <c r="AN48" s="269">
        <f t="shared" si="59"/>
        <v>75</v>
      </c>
      <c r="AO48" s="269">
        <f t="shared" si="59"/>
        <v>75</v>
      </c>
      <c r="AP48" s="269">
        <f t="shared" si="59"/>
        <v>75</v>
      </c>
      <c r="AQ48" s="269">
        <f t="shared" si="59"/>
        <v>75</v>
      </c>
      <c r="AR48" s="269">
        <v>0</v>
      </c>
      <c r="AS48" s="269">
        <v>0</v>
      </c>
      <c r="AT48" s="269">
        <v>0</v>
      </c>
      <c r="AU48" s="269">
        <v>0</v>
      </c>
      <c r="AV48" s="269">
        <v>0</v>
      </c>
      <c r="AW48" s="269">
        <v>0</v>
      </c>
      <c r="AX48" s="269">
        <v>0</v>
      </c>
      <c r="AY48" s="269">
        <v>0</v>
      </c>
      <c r="AZ48" s="269">
        <v>0</v>
      </c>
      <c r="BA48" s="269">
        <v>0</v>
      </c>
      <c r="BB48" s="269">
        <v>0</v>
      </c>
      <c r="BC48" s="269">
        <v>0</v>
      </c>
      <c r="BD48" s="269">
        <v>0</v>
      </c>
      <c r="BE48" s="269">
        <v>0</v>
      </c>
      <c r="BF48" s="269">
        <v>0</v>
      </c>
      <c r="BG48" s="269">
        <v>0</v>
      </c>
      <c r="BH48" s="269">
        <v>0</v>
      </c>
      <c r="BI48" s="269">
        <v>0</v>
      </c>
      <c r="BJ48" s="269">
        <v>0</v>
      </c>
      <c r="BK48" s="269">
        <v>0</v>
      </c>
    </row>
    <row r="49" spans="2:63">
      <c r="U49" s="168"/>
      <c r="V49" s="168"/>
    </row>
    <row r="50" spans="2:63">
      <c r="B50" s="164" t="s">
        <v>19</v>
      </c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</row>
    <row r="51" spans="2:63">
      <c r="B51" s="243" t="s">
        <v>411</v>
      </c>
      <c r="C51" s="193" t="s">
        <v>187</v>
      </c>
      <c r="E51" s="186"/>
      <c r="F51" s="186"/>
      <c r="G51" s="186">
        <f ca="1">AVERAGE(OFFSET($T$51,,(COLUMNS($G$51:G51)-1)*4,,4))</f>
        <v>295.17761507497141</v>
      </c>
      <c r="H51" s="186">
        <f ca="1">AVERAGE(OFFSET($T$51,,(COLUMNS($G$51:H51)-1)*4,,4))</f>
        <v>235.7183136467757</v>
      </c>
      <c r="I51" s="186">
        <f ca="1">AVERAGE(OFFSET($T$51,,(COLUMNS($G$51:I51)-1)*4,,4))</f>
        <v>260.5079738874158</v>
      </c>
      <c r="J51" s="186">
        <f ca="1">AVERAGE(OFFSET($T$51,,(COLUMNS($G$51:J51)-1)*4,,4))</f>
        <v>250</v>
      </c>
      <c r="K51" s="186">
        <f ca="1">AVERAGE(OFFSET($T$51,,(COLUMNS($G$51:K51)-1)*4,,4))</f>
        <v>250</v>
      </c>
      <c r="L51" s="186">
        <f ca="1">AVERAGE(OFFSET($T$51,,(COLUMNS($G$51:L51)-1)*4,,4))</f>
        <v>250</v>
      </c>
      <c r="M51" s="186">
        <f ca="1">AVERAGE(OFFSET($T$51,,(COLUMNS($G$51:M51)-1)*4,,4))</f>
        <v>250</v>
      </c>
      <c r="N51" s="186">
        <f ca="1">AVERAGE(OFFSET($T$51,,(COLUMNS($G$51:N51)-1)*4,,4))</f>
        <v>250</v>
      </c>
      <c r="O51" s="186">
        <f ca="1">AVERAGE(OFFSET($T$51,,(COLUMNS($G$51:O51)-1)*4,,4))</f>
        <v>250</v>
      </c>
      <c r="P51" s="186">
        <f ca="1">AVERAGE(OFFSET($T$51,,(COLUMNS($G$51:P51)-1)*4,,4))</f>
        <v>200</v>
      </c>
      <c r="Q51" s="186">
        <f ca="1">AVERAGE(OFFSET($T$51,,(COLUMNS($G$51:Q51)-1)*4,,4))</f>
        <v>200</v>
      </c>
      <c r="T51" s="334">
        <f>-T36/T$19*10^3</f>
        <v>283.18280346820808</v>
      </c>
      <c r="U51" s="334">
        <f t="shared" ref="U51:AD51" si="60">-U36/U$19*10^3</f>
        <v>278.93598021706276</v>
      </c>
      <c r="V51" s="334">
        <f t="shared" si="60"/>
        <v>335.47196022519557</v>
      </c>
      <c r="W51" s="334">
        <f t="shared" si="60"/>
        <v>283.11971638941912</v>
      </c>
      <c r="X51" s="334">
        <f t="shared" si="60"/>
        <v>293.64482635159328</v>
      </c>
      <c r="Y51" s="334">
        <f t="shared" si="60"/>
        <v>238.94575586658311</v>
      </c>
      <c r="Z51" s="334">
        <f t="shared" si="60"/>
        <v>232.32534897965763</v>
      </c>
      <c r="AA51" s="334">
        <f t="shared" si="60"/>
        <v>177.95732338926871</v>
      </c>
      <c r="AB51" s="334">
        <f t="shared" si="60"/>
        <v>247.44905683228873</v>
      </c>
      <c r="AC51" s="334">
        <f t="shared" si="60"/>
        <v>262.69590114526824</v>
      </c>
      <c r="AD51" s="334">
        <f t="shared" si="60"/>
        <v>281.88693757210615</v>
      </c>
      <c r="AE51" s="332">
        <v>250</v>
      </c>
      <c r="AF51" s="331">
        <f>AE51</f>
        <v>250</v>
      </c>
      <c r="AG51" s="331">
        <f t="shared" ref="AG51:BC51" si="61">AF51</f>
        <v>250</v>
      </c>
      <c r="AH51" s="331">
        <f t="shared" si="61"/>
        <v>250</v>
      </c>
      <c r="AI51" s="331">
        <f t="shared" si="61"/>
        <v>250</v>
      </c>
      <c r="AJ51" s="331">
        <f t="shared" si="61"/>
        <v>250</v>
      </c>
      <c r="AK51" s="331">
        <f t="shared" si="61"/>
        <v>250</v>
      </c>
      <c r="AL51" s="331">
        <f t="shared" si="61"/>
        <v>250</v>
      </c>
      <c r="AM51" s="331">
        <f t="shared" si="61"/>
        <v>250</v>
      </c>
      <c r="AN51" s="331">
        <f t="shared" si="61"/>
        <v>250</v>
      </c>
      <c r="AO51" s="331">
        <f t="shared" si="61"/>
        <v>250</v>
      </c>
      <c r="AP51" s="331">
        <f t="shared" si="61"/>
        <v>250</v>
      </c>
      <c r="AQ51" s="331">
        <f t="shared" si="61"/>
        <v>250</v>
      </c>
      <c r="AR51" s="331">
        <f t="shared" si="61"/>
        <v>250</v>
      </c>
      <c r="AS51" s="331">
        <f t="shared" si="61"/>
        <v>250</v>
      </c>
      <c r="AT51" s="331">
        <f>AS51</f>
        <v>250</v>
      </c>
      <c r="AU51" s="331">
        <f t="shared" si="61"/>
        <v>250</v>
      </c>
      <c r="AV51" s="331">
        <f t="shared" si="61"/>
        <v>250</v>
      </c>
      <c r="AW51" s="331">
        <f t="shared" si="61"/>
        <v>250</v>
      </c>
      <c r="AX51" s="331">
        <f t="shared" si="61"/>
        <v>250</v>
      </c>
      <c r="AY51" s="331">
        <f t="shared" si="61"/>
        <v>250</v>
      </c>
      <c r="AZ51" s="331">
        <f t="shared" si="61"/>
        <v>250</v>
      </c>
      <c r="BA51" s="331">
        <f>AZ51</f>
        <v>250</v>
      </c>
      <c r="BB51" s="331">
        <f t="shared" si="61"/>
        <v>250</v>
      </c>
      <c r="BC51" s="331">
        <f t="shared" si="61"/>
        <v>250</v>
      </c>
      <c r="BD51" s="332">
        <v>200</v>
      </c>
      <c r="BE51" s="332">
        <f>BD51</f>
        <v>200</v>
      </c>
      <c r="BF51" s="332">
        <f t="shared" ref="BF51:BK51" si="62">BE51</f>
        <v>200</v>
      </c>
      <c r="BG51" s="332">
        <f t="shared" si="62"/>
        <v>200</v>
      </c>
      <c r="BH51" s="332">
        <f t="shared" si="62"/>
        <v>200</v>
      </c>
      <c r="BI51" s="332">
        <f t="shared" si="62"/>
        <v>200</v>
      </c>
      <c r="BJ51" s="332">
        <f t="shared" si="62"/>
        <v>200</v>
      </c>
      <c r="BK51" s="332">
        <f t="shared" si="62"/>
        <v>200</v>
      </c>
    </row>
    <row r="52" spans="2:63">
      <c r="U52" s="265"/>
      <c r="V52" s="168"/>
    </row>
    <row r="55" spans="2:63">
      <c r="U55" s="168"/>
      <c r="V55" s="168"/>
    </row>
    <row r="56" spans="2:63"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</row>
    <row r="57" spans="2:63"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</row>
    <row r="59" spans="2:63"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</row>
    <row r="60" spans="2:63"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</row>
  </sheetData>
  <mergeCells count="1">
    <mergeCell ref="BM4:BM5"/>
  </mergeCells>
  <phoneticPr fontId="48" type="noConversion"/>
  <pageMargins left="0.7" right="0.7" top="0.75" bottom="0.75" header="0.3" footer="0.3"/>
  <ignoredErrors>
    <ignoredError sqref="AN12" formula="1"/>
  </ignoredErrors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43FA4-D970-2E46-9DE8-4F7FA266D402}">
  <dimension ref="B2:BR51"/>
  <sheetViews>
    <sheetView zoomScale="130" zoomScaleNormal="130" workbookViewId="0">
      <pane xSplit="4" ySplit="5" topLeftCell="F23" activePane="bottomRight" state="frozen"/>
      <selection pane="topRight" activeCell="E1" sqref="E1"/>
      <selection pane="bottomLeft" activeCell="A6" sqref="A6"/>
      <selection pane="bottomRight" activeCell="G5" sqref="G5"/>
    </sheetView>
  </sheetViews>
  <sheetFormatPr baseColWidth="10" defaultRowHeight="14" outlineLevelCol="1"/>
  <cols>
    <col min="1" max="1" width="2.6640625" customWidth="1"/>
    <col min="2" max="2" width="34.33203125" bestFit="1" customWidth="1"/>
    <col min="3" max="3" width="8" customWidth="1"/>
    <col min="4" max="4" width="18.83203125" bestFit="1" customWidth="1"/>
    <col min="5" max="5" width="10.83203125" outlineLevel="1"/>
    <col min="6" max="6" width="12" customWidth="1" outlineLevel="1"/>
    <col min="7" max="18" width="10.83203125" outlineLevel="1"/>
    <col min="19" max="19" width="2.33203125" customWidth="1"/>
    <col min="20" max="20" width="13.5" bestFit="1" customWidth="1"/>
    <col min="69" max="69" width="2" customWidth="1"/>
    <col min="70" max="70" width="10.1640625" customWidth="1"/>
  </cols>
  <sheetData>
    <row r="2" spans="2:70" ht="18">
      <c r="B2" s="158" t="s">
        <v>374</v>
      </c>
    </row>
    <row r="3" spans="2:70" ht="18">
      <c r="B3" s="158" t="s">
        <v>375</v>
      </c>
    </row>
    <row r="4" spans="2:70">
      <c r="B4" s="160"/>
      <c r="C4" s="183" t="s">
        <v>128</v>
      </c>
      <c r="D4" s="161" t="s">
        <v>129</v>
      </c>
      <c r="E4" s="162">
        <f>F4-1</f>
        <v>2018</v>
      </c>
      <c r="F4" s="162">
        <f>G4-1</f>
        <v>2019</v>
      </c>
      <c r="G4" s="162">
        <f>YEAR(SUMMARY!B7)</f>
        <v>2020</v>
      </c>
      <c r="H4" s="163">
        <f t="shared" ref="H4:N4" si="0">G4+1</f>
        <v>2021</v>
      </c>
      <c r="I4" s="163">
        <f t="shared" si="0"/>
        <v>2022</v>
      </c>
      <c r="J4" s="163">
        <f t="shared" si="0"/>
        <v>2023</v>
      </c>
      <c r="K4" s="163">
        <f t="shared" si="0"/>
        <v>2024</v>
      </c>
      <c r="L4" s="163">
        <f t="shared" si="0"/>
        <v>2025</v>
      </c>
      <c r="M4" s="163">
        <f t="shared" si="0"/>
        <v>2026</v>
      </c>
      <c r="N4" s="163">
        <f t="shared" si="0"/>
        <v>2027</v>
      </c>
      <c r="O4" s="163">
        <f t="shared" ref="O4" si="1">N4+1</f>
        <v>2028</v>
      </c>
      <c r="P4" s="163">
        <f t="shared" ref="P4" si="2">O4+1</f>
        <v>2029</v>
      </c>
      <c r="Q4" s="163">
        <f t="shared" ref="Q4:R4" si="3">P4+1</f>
        <v>2030</v>
      </c>
      <c r="R4" s="163">
        <f t="shared" si="3"/>
        <v>2031</v>
      </c>
      <c r="T4" s="286" t="s">
        <v>222</v>
      </c>
      <c r="U4" s="287" t="s">
        <v>198</v>
      </c>
      <c r="V4" s="287" t="s">
        <v>199</v>
      </c>
      <c r="W4" s="287" t="s">
        <v>200</v>
      </c>
      <c r="X4" s="287" t="s">
        <v>201</v>
      </c>
      <c r="Y4" s="287" t="s">
        <v>202</v>
      </c>
      <c r="Z4" s="287" t="s">
        <v>203</v>
      </c>
      <c r="AA4" s="287" t="s">
        <v>204</v>
      </c>
      <c r="AB4" s="287" t="s">
        <v>205</v>
      </c>
      <c r="AC4" s="287" t="s">
        <v>206</v>
      </c>
      <c r="AD4" s="287" t="s">
        <v>207</v>
      </c>
      <c r="AE4" s="287" t="s">
        <v>208</v>
      </c>
      <c r="AF4" s="287" t="s">
        <v>209</v>
      </c>
      <c r="AG4" s="287" t="s">
        <v>210</v>
      </c>
      <c r="AH4" s="287" t="s">
        <v>211</v>
      </c>
      <c r="AI4" s="287" t="s">
        <v>212</v>
      </c>
      <c r="AJ4" s="287" t="s">
        <v>213</v>
      </c>
      <c r="AK4" s="287" t="s">
        <v>214</v>
      </c>
      <c r="AL4" s="287" t="s">
        <v>215</v>
      </c>
      <c r="AM4" s="287" t="s">
        <v>216</v>
      </c>
      <c r="AN4" s="287" t="s">
        <v>217</v>
      </c>
      <c r="AO4" s="287" t="s">
        <v>218</v>
      </c>
      <c r="AP4" s="287" t="s">
        <v>219</v>
      </c>
      <c r="AQ4" s="287" t="s">
        <v>220</v>
      </c>
      <c r="AR4" s="287" t="s">
        <v>221</v>
      </c>
      <c r="AS4" s="287" t="s">
        <v>228</v>
      </c>
      <c r="AT4" s="287" t="s">
        <v>229</v>
      </c>
      <c r="AU4" s="287" t="s">
        <v>230</v>
      </c>
      <c r="AV4" s="287" t="s">
        <v>231</v>
      </c>
      <c r="AW4" s="287" t="s">
        <v>232</v>
      </c>
      <c r="AX4" s="287" t="s">
        <v>233</v>
      </c>
      <c r="AY4" s="287" t="s">
        <v>234</v>
      </c>
      <c r="AZ4" s="287" t="s">
        <v>235</v>
      </c>
      <c r="BA4" s="287" t="s">
        <v>236</v>
      </c>
      <c r="BB4" s="287" t="s">
        <v>237</v>
      </c>
      <c r="BC4" s="287" t="s">
        <v>238</v>
      </c>
      <c r="BD4" s="287" t="s">
        <v>239</v>
      </c>
      <c r="BE4" s="287" t="s">
        <v>248</v>
      </c>
      <c r="BF4" s="287" t="s">
        <v>249</v>
      </c>
      <c r="BG4" s="287" t="s">
        <v>250</v>
      </c>
      <c r="BH4" s="287" t="s">
        <v>251</v>
      </c>
      <c r="BI4" s="287" t="s">
        <v>377</v>
      </c>
      <c r="BJ4" s="287" t="s">
        <v>378</v>
      </c>
      <c r="BK4" s="287" t="s">
        <v>379</v>
      </c>
      <c r="BL4" s="287" t="s">
        <v>380</v>
      </c>
      <c r="BM4" s="287" t="s">
        <v>381</v>
      </c>
      <c r="BN4" s="287" t="s">
        <v>382</v>
      </c>
      <c r="BO4" s="287" t="s">
        <v>383</v>
      </c>
      <c r="BP4" s="287" t="s">
        <v>384</v>
      </c>
      <c r="BR4" s="356" t="s">
        <v>154</v>
      </c>
    </row>
    <row r="5" spans="2:70">
      <c r="B5" s="164"/>
      <c r="C5" s="184"/>
      <c r="D5" s="165" t="s">
        <v>158</v>
      </c>
      <c r="E5" s="194">
        <v>13</v>
      </c>
      <c r="F5" s="194">
        <v>12</v>
      </c>
      <c r="G5" s="194">
        <v>11</v>
      </c>
      <c r="H5" s="194">
        <v>10</v>
      </c>
      <c r="I5" s="194">
        <v>9</v>
      </c>
      <c r="J5" s="194">
        <v>8</v>
      </c>
      <c r="K5" s="194">
        <v>7</v>
      </c>
      <c r="L5" s="194">
        <v>6</v>
      </c>
      <c r="M5" s="194">
        <v>5</v>
      </c>
      <c r="N5" s="194">
        <v>4</v>
      </c>
      <c r="O5" s="194">
        <v>3</v>
      </c>
      <c r="P5" s="194">
        <v>2</v>
      </c>
      <c r="Q5" s="194">
        <v>1</v>
      </c>
      <c r="R5" s="337">
        <v>0</v>
      </c>
      <c r="T5" s="164" t="s">
        <v>158</v>
      </c>
      <c r="U5" s="188">
        <v>12</v>
      </c>
      <c r="V5" s="188">
        <v>11.75</v>
      </c>
      <c r="W5" s="188">
        <v>11.5</v>
      </c>
      <c r="X5" s="188">
        <v>11.25</v>
      </c>
      <c r="Y5" s="188">
        <v>11</v>
      </c>
      <c r="Z5" s="188">
        <v>10.75</v>
      </c>
      <c r="AA5" s="188">
        <v>10.5</v>
      </c>
      <c r="AB5" s="188">
        <v>10.25</v>
      </c>
      <c r="AC5" s="188">
        <v>10</v>
      </c>
      <c r="AD5" s="188">
        <v>9.75</v>
      </c>
      <c r="AE5" s="188">
        <v>9.5</v>
      </c>
      <c r="AF5" s="188">
        <v>9.25</v>
      </c>
      <c r="AG5" s="188">
        <v>9</v>
      </c>
      <c r="AH5" s="188">
        <v>8.75</v>
      </c>
      <c r="AI5" s="188">
        <v>8.5</v>
      </c>
      <c r="AJ5" s="188">
        <v>8.25</v>
      </c>
      <c r="AK5" s="188">
        <v>8</v>
      </c>
      <c r="AL5" s="188">
        <v>7.75</v>
      </c>
      <c r="AM5" s="188">
        <v>7.5</v>
      </c>
      <c r="AN5" s="188">
        <v>7.25</v>
      </c>
      <c r="AO5" s="188">
        <v>7</v>
      </c>
      <c r="AP5" s="188">
        <v>6.75</v>
      </c>
      <c r="AQ5" s="188">
        <v>6.5</v>
      </c>
      <c r="AR5" s="188">
        <v>6.25</v>
      </c>
      <c r="AS5" s="188">
        <v>6</v>
      </c>
      <c r="AT5" s="188">
        <v>5.75</v>
      </c>
      <c r="AU5" s="188">
        <v>5.5</v>
      </c>
      <c r="AV5" s="188">
        <v>5.25</v>
      </c>
      <c r="AW5" s="188">
        <v>5</v>
      </c>
      <c r="AX5" s="188">
        <v>4.75</v>
      </c>
      <c r="AY5" s="188">
        <v>4.5</v>
      </c>
      <c r="AZ5" s="188">
        <v>4.25</v>
      </c>
      <c r="BA5" s="188">
        <v>4</v>
      </c>
      <c r="BB5" s="188">
        <v>3.75</v>
      </c>
      <c r="BC5" s="188">
        <v>3.5</v>
      </c>
      <c r="BD5" s="188">
        <v>3.25</v>
      </c>
      <c r="BE5" s="188">
        <v>3</v>
      </c>
      <c r="BF5" s="188">
        <v>2.75</v>
      </c>
      <c r="BG5" s="188">
        <v>2.5</v>
      </c>
      <c r="BH5" s="188">
        <v>2.25</v>
      </c>
      <c r="BI5" s="188">
        <v>2</v>
      </c>
      <c r="BJ5" s="188">
        <v>1.75</v>
      </c>
      <c r="BK5" s="188">
        <v>1.5</v>
      </c>
      <c r="BL5" s="188">
        <v>1.25</v>
      </c>
      <c r="BM5" s="188">
        <v>1</v>
      </c>
      <c r="BN5" s="188">
        <v>0.75</v>
      </c>
      <c r="BO5" s="188">
        <v>0.5</v>
      </c>
      <c r="BP5" s="188">
        <v>0.25</v>
      </c>
      <c r="BR5" s="357"/>
    </row>
    <row r="6" spans="2:70" ht="18">
      <c r="B6" s="158" t="s">
        <v>127</v>
      </c>
      <c r="C6" s="178"/>
    </row>
    <row r="7" spans="2:70">
      <c r="C7" s="178"/>
    </row>
    <row r="8" spans="2:70">
      <c r="B8" s="197" t="s">
        <v>132</v>
      </c>
      <c r="C8" s="174" t="s">
        <v>153</v>
      </c>
      <c r="E8" s="168">
        <v>4069</v>
      </c>
      <c r="F8" s="168">
        <v>4161</v>
      </c>
      <c r="G8" s="317">
        <v>4122</v>
      </c>
      <c r="H8" s="186">
        <f ca="1">SUM(OFFSET($U$8,,(COLUMNS($H$8:H8)-1)*4,,4))</f>
        <v>3546</v>
      </c>
      <c r="I8" s="186">
        <f ca="1">SUM(OFFSET($U$8,,(COLUMNS($G$8:I8)-1)*4,,4))</f>
        <v>5161.272727272727</v>
      </c>
      <c r="J8" s="186">
        <f ca="1">SUM(OFFSET($U$8,,(COLUMNS($G$8:J8)-1)*4,,4))</f>
        <v>5161.2727272727279</v>
      </c>
      <c r="K8" s="186">
        <f ca="1">SUM(OFFSET($U$8,,(COLUMNS($G$8:K8)-1)*4,,4))</f>
        <v>5161.2727272727279</v>
      </c>
      <c r="L8" s="186">
        <f ca="1">SUM(OFFSET($U$8,,(COLUMNS($G$8:L8)-1)*4,,4))</f>
        <v>5161.2727272727279</v>
      </c>
      <c r="M8" s="186">
        <f ca="1">SUM(OFFSET($U$8,,(COLUMNS($G$8:M8)-1)*4,,4))</f>
        <v>5161.2727272727261</v>
      </c>
      <c r="N8" s="186">
        <f ca="1">SUM(OFFSET($U$8,,(COLUMNS($G$8:N8)-1)*4,,4))</f>
        <v>5161.2727272727243</v>
      </c>
      <c r="O8" s="186">
        <f ca="1">SUM(OFFSET($U$8,,(COLUMNS($G$8:O8)-1)*4,,4))</f>
        <v>5161.2727272727216</v>
      </c>
      <c r="P8" s="186">
        <f ca="1">SUM(OFFSET($U$8,,(COLUMNS($G$8:P8)-1)*4,,4))</f>
        <v>5161.2727272727207</v>
      </c>
      <c r="Q8" s="186">
        <f ca="1">SUM(OFFSET($U$8,,(COLUMNS($G$8:Q8)-1)*4,,4))</f>
        <v>5161.2727272727207</v>
      </c>
      <c r="R8" s="186">
        <f ca="1">SUM(OFFSET($U$8,,(COLUMNS($G$8:R8)-1)*4,,4))</f>
        <v>5161.2727272727216</v>
      </c>
      <c r="U8">
        <v>550</v>
      </c>
      <c r="V8" s="168">
        <v>1067</v>
      </c>
      <c r="W8" s="168">
        <v>1079</v>
      </c>
      <c r="X8" s="186">
        <f>IF(X9=0,((('Reserves and Resources'!$F$68*1000)-W10)/X5)/4,X9)</f>
        <v>850</v>
      </c>
      <c r="Y8" s="186">
        <f>IF(Y9=0,((('Reserves and Resources'!$F$68*1000)-X10)/Y5)/4,Y9)</f>
        <v>1290.3181818181818</v>
      </c>
      <c r="Z8" s="186">
        <f>IF(Z9=0,((('Reserves and Resources'!$F$68*1000)-Y10)/Z5)/4,Z9)</f>
        <v>1290.3181818181818</v>
      </c>
      <c r="AA8" s="186">
        <f>IF(AA9=0,((('Reserves and Resources'!$F$68*1000)-Z10)/AA5)/4,AA9)</f>
        <v>1290.3181818181818</v>
      </c>
      <c r="AB8" s="186">
        <f>IF(AB9=0,((('Reserves and Resources'!$F$68*1000)-AA10)/AB5)/4,AB9)</f>
        <v>1290.3181818181818</v>
      </c>
      <c r="AC8" s="186">
        <f>IF(AC9=0,((('Reserves and Resources'!$F$68*1000)-AB10)/AC5)/4,AC9)</f>
        <v>1290.3181818181818</v>
      </c>
      <c r="AD8" s="186">
        <f>IF(AD9=0,((('Reserves and Resources'!$F$68*1000)-AC10)/AD5)/4,AD9)</f>
        <v>1290.3181818181818</v>
      </c>
      <c r="AE8" s="186">
        <f>IF(AE9=0,((('Reserves and Resources'!$F$68*1000)-AD10)/AE5)/4,AE9)</f>
        <v>1290.318181818182</v>
      </c>
      <c r="AF8" s="186">
        <f>IF(AF9=0,((('Reserves and Resources'!$F$68*1000)-AE10)/AF5)/4,AF9)</f>
        <v>1290.3181818181818</v>
      </c>
      <c r="AG8" s="186">
        <f>IF(AG9=0,((('Reserves and Resources'!$F$68*1000)-AF10)/AG5)/4,AG9)</f>
        <v>1290.3181818181818</v>
      </c>
      <c r="AH8" s="186">
        <f>IF(AH9=0,((('Reserves and Resources'!$F$68*1000)-AG10)/AH5)/4,AH9)</f>
        <v>1290.318181818182</v>
      </c>
      <c r="AI8" s="186">
        <f>IF(AI9=0,((('Reserves and Resources'!$F$68*1000)-AH10)/AI5)/4,AI9)</f>
        <v>1290.318181818182</v>
      </c>
      <c r="AJ8" s="186">
        <f>IF(AJ9=0,((('Reserves and Resources'!$F$68*1000)-AI10)/AJ5)/4,AJ9)</f>
        <v>1290.3181818181818</v>
      </c>
      <c r="AK8" s="186">
        <f>IF(AK9=0,((('Reserves and Resources'!$F$68*1000)-AJ10)/AK5)/4,AK9)</f>
        <v>1290.318181818182</v>
      </c>
      <c r="AL8" s="186">
        <f>IF(AL9=0,((('Reserves and Resources'!$F$68*1000)-AK10)/AL5)/4,AL9)</f>
        <v>1290.318181818182</v>
      </c>
      <c r="AM8" s="186">
        <f>IF(AM9=0,((('Reserves and Resources'!$F$68*1000)-AL10)/AM5)/4,AM9)</f>
        <v>1290.3181818181818</v>
      </c>
      <c r="AN8" s="186">
        <f>IF(AN9=0,((('Reserves and Resources'!$F$68*1000)-AM10)/AN5)/4,AN9)</f>
        <v>1290.318181818182</v>
      </c>
      <c r="AO8" s="186">
        <f>IF(AO9=0,((('Reserves and Resources'!$F$68*1000)-AN10)/AO5)/4,AO9)</f>
        <v>1290.318181818182</v>
      </c>
      <c r="AP8" s="186">
        <f>IF(AP9=0,((('Reserves and Resources'!$F$68*1000)-AO10)/AP5)/4,AP9)</f>
        <v>1290.318181818182</v>
      </c>
      <c r="AQ8" s="186">
        <f>IF(AQ9=0,((('Reserves and Resources'!$F$68*1000)-AP10)/AQ5)/4,AQ9)</f>
        <v>1290.3181818181818</v>
      </c>
      <c r="AR8" s="186">
        <f>IF(AR9=0,((('Reserves and Resources'!$F$68*1000)-AQ10)/AR5)/4,AR9)</f>
        <v>1290.3181818181818</v>
      </c>
      <c r="AS8" s="186">
        <f>IF(AS9=0,((('Reserves and Resources'!$F$68*1000)-AR10)/AS5)/4,AS9)</f>
        <v>1290.3181818181818</v>
      </c>
      <c r="AT8" s="186">
        <f>IF(AT9=0,((('Reserves and Resources'!$F$68*1000)-AS10)/AT5)/4,AT9)</f>
        <v>1290.3181818181815</v>
      </c>
      <c r="AU8" s="186">
        <f>IF(AU9=0,((('Reserves and Resources'!$F$68*1000)-AT10)/AU5)/4,AU9)</f>
        <v>1290.3181818181815</v>
      </c>
      <c r="AV8" s="186">
        <f>IF(AV9=0,((('Reserves and Resources'!$F$68*1000)-AU10)/AV5)/4,AV9)</f>
        <v>1290.3181818181813</v>
      </c>
      <c r="AW8" s="186">
        <f>IF(AW9=0,((('Reserves and Resources'!$F$68*1000)-AV10)/AW5)/4,AW9)</f>
        <v>1290.3181818181813</v>
      </c>
      <c r="AX8" s="186">
        <f>IF(AX9=0,((('Reserves and Resources'!$F$68*1000)-AW10)/AX5)/4,AX9)</f>
        <v>1290.3181818181811</v>
      </c>
      <c r="AY8" s="186">
        <f>IF(AY9=0,((('Reserves and Resources'!$F$68*1000)-AX10)/AY5)/4,AY9)</f>
        <v>1290.3181818181811</v>
      </c>
      <c r="AZ8" s="186">
        <f>IF(AZ9=0,((('Reserves and Resources'!$F$68*1000)-AY10)/AZ5)/4,AZ9)</f>
        <v>1290.3181818181808</v>
      </c>
      <c r="BA8" s="186">
        <f>IF(BA9=0,((('Reserves and Resources'!$F$68*1000)-AZ10)/BA5)/4,BA9)</f>
        <v>1290.3181818181806</v>
      </c>
      <c r="BB8" s="186">
        <f>IF(BB9=0,((('Reserves and Resources'!$F$68*1000)-BA10)/BB5)/4,BB9)</f>
        <v>1290.3181818181804</v>
      </c>
      <c r="BC8" s="186">
        <f>IF(BC9=0,((('Reserves and Resources'!$F$68*1000)-BB10)/BC5)/4,BC9)</f>
        <v>1290.3181818181802</v>
      </c>
      <c r="BD8" s="186">
        <f>IF(BD9=0,((('Reserves and Resources'!$F$68*1000)-BC10)/BD5)/4,BD9)</f>
        <v>1290.3181818181799</v>
      </c>
      <c r="BE8" s="186">
        <f>IF(BE9=0,((('Reserves and Resources'!$F$68*1000)-BD10)/BE5)/4,BE9)</f>
        <v>1290.3181818181802</v>
      </c>
      <c r="BF8" s="186">
        <f>IF(BF9=0,((('Reserves and Resources'!$F$68*1000)-BE10)/BF5)/4,BF9)</f>
        <v>1290.3181818181804</v>
      </c>
      <c r="BG8" s="186">
        <f>IF(BG9=0,((('Reserves and Resources'!$F$68*1000)-BF10)/BG5)/4,BG9)</f>
        <v>1290.3181818181802</v>
      </c>
      <c r="BH8" s="186">
        <f>IF(BH9=0,((('Reserves and Resources'!$F$68*1000)-BG10)/BH5)/4,BH9)</f>
        <v>1290.3181818181797</v>
      </c>
      <c r="BI8" s="186">
        <f>IF(BI9=0,((('Reserves and Resources'!$F$68*1000)-BH10)/BI5)/4,BI9)</f>
        <v>1290.3181818181802</v>
      </c>
      <c r="BJ8" s="186">
        <f>IF(BJ9=0,((('Reserves and Resources'!$F$68*1000)-BI10)/BJ5)/4,BJ9)</f>
        <v>1290.3181818181806</v>
      </c>
      <c r="BK8" s="186">
        <f>IF(BK9=0,((('Reserves and Resources'!$F$68*1000)-BJ10)/BK5)/4,BK9)</f>
        <v>1290.3181818181802</v>
      </c>
      <c r="BL8" s="186">
        <f>IF(BL9=0,((('Reserves and Resources'!$F$68*1000)-BK10)/BL5)/4,BL9)</f>
        <v>1290.3181818181795</v>
      </c>
      <c r="BM8" s="186">
        <f>IF(BM9=0,((('Reserves and Resources'!$F$68*1000)-BL10)/BM5)/4,BM9)</f>
        <v>1290.3181818181802</v>
      </c>
      <c r="BN8" s="186">
        <f>IF(BN9=0,((('Reserves and Resources'!$F$68*1000)-BM10)/BN5)/4,BN9)</f>
        <v>1290.3181818181813</v>
      </c>
      <c r="BO8" s="186">
        <f>IF(BO9=0,((('Reserves and Resources'!$F$68*1000)-BN10)/BO5)/4,BO9)</f>
        <v>1290.3181818181838</v>
      </c>
      <c r="BP8" s="186">
        <f>IF(BP9=0,((('Reserves and Resources'!$F$68*1000)-BO10)/BP5)/4,BP9)</f>
        <v>1290.3181818181765</v>
      </c>
      <c r="BQ8" s="186"/>
      <c r="BR8" s="262" t="s">
        <v>160</v>
      </c>
    </row>
    <row r="9" spans="2:70" ht="16">
      <c r="B9" s="166"/>
      <c r="C9" s="174"/>
      <c r="E9" s="168"/>
      <c r="F9" s="168"/>
      <c r="G9" s="168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X9" s="264">
        <v>850</v>
      </c>
      <c r="Y9" s="270"/>
      <c r="Z9" s="270"/>
      <c r="AA9" s="270"/>
      <c r="AB9" s="270"/>
      <c r="BR9" s="156" t="s">
        <v>159</v>
      </c>
    </row>
    <row r="10" spans="2:70">
      <c r="B10" s="156" t="s">
        <v>133</v>
      </c>
      <c r="C10" s="174" t="s">
        <v>153</v>
      </c>
      <c r="D10" s="156"/>
      <c r="E10" s="186">
        <f>IF(E8=0,0,E8+D10)</f>
        <v>4069</v>
      </c>
      <c r="F10" s="186">
        <f t="shared" ref="F10:N10" si="4">IF(F8=0,0,F8+E10)</f>
        <v>8230</v>
      </c>
      <c r="G10" s="186">
        <f t="shared" si="4"/>
        <v>12352</v>
      </c>
      <c r="H10" s="186">
        <f t="shared" ca="1" si="4"/>
        <v>15898</v>
      </c>
      <c r="I10" s="186">
        <f t="shared" ca="1" si="4"/>
        <v>21059.272727272728</v>
      </c>
      <c r="J10" s="186">
        <f t="shared" ca="1" si="4"/>
        <v>26220.545454545456</v>
      </c>
      <c r="K10" s="186">
        <f t="shared" ca="1" si="4"/>
        <v>31381.818181818184</v>
      </c>
      <c r="L10" s="186">
        <f t="shared" ca="1" si="4"/>
        <v>36543.090909090912</v>
      </c>
      <c r="M10" s="186">
        <f t="shared" ca="1" si="4"/>
        <v>41704.36363636364</v>
      </c>
      <c r="N10" s="186">
        <f t="shared" ca="1" si="4"/>
        <v>46865.636363636368</v>
      </c>
      <c r="O10" s="186">
        <f t="shared" ref="O10" ca="1" si="5">IF(O8=0,0,O8+N10)</f>
        <v>52026.909090909088</v>
      </c>
      <c r="P10" s="186">
        <f t="shared" ref="P10" ca="1" si="6">IF(P8=0,0,P8+O10)</f>
        <v>57188.181818181809</v>
      </c>
      <c r="Q10" s="186">
        <f t="shared" ref="Q10:R10" ca="1" si="7">IF(Q8=0,0,Q8+P10)</f>
        <v>62349.45454545453</v>
      </c>
      <c r="R10" s="186">
        <f t="shared" ca="1" si="7"/>
        <v>67510.72727272725</v>
      </c>
      <c r="U10" s="186">
        <f>IF(U8=0,0,U8+T10)+E8+F8</f>
        <v>8780</v>
      </c>
      <c r="V10" s="186">
        <f>IF(V8=0,0,V8+U10)</f>
        <v>9847</v>
      </c>
      <c r="W10" s="186">
        <f t="shared" ref="W10:AU10" si="8">IF(W8=0,0,W8+V10)</f>
        <v>10926</v>
      </c>
      <c r="X10" s="186">
        <f>IF(X8=0,0,X8+W10)</f>
        <v>11776</v>
      </c>
      <c r="Y10" s="186">
        <f>IF(Y8=0,0,Y8+X10)</f>
        <v>13066.318181818182</v>
      </c>
      <c r="Z10" s="186">
        <f t="shared" si="8"/>
        <v>14356.636363636364</v>
      </c>
      <c r="AA10" s="186">
        <f t="shared" si="8"/>
        <v>15646.954545454546</v>
      </c>
      <c r="AB10" s="186">
        <f>IF(AB8=0,0,AB8+AA10)</f>
        <v>16937.272727272728</v>
      </c>
      <c r="AC10" s="186">
        <f t="shared" si="8"/>
        <v>18227.590909090908</v>
      </c>
      <c r="AD10" s="186">
        <f t="shared" si="8"/>
        <v>19517.909090909088</v>
      </c>
      <c r="AE10" s="186">
        <f t="shared" si="8"/>
        <v>20808.227272727272</v>
      </c>
      <c r="AF10" s="186">
        <f t="shared" si="8"/>
        <v>22098.545454545452</v>
      </c>
      <c r="AG10" s="186">
        <f t="shared" si="8"/>
        <v>23388.863636363632</v>
      </c>
      <c r="AH10" s="186">
        <f t="shared" si="8"/>
        <v>24679.181818181816</v>
      </c>
      <c r="AI10" s="186">
        <f t="shared" si="8"/>
        <v>25969.5</v>
      </c>
      <c r="AJ10" s="186">
        <f t="shared" si="8"/>
        <v>27259.81818181818</v>
      </c>
      <c r="AK10" s="186">
        <f t="shared" si="8"/>
        <v>28550.13636363636</v>
      </c>
      <c r="AL10" s="186">
        <f t="shared" si="8"/>
        <v>29840.454545454544</v>
      </c>
      <c r="AM10" s="186">
        <f t="shared" si="8"/>
        <v>31130.772727272724</v>
      </c>
      <c r="AN10" s="186">
        <f t="shared" si="8"/>
        <v>32421.090909090904</v>
      </c>
      <c r="AO10" s="186">
        <f t="shared" si="8"/>
        <v>33711.409090909088</v>
      </c>
      <c r="AP10" s="186">
        <f t="shared" si="8"/>
        <v>35001.727272727272</v>
      </c>
      <c r="AQ10" s="186">
        <f t="shared" si="8"/>
        <v>36292.045454545456</v>
      </c>
      <c r="AR10" s="186">
        <f t="shared" si="8"/>
        <v>37582.36363636364</v>
      </c>
      <c r="AS10" s="186">
        <f t="shared" si="8"/>
        <v>38872.681818181823</v>
      </c>
      <c r="AT10" s="186">
        <f t="shared" si="8"/>
        <v>40163.000000000007</v>
      </c>
      <c r="AU10" s="186">
        <f t="shared" si="8"/>
        <v>41453.318181818191</v>
      </c>
      <c r="AV10" s="186">
        <f>IF(AV8=0,0,AV8+AU10)</f>
        <v>42743.636363636375</v>
      </c>
      <c r="AW10" s="186">
        <f>IF(AW8=0,0,AW8+AV10)</f>
        <v>44033.954545454559</v>
      </c>
      <c r="AX10" s="186">
        <f>IF(AX8=0,0,AX8+AW10)</f>
        <v>45324.272727272742</v>
      </c>
      <c r="AY10" s="186">
        <f>IF(AY8=0,0,AY8+AX10)</f>
        <v>46614.590909090926</v>
      </c>
      <c r="AZ10" s="186">
        <f>IF(AZ8=0,0,AZ8+AY10)</f>
        <v>47904.90909090911</v>
      </c>
      <c r="BA10" s="186">
        <f t="shared" ref="BA10:BP10" si="9">IF(BA8=0,0,BA8+AZ10)</f>
        <v>49195.227272727294</v>
      </c>
      <c r="BB10" s="186">
        <f t="shared" si="9"/>
        <v>50485.545454545478</v>
      </c>
      <c r="BC10" s="186">
        <f t="shared" si="9"/>
        <v>51775.863636363661</v>
      </c>
      <c r="BD10" s="186">
        <f t="shared" si="9"/>
        <v>53066.181818181838</v>
      </c>
      <c r="BE10" s="186">
        <f t="shared" si="9"/>
        <v>54356.500000000015</v>
      </c>
      <c r="BF10" s="186">
        <f t="shared" si="9"/>
        <v>55646.818181818198</v>
      </c>
      <c r="BG10" s="186">
        <f t="shared" si="9"/>
        <v>56937.136363636382</v>
      </c>
      <c r="BH10" s="186">
        <f t="shared" si="9"/>
        <v>58227.454545454559</v>
      </c>
      <c r="BI10" s="186">
        <f t="shared" si="9"/>
        <v>59517.772727272735</v>
      </c>
      <c r="BJ10" s="186">
        <f t="shared" si="9"/>
        <v>60808.090909090919</v>
      </c>
      <c r="BK10" s="186">
        <f t="shared" si="9"/>
        <v>62098.409090909103</v>
      </c>
      <c r="BL10" s="186">
        <f t="shared" si="9"/>
        <v>63388.727272727279</v>
      </c>
      <c r="BM10" s="186">
        <f t="shared" si="9"/>
        <v>64679.045454545456</v>
      </c>
      <c r="BN10" s="186">
        <f t="shared" si="9"/>
        <v>65969.363636363632</v>
      </c>
      <c r="BO10" s="186">
        <f t="shared" si="9"/>
        <v>67259.681818181823</v>
      </c>
      <c r="BP10" s="186">
        <f t="shared" si="9"/>
        <v>68550</v>
      </c>
      <c r="BQ10" s="186"/>
    </row>
    <row r="11" spans="2:70">
      <c r="C11" s="178"/>
    </row>
    <row r="12" spans="2:70">
      <c r="B12" t="s">
        <v>134</v>
      </c>
      <c r="C12" s="178" t="s">
        <v>139</v>
      </c>
      <c r="E12">
        <v>2.0299999999999998</v>
      </c>
      <c r="F12">
        <v>1.98</v>
      </c>
      <c r="G12" s="318">
        <v>1.94</v>
      </c>
      <c r="H12" s="263">
        <f ca="1">AVERAGE(OFFSET($U$12,,(COLUMNS($H$12:H12)-1)*4,,4))</f>
        <v>3.0166666666666671</v>
      </c>
      <c r="I12" s="263">
        <f ca="1">AVERAGE(OFFSET($U$12,,(COLUMNS($G$12:I12)-1)*4,,4))</f>
        <v>3.1788888888888889</v>
      </c>
      <c r="J12" s="263">
        <f ca="1">AVERAGE(OFFSET($U$12,,(COLUMNS($G$12:J12)-1)*4,,4))</f>
        <v>3.1788888888888889</v>
      </c>
      <c r="K12" s="263">
        <f ca="1">AVERAGE(OFFSET($U$12,,(COLUMNS($G$12:K12)-1)*4,,4))</f>
        <v>3.1788888888888889</v>
      </c>
      <c r="L12" s="263">
        <f ca="1">AVERAGE(OFFSET($U$12,,(COLUMNS($G$12:L12)-1)*4,,4))</f>
        <v>3.1788888888888889</v>
      </c>
      <c r="M12" s="263">
        <f ca="1">AVERAGE(OFFSET($U$12,,(COLUMNS($G$12:M12)-1)*4,,4))</f>
        <v>3.1788888888888889</v>
      </c>
      <c r="N12" s="263">
        <f ca="1">AVERAGE(OFFSET($U$12,,(COLUMNS($G$12:N12)-1)*4,,4))</f>
        <v>3.1788888888888889</v>
      </c>
      <c r="O12" s="263">
        <f ca="1">AVERAGE(OFFSET($U$12,,(COLUMNS($G$12:O12)-1)*4,,4))</f>
        <v>3.1788888888888889</v>
      </c>
      <c r="P12" s="263">
        <f ca="1">AVERAGE(OFFSET($U$12,,(COLUMNS($G$12:P12)-1)*4,,4))</f>
        <v>3.1788888888888889</v>
      </c>
      <c r="Q12" s="263">
        <f ca="1">AVERAGE(OFFSET($U$12,,(COLUMNS($G$12:Q12)-1)*4,,4))</f>
        <v>3.1788888888888889</v>
      </c>
      <c r="R12" s="263">
        <f ca="1">AVERAGE(OFFSET($U$12,,(COLUMNS($G$12:R12)-1)*4,,4))</f>
        <v>3.1788888888888889</v>
      </c>
      <c r="U12">
        <v>2.5299999999999998</v>
      </c>
      <c r="V12">
        <v>3.2</v>
      </c>
      <c r="W12">
        <v>3.32</v>
      </c>
      <c r="X12" s="263">
        <f>AVERAGE(U12:W12)</f>
        <v>3.0166666666666671</v>
      </c>
      <c r="Y12" s="263">
        <f>AVERAGE(V12:X12)</f>
        <v>3.1788888888888889</v>
      </c>
      <c r="Z12" s="263">
        <f>Y12</f>
        <v>3.1788888888888889</v>
      </c>
      <c r="AA12" s="263">
        <f t="shared" ref="AA12:AZ12" si="10">Z12</f>
        <v>3.1788888888888889</v>
      </c>
      <c r="AB12" s="263">
        <f t="shared" si="10"/>
        <v>3.1788888888888889</v>
      </c>
      <c r="AC12" s="263">
        <f t="shared" si="10"/>
        <v>3.1788888888888889</v>
      </c>
      <c r="AD12" s="263">
        <f t="shared" si="10"/>
        <v>3.1788888888888889</v>
      </c>
      <c r="AE12" s="263">
        <f t="shared" si="10"/>
        <v>3.1788888888888889</v>
      </c>
      <c r="AF12" s="263">
        <f t="shared" si="10"/>
        <v>3.1788888888888889</v>
      </c>
      <c r="AG12" s="263">
        <f t="shared" si="10"/>
        <v>3.1788888888888889</v>
      </c>
      <c r="AH12" s="263">
        <f t="shared" si="10"/>
        <v>3.1788888888888889</v>
      </c>
      <c r="AI12" s="263">
        <f t="shared" si="10"/>
        <v>3.1788888888888889</v>
      </c>
      <c r="AJ12" s="263">
        <f t="shared" si="10"/>
        <v>3.1788888888888889</v>
      </c>
      <c r="AK12" s="263">
        <f t="shared" si="10"/>
        <v>3.1788888888888889</v>
      </c>
      <c r="AL12" s="263">
        <f t="shared" si="10"/>
        <v>3.1788888888888889</v>
      </c>
      <c r="AM12" s="263">
        <f t="shared" si="10"/>
        <v>3.1788888888888889</v>
      </c>
      <c r="AN12" s="263">
        <f t="shared" si="10"/>
        <v>3.1788888888888889</v>
      </c>
      <c r="AO12" s="263">
        <f t="shared" si="10"/>
        <v>3.1788888888888889</v>
      </c>
      <c r="AP12" s="263">
        <f t="shared" si="10"/>
        <v>3.1788888888888889</v>
      </c>
      <c r="AQ12" s="263">
        <f t="shared" si="10"/>
        <v>3.1788888888888889</v>
      </c>
      <c r="AR12" s="263">
        <f t="shared" si="10"/>
        <v>3.1788888888888889</v>
      </c>
      <c r="AS12" s="263">
        <f t="shared" si="10"/>
        <v>3.1788888888888889</v>
      </c>
      <c r="AT12" s="263">
        <f t="shared" si="10"/>
        <v>3.1788888888888889</v>
      </c>
      <c r="AU12" s="263">
        <f t="shared" si="10"/>
        <v>3.1788888888888889</v>
      </c>
      <c r="AV12" s="263">
        <f t="shared" si="10"/>
        <v>3.1788888888888889</v>
      </c>
      <c r="AW12" s="263">
        <f t="shared" si="10"/>
        <v>3.1788888888888889</v>
      </c>
      <c r="AX12" s="263">
        <f t="shared" si="10"/>
        <v>3.1788888888888889</v>
      </c>
      <c r="AY12" s="263">
        <f t="shared" si="10"/>
        <v>3.1788888888888889</v>
      </c>
      <c r="AZ12" s="263">
        <f t="shared" si="10"/>
        <v>3.1788888888888889</v>
      </c>
      <c r="BA12" s="263">
        <f t="shared" ref="BA12:BP12" si="11">AZ12</f>
        <v>3.1788888888888889</v>
      </c>
      <c r="BB12" s="263">
        <f t="shared" si="11"/>
        <v>3.1788888888888889</v>
      </c>
      <c r="BC12" s="263">
        <f t="shared" si="11"/>
        <v>3.1788888888888889</v>
      </c>
      <c r="BD12" s="263">
        <f t="shared" si="11"/>
        <v>3.1788888888888889</v>
      </c>
      <c r="BE12" s="263">
        <f t="shared" si="11"/>
        <v>3.1788888888888889</v>
      </c>
      <c r="BF12" s="263">
        <f t="shared" si="11"/>
        <v>3.1788888888888889</v>
      </c>
      <c r="BG12" s="263">
        <f t="shared" si="11"/>
        <v>3.1788888888888889</v>
      </c>
      <c r="BH12" s="263">
        <f t="shared" si="11"/>
        <v>3.1788888888888889</v>
      </c>
      <c r="BI12" s="263">
        <f t="shared" si="11"/>
        <v>3.1788888888888889</v>
      </c>
      <c r="BJ12" s="263">
        <f t="shared" si="11"/>
        <v>3.1788888888888889</v>
      </c>
      <c r="BK12" s="263">
        <f t="shared" si="11"/>
        <v>3.1788888888888889</v>
      </c>
      <c r="BL12" s="263">
        <f t="shared" si="11"/>
        <v>3.1788888888888889</v>
      </c>
      <c r="BM12" s="263">
        <f t="shared" si="11"/>
        <v>3.1788888888888889</v>
      </c>
      <c r="BN12" s="263">
        <f t="shared" si="11"/>
        <v>3.1788888888888889</v>
      </c>
      <c r="BO12" s="263">
        <f t="shared" si="11"/>
        <v>3.1788888888888889</v>
      </c>
      <c r="BP12" s="263">
        <f t="shared" si="11"/>
        <v>3.1788888888888889</v>
      </c>
      <c r="BR12" s="156"/>
    </row>
    <row r="13" spans="2:70">
      <c r="C13" s="178"/>
    </row>
    <row r="14" spans="2:70">
      <c r="B14" t="s">
        <v>135</v>
      </c>
      <c r="C14" s="174" t="s">
        <v>156</v>
      </c>
      <c r="E14" s="186">
        <f>(E8*E12/31.1035*1000)</f>
        <v>265567.21912324982</v>
      </c>
      <c r="F14" s="186">
        <f t="shared" ref="F14:N14" si="12">(F8*F12/31.1035*1000)</f>
        <v>264882.73023936216</v>
      </c>
      <c r="G14" s="186">
        <f t="shared" si="12"/>
        <v>257099.04030093076</v>
      </c>
      <c r="H14" s="186">
        <f t="shared" ca="1" si="12"/>
        <v>343919.49459064094</v>
      </c>
      <c r="I14" s="186">
        <f t="shared" ca="1" si="12"/>
        <v>527500.52326112892</v>
      </c>
      <c r="J14" s="186">
        <f t="shared" ca="1" si="12"/>
        <v>527500.52326112904</v>
      </c>
      <c r="K14" s="186">
        <f t="shared" ca="1" si="12"/>
        <v>527500.52326112904</v>
      </c>
      <c r="L14" s="186">
        <f t="shared" ca="1" si="12"/>
        <v>527500.52326112904</v>
      </c>
      <c r="M14" s="186">
        <f t="shared" ca="1" si="12"/>
        <v>527500.52326112881</v>
      </c>
      <c r="N14" s="186">
        <f t="shared" ca="1" si="12"/>
        <v>527500.52326112869</v>
      </c>
      <c r="O14" s="186">
        <f t="shared" ref="O14:Q14" ca="1" si="13">(O8*O12/31.1035*1000)</f>
        <v>527500.52326112834</v>
      </c>
      <c r="P14" s="186">
        <f t="shared" ca="1" si="13"/>
        <v>527500.52326112834</v>
      </c>
      <c r="Q14" s="186">
        <f t="shared" ca="1" si="13"/>
        <v>527500.52326112834</v>
      </c>
      <c r="R14" s="186">
        <f t="shared" ref="R14" ca="1" si="14">(R8*R12/31.1035*1000)</f>
        <v>527500.52326112834</v>
      </c>
      <c r="U14" s="186">
        <f>(U8*U12/31.1035*1000)</f>
        <v>44737.730480492552</v>
      </c>
      <c r="V14" s="186">
        <f t="shared" ref="V14:AV14" si="15">(V8*V12/31.1035*1000)</f>
        <v>109775.42720272638</v>
      </c>
      <c r="W14" s="186">
        <f t="shared" si="15"/>
        <v>115172.89051071422</v>
      </c>
      <c r="X14" s="186">
        <f>(X8*X12/31.1035*1000)</f>
        <v>82439.811168089349</v>
      </c>
      <c r="Y14" s="186">
        <f t="shared" si="15"/>
        <v>131875.13081528223</v>
      </c>
      <c r="Z14" s="186">
        <f t="shared" si="15"/>
        <v>131875.13081528223</v>
      </c>
      <c r="AA14" s="186">
        <f t="shared" si="15"/>
        <v>131875.13081528223</v>
      </c>
      <c r="AB14" s="186">
        <f>(AB8*AB12/31.1035*1000)</f>
        <v>131875.13081528223</v>
      </c>
      <c r="AC14" s="186">
        <f t="shared" si="15"/>
        <v>131875.13081528223</v>
      </c>
      <c r="AD14" s="186">
        <f t="shared" si="15"/>
        <v>131875.13081528223</v>
      </c>
      <c r="AE14" s="186">
        <f t="shared" si="15"/>
        <v>131875.13081528226</v>
      </c>
      <c r="AF14" s="186">
        <f t="shared" si="15"/>
        <v>131875.13081528223</v>
      </c>
      <c r="AG14" s="186">
        <f t="shared" si="15"/>
        <v>131875.13081528223</v>
      </c>
      <c r="AH14" s="186">
        <f t="shared" si="15"/>
        <v>131875.13081528226</v>
      </c>
      <c r="AI14" s="186">
        <f t="shared" si="15"/>
        <v>131875.13081528226</v>
      </c>
      <c r="AJ14" s="186">
        <f t="shared" si="15"/>
        <v>131875.13081528223</v>
      </c>
      <c r="AK14" s="186">
        <f t="shared" si="15"/>
        <v>131875.13081528226</v>
      </c>
      <c r="AL14" s="186">
        <f t="shared" si="15"/>
        <v>131875.13081528226</v>
      </c>
      <c r="AM14" s="186">
        <f t="shared" si="15"/>
        <v>131875.13081528223</v>
      </c>
      <c r="AN14" s="186">
        <f t="shared" si="15"/>
        <v>131875.13081528226</v>
      </c>
      <c r="AO14" s="186">
        <f t="shared" si="15"/>
        <v>131875.13081528226</v>
      </c>
      <c r="AP14" s="186">
        <f t="shared" si="15"/>
        <v>131875.13081528226</v>
      </c>
      <c r="AQ14" s="186">
        <f t="shared" si="15"/>
        <v>131875.13081528223</v>
      </c>
      <c r="AR14" s="186">
        <f t="shared" si="15"/>
        <v>131875.13081528223</v>
      </c>
      <c r="AS14" s="186">
        <f t="shared" si="15"/>
        <v>131875.13081528223</v>
      </c>
      <c r="AT14" s="186">
        <f t="shared" si="15"/>
        <v>131875.1308152822</v>
      </c>
      <c r="AU14" s="186">
        <f t="shared" si="15"/>
        <v>131875.1308152822</v>
      </c>
      <c r="AV14" s="186">
        <f t="shared" si="15"/>
        <v>131875.1308152822</v>
      </c>
      <c r="AW14" s="186">
        <f>(AW8*AW12/31.1035*1000)</f>
        <v>131875.1308152822</v>
      </c>
      <c r="AX14" s="186">
        <f>(AX8*AX12/31.1035*1000)</f>
        <v>131875.13081528217</v>
      </c>
      <c r="AY14" s="186">
        <f>(AY8*AY12/31.1035*1000)</f>
        <v>131875.13081528217</v>
      </c>
      <c r="AZ14" s="186">
        <f>(AZ8*AZ12/31.1035*1000)</f>
        <v>131875.13081528214</v>
      </c>
      <c r="BA14" s="186">
        <f t="shared" ref="BA14:BP14" si="16">(BA8*BA12/31.1035*1000)</f>
        <v>131875.13081528211</v>
      </c>
      <c r="BB14" s="186">
        <f t="shared" si="16"/>
        <v>131875.13081528209</v>
      </c>
      <c r="BC14" s="186">
        <f t="shared" si="16"/>
        <v>131875.13081528209</v>
      </c>
      <c r="BD14" s="186">
        <f t="shared" si="16"/>
        <v>131875.13081528206</v>
      </c>
      <c r="BE14" s="186">
        <f t="shared" si="16"/>
        <v>131875.13081528209</v>
      </c>
      <c r="BF14" s="186">
        <f t="shared" si="16"/>
        <v>131875.13081528209</v>
      </c>
      <c r="BG14" s="186">
        <f t="shared" si="16"/>
        <v>131875.13081528209</v>
      </c>
      <c r="BH14" s="186">
        <f t="shared" si="16"/>
        <v>131875.13081528203</v>
      </c>
      <c r="BI14" s="186">
        <f t="shared" si="16"/>
        <v>131875.13081528209</v>
      </c>
      <c r="BJ14" s="186">
        <f t="shared" si="16"/>
        <v>131875.13081528211</v>
      </c>
      <c r="BK14" s="186">
        <f t="shared" si="16"/>
        <v>131875.13081528209</v>
      </c>
      <c r="BL14" s="186">
        <f t="shared" si="16"/>
        <v>131875.130815282</v>
      </c>
      <c r="BM14" s="186">
        <f t="shared" si="16"/>
        <v>131875.13081528209</v>
      </c>
      <c r="BN14" s="186">
        <f t="shared" si="16"/>
        <v>131875.1308152822</v>
      </c>
      <c r="BO14" s="186">
        <f t="shared" si="16"/>
        <v>131875.13081528243</v>
      </c>
      <c r="BP14" s="186">
        <f t="shared" si="16"/>
        <v>131875.13081528171</v>
      </c>
    </row>
    <row r="15" spans="2:70">
      <c r="B15" s="156" t="s">
        <v>133</v>
      </c>
      <c r="C15" s="174" t="s">
        <v>156</v>
      </c>
      <c r="D15" s="156"/>
      <c r="E15" s="186">
        <f>IF(E14=0,0,E14+D15)</f>
        <v>265567.21912324982</v>
      </c>
      <c r="F15" s="186">
        <f t="shared" ref="F15:N15" si="17">IF(F14=0,0,F14+E15)</f>
        <v>530449.94936261198</v>
      </c>
      <c r="G15" s="186">
        <f t="shared" si="17"/>
        <v>787548.98966354271</v>
      </c>
      <c r="H15" s="186">
        <f t="shared" ca="1" si="17"/>
        <v>1131468.4842541837</v>
      </c>
      <c r="I15" s="186">
        <f t="shared" ca="1" si="17"/>
        <v>1658969.0075153126</v>
      </c>
      <c r="J15" s="186">
        <f t="shared" ca="1" si="17"/>
        <v>2186469.5307764416</v>
      </c>
      <c r="K15" s="186">
        <f t="shared" ca="1" si="17"/>
        <v>2713970.0540375705</v>
      </c>
      <c r="L15" s="186">
        <f t="shared" ca="1" si="17"/>
        <v>3241470.5772986994</v>
      </c>
      <c r="M15" s="186">
        <f t="shared" ca="1" si="17"/>
        <v>3768971.1005598283</v>
      </c>
      <c r="N15" s="186">
        <f t="shared" ca="1" si="17"/>
        <v>4296471.6238209568</v>
      </c>
      <c r="O15" s="186">
        <f t="shared" ref="O15" ca="1" si="18">IF(O14=0,0,O14+N15)</f>
        <v>4823972.1470820848</v>
      </c>
      <c r="P15" s="186">
        <f t="shared" ref="P15" ca="1" si="19">IF(P14=0,0,P14+O15)</f>
        <v>5351472.6703432128</v>
      </c>
      <c r="Q15" s="186">
        <f t="shared" ref="Q15:R15" ca="1" si="20">IF(Q14=0,0,Q14+P15)</f>
        <v>5878973.1936043408</v>
      </c>
      <c r="R15" s="186">
        <f t="shared" ca="1" si="20"/>
        <v>6406473.7168654688</v>
      </c>
      <c r="U15" s="186">
        <f>IF(U14=0,0,U14+T15)+E14+F14</f>
        <v>575187.67984310444</v>
      </c>
      <c r="V15" s="186">
        <f>IF(V14=0,0,V14+U15)</f>
        <v>684963.10704583081</v>
      </c>
      <c r="W15" s="186">
        <f t="shared" ref="W15:AV15" si="21">IF(W14=0,0,W14+V15)</f>
        <v>800135.99755654507</v>
      </c>
      <c r="X15" s="186">
        <f t="shared" si="21"/>
        <v>882575.80872463447</v>
      </c>
      <c r="Y15" s="186">
        <f>IF(Y14=0,0,Y14+X15)</f>
        <v>1014450.9395399167</v>
      </c>
      <c r="Z15" s="186">
        <f t="shared" si="21"/>
        <v>1146326.0703551988</v>
      </c>
      <c r="AA15" s="186">
        <f t="shared" si="21"/>
        <v>1278201.201170481</v>
      </c>
      <c r="AB15" s="186">
        <f t="shared" si="21"/>
        <v>1410076.3319857633</v>
      </c>
      <c r="AC15" s="186">
        <f t="shared" si="21"/>
        <v>1541951.4628010455</v>
      </c>
      <c r="AD15" s="186">
        <f t="shared" si="21"/>
        <v>1673826.5936163277</v>
      </c>
      <c r="AE15" s="186">
        <f t="shared" si="21"/>
        <v>1805701.72443161</v>
      </c>
      <c r="AF15" s="186">
        <f t="shared" si="21"/>
        <v>1937576.8552468922</v>
      </c>
      <c r="AG15" s="186">
        <f t="shared" si="21"/>
        <v>2069451.9860621744</v>
      </c>
      <c r="AH15" s="186">
        <f t="shared" si="21"/>
        <v>2201327.1168774567</v>
      </c>
      <c r="AI15" s="186">
        <f t="shared" si="21"/>
        <v>2333202.2476927391</v>
      </c>
      <c r="AJ15" s="186">
        <f t="shared" si="21"/>
        <v>2465077.3785080211</v>
      </c>
      <c r="AK15" s="186">
        <f t="shared" si="21"/>
        <v>2596952.5093233036</v>
      </c>
      <c r="AL15" s="186">
        <f t="shared" si="21"/>
        <v>2728827.6401385861</v>
      </c>
      <c r="AM15" s="186">
        <f t="shared" si="21"/>
        <v>2860702.7709538685</v>
      </c>
      <c r="AN15" s="186">
        <f t="shared" si="21"/>
        <v>2992577.901769151</v>
      </c>
      <c r="AO15" s="186">
        <f t="shared" si="21"/>
        <v>3124453.0325844334</v>
      </c>
      <c r="AP15" s="186">
        <f t="shared" si="21"/>
        <v>3256328.1633997159</v>
      </c>
      <c r="AQ15" s="186">
        <f t="shared" si="21"/>
        <v>3388203.2942149984</v>
      </c>
      <c r="AR15" s="186">
        <f t="shared" si="21"/>
        <v>3520078.4250302808</v>
      </c>
      <c r="AS15" s="186">
        <f t="shared" si="21"/>
        <v>3651953.5558455633</v>
      </c>
      <c r="AT15" s="186">
        <f t="shared" si="21"/>
        <v>3783828.6866608453</v>
      </c>
      <c r="AU15" s="186">
        <f t="shared" si="21"/>
        <v>3915703.8174761273</v>
      </c>
      <c r="AV15" s="186">
        <f t="shared" si="21"/>
        <v>4047578.9482914093</v>
      </c>
      <c r="AW15" s="186">
        <f>IF(AW14=0,0,AW14+AV15)</f>
        <v>4179454.0791066913</v>
      </c>
      <c r="AX15" s="186">
        <f>IF(AX14=0,0,AX14+AW15)</f>
        <v>4311329.2099219738</v>
      </c>
      <c r="AY15" s="186">
        <f>IF(AY14=0,0,AY14+AX15)</f>
        <v>4443204.3407372562</v>
      </c>
      <c r="AZ15" s="186">
        <f>IF(AZ14=0,0,AZ14+AY15)</f>
        <v>4575079.4715525387</v>
      </c>
      <c r="BA15" s="186">
        <f t="shared" ref="BA15:BP15" si="22">IF(BA14=0,0,BA14+AZ15)</f>
        <v>4706954.6023678211</v>
      </c>
      <c r="BB15" s="186">
        <f t="shared" si="22"/>
        <v>4838829.7331831036</v>
      </c>
      <c r="BC15" s="186">
        <f t="shared" si="22"/>
        <v>4970704.8639983861</v>
      </c>
      <c r="BD15" s="186">
        <f t="shared" si="22"/>
        <v>5102579.9948136685</v>
      </c>
      <c r="BE15" s="186">
        <f t="shared" si="22"/>
        <v>5234455.125628951</v>
      </c>
      <c r="BF15" s="186">
        <f t="shared" si="22"/>
        <v>5366330.2564442335</v>
      </c>
      <c r="BG15" s="186">
        <f t="shared" si="22"/>
        <v>5498205.3872595159</v>
      </c>
      <c r="BH15" s="186">
        <f t="shared" si="22"/>
        <v>5630080.5180747984</v>
      </c>
      <c r="BI15" s="186">
        <f t="shared" si="22"/>
        <v>5761955.6488900809</v>
      </c>
      <c r="BJ15" s="186">
        <f t="shared" si="22"/>
        <v>5893830.7797053633</v>
      </c>
      <c r="BK15" s="186">
        <f t="shared" si="22"/>
        <v>6025705.9105206458</v>
      </c>
      <c r="BL15" s="186">
        <f t="shared" si="22"/>
        <v>6157581.0413359273</v>
      </c>
      <c r="BM15" s="186">
        <f t="shared" si="22"/>
        <v>6289456.1721512098</v>
      </c>
      <c r="BN15" s="186">
        <f t="shared" si="22"/>
        <v>6421331.3029664923</v>
      </c>
      <c r="BO15" s="186">
        <f t="shared" si="22"/>
        <v>6553206.4337817747</v>
      </c>
      <c r="BP15" s="186">
        <f t="shared" si="22"/>
        <v>6685081.5645970562</v>
      </c>
    </row>
    <row r="16" spans="2:70">
      <c r="C16" s="178"/>
    </row>
    <row r="17" spans="2:70">
      <c r="B17" t="s">
        <v>136</v>
      </c>
      <c r="C17" s="178" t="s">
        <v>140</v>
      </c>
      <c r="E17" s="319">
        <v>0.92300000000000004</v>
      </c>
      <c r="F17" s="319">
        <v>0.90900000000000003</v>
      </c>
      <c r="G17" s="319">
        <v>0.89400000000000002</v>
      </c>
      <c r="H17" s="273">
        <f ca="1">AVERAGE(OFFSET($U$17,,(COLUMNS($H$17:H17)-1)*4,,4))</f>
        <v>0.89249999999999996</v>
      </c>
      <c r="I17" s="273">
        <f ca="1">AVERAGE(OFFSET($U$17,,(COLUMNS($G$17:I17)-1)*4,,4))</f>
        <v>0.88</v>
      </c>
      <c r="J17" s="273">
        <f ca="1">AVERAGE(OFFSET($U$17,,(COLUMNS($G$17:J17)-1)*4,,4))</f>
        <v>0.88</v>
      </c>
      <c r="K17" s="273">
        <f ca="1">AVERAGE(OFFSET($U$17,,(COLUMNS($G$17:K17)-1)*4,,4))</f>
        <v>0.88</v>
      </c>
      <c r="L17" s="273">
        <f ca="1">AVERAGE(OFFSET($U$17,,(COLUMNS($G$17:L17)-1)*4,,4))</f>
        <v>0.88</v>
      </c>
      <c r="M17" s="273">
        <f ca="1">AVERAGE(OFFSET($U$17,,(COLUMNS($G$17:M17)-1)*4,,4))</f>
        <v>0.88</v>
      </c>
      <c r="N17" s="273">
        <f ca="1">AVERAGE(OFFSET($U$17,,(COLUMNS($G$17:N17)-1)*4,,4))</f>
        <v>0.88</v>
      </c>
      <c r="O17" s="273">
        <f ca="1">AVERAGE(OFFSET($U$17,,(COLUMNS($G$17:O17)-1)*4,,4))</f>
        <v>0.88</v>
      </c>
      <c r="P17" s="273">
        <f ca="1">AVERAGE(OFFSET($U$17,,(COLUMNS($G$17:P17)-1)*4,,4))</f>
        <v>0.88</v>
      </c>
      <c r="Q17" s="273">
        <f ca="1">AVERAGE(OFFSET($U$17,,(COLUMNS($G$17:Q17)-1)*4,,4))</f>
        <v>0.88</v>
      </c>
      <c r="R17" s="273">
        <f ca="1">AVERAGE(OFFSET($U$17,,(COLUMNS($G$17:R17)-1)*4,,4))</f>
        <v>0.88</v>
      </c>
      <c r="U17" s="185">
        <v>0.9</v>
      </c>
      <c r="V17" s="185">
        <v>0.89</v>
      </c>
      <c r="W17" s="185">
        <v>0.9</v>
      </c>
      <c r="X17" s="187">
        <v>0.88</v>
      </c>
      <c r="Y17" s="187">
        <f>X17</f>
        <v>0.88</v>
      </c>
      <c r="Z17" s="187">
        <f t="shared" ref="Z17:BP17" si="23">Y17</f>
        <v>0.88</v>
      </c>
      <c r="AA17" s="187">
        <f t="shared" si="23"/>
        <v>0.88</v>
      </c>
      <c r="AB17" s="187">
        <f t="shared" si="23"/>
        <v>0.88</v>
      </c>
      <c r="AC17" s="187">
        <f t="shared" si="23"/>
        <v>0.88</v>
      </c>
      <c r="AD17" s="187">
        <f t="shared" si="23"/>
        <v>0.88</v>
      </c>
      <c r="AE17" s="187">
        <f t="shared" si="23"/>
        <v>0.88</v>
      </c>
      <c r="AF17" s="187">
        <f t="shared" si="23"/>
        <v>0.88</v>
      </c>
      <c r="AG17" s="187">
        <f t="shared" si="23"/>
        <v>0.88</v>
      </c>
      <c r="AH17" s="187">
        <f t="shared" si="23"/>
        <v>0.88</v>
      </c>
      <c r="AI17" s="187">
        <f t="shared" si="23"/>
        <v>0.88</v>
      </c>
      <c r="AJ17" s="187">
        <f t="shared" si="23"/>
        <v>0.88</v>
      </c>
      <c r="AK17" s="187">
        <f t="shared" si="23"/>
        <v>0.88</v>
      </c>
      <c r="AL17" s="187">
        <f t="shared" si="23"/>
        <v>0.88</v>
      </c>
      <c r="AM17" s="187">
        <f t="shared" si="23"/>
        <v>0.88</v>
      </c>
      <c r="AN17" s="187">
        <f t="shared" si="23"/>
        <v>0.88</v>
      </c>
      <c r="AO17" s="187">
        <f t="shared" si="23"/>
        <v>0.88</v>
      </c>
      <c r="AP17" s="187">
        <f t="shared" si="23"/>
        <v>0.88</v>
      </c>
      <c r="AQ17" s="187">
        <f t="shared" si="23"/>
        <v>0.88</v>
      </c>
      <c r="AR17" s="187">
        <f t="shared" si="23"/>
        <v>0.88</v>
      </c>
      <c r="AS17" s="187">
        <f t="shared" si="23"/>
        <v>0.88</v>
      </c>
      <c r="AT17" s="187">
        <f t="shared" si="23"/>
        <v>0.88</v>
      </c>
      <c r="AU17" s="187">
        <f t="shared" si="23"/>
        <v>0.88</v>
      </c>
      <c r="AV17" s="187">
        <f t="shared" si="23"/>
        <v>0.88</v>
      </c>
      <c r="AW17" s="187">
        <f t="shared" si="23"/>
        <v>0.88</v>
      </c>
      <c r="AX17" s="187">
        <f t="shared" si="23"/>
        <v>0.88</v>
      </c>
      <c r="AY17" s="187">
        <f t="shared" si="23"/>
        <v>0.88</v>
      </c>
      <c r="AZ17" s="187">
        <f t="shared" si="23"/>
        <v>0.88</v>
      </c>
      <c r="BA17" s="187">
        <f t="shared" si="23"/>
        <v>0.88</v>
      </c>
      <c r="BB17" s="187">
        <f t="shared" si="23"/>
        <v>0.88</v>
      </c>
      <c r="BC17" s="187">
        <f t="shared" si="23"/>
        <v>0.88</v>
      </c>
      <c r="BD17" s="187">
        <f t="shared" si="23"/>
        <v>0.88</v>
      </c>
      <c r="BE17" s="187">
        <f t="shared" si="23"/>
        <v>0.88</v>
      </c>
      <c r="BF17" s="187">
        <f t="shared" si="23"/>
        <v>0.88</v>
      </c>
      <c r="BG17" s="187">
        <f t="shared" si="23"/>
        <v>0.88</v>
      </c>
      <c r="BH17" s="187">
        <f t="shared" si="23"/>
        <v>0.88</v>
      </c>
      <c r="BI17" s="187">
        <f t="shared" si="23"/>
        <v>0.88</v>
      </c>
      <c r="BJ17" s="187">
        <f t="shared" si="23"/>
        <v>0.88</v>
      </c>
      <c r="BK17" s="187">
        <f t="shared" si="23"/>
        <v>0.88</v>
      </c>
      <c r="BL17" s="187">
        <f t="shared" si="23"/>
        <v>0.88</v>
      </c>
      <c r="BM17" s="187">
        <f t="shared" si="23"/>
        <v>0.88</v>
      </c>
      <c r="BN17" s="187">
        <f t="shared" si="23"/>
        <v>0.88</v>
      </c>
      <c r="BO17" s="187">
        <f t="shared" si="23"/>
        <v>0.88</v>
      </c>
      <c r="BP17" s="187">
        <f t="shared" si="23"/>
        <v>0.88</v>
      </c>
      <c r="BR17" s="156"/>
    </row>
    <row r="18" spans="2:70">
      <c r="C18" s="178"/>
    </row>
    <row r="19" spans="2:70">
      <c r="B19" t="s">
        <v>137</v>
      </c>
      <c r="C19" s="174" t="s">
        <v>156</v>
      </c>
      <c r="E19" s="168"/>
      <c r="F19" s="168"/>
      <c r="G19" s="168"/>
      <c r="H19" s="186">
        <f ca="1">SUM(OFFSET($U$19,,(COLUMNS($H$19:H19)-1)*4,,4))</f>
        <v>313264.03382791864</v>
      </c>
      <c r="I19" s="186">
        <f ca="1">SUM(OFFSET($U$19,,(COLUMNS($G$19:I19)-1)*4,,4))</f>
        <v>464200.46046979353</v>
      </c>
      <c r="J19" s="186">
        <f ca="1">SUM(OFFSET($U$19,,(COLUMNS($G$19:J19)-1)*4,,4))</f>
        <v>464200.46046979353</v>
      </c>
      <c r="K19" s="186">
        <f ca="1">SUM(OFFSET($U$19,,(COLUMNS($G$19:K19)-1)*4,,4))</f>
        <v>464200.46046979353</v>
      </c>
      <c r="L19" s="186">
        <f ca="1">SUM(OFFSET($U$19,,(COLUMNS($G$19:L19)-1)*4,,4))</f>
        <v>464200.46046979353</v>
      </c>
      <c r="M19" s="186">
        <f ca="1">SUM(OFFSET($U$19,,(COLUMNS($G$19:M19)-1)*4,,4))</f>
        <v>464200.46046979335</v>
      </c>
      <c r="N19" s="186">
        <f ca="1">SUM(OFFSET($U$19,,(COLUMNS($G$19:N19)-1)*4,,4))</f>
        <v>464200.46046979324</v>
      </c>
      <c r="O19" s="186">
        <f ca="1">SUM(OFFSET($U$19,,(COLUMNS($G$19:O19)-1)*4,,4))</f>
        <v>464200.46046979295</v>
      </c>
      <c r="P19" s="186">
        <f ca="1">SUM(OFFSET($U$19,,(COLUMNS($G$19:P19)-1)*4,,4))</f>
        <v>464200.46046979283</v>
      </c>
      <c r="Q19" s="186">
        <f ca="1">SUM(OFFSET($U$19,,(COLUMNS($G$19:Q19)-1)*4,,4))</f>
        <v>464200.46046979289</v>
      </c>
      <c r="R19" s="186">
        <f ca="1">SUM(OFFSET($U$19,,(COLUMNS($G$19:R19)-1)*4,,4))</f>
        <v>464200.46046979306</v>
      </c>
      <c r="U19" s="168">
        <v>38948</v>
      </c>
      <c r="V19" s="168">
        <v>95856</v>
      </c>
      <c r="W19" s="168">
        <v>105913</v>
      </c>
      <c r="X19" s="186">
        <f>X14*X17</f>
        <v>72547.033827918625</v>
      </c>
      <c r="Y19" s="186">
        <f t="shared" ref="Y19:AZ19" si="24">Y14*Y17</f>
        <v>116050.11511744837</v>
      </c>
      <c r="Z19" s="186">
        <f t="shared" si="24"/>
        <v>116050.11511744837</v>
      </c>
      <c r="AA19" s="186">
        <f t="shared" si="24"/>
        <v>116050.11511744837</v>
      </c>
      <c r="AB19" s="186">
        <f t="shared" si="24"/>
        <v>116050.11511744837</v>
      </c>
      <c r="AC19" s="186">
        <f t="shared" si="24"/>
        <v>116050.11511744837</v>
      </c>
      <c r="AD19" s="186">
        <f t="shared" si="24"/>
        <v>116050.11511744837</v>
      </c>
      <c r="AE19" s="186">
        <f t="shared" si="24"/>
        <v>116050.1151174484</v>
      </c>
      <c r="AF19" s="186">
        <f t="shared" si="24"/>
        <v>116050.11511744837</v>
      </c>
      <c r="AG19" s="186">
        <f t="shared" si="24"/>
        <v>116050.11511744837</v>
      </c>
      <c r="AH19" s="186">
        <f t="shared" si="24"/>
        <v>116050.1151174484</v>
      </c>
      <c r="AI19" s="186">
        <f t="shared" si="24"/>
        <v>116050.1151174484</v>
      </c>
      <c r="AJ19" s="186">
        <f t="shared" si="24"/>
        <v>116050.11511744837</v>
      </c>
      <c r="AK19" s="186">
        <f t="shared" si="24"/>
        <v>116050.1151174484</v>
      </c>
      <c r="AL19" s="186">
        <f t="shared" si="24"/>
        <v>116050.1151174484</v>
      </c>
      <c r="AM19" s="186">
        <f t="shared" si="24"/>
        <v>116050.11511744837</v>
      </c>
      <c r="AN19" s="186">
        <f t="shared" si="24"/>
        <v>116050.1151174484</v>
      </c>
      <c r="AO19" s="186">
        <f t="shared" si="24"/>
        <v>116050.1151174484</v>
      </c>
      <c r="AP19" s="186">
        <f t="shared" si="24"/>
        <v>116050.1151174484</v>
      </c>
      <c r="AQ19" s="186">
        <f t="shared" si="24"/>
        <v>116050.11511744837</v>
      </c>
      <c r="AR19" s="186">
        <f t="shared" si="24"/>
        <v>116050.11511744837</v>
      </c>
      <c r="AS19" s="186">
        <f t="shared" si="24"/>
        <v>116050.11511744837</v>
      </c>
      <c r="AT19" s="186">
        <f t="shared" si="24"/>
        <v>116050.11511744834</v>
      </c>
      <c r="AU19" s="186">
        <f t="shared" si="24"/>
        <v>116050.11511744834</v>
      </c>
      <c r="AV19" s="186">
        <f t="shared" si="24"/>
        <v>116050.11511744834</v>
      </c>
      <c r="AW19" s="186">
        <f t="shared" si="24"/>
        <v>116050.11511744834</v>
      </c>
      <c r="AX19" s="186">
        <f t="shared" si="24"/>
        <v>116050.11511744831</v>
      </c>
      <c r="AY19" s="186">
        <f t="shared" si="24"/>
        <v>116050.11511744831</v>
      </c>
      <c r="AZ19" s="186">
        <f t="shared" si="24"/>
        <v>116050.11511744828</v>
      </c>
      <c r="BA19" s="186">
        <f t="shared" ref="BA19:BP19" si="25">BA14*BA17</f>
        <v>116050.11511744827</v>
      </c>
      <c r="BB19" s="186">
        <f t="shared" si="25"/>
        <v>116050.11511744824</v>
      </c>
      <c r="BC19" s="186">
        <f t="shared" si="25"/>
        <v>116050.11511744824</v>
      </c>
      <c r="BD19" s="186">
        <f t="shared" si="25"/>
        <v>116050.11511744821</v>
      </c>
      <c r="BE19" s="186">
        <f t="shared" si="25"/>
        <v>116050.11511744824</v>
      </c>
      <c r="BF19" s="186">
        <f t="shared" si="25"/>
        <v>116050.11511744824</v>
      </c>
      <c r="BG19" s="186">
        <f t="shared" si="25"/>
        <v>116050.11511744824</v>
      </c>
      <c r="BH19" s="186">
        <f t="shared" si="25"/>
        <v>116050.11511744818</v>
      </c>
      <c r="BI19" s="186">
        <f t="shared" si="25"/>
        <v>116050.11511744824</v>
      </c>
      <c r="BJ19" s="186">
        <f t="shared" si="25"/>
        <v>116050.11511744827</v>
      </c>
      <c r="BK19" s="186">
        <f t="shared" si="25"/>
        <v>116050.11511744824</v>
      </c>
      <c r="BL19" s="186">
        <f t="shared" si="25"/>
        <v>116050.11511744816</v>
      </c>
      <c r="BM19" s="186">
        <f t="shared" si="25"/>
        <v>116050.11511744824</v>
      </c>
      <c r="BN19" s="186">
        <f t="shared" si="25"/>
        <v>116050.11511744834</v>
      </c>
      <c r="BO19" s="186">
        <f t="shared" si="25"/>
        <v>116050.11511744854</v>
      </c>
      <c r="BP19" s="186">
        <f t="shared" si="25"/>
        <v>116050.1151174479</v>
      </c>
    </row>
    <row r="20" spans="2:70">
      <c r="B20" s="156" t="s">
        <v>138</v>
      </c>
      <c r="C20" s="174" t="s">
        <v>156</v>
      </c>
      <c r="D20" s="156"/>
      <c r="E20" s="186"/>
      <c r="F20" s="186"/>
      <c r="G20" s="186"/>
      <c r="H20" s="186">
        <f ca="1">IF(H19=0,0,H19+G20)</f>
        <v>313264.03382791864</v>
      </c>
      <c r="I20" s="186">
        <f t="shared" ref="I20:K20" ca="1" si="26">IF(I19=0,0,I19+H20)</f>
        <v>777464.49429771211</v>
      </c>
      <c r="J20" s="186">
        <f t="shared" ca="1" si="26"/>
        <v>1241664.9547675056</v>
      </c>
      <c r="K20" s="186">
        <f t="shared" ca="1" si="26"/>
        <v>1705865.4152372992</v>
      </c>
      <c r="L20" s="186">
        <f ca="1">IF(L19=0,0,L19+K20)</f>
        <v>2170065.8757070927</v>
      </c>
      <c r="M20" s="186">
        <f ca="1">IF(M19=0,0,M19+L20)</f>
        <v>2634266.3361768862</v>
      </c>
      <c r="N20" s="186">
        <f ca="1">IF(N19=0,0,N19+M20)</f>
        <v>3098466.7966466793</v>
      </c>
      <c r="O20" s="186">
        <f t="shared" ref="O20:R20" ca="1" si="27">IF(O19=0,0,O19+N20)</f>
        <v>3562667.2571164723</v>
      </c>
      <c r="P20" s="186">
        <f t="shared" ca="1" si="27"/>
        <v>4026867.7175862649</v>
      </c>
      <c r="Q20" s="186">
        <f t="shared" ca="1" si="27"/>
        <v>4491068.1780560575</v>
      </c>
      <c r="R20" s="186">
        <f t="shared" ca="1" si="27"/>
        <v>4955268.6385258511</v>
      </c>
      <c r="U20" s="186">
        <f>IF(U19=0,0,U19+T20)+E19+F19</f>
        <v>38948</v>
      </c>
      <c r="V20" s="186">
        <f>IF(V19=0,0,V19+U20)</f>
        <v>134804</v>
      </c>
      <c r="W20" s="186">
        <f t="shared" ref="W20:AV20" si="28">IF(W19=0,0,W19+V20)</f>
        <v>240717</v>
      </c>
      <c r="X20" s="186">
        <f t="shared" si="28"/>
        <v>313264.03382791864</v>
      </c>
      <c r="Y20" s="186">
        <f>IF(Y19=0,0,Y19+X20)</f>
        <v>429314.14894536702</v>
      </c>
      <c r="Z20" s="186">
        <f t="shared" si="28"/>
        <v>545364.26406281535</v>
      </c>
      <c r="AA20" s="186">
        <f t="shared" si="28"/>
        <v>661414.37918026373</v>
      </c>
      <c r="AB20" s="186">
        <f t="shared" si="28"/>
        <v>777464.49429771211</v>
      </c>
      <c r="AC20" s="186">
        <f t="shared" si="28"/>
        <v>893514.60941516049</v>
      </c>
      <c r="AD20" s="186">
        <f t="shared" si="28"/>
        <v>1009564.7245326089</v>
      </c>
      <c r="AE20" s="186">
        <f t="shared" si="28"/>
        <v>1125614.8396500573</v>
      </c>
      <c r="AF20" s="186">
        <f t="shared" si="28"/>
        <v>1241664.9547675056</v>
      </c>
      <c r="AG20" s="186">
        <f t="shared" si="28"/>
        <v>1357715.069884954</v>
      </c>
      <c r="AH20" s="186">
        <f t="shared" si="28"/>
        <v>1473765.1850024024</v>
      </c>
      <c r="AI20" s="186">
        <f t="shared" si="28"/>
        <v>1589815.3001198508</v>
      </c>
      <c r="AJ20" s="186">
        <f t="shared" si="28"/>
        <v>1705865.4152372992</v>
      </c>
      <c r="AK20" s="186">
        <f t="shared" si="28"/>
        <v>1821915.5303547475</v>
      </c>
      <c r="AL20" s="186">
        <f t="shared" si="28"/>
        <v>1937965.6454721959</v>
      </c>
      <c r="AM20" s="186">
        <f t="shared" si="28"/>
        <v>2054015.7605896443</v>
      </c>
      <c r="AN20" s="186">
        <f t="shared" si="28"/>
        <v>2170065.8757070927</v>
      </c>
      <c r="AO20" s="186">
        <f t="shared" si="28"/>
        <v>2286115.9908245411</v>
      </c>
      <c r="AP20" s="186">
        <f t="shared" si="28"/>
        <v>2402166.1059419895</v>
      </c>
      <c r="AQ20" s="186">
        <f t="shared" si="28"/>
        <v>2518216.2210594378</v>
      </c>
      <c r="AR20" s="186">
        <f t="shared" si="28"/>
        <v>2634266.3361768862</v>
      </c>
      <c r="AS20" s="186">
        <f t="shared" si="28"/>
        <v>2750316.4512943346</v>
      </c>
      <c r="AT20" s="186">
        <f t="shared" si="28"/>
        <v>2866366.566411783</v>
      </c>
      <c r="AU20" s="186">
        <f t="shared" si="28"/>
        <v>2982416.6815292314</v>
      </c>
      <c r="AV20" s="186">
        <f t="shared" si="28"/>
        <v>3098466.7966466798</v>
      </c>
      <c r="AW20" s="186">
        <f>IF(AW19=0,0,AW19+AV20)</f>
        <v>3214516.9117641281</v>
      </c>
      <c r="AX20" s="186">
        <f>IF(AX19=0,0,AX19+AW20)</f>
        <v>3330567.0268815765</v>
      </c>
      <c r="AY20" s="186">
        <f>IF(AY19=0,0,AY19+AX20)</f>
        <v>3446617.1419990249</v>
      </c>
      <c r="AZ20" s="186">
        <f>IF(AZ19=0,0,AZ19+AY20)</f>
        <v>3562667.2571164733</v>
      </c>
      <c r="BA20" s="186">
        <f t="shared" ref="BA20:BP20" si="29">IF(BA19=0,0,BA19+AZ20)</f>
        <v>3678717.3722339217</v>
      </c>
      <c r="BB20" s="186">
        <f t="shared" si="29"/>
        <v>3794767.48735137</v>
      </c>
      <c r="BC20" s="186">
        <f t="shared" si="29"/>
        <v>3910817.6024688184</v>
      </c>
      <c r="BD20" s="186">
        <f t="shared" si="29"/>
        <v>4026867.7175862668</v>
      </c>
      <c r="BE20" s="186">
        <f t="shared" si="29"/>
        <v>4142917.8327037152</v>
      </c>
      <c r="BF20" s="186">
        <f t="shared" si="29"/>
        <v>4258967.9478211636</v>
      </c>
      <c r="BG20" s="186">
        <f t="shared" si="29"/>
        <v>4375018.062938612</v>
      </c>
      <c r="BH20" s="186">
        <f t="shared" si="29"/>
        <v>4491068.1780560603</v>
      </c>
      <c r="BI20" s="186">
        <f t="shared" si="29"/>
        <v>4607118.2931735087</v>
      </c>
      <c r="BJ20" s="186">
        <f t="shared" si="29"/>
        <v>4723168.4082909571</v>
      </c>
      <c r="BK20" s="186">
        <f t="shared" si="29"/>
        <v>4839218.5234084055</v>
      </c>
      <c r="BL20" s="186">
        <f t="shared" si="29"/>
        <v>4955268.6385258539</v>
      </c>
      <c r="BM20" s="186">
        <f t="shared" si="29"/>
        <v>5071318.7536433022</v>
      </c>
      <c r="BN20" s="186">
        <f t="shared" si="29"/>
        <v>5187368.8687607506</v>
      </c>
      <c r="BO20" s="186">
        <f t="shared" si="29"/>
        <v>5303418.983878199</v>
      </c>
      <c r="BP20" s="186">
        <f t="shared" si="29"/>
        <v>5419469.0989956465</v>
      </c>
    </row>
    <row r="21" spans="2:70">
      <c r="C21" s="174"/>
    </row>
    <row r="22" spans="2:70">
      <c r="B22" s="156" t="s">
        <v>155</v>
      </c>
      <c r="C22" s="174" t="s">
        <v>156</v>
      </c>
      <c r="G22" s="168"/>
      <c r="H22" s="186">
        <f t="shared" ref="H22:N22" ca="1" si="30">H19</f>
        <v>313264.03382791864</v>
      </c>
      <c r="I22" s="186">
        <f t="shared" ca="1" si="30"/>
        <v>464200.46046979353</v>
      </c>
      <c r="J22" s="186">
        <f t="shared" ca="1" si="30"/>
        <v>464200.46046979353</v>
      </c>
      <c r="K22" s="186">
        <f t="shared" ca="1" si="30"/>
        <v>464200.46046979353</v>
      </c>
      <c r="L22" s="186">
        <f t="shared" ca="1" si="30"/>
        <v>464200.46046979353</v>
      </c>
      <c r="M22" s="186">
        <f t="shared" ca="1" si="30"/>
        <v>464200.46046979335</v>
      </c>
      <c r="N22" s="186">
        <f t="shared" ca="1" si="30"/>
        <v>464200.46046979324</v>
      </c>
      <c r="O22" s="186">
        <f t="shared" ref="O22:Q22" ca="1" si="31">O19</f>
        <v>464200.46046979295</v>
      </c>
      <c r="P22" s="186">
        <f t="shared" ca="1" si="31"/>
        <v>464200.46046979283</v>
      </c>
      <c r="Q22" s="186">
        <f t="shared" ca="1" si="31"/>
        <v>464200.46046979289</v>
      </c>
      <c r="R22" s="186">
        <f t="shared" ref="R22" ca="1" si="32">R19</f>
        <v>464200.46046979306</v>
      </c>
      <c r="U22" s="168">
        <v>51549</v>
      </c>
      <c r="V22" s="168">
        <v>99467</v>
      </c>
      <c r="W22" s="168">
        <v>107547</v>
      </c>
      <c r="X22" s="168">
        <f t="shared" ref="X22:AA22" si="33">X19</f>
        <v>72547.033827918625</v>
      </c>
      <c r="Y22" s="168">
        <f t="shared" si="33"/>
        <v>116050.11511744837</v>
      </c>
      <c r="Z22" s="168">
        <f t="shared" si="33"/>
        <v>116050.11511744837</v>
      </c>
      <c r="AA22" s="168">
        <f t="shared" si="33"/>
        <v>116050.11511744837</v>
      </c>
      <c r="AB22" s="168">
        <f>AB19</f>
        <v>116050.11511744837</v>
      </c>
      <c r="AC22" s="168">
        <f>AC19</f>
        <v>116050.11511744837</v>
      </c>
      <c r="AD22" s="168">
        <f t="shared" ref="AD22:AV22" si="34">AD19</f>
        <v>116050.11511744837</v>
      </c>
      <c r="AE22" s="168">
        <f t="shared" si="34"/>
        <v>116050.1151174484</v>
      </c>
      <c r="AF22" s="168">
        <f t="shared" si="34"/>
        <v>116050.11511744837</v>
      </c>
      <c r="AG22" s="168">
        <f t="shared" si="34"/>
        <v>116050.11511744837</v>
      </c>
      <c r="AH22" s="168">
        <f t="shared" si="34"/>
        <v>116050.1151174484</v>
      </c>
      <c r="AI22" s="168">
        <f t="shared" si="34"/>
        <v>116050.1151174484</v>
      </c>
      <c r="AJ22" s="168">
        <f t="shared" si="34"/>
        <v>116050.11511744837</v>
      </c>
      <c r="AK22" s="168">
        <f t="shared" si="34"/>
        <v>116050.1151174484</v>
      </c>
      <c r="AL22" s="168">
        <f t="shared" si="34"/>
        <v>116050.1151174484</v>
      </c>
      <c r="AM22" s="168">
        <f t="shared" si="34"/>
        <v>116050.11511744837</v>
      </c>
      <c r="AN22" s="168">
        <f t="shared" si="34"/>
        <v>116050.1151174484</v>
      </c>
      <c r="AO22" s="168">
        <f t="shared" si="34"/>
        <v>116050.1151174484</v>
      </c>
      <c r="AP22" s="168">
        <f t="shared" si="34"/>
        <v>116050.1151174484</v>
      </c>
      <c r="AQ22" s="168">
        <f t="shared" si="34"/>
        <v>116050.11511744837</v>
      </c>
      <c r="AR22" s="168">
        <f t="shared" si="34"/>
        <v>116050.11511744837</v>
      </c>
      <c r="AS22" s="168">
        <f t="shared" si="34"/>
        <v>116050.11511744837</v>
      </c>
      <c r="AT22" s="168">
        <f t="shared" si="34"/>
        <v>116050.11511744834</v>
      </c>
      <c r="AU22" s="168">
        <f t="shared" si="34"/>
        <v>116050.11511744834</v>
      </c>
      <c r="AV22" s="168">
        <f t="shared" si="34"/>
        <v>116050.11511744834</v>
      </c>
      <c r="AW22" s="168">
        <f>AW19</f>
        <v>116050.11511744834</v>
      </c>
      <c r="AX22" s="168">
        <f>AX19</f>
        <v>116050.11511744831</v>
      </c>
      <c r="AY22" s="168">
        <f>AY19</f>
        <v>116050.11511744831</v>
      </c>
      <c r="AZ22" s="168">
        <f>AZ19</f>
        <v>116050.11511744828</v>
      </c>
      <c r="BA22" s="168">
        <f t="shared" ref="BA22:BP22" si="35">BA19</f>
        <v>116050.11511744827</v>
      </c>
      <c r="BB22" s="168">
        <f t="shared" si="35"/>
        <v>116050.11511744824</v>
      </c>
      <c r="BC22" s="168">
        <f t="shared" si="35"/>
        <v>116050.11511744824</v>
      </c>
      <c r="BD22" s="168">
        <f t="shared" si="35"/>
        <v>116050.11511744821</v>
      </c>
      <c r="BE22" s="168">
        <f t="shared" si="35"/>
        <v>116050.11511744824</v>
      </c>
      <c r="BF22" s="168">
        <f t="shared" si="35"/>
        <v>116050.11511744824</v>
      </c>
      <c r="BG22" s="168">
        <f t="shared" si="35"/>
        <v>116050.11511744824</v>
      </c>
      <c r="BH22" s="168">
        <f t="shared" si="35"/>
        <v>116050.11511744818</v>
      </c>
      <c r="BI22" s="168">
        <f t="shared" si="35"/>
        <v>116050.11511744824</v>
      </c>
      <c r="BJ22" s="168">
        <f t="shared" si="35"/>
        <v>116050.11511744827</v>
      </c>
      <c r="BK22" s="168">
        <f t="shared" si="35"/>
        <v>116050.11511744824</v>
      </c>
      <c r="BL22" s="168">
        <f t="shared" si="35"/>
        <v>116050.11511744816</v>
      </c>
      <c r="BM22" s="168">
        <f t="shared" si="35"/>
        <v>116050.11511744824</v>
      </c>
      <c r="BN22" s="168">
        <f t="shared" si="35"/>
        <v>116050.11511744834</v>
      </c>
      <c r="BO22" s="168">
        <f t="shared" si="35"/>
        <v>116050.11511744854</v>
      </c>
      <c r="BP22" s="168">
        <f t="shared" si="35"/>
        <v>116050.1151174479</v>
      </c>
    </row>
    <row r="24" spans="2:70" ht="18">
      <c r="B24" s="158" t="s">
        <v>142</v>
      </c>
      <c r="C24" s="174"/>
      <c r="G24" s="168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</row>
    <row r="26" spans="2:70">
      <c r="B26" t="s">
        <v>141</v>
      </c>
      <c r="C26" s="156" t="s">
        <v>187</v>
      </c>
      <c r="G26" s="228"/>
      <c r="H26" s="228">
        <f>Assumptions!G11</f>
        <v>1799</v>
      </c>
      <c r="I26" s="228">
        <f ca="1">Assumptions!H11</f>
        <v>2087.5</v>
      </c>
      <c r="J26" s="228">
        <f ca="1">Assumptions!I11</f>
        <v>2025</v>
      </c>
      <c r="K26" s="228">
        <f ca="1">Assumptions!J11</f>
        <v>1925</v>
      </c>
      <c r="L26" s="228">
        <f ca="1">Assumptions!K11</f>
        <v>1850</v>
      </c>
      <c r="M26" s="228">
        <f ca="1">Assumptions!L11</f>
        <v>1750</v>
      </c>
      <c r="N26" s="228">
        <f ca="1">M26</f>
        <v>1750</v>
      </c>
      <c r="O26" s="228">
        <f t="shared" ref="O26:R26" ca="1" si="36">N26</f>
        <v>1750</v>
      </c>
      <c r="P26" s="228">
        <f t="shared" ca="1" si="36"/>
        <v>1750</v>
      </c>
      <c r="Q26" s="228">
        <f t="shared" ca="1" si="36"/>
        <v>1750</v>
      </c>
      <c r="R26" s="228">
        <f t="shared" ca="1" si="36"/>
        <v>1750</v>
      </c>
      <c r="U26" s="267">
        <f>Assumptions!S11</f>
        <v>1707</v>
      </c>
      <c r="V26" s="267">
        <f>Assumptions!T11</f>
        <v>1770</v>
      </c>
      <c r="W26" s="267">
        <f>Assumptions!U11</f>
        <v>1756</v>
      </c>
      <c r="X26" s="267">
        <f>Assumptions!V11</f>
        <v>1829</v>
      </c>
      <c r="Y26" s="267">
        <f ca="1">Assumptions!W11</f>
        <v>2050</v>
      </c>
      <c r="Z26" s="267">
        <f ca="1">Assumptions!X11</f>
        <v>2100</v>
      </c>
      <c r="AA26" s="267">
        <f ca="1">Assumptions!Y11</f>
        <v>2100</v>
      </c>
      <c r="AB26" s="267">
        <f ca="1">Assumptions!Z11</f>
        <v>2100</v>
      </c>
      <c r="AC26" s="267">
        <f ca="1">Assumptions!AA11</f>
        <v>2050</v>
      </c>
      <c r="AD26" s="267">
        <f ca="1">Assumptions!AB11</f>
        <v>2050</v>
      </c>
      <c r="AE26" s="267">
        <f ca="1">Assumptions!AC11</f>
        <v>2000</v>
      </c>
      <c r="AF26" s="267">
        <f ca="1">Assumptions!AD11</f>
        <v>2000</v>
      </c>
      <c r="AG26" s="267">
        <f ca="1">Assumptions!AE11</f>
        <v>1950</v>
      </c>
      <c r="AH26" s="267">
        <f ca="1">Assumptions!AF11</f>
        <v>1950</v>
      </c>
      <c r="AI26" s="267">
        <f ca="1">Assumptions!AG11</f>
        <v>1900</v>
      </c>
      <c r="AJ26" s="267">
        <f ca="1">Assumptions!AH11</f>
        <v>1900</v>
      </c>
      <c r="AK26" s="267">
        <f ca="1">Assumptions!AI11</f>
        <v>1850</v>
      </c>
      <c r="AL26" s="267">
        <f ca="1">Assumptions!AJ11</f>
        <v>1850</v>
      </c>
      <c r="AM26" s="267">
        <f ca="1">Assumptions!AK11</f>
        <v>1850</v>
      </c>
      <c r="AN26" s="267">
        <f ca="1">Assumptions!AL11</f>
        <v>1850</v>
      </c>
      <c r="AO26" s="267">
        <f ca="1">Assumptions!L11</f>
        <v>1750</v>
      </c>
      <c r="AP26" s="267">
        <f ca="1">AO26</f>
        <v>1750</v>
      </c>
      <c r="AQ26" s="267">
        <f t="shared" ref="AQ26:BP26" ca="1" si="37">AP26</f>
        <v>1750</v>
      </c>
      <c r="AR26" s="267">
        <f t="shared" ca="1" si="37"/>
        <v>1750</v>
      </c>
      <c r="AS26" s="267">
        <f t="shared" ca="1" si="37"/>
        <v>1750</v>
      </c>
      <c r="AT26" s="267">
        <f t="shared" ca="1" si="37"/>
        <v>1750</v>
      </c>
      <c r="AU26" s="267">
        <f t="shared" ca="1" si="37"/>
        <v>1750</v>
      </c>
      <c r="AV26" s="267">
        <f t="shared" ca="1" si="37"/>
        <v>1750</v>
      </c>
      <c r="AW26" s="267">
        <f t="shared" ca="1" si="37"/>
        <v>1750</v>
      </c>
      <c r="AX26" s="267">
        <f t="shared" ca="1" si="37"/>
        <v>1750</v>
      </c>
      <c r="AY26" s="267">
        <f t="shared" ca="1" si="37"/>
        <v>1750</v>
      </c>
      <c r="AZ26" s="267">
        <f t="shared" ca="1" si="37"/>
        <v>1750</v>
      </c>
      <c r="BA26" s="267">
        <f t="shared" ca="1" si="37"/>
        <v>1750</v>
      </c>
      <c r="BB26" s="267">
        <f t="shared" ca="1" si="37"/>
        <v>1750</v>
      </c>
      <c r="BC26" s="267">
        <f t="shared" ca="1" si="37"/>
        <v>1750</v>
      </c>
      <c r="BD26" s="267">
        <f t="shared" ca="1" si="37"/>
        <v>1750</v>
      </c>
      <c r="BE26" s="267">
        <f t="shared" ca="1" si="37"/>
        <v>1750</v>
      </c>
      <c r="BF26" s="267">
        <f t="shared" ca="1" si="37"/>
        <v>1750</v>
      </c>
      <c r="BG26" s="267">
        <f t="shared" ca="1" si="37"/>
        <v>1750</v>
      </c>
      <c r="BH26" s="267">
        <f t="shared" ca="1" si="37"/>
        <v>1750</v>
      </c>
      <c r="BI26" s="267">
        <f t="shared" ca="1" si="37"/>
        <v>1750</v>
      </c>
      <c r="BJ26" s="267">
        <f t="shared" ca="1" si="37"/>
        <v>1750</v>
      </c>
      <c r="BK26" s="267">
        <f t="shared" ca="1" si="37"/>
        <v>1750</v>
      </c>
      <c r="BL26" s="267">
        <f t="shared" ca="1" si="37"/>
        <v>1750</v>
      </c>
      <c r="BM26" s="267">
        <f t="shared" ca="1" si="37"/>
        <v>1750</v>
      </c>
      <c r="BN26" s="267">
        <f t="shared" ca="1" si="37"/>
        <v>1750</v>
      </c>
      <c r="BO26" s="267">
        <f t="shared" ca="1" si="37"/>
        <v>1750</v>
      </c>
      <c r="BP26" s="267">
        <f t="shared" ca="1" si="37"/>
        <v>1750</v>
      </c>
    </row>
    <row r="28" spans="2:70">
      <c r="B28" s="188" t="s">
        <v>7</v>
      </c>
      <c r="C28" s="244" t="s">
        <v>161</v>
      </c>
      <c r="D28" s="188"/>
      <c r="E28" s="188"/>
      <c r="F28" s="188"/>
      <c r="G28" s="266"/>
      <c r="H28" s="266">
        <f ca="1">SUM(OFFSET($U$28,,(COLUMNS($H$28:H28)-1)*4,,4))</f>
        <v>585217.52487126319</v>
      </c>
      <c r="I28" s="266">
        <f ca="1">SUM(OFFSET($U$28,,(COLUMNS($H$28:I28)-1)*4,,4))</f>
        <v>969018.46123069385</v>
      </c>
      <c r="J28" s="266">
        <f ca="1">SUM(OFFSET($U$28,,(COLUMNS($H$28:J28)-1)*4,,4))</f>
        <v>940005.93245133187</v>
      </c>
      <c r="K28" s="266">
        <f ca="1">SUM(OFFSET($U$28,,(COLUMNS($H$28:K28)-1)*4,,4))</f>
        <v>893585.8864043525</v>
      </c>
      <c r="L28" s="266">
        <f ca="1">SUM(OFFSET($U$28,,(COLUMNS($H$28:L28)-1)*4,,4))</f>
        <v>858770.85186911805</v>
      </c>
      <c r="M28" s="266">
        <f ca="1">SUM(OFFSET($U$28,,(COLUMNS($H$28:M28)-1)*4,,4))</f>
        <v>812350.80582213867</v>
      </c>
      <c r="N28" s="266">
        <f ca="1">SUM(OFFSET($U$28,,(COLUMNS($H$28:N28)-1)*4,,4))</f>
        <v>812350.80582213833</v>
      </c>
      <c r="O28" s="266">
        <f ca="1">SUM(OFFSET($U$28,,(COLUMNS($H$28:O28)-1)*4,,4))</f>
        <v>812350.80582213821</v>
      </c>
      <c r="P28" s="266">
        <f ca="1">SUM(OFFSET($U$28,,(COLUMNS($H$28:P28)-1)*4,,4))</f>
        <v>812350.80582213774</v>
      </c>
      <c r="Q28" s="266">
        <f ca="1">SUM(OFFSET($U$28,,(COLUMNS($H$28:Q28)-1)*4,,4))</f>
        <v>812350.80582213763</v>
      </c>
      <c r="R28" s="266">
        <f ca="1">SUM(OFFSET($U$28,,(COLUMNS($H$28:R28)-1)*4,,4))</f>
        <v>812350.80582213763</v>
      </c>
      <c r="U28" s="245">
        <v>87569</v>
      </c>
      <c r="V28" s="245">
        <v>176965</v>
      </c>
      <c r="W28" s="245">
        <v>187995</v>
      </c>
      <c r="X28" s="266">
        <f>X22*X26/1000</f>
        <v>132688.52487126316</v>
      </c>
      <c r="Y28" s="266">
        <f t="shared" ref="Y28:AZ28" ca="1" si="38">Y22*Y26/1000</f>
        <v>237902.73599076914</v>
      </c>
      <c r="Z28" s="266">
        <f t="shared" ca="1" si="38"/>
        <v>243705.24174664158</v>
      </c>
      <c r="AA28" s="266">
        <f t="shared" ca="1" si="38"/>
        <v>243705.24174664158</v>
      </c>
      <c r="AB28" s="266">
        <f t="shared" ca="1" si="38"/>
        <v>243705.24174664158</v>
      </c>
      <c r="AC28" s="266">
        <f t="shared" ca="1" si="38"/>
        <v>237902.73599076914</v>
      </c>
      <c r="AD28" s="266">
        <f t="shared" ca="1" si="38"/>
        <v>237902.73599076914</v>
      </c>
      <c r="AE28" s="266">
        <f t="shared" ca="1" si="38"/>
        <v>232100.23023489679</v>
      </c>
      <c r="AF28" s="266">
        <f t="shared" ca="1" si="38"/>
        <v>232100.23023489674</v>
      </c>
      <c r="AG28" s="266">
        <f t="shared" ca="1" si="38"/>
        <v>226297.72447902433</v>
      </c>
      <c r="AH28" s="266">
        <f t="shared" ca="1" si="38"/>
        <v>226297.72447902439</v>
      </c>
      <c r="AI28" s="266">
        <f t="shared" ca="1" si="38"/>
        <v>220495.21872315195</v>
      </c>
      <c r="AJ28" s="266">
        <f t="shared" ca="1" si="38"/>
        <v>220495.21872315189</v>
      </c>
      <c r="AK28" s="266">
        <f t="shared" ca="1" si="38"/>
        <v>214692.71296727951</v>
      </c>
      <c r="AL28" s="266">
        <f t="shared" ca="1" si="38"/>
        <v>214692.71296727951</v>
      </c>
      <c r="AM28" s="266">
        <f t="shared" ca="1" si="38"/>
        <v>214692.71296727948</v>
      </c>
      <c r="AN28" s="266">
        <f t="shared" ca="1" si="38"/>
        <v>214692.71296727951</v>
      </c>
      <c r="AO28" s="266">
        <f t="shared" ca="1" si="38"/>
        <v>203087.7014555347</v>
      </c>
      <c r="AP28" s="266">
        <f t="shared" ca="1" si="38"/>
        <v>203087.7014555347</v>
      </c>
      <c r="AQ28" s="266">
        <f t="shared" ca="1" si="38"/>
        <v>203087.70145553464</v>
      </c>
      <c r="AR28" s="266">
        <f t="shared" ca="1" si="38"/>
        <v>203087.70145553464</v>
      </c>
      <c r="AS28" s="266">
        <f t="shared" ca="1" si="38"/>
        <v>203087.70145553464</v>
      </c>
      <c r="AT28" s="266">
        <f t="shared" ca="1" si="38"/>
        <v>203087.70145553458</v>
      </c>
      <c r="AU28" s="266">
        <f t="shared" ca="1" si="38"/>
        <v>203087.70145553458</v>
      </c>
      <c r="AV28" s="266">
        <f t="shared" ca="1" si="38"/>
        <v>203087.70145553458</v>
      </c>
      <c r="AW28" s="266">
        <f t="shared" ca="1" si="38"/>
        <v>203087.70145553458</v>
      </c>
      <c r="AX28" s="266">
        <f t="shared" ca="1" si="38"/>
        <v>203087.70145553455</v>
      </c>
      <c r="AY28" s="266">
        <f t="shared" ca="1" si="38"/>
        <v>203087.70145553455</v>
      </c>
      <c r="AZ28" s="266">
        <f t="shared" ca="1" si="38"/>
        <v>203087.70145553449</v>
      </c>
      <c r="BA28" s="266">
        <f t="shared" ref="BA28:BP28" ca="1" si="39">BA22*BA26/1000</f>
        <v>203087.70145553446</v>
      </c>
      <c r="BB28" s="266">
        <f t="shared" ca="1" si="39"/>
        <v>203087.70145553444</v>
      </c>
      <c r="BC28" s="266">
        <f t="shared" ca="1" si="39"/>
        <v>203087.70145553444</v>
      </c>
      <c r="BD28" s="266">
        <f t="shared" ca="1" si="39"/>
        <v>203087.70145553438</v>
      </c>
      <c r="BE28" s="266">
        <f t="shared" ca="1" si="39"/>
        <v>203087.70145553444</v>
      </c>
      <c r="BF28" s="266">
        <f t="shared" ca="1" si="39"/>
        <v>203087.70145553444</v>
      </c>
      <c r="BG28" s="266">
        <f t="shared" ca="1" si="39"/>
        <v>203087.70145553444</v>
      </c>
      <c r="BH28" s="266">
        <f t="shared" ca="1" si="39"/>
        <v>203087.70145553432</v>
      </c>
      <c r="BI28" s="266">
        <f t="shared" ca="1" si="39"/>
        <v>203087.70145553444</v>
      </c>
      <c r="BJ28" s="266">
        <f t="shared" ca="1" si="39"/>
        <v>203087.70145553446</v>
      </c>
      <c r="BK28" s="266">
        <f t="shared" ca="1" si="39"/>
        <v>203087.70145553444</v>
      </c>
      <c r="BL28" s="266">
        <f t="shared" ca="1" si="39"/>
        <v>203087.70145553429</v>
      </c>
      <c r="BM28" s="266">
        <f t="shared" ca="1" si="39"/>
        <v>203087.70145553444</v>
      </c>
      <c r="BN28" s="266">
        <f t="shared" ca="1" si="39"/>
        <v>203087.70145553458</v>
      </c>
      <c r="BO28" s="266">
        <f t="shared" ca="1" si="39"/>
        <v>203087.70145553493</v>
      </c>
      <c r="BP28" s="266">
        <f t="shared" ca="1" si="39"/>
        <v>203087.70145553382</v>
      </c>
    </row>
    <row r="29" spans="2:70">
      <c r="B29" s="156" t="s">
        <v>162</v>
      </c>
      <c r="C29" s="196" t="s">
        <v>161</v>
      </c>
      <c r="G29" s="89"/>
      <c r="H29" s="89">
        <f ca="1">SUM(OFFSET($U$29,,(COLUMNS($H$28:H29)-1)*4,,4))</f>
        <v>-178649.83466534433</v>
      </c>
      <c r="I29" s="89">
        <f ca="1">SUM(OFFSET($U$29,,(COLUMNS($H$28:I29)-1)*4,,4))</f>
        <v>-254791.62508095655</v>
      </c>
      <c r="J29" s="89">
        <f ca="1">SUM(OFFSET($U$29,,(COLUMNS($H$28:J29)-1)*4,,4))</f>
        <v>-247163.13331206568</v>
      </c>
      <c r="K29" s="89">
        <f ca="1">SUM(OFFSET($U$29,,(COLUMNS($H$28:K29)-1)*4,,4))</f>
        <v>-234957.54648184025</v>
      </c>
      <c r="L29" s="89">
        <f ca="1">SUM(OFFSET($U$29,,(COLUMNS($H$28:L29)-1)*4,,4))</f>
        <v>-225803.35635917113</v>
      </c>
      <c r="M29" s="89">
        <f ca="1">SUM(OFFSET($U$29,,(COLUMNS($H$28:M29)-1)*4,,4))</f>
        <v>-213597.76952894568</v>
      </c>
      <c r="N29" s="89">
        <f ca="1">SUM(OFFSET($U$29,,(COLUMNS($H$28:N29)-1)*4,,4))</f>
        <v>-213597.76952894559</v>
      </c>
      <c r="O29" s="89">
        <f ca="1">SUM(OFFSET($U$29,,(COLUMNS($H$28:O29)-1)*4,,4))</f>
        <v>-213597.76952894553</v>
      </c>
      <c r="P29" s="89">
        <f ca="1">SUM(OFFSET($U$29,,(COLUMNS($H$28:P29)-1)*4,,4))</f>
        <v>-213597.76952894541</v>
      </c>
      <c r="Q29" s="89">
        <f ca="1">SUM(OFFSET($U$29,,(COLUMNS($H$28:Q29)-1)*4,,4))</f>
        <v>-213597.76952894538</v>
      </c>
      <c r="R29" s="89">
        <f ca="1">SUM(OFFSET($U$29,,(COLUMNS($H$28:R29)-1)*4,,4))</f>
        <v>-213597.76952894538</v>
      </c>
      <c r="U29" s="198">
        <v>-37144</v>
      </c>
      <c r="V29" s="198">
        <v>-57186</v>
      </c>
      <c r="W29" s="198">
        <v>-49431</v>
      </c>
      <c r="X29" s="89">
        <f>IF(X31=0,(-W29/W28)*-X28,W29*(1+X31))</f>
        <v>-34888.834665344344</v>
      </c>
      <c r="Y29" s="89">
        <f t="shared" ref="Y29:AB29" ca="1" si="40">IF(Y31=0,(-X29/X28)*-Y28,X29*(1+Y31))</f>
        <v>-62553.632504905509</v>
      </c>
      <c r="Z29" s="89">
        <f t="shared" ca="1" si="40"/>
        <v>-64079.330858683694</v>
      </c>
      <c r="AA29" s="89">
        <f t="shared" ca="1" si="40"/>
        <v>-64079.330858683694</v>
      </c>
      <c r="AB29" s="89">
        <f t="shared" ca="1" si="40"/>
        <v>-64079.330858683694</v>
      </c>
      <c r="AC29" s="89">
        <f ca="1">IF(Y31=0,(-AB29/AB28)*-AC28,AB29*(1+Y31))</f>
        <v>-62553.632504905509</v>
      </c>
      <c r="AD29" s="89">
        <f ca="1">IF(Z31=0,(-AC29/AC28)*-AD28,AC29*(1+Z31))</f>
        <v>-62553.632504905509</v>
      </c>
      <c r="AE29" s="89">
        <f ca="1">IF(AA31=0,(-AD29/AD28)*-AE28,AD29*(1+AA31))</f>
        <v>-61027.934151127338</v>
      </c>
      <c r="AF29" s="89">
        <f ca="1">IF(AB31=0,(-AE29/AE28)*-AF28,AE29*(1+AB31))</f>
        <v>-61027.934151127323</v>
      </c>
      <c r="AG29" s="89">
        <f t="shared" ref="AG29:AZ29" ca="1" si="41">IF(AG31=0,(-AF29/AF28)*-AG28,AF29*(1+AG31))</f>
        <v>-59502.235797349145</v>
      </c>
      <c r="AH29" s="89">
        <f t="shared" ca="1" si="41"/>
        <v>-59502.23579734916</v>
      </c>
      <c r="AI29" s="89">
        <f t="shared" ca="1" si="41"/>
        <v>-57976.537443570975</v>
      </c>
      <c r="AJ29" s="89">
        <f t="shared" ca="1" si="41"/>
        <v>-57976.53744357096</v>
      </c>
      <c r="AK29" s="89">
        <f t="shared" ca="1" si="41"/>
        <v>-56450.839089792782</v>
      </c>
      <c r="AL29" s="89">
        <f t="shared" ca="1" si="41"/>
        <v>-56450.839089792782</v>
      </c>
      <c r="AM29" s="89">
        <f t="shared" ca="1" si="41"/>
        <v>-56450.839089792775</v>
      </c>
      <c r="AN29" s="89">
        <f t="shared" ca="1" si="41"/>
        <v>-56450.839089792782</v>
      </c>
      <c r="AO29" s="89">
        <f t="shared" ca="1" si="41"/>
        <v>-53399.442382236426</v>
      </c>
      <c r="AP29" s="89">
        <f t="shared" ca="1" si="41"/>
        <v>-53399.442382236426</v>
      </c>
      <c r="AQ29" s="89">
        <f t="shared" ca="1" si="41"/>
        <v>-53399.442382236412</v>
      </c>
      <c r="AR29" s="89">
        <f t="shared" ca="1" si="41"/>
        <v>-53399.442382236412</v>
      </c>
      <c r="AS29" s="89">
        <f t="shared" ca="1" si="41"/>
        <v>-53399.442382236412</v>
      </c>
      <c r="AT29" s="89">
        <f t="shared" ca="1" si="41"/>
        <v>-53399.442382236397</v>
      </c>
      <c r="AU29" s="89">
        <f t="shared" ca="1" si="41"/>
        <v>-53399.442382236397</v>
      </c>
      <c r="AV29" s="89">
        <f t="shared" ca="1" si="41"/>
        <v>-53399.442382236397</v>
      </c>
      <c r="AW29" s="89">
        <f t="shared" ca="1" si="41"/>
        <v>-53399.442382236397</v>
      </c>
      <c r="AX29" s="89">
        <f t="shared" ca="1" si="41"/>
        <v>-53399.442382236382</v>
      </c>
      <c r="AY29" s="89">
        <f t="shared" ca="1" si="41"/>
        <v>-53399.442382236382</v>
      </c>
      <c r="AZ29" s="89">
        <f t="shared" ca="1" si="41"/>
        <v>-53399.442382236368</v>
      </c>
      <c r="BA29" s="89">
        <f t="shared" ref="BA29" ca="1" si="42">IF(BA31=0,(-AZ29/AZ28)*-BA28,AZ29*(1+BA31))</f>
        <v>-53399.442382236361</v>
      </c>
      <c r="BB29" s="89">
        <f t="shared" ref="BB29" ca="1" si="43">IF(BB31=0,(-BA29/BA28)*-BB28,BA29*(1+BB31))</f>
        <v>-53399.442382236353</v>
      </c>
      <c r="BC29" s="89">
        <f t="shared" ref="BC29" ca="1" si="44">IF(BC31=0,(-BB29/BB28)*-BC28,BB29*(1+BC31))</f>
        <v>-53399.442382236353</v>
      </c>
      <c r="BD29" s="89">
        <f t="shared" ref="BD29" ca="1" si="45">IF(BD31=0,(-BC29/BC28)*-BD28,BC29*(1+BD31))</f>
        <v>-53399.442382236339</v>
      </c>
      <c r="BE29" s="89">
        <f t="shared" ref="BE29" ca="1" si="46">IF(BE31=0,(-BD29/BD28)*-BE28,BD29*(1+BE31))</f>
        <v>-53399.442382236353</v>
      </c>
      <c r="BF29" s="89">
        <f t="shared" ref="BF29" ca="1" si="47">IF(BF31=0,(-BE29/BE28)*-BF28,BE29*(1+BF31))</f>
        <v>-53399.442382236353</v>
      </c>
      <c r="BG29" s="89">
        <f t="shared" ref="BG29" ca="1" si="48">IF(BG31=0,(-BF29/BF28)*-BG28,BF29*(1+BG31))</f>
        <v>-53399.442382236353</v>
      </c>
      <c r="BH29" s="89">
        <f t="shared" ref="BH29" ca="1" si="49">IF(BH31=0,(-BG29/BG28)*-BH28,BG29*(1+BH31))</f>
        <v>-53399.442382236324</v>
      </c>
      <c r="BI29" s="89">
        <f t="shared" ref="BI29" ca="1" si="50">IF(BI31=0,(-BH29/BH28)*-BI28,BH29*(1+BI31))</f>
        <v>-53399.442382236353</v>
      </c>
      <c r="BJ29" s="89">
        <f t="shared" ref="BJ29" ca="1" si="51">IF(BJ31=0,(-BI29/BI28)*-BJ28,BI29*(1+BJ31))</f>
        <v>-53399.442382236361</v>
      </c>
      <c r="BK29" s="89">
        <f t="shared" ref="BK29" ca="1" si="52">IF(BK31=0,(-BJ29/BJ28)*-BK28,BJ29*(1+BK31))</f>
        <v>-53399.442382236353</v>
      </c>
      <c r="BL29" s="89">
        <f t="shared" ref="BL29" ca="1" si="53">IF(BL31=0,(-BK29/BK28)*-BL28,BK29*(1+BL31))</f>
        <v>-53399.442382236317</v>
      </c>
      <c r="BM29" s="89">
        <f t="shared" ref="BM29" ca="1" si="54">IF(BM31=0,(-BL29/BL28)*-BM28,BL29*(1+BM31))</f>
        <v>-53399.442382236353</v>
      </c>
      <c r="BN29" s="89">
        <f t="shared" ref="BN29" ca="1" si="55">IF(BN31=0,(-BM29/BM28)*-BN28,BM29*(1+BN31))</f>
        <v>-53399.442382236397</v>
      </c>
      <c r="BO29" s="89">
        <f t="shared" ref="BO29" ca="1" si="56">IF(BO31=0,(-BN29/BN28)*-BO28,BN29*(1+BO31))</f>
        <v>-53399.442382236484</v>
      </c>
      <c r="BP29" s="89">
        <f t="shared" ref="BP29" ca="1" si="57">IF(BP31=0,(-BO29/BO28)*-BP28,BO29*(1+BP31))</f>
        <v>-53399.442382236193</v>
      </c>
    </row>
    <row r="30" spans="2:70">
      <c r="B30" s="242" t="s">
        <v>223</v>
      </c>
      <c r="C30" s="196" t="s">
        <v>140</v>
      </c>
      <c r="G30" s="89"/>
      <c r="H30" s="274"/>
      <c r="I30" s="274">
        <f t="shared" ref="I30:N30" ca="1" si="58">I29/H29-1</f>
        <v>0.42620688990977662</v>
      </c>
      <c r="J30" s="274">
        <f t="shared" ca="1" si="58"/>
        <v>-2.9940119760478834E-2</v>
      </c>
      <c r="K30" s="274">
        <f t="shared" ca="1" si="58"/>
        <v>-4.9382716049382602E-2</v>
      </c>
      <c r="L30" s="274">
        <f t="shared" ca="1" si="58"/>
        <v>-3.8961038961039085E-2</v>
      </c>
      <c r="M30" s="274">
        <f t="shared" ca="1" si="58"/>
        <v>-5.4054054054053946E-2</v>
      </c>
      <c r="N30" s="274">
        <f t="shared" ca="1" si="58"/>
        <v>0</v>
      </c>
      <c r="O30" s="274">
        <f t="shared" ref="O30" ca="1" si="59">O29/N29-1</f>
        <v>0</v>
      </c>
      <c r="P30" s="274">
        <f t="shared" ref="P30" ca="1" si="60">P29/O29-1</f>
        <v>0</v>
      </c>
      <c r="Q30" s="274">
        <f t="shared" ref="Q30" ca="1" si="61">Q29/P29-1</f>
        <v>0</v>
      </c>
      <c r="R30" s="274">
        <f t="shared" ref="R30" ca="1" si="62">R29/Q29-1</f>
        <v>0</v>
      </c>
      <c r="W30" s="198"/>
      <c r="X30" s="259"/>
      <c r="Y30" s="259">
        <f ca="1">Y29/U29-1</f>
        <v>0.68408444176463257</v>
      </c>
      <c r="Z30" s="259">
        <f t="shared" ref="Z30" ca="1" si="63">Z29/V29-1</f>
        <v>0.12054228060510774</v>
      </c>
      <c r="AA30" s="259">
        <f ca="1">AA29/W29-1</f>
        <v>0.29633895447560632</v>
      </c>
      <c r="AB30" s="259">
        <f ca="1">AB29/X29-1</f>
        <v>0.8366715733940735</v>
      </c>
      <c r="AC30" s="259">
        <f t="shared" ref="AC30:AV30" ca="1" si="64">AC29/Y29-1</f>
        <v>0</v>
      </c>
      <c r="AD30" s="259">
        <f t="shared" ca="1" si="64"/>
        <v>-2.3809523809523836E-2</v>
      </c>
      <c r="AE30" s="259">
        <f t="shared" ca="1" si="64"/>
        <v>-4.761904761904745E-2</v>
      </c>
      <c r="AF30" s="259">
        <f t="shared" ca="1" si="64"/>
        <v>-4.7619047619047672E-2</v>
      </c>
      <c r="AG30" s="259">
        <f t="shared" ca="1" si="64"/>
        <v>-4.8780487804877981E-2</v>
      </c>
      <c r="AH30" s="259">
        <f t="shared" ca="1" si="64"/>
        <v>-4.8780487804877759E-2</v>
      </c>
      <c r="AI30" s="259">
        <f t="shared" ca="1" si="64"/>
        <v>-4.9999999999999933E-2</v>
      </c>
      <c r="AJ30" s="259">
        <f t="shared" ca="1" si="64"/>
        <v>-4.9999999999999933E-2</v>
      </c>
      <c r="AK30" s="259">
        <f t="shared" ca="1" si="64"/>
        <v>-5.1282051282051211E-2</v>
      </c>
      <c r="AL30" s="259">
        <f t="shared" ca="1" si="64"/>
        <v>-5.1282051282051433E-2</v>
      </c>
      <c r="AM30" s="259">
        <f t="shared" ca="1" si="64"/>
        <v>-2.6315789473684514E-2</v>
      </c>
      <c r="AN30" s="259">
        <f t="shared" ca="1" si="64"/>
        <v>-2.631578947368407E-2</v>
      </c>
      <c r="AO30" s="259">
        <f t="shared" ca="1" si="64"/>
        <v>-5.4054054054053835E-2</v>
      </c>
      <c r="AP30" s="259">
        <f t="shared" ca="1" si="64"/>
        <v>-5.4054054054053835E-2</v>
      </c>
      <c r="AQ30" s="259">
        <f t="shared" ca="1" si="64"/>
        <v>-5.4054054054054057E-2</v>
      </c>
      <c r="AR30" s="259">
        <f t="shared" ca="1" si="64"/>
        <v>-5.4054054054054168E-2</v>
      </c>
      <c r="AS30" s="259">
        <f t="shared" ca="1" si="64"/>
        <v>0</v>
      </c>
      <c r="AT30" s="259">
        <f t="shared" ca="1" si="64"/>
        <v>0</v>
      </c>
      <c r="AU30" s="259">
        <f t="shared" ca="1" si="64"/>
        <v>0</v>
      </c>
      <c r="AV30" s="259">
        <f t="shared" ca="1" si="64"/>
        <v>0</v>
      </c>
      <c r="AW30" s="259">
        <f ca="1">AW29/AS29-1</f>
        <v>0</v>
      </c>
      <c r="AX30" s="259">
        <f ca="1">AX29/AT29-1</f>
        <v>0</v>
      </c>
      <c r="AY30" s="259">
        <f ca="1">AY29/AU29-1</f>
        <v>0</v>
      </c>
      <c r="AZ30" s="259">
        <f ca="1">AZ29/AV29-1</f>
        <v>0</v>
      </c>
      <c r="BA30" s="259">
        <f t="shared" ref="BA30:BP30" ca="1" si="65">BA29/AW29-1</f>
        <v>0</v>
      </c>
      <c r="BB30" s="259">
        <f t="shared" ca="1" si="65"/>
        <v>0</v>
      </c>
      <c r="BC30" s="259">
        <f t="shared" ca="1" si="65"/>
        <v>0</v>
      </c>
      <c r="BD30" s="259">
        <f t="shared" ca="1" si="65"/>
        <v>0</v>
      </c>
      <c r="BE30" s="259">
        <f t="shared" ca="1" si="65"/>
        <v>0</v>
      </c>
      <c r="BF30" s="259">
        <f t="shared" ca="1" si="65"/>
        <v>0</v>
      </c>
      <c r="BG30" s="259">
        <f t="shared" ca="1" si="65"/>
        <v>0</v>
      </c>
      <c r="BH30" s="259">
        <f t="shared" ca="1" si="65"/>
        <v>0</v>
      </c>
      <c r="BI30" s="259">
        <f t="shared" ca="1" si="65"/>
        <v>0</v>
      </c>
      <c r="BJ30" s="259">
        <f t="shared" ca="1" si="65"/>
        <v>0</v>
      </c>
      <c r="BK30" s="259">
        <f t="shared" ca="1" si="65"/>
        <v>0</v>
      </c>
      <c r="BL30" s="259">
        <f t="shared" ca="1" si="65"/>
        <v>0</v>
      </c>
      <c r="BM30" s="259">
        <f t="shared" ca="1" si="65"/>
        <v>0</v>
      </c>
      <c r="BN30" s="259">
        <f t="shared" ca="1" si="65"/>
        <v>0</v>
      </c>
      <c r="BO30" s="259">
        <f t="shared" ca="1" si="65"/>
        <v>2.4424906541753444E-15</v>
      </c>
      <c r="BP30" s="259">
        <f t="shared" ca="1" si="65"/>
        <v>-2.3314683517128287E-15</v>
      </c>
    </row>
    <row r="31" spans="2:70">
      <c r="B31" s="242" t="s">
        <v>240</v>
      </c>
      <c r="C31" s="159" t="s">
        <v>140</v>
      </c>
      <c r="X31" s="275"/>
      <c r="Y31" s="276"/>
      <c r="Z31" s="276"/>
      <c r="AA31" s="276"/>
      <c r="AB31" s="285"/>
    </row>
    <row r="32" spans="2:70">
      <c r="B32" s="243" t="s">
        <v>178</v>
      </c>
      <c r="C32" s="156" t="s">
        <v>140</v>
      </c>
      <c r="G32" s="240"/>
      <c r="H32" s="240">
        <f ca="1">AVERAGE(OFFSET($U$32,,(COLUMNS($H$32:H32)-1)*4,,4))</f>
        <v>5.6627860915372898E-2</v>
      </c>
      <c r="I32" s="240">
        <f ca="1">AVERAGE(OFFSET($U$32,,(COLUMNS($H$32:I32)-1)*4,,4))</f>
        <v>5.9499999999999997E-2</v>
      </c>
      <c r="J32" s="240">
        <f ca="1">AVERAGE(OFFSET($U$32,,(COLUMNS($H$32:J32)-1)*4,,4))</f>
        <v>0.06</v>
      </c>
      <c r="K32" s="240">
        <f ca="1">AVERAGE(OFFSET($U$32,,(COLUMNS($H$32:K32)-1)*4,,4))</f>
        <v>6.3E-2</v>
      </c>
      <c r="L32" s="240">
        <f ca="1">AVERAGE(OFFSET($U$32,,(COLUMNS($H$32:L32)-1)*4,,4))</f>
        <v>6.1499999999999999E-2</v>
      </c>
      <c r="M32" s="240">
        <f ca="1">AVERAGE(OFFSET($U$32,,(COLUMNS($H$32:M32)-1)*4,,4))</f>
        <v>6.0999999999999999E-2</v>
      </c>
      <c r="N32" s="240">
        <f ca="1">AVERAGE(OFFSET($U$32,,(COLUMNS($H$32:N32)-1)*4,,4))</f>
        <v>0.06</v>
      </c>
      <c r="O32" s="240">
        <f ca="1">AVERAGE(OFFSET($U$32,,(COLUMNS($H$32:O32)-1)*4,,4))</f>
        <v>0.06</v>
      </c>
      <c r="P32" s="240">
        <f ca="1">AVERAGE(OFFSET($U$32,,(COLUMNS($H$32:P32)-1)*4,,4))</f>
        <v>0.06</v>
      </c>
      <c r="Q32" s="240">
        <f ca="1">AVERAGE(OFFSET($U$32,,(COLUMNS($H$32:Q32)-1)*4,,4))</f>
        <v>0.06</v>
      </c>
      <c r="R32" s="240">
        <f ca="1">AVERAGE(OFFSET($U$32,,(COLUMNS($H$32:R32)-1)*4,,4))</f>
        <v>0.06</v>
      </c>
      <c r="U32" s="240">
        <f t="shared" ref="U32:V32" si="66">-U33/U28</f>
        <v>5.6424077013555028E-2</v>
      </c>
      <c r="V32" s="240">
        <f t="shared" si="66"/>
        <v>5.601672647133614E-2</v>
      </c>
      <c r="W32" s="240">
        <f>-W33/W28</f>
        <v>5.6070640176600441E-2</v>
      </c>
      <c r="X32" s="241">
        <v>5.8000000000000003E-2</v>
      </c>
      <c r="Y32" s="241">
        <f>X32</f>
        <v>5.8000000000000003E-2</v>
      </c>
      <c r="Z32" s="241">
        <v>0.06</v>
      </c>
      <c r="AA32" s="241">
        <f t="shared" ref="AA32" si="67">Z32</f>
        <v>0.06</v>
      </c>
      <c r="AB32" s="241">
        <f>AA32</f>
        <v>0.06</v>
      </c>
      <c r="AC32" s="241">
        <v>0.06</v>
      </c>
      <c r="AD32" s="241">
        <v>0.06</v>
      </c>
      <c r="AE32" s="241">
        <f t="shared" ref="AE32:AF32" si="68">AD32</f>
        <v>0.06</v>
      </c>
      <c r="AF32" s="241">
        <f t="shared" si="68"/>
        <v>0.06</v>
      </c>
      <c r="AG32" s="241">
        <v>6.3E-2</v>
      </c>
      <c r="AH32" s="241">
        <v>6.3E-2</v>
      </c>
      <c r="AI32" s="241">
        <v>6.3E-2</v>
      </c>
      <c r="AJ32" s="241">
        <v>6.3E-2</v>
      </c>
      <c r="AK32" s="241">
        <v>6.2E-2</v>
      </c>
      <c r="AL32" s="241">
        <v>6.2E-2</v>
      </c>
      <c r="AM32" s="241">
        <v>6.0999999999999999E-2</v>
      </c>
      <c r="AN32" s="241">
        <v>6.0999999999999999E-2</v>
      </c>
      <c r="AO32" s="241">
        <v>6.0999999999999999E-2</v>
      </c>
      <c r="AP32" s="241">
        <v>6.0999999999999999E-2</v>
      </c>
      <c r="AQ32" s="241">
        <v>6.0999999999999999E-2</v>
      </c>
      <c r="AR32" s="241">
        <v>6.0999999999999999E-2</v>
      </c>
      <c r="AS32" s="241">
        <v>0.06</v>
      </c>
      <c r="AT32" s="241">
        <v>0.06</v>
      </c>
      <c r="AU32" s="241">
        <v>0.06</v>
      </c>
      <c r="AV32" s="241">
        <v>0.06</v>
      </c>
      <c r="AW32" s="241">
        <v>0.06</v>
      </c>
      <c r="AX32" s="241">
        <v>0.06</v>
      </c>
      <c r="AY32" s="241">
        <v>0.06</v>
      </c>
      <c r="AZ32" s="241">
        <v>0.06</v>
      </c>
      <c r="BA32" s="241">
        <v>0.06</v>
      </c>
      <c r="BB32" s="241">
        <v>0.06</v>
      </c>
      <c r="BC32" s="241">
        <v>0.06</v>
      </c>
      <c r="BD32" s="241">
        <v>0.06</v>
      </c>
      <c r="BE32" s="241">
        <v>0.06</v>
      </c>
      <c r="BF32" s="241">
        <v>0.06</v>
      </c>
      <c r="BG32" s="241">
        <v>0.06</v>
      </c>
      <c r="BH32" s="241">
        <v>0.06</v>
      </c>
      <c r="BI32" s="241">
        <v>0.06</v>
      </c>
      <c r="BJ32" s="241">
        <v>0.06</v>
      </c>
      <c r="BK32" s="241">
        <v>0.06</v>
      </c>
      <c r="BL32" s="241">
        <v>0.06</v>
      </c>
      <c r="BM32" s="241">
        <v>0.06</v>
      </c>
      <c r="BN32" s="241">
        <v>0.06</v>
      </c>
      <c r="BO32" s="241">
        <v>0.06</v>
      </c>
      <c r="BP32" s="241">
        <v>0.06</v>
      </c>
      <c r="BR32" s="156"/>
    </row>
    <row r="33" spans="2:68">
      <c r="B33" s="156" t="s">
        <v>179</v>
      </c>
      <c r="C33" s="196" t="s">
        <v>161</v>
      </c>
      <c r="E33" s="167"/>
      <c r="F33" s="167"/>
      <c r="G33" s="254"/>
      <c r="H33" s="246">
        <f ca="1">SUM(OFFSET($U$33,,(COLUMNS($H$33:H33)-1)*4,,4))</f>
        <v>-33090.934442533267</v>
      </c>
      <c r="I33" s="246">
        <f ca="1">SUM(OFFSET($U$33,,(COLUMNS($H$33:I33)-1)*4,,4))</f>
        <v>-57665.302201860097</v>
      </c>
      <c r="J33" s="246">
        <f ca="1">SUM(OFFSET($U$33,,(COLUMNS($H$33:J33)-1)*4,,4))</f>
        <v>-56400.355947079908</v>
      </c>
      <c r="K33" s="246">
        <f ca="1">SUM(OFFSET($U$33,,(COLUMNS($H$33:K33)-1)*4,,4))</f>
        <v>-56295.910843474208</v>
      </c>
      <c r="L33" s="246">
        <f ca="1">SUM(OFFSET($U$33,,(COLUMNS($H$33:L33)-1)*4,,4))</f>
        <v>-52814.407389950757</v>
      </c>
      <c r="M33" s="246">
        <f ca="1">SUM(OFFSET($U$33,,(COLUMNS($H$33:M33)-1)*4,,4))</f>
        <v>-49553.399155150459</v>
      </c>
      <c r="N33" s="246">
        <f ca="1">SUM(OFFSET($U$33,,(COLUMNS($H$33:N33)-1)*4,,4))</f>
        <v>-48741.048349328295</v>
      </c>
      <c r="O33" s="246">
        <f ca="1">SUM(OFFSET($U$33,,(COLUMNS($H$33:O33)-1)*4,,4))</f>
        <v>-48741.048349328288</v>
      </c>
      <c r="P33" s="246">
        <f ca="1">SUM(OFFSET($U$33,,(COLUMNS($H$33:P33)-1)*4,,4))</f>
        <v>-48741.048349328259</v>
      </c>
      <c r="Q33" s="246">
        <f ca="1">SUM(OFFSET($U$33,,(COLUMNS($H$33:Q33)-1)*4,,4))</f>
        <v>-48741.048349328252</v>
      </c>
      <c r="R33" s="246">
        <f ca="1">SUM(OFFSET($U$33,,(COLUMNS($H$33:R33)-1)*4,,4))</f>
        <v>-48741.048349328252</v>
      </c>
      <c r="U33" s="198">
        <v>-4941</v>
      </c>
      <c r="V33" s="198">
        <v>-9913</v>
      </c>
      <c r="W33" s="198">
        <v>-10541</v>
      </c>
      <c r="X33" s="89">
        <f t="shared" ref="X33:BP33" si="69">-X28*X32</f>
        <v>-7695.9344425332638</v>
      </c>
      <c r="Y33" s="89">
        <f t="shared" ca="1" si="69"/>
        <v>-13798.358687464612</v>
      </c>
      <c r="Z33" s="89">
        <f t="shared" ca="1" si="69"/>
        <v>-14622.314504798494</v>
      </c>
      <c r="AA33" s="89">
        <f t="shared" ca="1" si="69"/>
        <v>-14622.314504798494</v>
      </c>
      <c r="AB33" s="89">
        <f t="shared" ca="1" si="69"/>
        <v>-14622.314504798494</v>
      </c>
      <c r="AC33" s="89">
        <f t="shared" ca="1" si="69"/>
        <v>-14274.164159446149</v>
      </c>
      <c r="AD33" s="89">
        <f t="shared" ca="1" si="69"/>
        <v>-14274.164159446149</v>
      </c>
      <c r="AE33" s="89">
        <f t="shared" ca="1" si="69"/>
        <v>-13926.013814093807</v>
      </c>
      <c r="AF33" s="89">
        <f t="shared" ca="1" si="69"/>
        <v>-13926.013814093803</v>
      </c>
      <c r="AG33" s="89">
        <f t="shared" ca="1" si="69"/>
        <v>-14256.756642178532</v>
      </c>
      <c r="AH33" s="89">
        <f t="shared" ca="1" si="69"/>
        <v>-14256.756642178536</v>
      </c>
      <c r="AI33" s="89">
        <f t="shared" ca="1" si="69"/>
        <v>-13891.198779558574</v>
      </c>
      <c r="AJ33" s="89">
        <f t="shared" ca="1" si="69"/>
        <v>-13891.19877955857</v>
      </c>
      <c r="AK33" s="89">
        <f t="shared" ca="1" si="69"/>
        <v>-13310.948203971329</v>
      </c>
      <c r="AL33" s="89">
        <f t="shared" ca="1" si="69"/>
        <v>-13310.948203971329</v>
      </c>
      <c r="AM33" s="89">
        <f t="shared" ca="1" si="69"/>
        <v>-13096.255491004049</v>
      </c>
      <c r="AN33" s="89">
        <f t="shared" ca="1" si="69"/>
        <v>-13096.255491004051</v>
      </c>
      <c r="AO33" s="89">
        <f t="shared" ca="1" si="69"/>
        <v>-12388.349788787616</v>
      </c>
      <c r="AP33" s="89">
        <f t="shared" ca="1" si="69"/>
        <v>-12388.349788787616</v>
      </c>
      <c r="AQ33" s="89">
        <f t="shared" ca="1" si="69"/>
        <v>-12388.349788787613</v>
      </c>
      <c r="AR33" s="89">
        <f t="shared" ca="1" si="69"/>
        <v>-12388.349788787613</v>
      </c>
      <c r="AS33" s="89">
        <f t="shared" ca="1" si="69"/>
        <v>-12185.262087332077</v>
      </c>
      <c r="AT33" s="89">
        <f t="shared" ca="1" si="69"/>
        <v>-12185.262087332074</v>
      </c>
      <c r="AU33" s="89">
        <f t="shared" ca="1" si="69"/>
        <v>-12185.262087332074</v>
      </c>
      <c r="AV33" s="89">
        <f t="shared" ca="1" si="69"/>
        <v>-12185.262087332074</v>
      </c>
      <c r="AW33" s="89">
        <f t="shared" ca="1" si="69"/>
        <v>-12185.262087332074</v>
      </c>
      <c r="AX33" s="89">
        <f t="shared" ca="1" si="69"/>
        <v>-12185.262087332072</v>
      </c>
      <c r="AY33" s="89">
        <f t="shared" ca="1" si="69"/>
        <v>-12185.262087332072</v>
      </c>
      <c r="AZ33" s="89">
        <f t="shared" ca="1" si="69"/>
        <v>-12185.262087332068</v>
      </c>
      <c r="BA33" s="89">
        <f t="shared" ca="1" si="69"/>
        <v>-12185.262087332067</v>
      </c>
      <c r="BB33" s="89">
        <f t="shared" ca="1" si="69"/>
        <v>-12185.262087332067</v>
      </c>
      <c r="BC33" s="89">
        <f t="shared" ca="1" si="69"/>
        <v>-12185.262087332067</v>
      </c>
      <c r="BD33" s="89">
        <f t="shared" ca="1" si="69"/>
        <v>-12185.262087332063</v>
      </c>
      <c r="BE33" s="89">
        <f t="shared" ca="1" si="69"/>
        <v>-12185.262087332067</v>
      </c>
      <c r="BF33" s="89">
        <f t="shared" ca="1" si="69"/>
        <v>-12185.262087332067</v>
      </c>
      <c r="BG33" s="89">
        <f t="shared" ca="1" si="69"/>
        <v>-12185.262087332067</v>
      </c>
      <c r="BH33" s="89">
        <f t="shared" ca="1" si="69"/>
        <v>-12185.262087332059</v>
      </c>
      <c r="BI33" s="89">
        <f t="shared" ca="1" si="69"/>
        <v>-12185.262087332067</v>
      </c>
      <c r="BJ33" s="89">
        <f t="shared" ca="1" si="69"/>
        <v>-12185.262087332067</v>
      </c>
      <c r="BK33" s="89">
        <f t="shared" ca="1" si="69"/>
        <v>-12185.262087332067</v>
      </c>
      <c r="BL33" s="89">
        <f t="shared" ca="1" si="69"/>
        <v>-12185.262087332057</v>
      </c>
      <c r="BM33" s="89">
        <f t="shared" ca="1" si="69"/>
        <v>-12185.262087332067</v>
      </c>
      <c r="BN33" s="89">
        <f t="shared" ca="1" si="69"/>
        <v>-12185.262087332074</v>
      </c>
      <c r="BO33" s="89">
        <f t="shared" ca="1" si="69"/>
        <v>-12185.262087332096</v>
      </c>
      <c r="BP33" s="89">
        <f t="shared" ca="1" si="69"/>
        <v>-12185.262087332028</v>
      </c>
    </row>
    <row r="34" spans="2:68">
      <c r="B34" s="156" t="s">
        <v>180</v>
      </c>
      <c r="C34" s="196" t="s">
        <v>161</v>
      </c>
      <c r="D34" s="249"/>
      <c r="E34" s="249"/>
      <c r="F34" s="249"/>
      <c r="G34" s="250"/>
      <c r="H34" s="246">
        <f ca="1">SUM(OFFSET($U$34,,(COLUMNS($H$34:H34)-1)*4,,4))</f>
        <v>32698</v>
      </c>
      <c r="I34" s="336">
        <f ca="1">SUM(OFFSET($U$34,,(COLUMNS($H$34:I34)-1)*4,,4))</f>
        <v>0</v>
      </c>
      <c r="J34" s="336">
        <f ca="1">SUM(OFFSET($U$34,,(COLUMNS($H$34:J34)-1)*4,,4))</f>
        <v>0</v>
      </c>
      <c r="K34" s="336">
        <f ca="1">SUM(OFFSET($U$34,,(COLUMNS($H$34:K34)-1)*4,,4))</f>
        <v>0</v>
      </c>
      <c r="L34" s="336">
        <f ca="1">SUM(OFFSET($U$34,,(COLUMNS($H$34:L34)-1)*4,,4))</f>
        <v>0</v>
      </c>
      <c r="M34" s="336">
        <f ca="1">SUM(OFFSET($U$34,,(COLUMNS($H$34:M34)-1)*4,,4))</f>
        <v>0</v>
      </c>
      <c r="N34" s="336">
        <f ca="1">SUM(OFFSET($U$34,,(COLUMNS($H$34:N34)-1)*4,,4))</f>
        <v>0</v>
      </c>
      <c r="O34" s="336">
        <f ca="1">SUM(OFFSET($U$34,,(COLUMNS($H$34:O34)-1)*4,,4))</f>
        <v>0</v>
      </c>
      <c r="P34" s="336">
        <f ca="1">SUM(OFFSET($U$34,,(COLUMNS($H$34:P34)-1)*4,,4))</f>
        <v>0</v>
      </c>
      <c r="Q34" s="336">
        <f ca="1">SUM(OFFSET($U$34,,(COLUMNS($H$34:Q34)-1)*4,,4))</f>
        <v>0</v>
      </c>
      <c r="R34" s="336">
        <f ca="1">SUM(OFFSET($U$34,,(COLUMNS($H$34:R34)-1)*4,,4))</f>
        <v>0</v>
      </c>
      <c r="U34" s="168">
        <v>13007</v>
      </c>
      <c r="V34" s="168">
        <v>12632</v>
      </c>
      <c r="W34" s="265">
        <v>7059</v>
      </c>
      <c r="X34" s="268">
        <v>0</v>
      </c>
      <c r="Y34" s="268">
        <v>0</v>
      </c>
      <c r="Z34" s="268">
        <v>0</v>
      </c>
      <c r="AA34" s="268">
        <v>0</v>
      </c>
      <c r="AB34" s="268">
        <f>AA34</f>
        <v>0</v>
      </c>
      <c r="AC34" s="268">
        <f>AB34</f>
        <v>0</v>
      </c>
      <c r="AD34" s="268">
        <f>AC34</f>
        <v>0</v>
      </c>
      <c r="AE34" s="268">
        <f>AD34</f>
        <v>0</v>
      </c>
      <c r="AF34" s="268">
        <f>AE34</f>
        <v>0</v>
      </c>
      <c r="AG34" s="268">
        <f t="shared" ref="AG34:AV34" si="70">AF34</f>
        <v>0</v>
      </c>
      <c r="AH34" s="268">
        <f t="shared" si="70"/>
        <v>0</v>
      </c>
      <c r="AI34" s="268">
        <f t="shared" si="70"/>
        <v>0</v>
      </c>
      <c r="AJ34" s="268">
        <f t="shared" si="70"/>
        <v>0</v>
      </c>
      <c r="AK34" s="268">
        <f t="shared" si="70"/>
        <v>0</v>
      </c>
      <c r="AL34" s="268">
        <f t="shared" si="70"/>
        <v>0</v>
      </c>
      <c r="AM34" s="268">
        <f t="shared" si="70"/>
        <v>0</v>
      </c>
      <c r="AN34" s="268">
        <f t="shared" si="70"/>
        <v>0</v>
      </c>
      <c r="AO34" s="268">
        <f t="shared" si="70"/>
        <v>0</v>
      </c>
      <c r="AP34" s="268">
        <f t="shared" si="70"/>
        <v>0</v>
      </c>
      <c r="AQ34" s="268">
        <f t="shared" si="70"/>
        <v>0</v>
      </c>
      <c r="AR34" s="268">
        <f t="shared" si="70"/>
        <v>0</v>
      </c>
      <c r="AS34" s="268">
        <f t="shared" si="70"/>
        <v>0</v>
      </c>
      <c r="AT34" s="268">
        <f t="shared" si="70"/>
        <v>0</v>
      </c>
      <c r="AU34" s="268">
        <f t="shared" si="70"/>
        <v>0</v>
      </c>
      <c r="AV34" s="268">
        <f t="shared" si="70"/>
        <v>0</v>
      </c>
      <c r="AW34" s="268">
        <f>AV34</f>
        <v>0</v>
      </c>
      <c r="AX34" s="268">
        <f>AW34</f>
        <v>0</v>
      </c>
      <c r="AY34" s="268">
        <f>AX34</f>
        <v>0</v>
      </c>
      <c r="AZ34" s="268">
        <f>AY34</f>
        <v>0</v>
      </c>
      <c r="BA34" s="268">
        <f t="shared" ref="BA34:BP34" si="71">AZ34</f>
        <v>0</v>
      </c>
      <c r="BB34" s="268">
        <f t="shared" si="71"/>
        <v>0</v>
      </c>
      <c r="BC34" s="268">
        <f t="shared" si="71"/>
        <v>0</v>
      </c>
      <c r="BD34" s="268">
        <f t="shared" si="71"/>
        <v>0</v>
      </c>
      <c r="BE34" s="268">
        <f t="shared" si="71"/>
        <v>0</v>
      </c>
      <c r="BF34" s="268">
        <f t="shared" si="71"/>
        <v>0</v>
      </c>
      <c r="BG34" s="268">
        <f t="shared" si="71"/>
        <v>0</v>
      </c>
      <c r="BH34" s="268">
        <f t="shared" si="71"/>
        <v>0</v>
      </c>
      <c r="BI34" s="268">
        <f t="shared" si="71"/>
        <v>0</v>
      </c>
      <c r="BJ34" s="268">
        <f t="shared" si="71"/>
        <v>0</v>
      </c>
      <c r="BK34" s="268">
        <f t="shared" si="71"/>
        <v>0</v>
      </c>
      <c r="BL34" s="268">
        <f t="shared" si="71"/>
        <v>0</v>
      </c>
      <c r="BM34" s="268">
        <f t="shared" si="71"/>
        <v>0</v>
      </c>
      <c r="BN34" s="268">
        <f t="shared" si="71"/>
        <v>0</v>
      </c>
      <c r="BO34" s="268">
        <f t="shared" si="71"/>
        <v>0</v>
      </c>
      <c r="BP34" s="268">
        <f t="shared" si="71"/>
        <v>0</v>
      </c>
    </row>
    <row r="35" spans="2:68">
      <c r="B35" s="164" t="s">
        <v>181</v>
      </c>
      <c r="C35" s="244" t="s">
        <v>161</v>
      </c>
      <c r="D35" s="188"/>
      <c r="E35" s="188"/>
      <c r="F35" s="188"/>
      <c r="G35" s="246"/>
      <c r="H35" s="246">
        <f ca="1">SUM(OFFSET($U$35,,(COLUMNS($H$35:H35)-1)*4,,4))</f>
        <v>-179042.76910787763</v>
      </c>
      <c r="I35" s="246">
        <f ca="1">SUM(OFFSET($U$35,,(COLUMNS($H$35:I35)-1)*4,,4))</f>
        <v>-312456.92728281667</v>
      </c>
      <c r="J35" s="246">
        <f ca="1">SUM(OFFSET($U$35,,(COLUMNS($H$35:J35)-1)*4,,4))</f>
        <v>-303563.48925914557</v>
      </c>
      <c r="K35" s="246">
        <f ca="1">SUM(OFFSET($U$35,,(COLUMNS($H$35:K35)-1)*4,,4))</f>
        <v>-291253.4573253144</v>
      </c>
      <c r="L35" s="246">
        <f ca="1">SUM(OFFSET($U$35,,(COLUMNS($H$35:L35)-1)*4,,4))</f>
        <v>-278617.76374912186</v>
      </c>
      <c r="M35" s="246">
        <f ca="1">SUM(OFFSET($U$35,,(COLUMNS($H$35:M35)-1)*4,,4))</f>
        <v>-263151.16868409613</v>
      </c>
      <c r="N35" s="246">
        <f ca="1">SUM(OFFSET($U$35,,(COLUMNS($H$35:N35)-1)*4,,4))</f>
        <v>-262338.8178782739</v>
      </c>
      <c r="O35" s="246">
        <f ca="1">SUM(OFFSET($U$35,,(COLUMNS($H$35:O35)-1)*4,,4))</f>
        <v>-262338.81787827384</v>
      </c>
      <c r="P35" s="246">
        <f ca="1">SUM(OFFSET($U$35,,(COLUMNS($H$35:P35)-1)*4,,4))</f>
        <v>-262338.81787827366</v>
      </c>
      <c r="Q35" s="246">
        <f ca="1">SUM(OFFSET($U$35,,(COLUMNS($H$35:Q35)-1)*4,,4))</f>
        <v>-262338.81787827366</v>
      </c>
      <c r="R35" s="246">
        <f ca="1">SUM(OFFSET($U$35,,(COLUMNS($H$35:R35)-1)*4,,4))</f>
        <v>-262338.81787827361</v>
      </c>
      <c r="U35" s="246">
        <f t="shared" ref="U35:AZ35" si="72">U29+U33+U34</f>
        <v>-29078</v>
      </c>
      <c r="V35" s="246">
        <f t="shared" ref="V35" si="73">V29+V33+V34</f>
        <v>-54467</v>
      </c>
      <c r="W35" s="246">
        <f t="shared" si="72"/>
        <v>-52913</v>
      </c>
      <c r="X35" s="246">
        <f t="shared" si="72"/>
        <v>-42584.769107877612</v>
      </c>
      <c r="Y35" s="246">
        <f t="shared" ca="1" si="72"/>
        <v>-76351.991192370115</v>
      </c>
      <c r="Z35" s="246">
        <f t="shared" ca="1" si="72"/>
        <v>-78701.645363482181</v>
      </c>
      <c r="AA35" s="246">
        <f t="shared" ca="1" si="72"/>
        <v>-78701.645363482181</v>
      </c>
      <c r="AB35" s="246">
        <f t="shared" ca="1" si="72"/>
        <v>-78701.645363482181</v>
      </c>
      <c r="AC35" s="246">
        <f t="shared" ca="1" si="72"/>
        <v>-76827.796664351656</v>
      </c>
      <c r="AD35" s="246">
        <f t="shared" ca="1" si="72"/>
        <v>-76827.796664351656</v>
      </c>
      <c r="AE35" s="246">
        <f t="shared" ca="1" si="72"/>
        <v>-74953.947965221145</v>
      </c>
      <c r="AF35" s="246">
        <f t="shared" ca="1" si="72"/>
        <v>-74953.94796522113</v>
      </c>
      <c r="AG35" s="246">
        <f t="shared" ca="1" si="72"/>
        <v>-73758.992439527676</v>
      </c>
      <c r="AH35" s="246">
        <f t="shared" ca="1" si="72"/>
        <v>-73758.99243952769</v>
      </c>
      <c r="AI35" s="246">
        <f t="shared" ca="1" si="72"/>
        <v>-71867.736223129556</v>
      </c>
      <c r="AJ35" s="246">
        <f t="shared" ca="1" si="72"/>
        <v>-71867.736223129526</v>
      </c>
      <c r="AK35" s="246">
        <f t="shared" ca="1" si="72"/>
        <v>-69761.787293764108</v>
      </c>
      <c r="AL35" s="246">
        <f t="shared" ca="1" si="72"/>
        <v>-69761.787293764108</v>
      </c>
      <c r="AM35" s="246">
        <f t="shared" ca="1" si="72"/>
        <v>-69547.094580796824</v>
      </c>
      <c r="AN35" s="246">
        <f t="shared" ca="1" si="72"/>
        <v>-69547.094580796838</v>
      </c>
      <c r="AO35" s="246">
        <f t="shared" ca="1" si="72"/>
        <v>-65787.792171024048</v>
      </c>
      <c r="AP35" s="246">
        <f t="shared" ca="1" si="72"/>
        <v>-65787.792171024048</v>
      </c>
      <c r="AQ35" s="246">
        <f t="shared" ca="1" si="72"/>
        <v>-65787.792171024019</v>
      </c>
      <c r="AR35" s="246">
        <f t="shared" ca="1" si="72"/>
        <v>-65787.792171024019</v>
      </c>
      <c r="AS35" s="246">
        <f t="shared" ca="1" si="72"/>
        <v>-65584.704469568489</v>
      </c>
      <c r="AT35" s="246">
        <f t="shared" ca="1" si="72"/>
        <v>-65584.704469568474</v>
      </c>
      <c r="AU35" s="246">
        <f t="shared" ca="1" si="72"/>
        <v>-65584.704469568474</v>
      </c>
      <c r="AV35" s="246">
        <f t="shared" ca="1" si="72"/>
        <v>-65584.704469568474</v>
      </c>
      <c r="AW35" s="246">
        <f t="shared" ca="1" si="72"/>
        <v>-65584.704469568474</v>
      </c>
      <c r="AX35" s="246">
        <f t="shared" ca="1" si="72"/>
        <v>-65584.70446956846</v>
      </c>
      <c r="AY35" s="246">
        <f t="shared" ca="1" si="72"/>
        <v>-65584.70446956846</v>
      </c>
      <c r="AZ35" s="246">
        <f t="shared" ca="1" si="72"/>
        <v>-65584.704469568431</v>
      </c>
      <c r="BA35" s="246">
        <f t="shared" ref="BA35:BP35" ca="1" si="74">BA29+BA33+BA34</f>
        <v>-65584.704469568431</v>
      </c>
      <c r="BB35" s="246">
        <f t="shared" ca="1" si="74"/>
        <v>-65584.704469568416</v>
      </c>
      <c r="BC35" s="246">
        <f t="shared" ca="1" si="74"/>
        <v>-65584.704469568416</v>
      </c>
      <c r="BD35" s="246">
        <f t="shared" ca="1" si="74"/>
        <v>-65584.704469568402</v>
      </c>
      <c r="BE35" s="246">
        <f t="shared" ca="1" si="74"/>
        <v>-65584.704469568416</v>
      </c>
      <c r="BF35" s="246">
        <f t="shared" ca="1" si="74"/>
        <v>-65584.704469568416</v>
      </c>
      <c r="BG35" s="246">
        <f t="shared" ca="1" si="74"/>
        <v>-65584.704469568416</v>
      </c>
      <c r="BH35" s="246">
        <f t="shared" ca="1" si="74"/>
        <v>-65584.704469568387</v>
      </c>
      <c r="BI35" s="246">
        <f t="shared" ca="1" si="74"/>
        <v>-65584.704469568416</v>
      </c>
      <c r="BJ35" s="246">
        <f t="shared" ca="1" si="74"/>
        <v>-65584.704469568431</v>
      </c>
      <c r="BK35" s="246">
        <f t="shared" ca="1" si="74"/>
        <v>-65584.704469568416</v>
      </c>
      <c r="BL35" s="246">
        <f t="shared" ca="1" si="74"/>
        <v>-65584.704469568373</v>
      </c>
      <c r="BM35" s="246">
        <f t="shared" ca="1" si="74"/>
        <v>-65584.704469568416</v>
      </c>
      <c r="BN35" s="246">
        <f t="shared" ca="1" si="74"/>
        <v>-65584.704469568474</v>
      </c>
      <c r="BO35" s="246">
        <f t="shared" ca="1" si="74"/>
        <v>-65584.704469568576</v>
      </c>
      <c r="BP35" s="246">
        <f t="shared" ca="1" si="74"/>
        <v>-65584.704469568227</v>
      </c>
    </row>
    <row r="36" spans="2:68">
      <c r="B36" s="164" t="s">
        <v>19</v>
      </c>
      <c r="C36" s="244" t="s">
        <v>161</v>
      </c>
      <c r="D36" s="188"/>
      <c r="E36" s="188"/>
      <c r="F36" s="188"/>
      <c r="G36" s="246"/>
      <c r="H36" s="246">
        <f ca="1">SUM(OFFSET($U$36,,(COLUMNS($H$36:H36)-1)*4,,4))</f>
        <v>-137977.16522256337</v>
      </c>
      <c r="I36" s="246">
        <f ca="1">SUM(OFFSET($U$36,,(COLUMNS($H$36:I36)-1)*4,,4))</f>
        <v>-208890.20721140708</v>
      </c>
      <c r="J36" s="246">
        <f ca="1">SUM(OFFSET($U$36,,(COLUMNS($H$36:J36)-1)*4,,4))</f>
        <v>-208890.20721140708</v>
      </c>
      <c r="K36" s="246">
        <f ca="1">SUM(OFFSET($U$36,,(COLUMNS($H$36:K36)-1)*4,,4))</f>
        <v>-208890.20721140713</v>
      </c>
      <c r="L36" s="246">
        <f ca="1">SUM(OFFSET($U$36,,(COLUMNS($H$36:L36)-1)*4,,4))</f>
        <v>-208890.20721140713</v>
      </c>
      <c r="M36" s="246">
        <f ca="1">SUM(OFFSET($U$36,,(COLUMNS($H$36:M36)-1)*4,,4))</f>
        <v>-208890.20721140713</v>
      </c>
      <c r="N36" s="246">
        <f ca="1">SUM(OFFSET($U$36,,(COLUMNS($H$36:N36)-1)*4,,4))</f>
        <v>-208890.20721140705</v>
      </c>
      <c r="O36" s="246">
        <f ca="1">SUM(OFFSET($U$36,,(COLUMNS($H$36:O36)-1)*4,,4))</f>
        <v>-208890.20721140696</v>
      </c>
      <c r="P36" s="246">
        <f ca="1">SUM(OFFSET($U$36,,(COLUMNS($H$36:P36)-1)*4,,4))</f>
        <v>-185680.18418791718</v>
      </c>
      <c r="Q36" s="246">
        <f ca="1">SUM(OFFSET($U$36,,(COLUMNS($H$36:Q36)-1)*4,,4))</f>
        <v>-185680.18418791716</v>
      </c>
      <c r="R36" s="246">
        <f ca="1">SUM(OFFSET($U$36,,(COLUMNS($H$36:R36)-1)*4,,4))</f>
        <v>-185680.18418791716</v>
      </c>
      <c r="U36" s="329">
        <v>-13279</v>
      </c>
      <c r="V36" s="329">
        <v>-41536</v>
      </c>
      <c r="W36" s="329">
        <v>-50516</v>
      </c>
      <c r="X36" s="250">
        <f>-X51*X$19/10^3</f>
        <v>-32646.165222563381</v>
      </c>
      <c r="Y36" s="254">
        <f t="shared" ref="Y36:BP36" si="75">-Y51*Y$19/10^3</f>
        <v>-52222.551802851769</v>
      </c>
      <c r="Z36" s="254">
        <f t="shared" si="75"/>
        <v>-52222.551802851769</v>
      </c>
      <c r="AA36" s="254">
        <f t="shared" si="75"/>
        <v>-52222.551802851769</v>
      </c>
      <c r="AB36" s="254">
        <f t="shared" si="75"/>
        <v>-52222.551802851769</v>
      </c>
      <c r="AC36" s="254">
        <f t="shared" si="75"/>
        <v>-52222.551802851769</v>
      </c>
      <c r="AD36" s="254">
        <f t="shared" si="75"/>
        <v>-52222.551802851769</v>
      </c>
      <c r="AE36" s="254">
        <f>-AE51*AE$19/10^3</f>
        <v>-52222.551802851784</v>
      </c>
      <c r="AF36" s="254">
        <f t="shared" si="75"/>
        <v>-52222.551802851769</v>
      </c>
      <c r="AG36" s="254">
        <f t="shared" si="75"/>
        <v>-52222.551802851769</v>
      </c>
      <c r="AH36" s="254">
        <f t="shared" si="75"/>
        <v>-52222.551802851784</v>
      </c>
      <c r="AI36" s="254">
        <f t="shared" si="75"/>
        <v>-52222.551802851784</v>
      </c>
      <c r="AJ36" s="254">
        <f t="shared" si="75"/>
        <v>-52222.551802851769</v>
      </c>
      <c r="AK36" s="254">
        <f t="shared" si="75"/>
        <v>-52222.551802851784</v>
      </c>
      <c r="AL36" s="254">
        <f t="shared" si="75"/>
        <v>-52222.551802851784</v>
      </c>
      <c r="AM36" s="254">
        <f t="shared" si="75"/>
        <v>-52222.551802851769</v>
      </c>
      <c r="AN36" s="254">
        <f t="shared" si="75"/>
        <v>-52222.551802851784</v>
      </c>
      <c r="AO36" s="254">
        <f t="shared" si="75"/>
        <v>-52222.551802851784</v>
      </c>
      <c r="AP36" s="254">
        <f t="shared" si="75"/>
        <v>-52222.551802851784</v>
      </c>
      <c r="AQ36" s="254">
        <f t="shared" si="75"/>
        <v>-52222.551802851769</v>
      </c>
      <c r="AR36" s="254">
        <f t="shared" si="75"/>
        <v>-52222.551802851769</v>
      </c>
      <c r="AS36" s="254">
        <f t="shared" si="75"/>
        <v>-52222.551802851769</v>
      </c>
      <c r="AT36" s="254">
        <f t="shared" si="75"/>
        <v>-52222.551802851754</v>
      </c>
      <c r="AU36" s="254">
        <f t="shared" si="75"/>
        <v>-52222.551802851754</v>
      </c>
      <c r="AV36" s="254">
        <f t="shared" si="75"/>
        <v>-52222.551802851754</v>
      </c>
      <c r="AW36" s="254">
        <f t="shared" si="75"/>
        <v>-52222.551802851754</v>
      </c>
      <c r="AX36" s="254">
        <f t="shared" si="75"/>
        <v>-52222.55180285174</v>
      </c>
      <c r="AY36" s="254">
        <f t="shared" si="75"/>
        <v>-52222.55180285174</v>
      </c>
      <c r="AZ36" s="254">
        <f t="shared" si="75"/>
        <v>-52222.551802851733</v>
      </c>
      <c r="BA36" s="254">
        <f t="shared" si="75"/>
        <v>-46420.046046979311</v>
      </c>
      <c r="BB36" s="254">
        <f t="shared" si="75"/>
        <v>-46420.046046979296</v>
      </c>
      <c r="BC36" s="254">
        <f t="shared" si="75"/>
        <v>-46420.046046979296</v>
      </c>
      <c r="BD36" s="254">
        <f t="shared" si="75"/>
        <v>-46420.046046979289</v>
      </c>
      <c r="BE36" s="254">
        <f t="shared" si="75"/>
        <v>-46420.046046979296</v>
      </c>
      <c r="BF36" s="254">
        <f t="shared" si="75"/>
        <v>-46420.046046979296</v>
      </c>
      <c r="BG36" s="254">
        <f t="shared" si="75"/>
        <v>-46420.046046979296</v>
      </c>
      <c r="BH36" s="254">
        <f t="shared" si="75"/>
        <v>-46420.046046979274</v>
      </c>
      <c r="BI36" s="254">
        <f t="shared" si="75"/>
        <v>-46420.046046979296</v>
      </c>
      <c r="BJ36" s="254">
        <f t="shared" si="75"/>
        <v>-46420.046046979311</v>
      </c>
      <c r="BK36" s="254">
        <f t="shared" si="75"/>
        <v>-46420.046046979296</v>
      </c>
      <c r="BL36" s="254">
        <f t="shared" si="75"/>
        <v>-46420.046046979267</v>
      </c>
      <c r="BM36" s="254">
        <f t="shared" si="75"/>
        <v>-46420.046046979296</v>
      </c>
      <c r="BN36" s="254">
        <f t="shared" si="75"/>
        <v>-46420.04604697934</v>
      </c>
      <c r="BO36" s="254">
        <f t="shared" si="75"/>
        <v>-46420.04604697942</v>
      </c>
      <c r="BP36" s="254">
        <f t="shared" si="75"/>
        <v>-46420.046046979158</v>
      </c>
    </row>
    <row r="37" spans="2:68">
      <c r="B37" s="247" t="s">
        <v>17</v>
      </c>
      <c r="C37" s="248" t="s">
        <v>161</v>
      </c>
      <c r="D37" s="249"/>
      <c r="E37" s="249"/>
      <c r="F37" s="249"/>
      <c r="G37" s="250"/>
      <c r="H37" s="250">
        <f ca="1">SUM(OFFSET($U$37,,(COLUMNS($H$37:H37)-1)*4,,4))</f>
        <v>406174.75576338556</v>
      </c>
      <c r="I37" s="250">
        <f ca="1">SUM(OFFSET($U$37,,(COLUMNS($H$37:I37)-1)*4,,4))</f>
        <v>656561.53394787724</v>
      </c>
      <c r="J37" s="250">
        <f ca="1">SUM(OFFSET($U$37,,(COLUMNS($H$37:J37)-1)*4,,4))</f>
        <v>636442.44319218618</v>
      </c>
      <c r="K37" s="250">
        <f ca="1">SUM(OFFSET($U$37,,(COLUMNS($H$37:K37)-1)*4,,4))</f>
        <v>602332.42907903809</v>
      </c>
      <c r="L37" s="250">
        <f ca="1">SUM(OFFSET($U$37,,(COLUMNS($H$37:L37)-1)*4,,4))</f>
        <v>580153.08811999613</v>
      </c>
      <c r="M37" s="250">
        <f ca="1">SUM(OFFSET($U$37,,(COLUMNS($H$37:M37)-1)*4,,4))</f>
        <v>549199.6371380426</v>
      </c>
      <c r="N37" s="250">
        <f ca="1">SUM(OFFSET($U$37,,(COLUMNS($H$37:N37)-1)*4,,4))</f>
        <v>550011.98794386443</v>
      </c>
      <c r="O37" s="250">
        <f ca="1">SUM(OFFSET($U$37,,(COLUMNS($H$37:O37)-1)*4,,4))</f>
        <v>550011.98794386443</v>
      </c>
      <c r="P37" s="250">
        <f ca="1">SUM(OFFSET($U$37,,(COLUMNS($H$37:P37)-1)*4,,4))</f>
        <v>550011.98794386408</v>
      </c>
      <c r="Q37" s="250">
        <f ca="1">SUM(OFFSET($U$37,,(COLUMNS($H$37:Q37)-1)*4,,4))</f>
        <v>550011.98794386396</v>
      </c>
      <c r="R37" s="250">
        <f ca="1">SUM(OFFSET($U$37,,(COLUMNS($H$37:R37)-1)*4,,4))</f>
        <v>550011.98794386396</v>
      </c>
      <c r="U37" s="195">
        <f t="shared" ref="U37:AZ37" si="76">U28+U35</f>
        <v>58491</v>
      </c>
      <c r="V37" s="246">
        <f t="shared" ref="V37" si="77">V28+V35</f>
        <v>122498</v>
      </c>
      <c r="W37" s="266">
        <f t="shared" si="76"/>
        <v>135082</v>
      </c>
      <c r="X37" s="266">
        <f t="shared" si="76"/>
        <v>90103.755763385547</v>
      </c>
      <c r="Y37" s="195">
        <f t="shared" ca="1" si="76"/>
        <v>161550.74479839904</v>
      </c>
      <c r="Z37" s="195">
        <f t="shared" ca="1" si="76"/>
        <v>165003.5963831594</v>
      </c>
      <c r="AA37" s="195">
        <f t="shared" ca="1" si="76"/>
        <v>165003.5963831594</v>
      </c>
      <c r="AB37" s="195">
        <f t="shared" ca="1" si="76"/>
        <v>165003.5963831594</v>
      </c>
      <c r="AC37" s="195">
        <f t="shared" ca="1" si="76"/>
        <v>161074.93932641749</v>
      </c>
      <c r="AD37" s="195">
        <f t="shared" ca="1" si="76"/>
        <v>161074.93932641749</v>
      </c>
      <c r="AE37" s="195">
        <f t="shared" ca="1" si="76"/>
        <v>157146.28226967563</v>
      </c>
      <c r="AF37" s="195">
        <f t="shared" ca="1" si="76"/>
        <v>157146.2822696756</v>
      </c>
      <c r="AG37" s="195">
        <f t="shared" ca="1" si="76"/>
        <v>152538.73203949665</v>
      </c>
      <c r="AH37" s="195">
        <f t="shared" ca="1" si="76"/>
        <v>152538.73203949671</v>
      </c>
      <c r="AI37" s="195">
        <f t="shared" ca="1" si="76"/>
        <v>148627.48250002239</v>
      </c>
      <c r="AJ37" s="195">
        <f t="shared" ca="1" si="76"/>
        <v>148627.48250002236</v>
      </c>
      <c r="AK37" s="195">
        <f t="shared" ca="1" si="76"/>
        <v>144930.92567351542</v>
      </c>
      <c r="AL37" s="195">
        <f t="shared" ca="1" si="76"/>
        <v>144930.92567351542</v>
      </c>
      <c r="AM37" s="195">
        <f t="shared" ca="1" si="76"/>
        <v>145145.61838648265</v>
      </c>
      <c r="AN37" s="195">
        <f t="shared" ca="1" si="76"/>
        <v>145145.61838648267</v>
      </c>
      <c r="AO37" s="195">
        <f t="shared" ca="1" si="76"/>
        <v>137299.90928451065</v>
      </c>
      <c r="AP37" s="195">
        <f t="shared" ca="1" si="76"/>
        <v>137299.90928451065</v>
      </c>
      <c r="AQ37" s="195">
        <f t="shared" ca="1" si="76"/>
        <v>137299.90928451062</v>
      </c>
      <c r="AR37" s="195">
        <f t="shared" ca="1" si="76"/>
        <v>137299.90928451062</v>
      </c>
      <c r="AS37" s="195">
        <f t="shared" ca="1" si="76"/>
        <v>137502.99698596617</v>
      </c>
      <c r="AT37" s="195">
        <f t="shared" ca="1" si="76"/>
        <v>137502.99698596611</v>
      </c>
      <c r="AU37" s="195">
        <f t="shared" ca="1" si="76"/>
        <v>137502.99698596611</v>
      </c>
      <c r="AV37" s="195">
        <f t="shared" ca="1" si="76"/>
        <v>137502.99698596611</v>
      </c>
      <c r="AW37" s="195">
        <f t="shared" ca="1" si="76"/>
        <v>137502.99698596611</v>
      </c>
      <c r="AX37" s="195">
        <f t="shared" ca="1" si="76"/>
        <v>137502.99698596611</v>
      </c>
      <c r="AY37" s="195">
        <f t="shared" ca="1" si="76"/>
        <v>137502.99698596611</v>
      </c>
      <c r="AZ37" s="195">
        <f t="shared" ca="1" si="76"/>
        <v>137502.99698596605</v>
      </c>
      <c r="BA37" s="195">
        <f t="shared" ref="BA37:BP37" ca="1" si="78">BA28+BA35</f>
        <v>137502.99698596605</v>
      </c>
      <c r="BB37" s="195">
        <f t="shared" ca="1" si="78"/>
        <v>137502.99698596602</v>
      </c>
      <c r="BC37" s="195">
        <f t="shared" ca="1" si="78"/>
        <v>137502.99698596602</v>
      </c>
      <c r="BD37" s="195">
        <f t="shared" ca="1" si="78"/>
        <v>137502.99698596599</v>
      </c>
      <c r="BE37" s="195">
        <f t="shared" ca="1" si="78"/>
        <v>137502.99698596602</v>
      </c>
      <c r="BF37" s="195">
        <f t="shared" ca="1" si="78"/>
        <v>137502.99698596602</v>
      </c>
      <c r="BG37" s="195">
        <f t="shared" ca="1" si="78"/>
        <v>137502.99698596602</v>
      </c>
      <c r="BH37" s="195">
        <f t="shared" ca="1" si="78"/>
        <v>137502.99698596593</v>
      </c>
      <c r="BI37" s="195">
        <f t="shared" ca="1" si="78"/>
        <v>137502.99698596602</v>
      </c>
      <c r="BJ37" s="195">
        <f t="shared" ca="1" si="78"/>
        <v>137502.99698596605</v>
      </c>
      <c r="BK37" s="195">
        <f t="shared" ca="1" si="78"/>
        <v>137502.99698596602</v>
      </c>
      <c r="BL37" s="195">
        <f t="shared" ca="1" si="78"/>
        <v>137502.99698596593</v>
      </c>
      <c r="BM37" s="195">
        <f t="shared" ca="1" si="78"/>
        <v>137502.99698596602</v>
      </c>
      <c r="BN37" s="195">
        <f t="shared" ca="1" si="78"/>
        <v>137502.99698596611</v>
      </c>
      <c r="BO37" s="195">
        <f t="shared" ca="1" si="78"/>
        <v>137502.99698596634</v>
      </c>
      <c r="BP37" s="195">
        <f t="shared" ca="1" si="78"/>
        <v>137502.99698596558</v>
      </c>
    </row>
    <row r="38" spans="2:68">
      <c r="B38" s="174" t="s">
        <v>76</v>
      </c>
      <c r="C38" s="196" t="s">
        <v>161</v>
      </c>
      <c r="G38" s="89"/>
      <c r="H38" s="89">
        <f ca="1">SUM(OFFSET($U$38,,(COLUMNS($H$38:H38)-1)*4,,4))</f>
        <v>-40000</v>
      </c>
      <c r="I38" s="89">
        <f ca="1">SUM(OFFSET($U$38,,(COLUMNS($H$38:I38)-1)*4,,4))</f>
        <v>-55704.055256375214</v>
      </c>
      <c r="J38" s="89">
        <f ca="1">SUM(OFFSET($U$38,,(COLUMNS($H$38:J38)-1)*4,,4))</f>
        <v>-55704.055256375214</v>
      </c>
      <c r="K38" s="89">
        <f ca="1">SUM(OFFSET($U$38,,(COLUMNS($H$38:K38)-1)*4,,4))</f>
        <v>-55704.055256375228</v>
      </c>
      <c r="L38" s="89">
        <f ca="1">SUM(OFFSET($U$38,,(COLUMNS($H$38:L38)-1)*4,,4))</f>
        <v>-55704.055256375228</v>
      </c>
      <c r="M38" s="89">
        <f ca="1">SUM(OFFSET($U$38,,(COLUMNS($H$38:M38)-1)*4,,4))</f>
        <v>-55704.055256375228</v>
      </c>
      <c r="N38" s="89">
        <f ca="1">SUM(OFFSET($U$38,,(COLUMNS($H$38:N38)-1)*4,,4))</f>
        <v>-55704.055256375206</v>
      </c>
      <c r="O38" s="89">
        <f ca="1">SUM(OFFSET($U$38,,(COLUMNS($H$38:O38)-1)*4,,4))</f>
        <v>-55704.055256375184</v>
      </c>
      <c r="P38" s="89">
        <f ca="1">SUM(OFFSET($U$38,,(COLUMNS($H$38:P38)-1)*4,,4))</f>
        <v>-55704.055256375148</v>
      </c>
      <c r="Q38" s="89">
        <f ca="1">SUM(OFFSET($U$38,,(COLUMNS($H$38:Q38)-1)*4,,4))</f>
        <v>-55704.055256375141</v>
      </c>
      <c r="R38" s="89">
        <f ca="1">SUM(OFFSET($U$38,,(COLUMNS($H$38:R38)-1)*4,,4))</f>
        <v>-55704.055256375141</v>
      </c>
      <c r="U38" s="198">
        <v>-9523</v>
      </c>
      <c r="V38" s="198">
        <v>-8923</v>
      </c>
      <c r="W38" s="198">
        <v>-17519</v>
      </c>
      <c r="X38" s="198">
        <f>-40000-SUM(U38:W38)</f>
        <v>-4035</v>
      </c>
      <c r="Y38" s="89">
        <f>-Y47*Y$19/10^3</f>
        <v>-13926.013814093803</v>
      </c>
      <c r="Z38" s="89">
        <f>-Z47*Z$19/10^3</f>
        <v>-13926.013814093803</v>
      </c>
      <c r="AA38" s="89">
        <f>-AA47*AA$19/10^3</f>
        <v>-13926.013814093803</v>
      </c>
      <c r="AB38" s="89">
        <f>-AB47*AB$19/10^3</f>
        <v>-13926.013814093803</v>
      </c>
      <c r="AC38" s="89">
        <f t="shared" ref="AC38:AZ39" si="79">-AC47*AC$19/10^3</f>
        <v>-13926.013814093803</v>
      </c>
      <c r="AD38" s="89">
        <f t="shared" si="79"/>
        <v>-13926.013814093803</v>
      </c>
      <c r="AE38" s="89">
        <f t="shared" si="79"/>
        <v>-13926.013814093807</v>
      </c>
      <c r="AF38" s="89">
        <f t="shared" si="79"/>
        <v>-13926.013814093803</v>
      </c>
      <c r="AG38" s="89">
        <f t="shared" si="79"/>
        <v>-13926.013814093803</v>
      </c>
      <c r="AH38" s="89">
        <f t="shared" si="79"/>
        <v>-13926.013814093807</v>
      </c>
      <c r="AI38" s="89">
        <f t="shared" si="79"/>
        <v>-13926.013814093807</v>
      </c>
      <c r="AJ38" s="89">
        <f t="shared" si="79"/>
        <v>-13926.013814093803</v>
      </c>
      <c r="AK38" s="89">
        <f t="shared" si="79"/>
        <v>-13926.013814093807</v>
      </c>
      <c r="AL38" s="89">
        <f t="shared" si="79"/>
        <v>-13926.013814093807</v>
      </c>
      <c r="AM38" s="89">
        <f t="shared" si="79"/>
        <v>-13926.013814093803</v>
      </c>
      <c r="AN38" s="89">
        <f t="shared" si="79"/>
        <v>-13926.013814093807</v>
      </c>
      <c r="AO38" s="89">
        <f t="shared" si="79"/>
        <v>-13926.013814093807</v>
      </c>
      <c r="AP38" s="89">
        <f t="shared" si="79"/>
        <v>-13926.013814093807</v>
      </c>
      <c r="AQ38" s="89">
        <f t="shared" si="79"/>
        <v>-13926.013814093803</v>
      </c>
      <c r="AR38" s="89">
        <f t="shared" si="79"/>
        <v>-13926.013814093803</v>
      </c>
      <c r="AS38" s="89">
        <f t="shared" si="79"/>
        <v>-13926.013814093803</v>
      </c>
      <c r="AT38" s="89">
        <f t="shared" si="79"/>
        <v>-13926.0138140938</v>
      </c>
      <c r="AU38" s="89">
        <f t="shared" si="79"/>
        <v>-13926.0138140938</v>
      </c>
      <c r="AV38" s="89">
        <f t="shared" si="79"/>
        <v>-13926.0138140938</v>
      </c>
      <c r="AW38" s="89">
        <f t="shared" si="79"/>
        <v>-13926.0138140938</v>
      </c>
      <c r="AX38" s="89">
        <f t="shared" si="79"/>
        <v>-13926.013814093796</v>
      </c>
      <c r="AY38" s="89">
        <f t="shared" si="79"/>
        <v>-13926.013814093796</v>
      </c>
      <c r="AZ38" s="89">
        <f t="shared" si="79"/>
        <v>-13926.013814093792</v>
      </c>
      <c r="BA38" s="89">
        <f t="shared" ref="BA38:BP38" si="80">-BA47*BA$19/10^3</f>
        <v>-13926.013814093791</v>
      </c>
      <c r="BB38" s="89">
        <f t="shared" si="80"/>
        <v>-13926.013814093789</v>
      </c>
      <c r="BC38" s="89">
        <f t="shared" si="80"/>
        <v>-13926.013814093789</v>
      </c>
      <c r="BD38" s="89">
        <f t="shared" si="80"/>
        <v>-13926.013814093785</v>
      </c>
      <c r="BE38" s="89">
        <f t="shared" si="80"/>
        <v>-13926.013814093789</v>
      </c>
      <c r="BF38" s="89">
        <f t="shared" si="80"/>
        <v>-13926.013814093789</v>
      </c>
      <c r="BG38" s="89">
        <f t="shared" si="80"/>
        <v>-13926.013814093789</v>
      </c>
      <c r="BH38" s="89">
        <f t="shared" si="80"/>
        <v>-13926.013814093782</v>
      </c>
      <c r="BI38" s="89">
        <f t="shared" si="80"/>
        <v>-13926.013814093789</v>
      </c>
      <c r="BJ38" s="89">
        <f t="shared" si="80"/>
        <v>-13926.013814093791</v>
      </c>
      <c r="BK38" s="89">
        <f t="shared" si="80"/>
        <v>-13926.013814093789</v>
      </c>
      <c r="BL38" s="89">
        <f t="shared" si="80"/>
        <v>-13926.01381409378</v>
      </c>
      <c r="BM38" s="89">
        <f t="shared" si="80"/>
        <v>-13926.013814093789</v>
      </c>
      <c r="BN38" s="89">
        <f t="shared" si="80"/>
        <v>-13926.0138140938</v>
      </c>
      <c r="BO38" s="89">
        <f t="shared" si="80"/>
        <v>-13926.013814093825</v>
      </c>
      <c r="BP38" s="89">
        <f t="shared" si="80"/>
        <v>-13926.013814093749</v>
      </c>
    </row>
    <row r="39" spans="2:68">
      <c r="B39" s="174" t="s">
        <v>182</v>
      </c>
      <c r="C39" s="196" t="s">
        <v>161</v>
      </c>
      <c r="G39" s="89"/>
      <c r="H39" s="89">
        <f ca="1">SUM(OFFSET($U$39,,(COLUMNS($H$39:H39)-1)*4,,4))</f>
        <v>-45000</v>
      </c>
      <c r="I39" s="89">
        <f ca="1">SUM(OFFSET($U$39,,(COLUMNS($H$39:I39)-1)*4,,4))</f>
        <v>-41778.041442281406</v>
      </c>
      <c r="J39" s="89">
        <f ca="1">SUM(OFFSET($U$39,,(COLUMNS($H$39:J39)-1)*4,,4))</f>
        <v>-41778.041442281406</v>
      </c>
      <c r="K39" s="89">
        <f ca="1">SUM(OFFSET($U$39,,(COLUMNS($H$39:K39)-1)*4,,4))</f>
        <v>-41778.041442281421</v>
      </c>
      <c r="L39" s="89">
        <f ca="1">SUM(OFFSET($U$39,,(COLUMNS($H$39:L39)-1)*4,,4))</f>
        <v>-41778.041442281421</v>
      </c>
      <c r="M39" s="89">
        <f ca="1">SUM(OFFSET($U$39,,(COLUMNS($H$39:M39)-1)*4,,4))</f>
        <v>-41778.041442281421</v>
      </c>
      <c r="N39" s="89">
        <f ca="1">SUM(OFFSET($U$39,,(COLUMNS($H$39:N39)-1)*4,,4))</f>
        <v>-41778.041442281399</v>
      </c>
      <c r="O39" s="89">
        <f ca="1">SUM(OFFSET($U$39,,(COLUMNS($H$39:O39)-1)*4,,4))</f>
        <v>-41778.041442281392</v>
      </c>
      <c r="P39" s="89">
        <f ca="1">SUM(OFFSET($U$39,,(COLUMNS($H$39:P39)-1)*4,,4))</f>
        <v>-41778.041442281363</v>
      </c>
      <c r="Q39" s="89">
        <f ca="1">SUM(OFFSET($U$39,,(COLUMNS($H$39:Q39)-1)*4,,4))</f>
        <v>-41778.041442281356</v>
      </c>
      <c r="R39" s="89">
        <f ca="1">SUM(OFFSET($U$39,,(COLUMNS($H$39:R39)-1)*4,,4))</f>
        <v>-41778.041442281356</v>
      </c>
      <c r="U39" s="198">
        <v>-4563</v>
      </c>
      <c r="V39" s="198">
        <v>-5178</v>
      </c>
      <c r="W39" s="198">
        <v>-10150</v>
      </c>
      <c r="X39" s="198">
        <f>-45000-SUM(U39:W39)</f>
        <v>-25109</v>
      </c>
      <c r="Y39" s="89">
        <f t="shared" ref="Y39:AB39" si="81">-Y48*Y$19/10^3</f>
        <v>-10444.510360570352</v>
      </c>
      <c r="Z39" s="89">
        <f t="shared" si="81"/>
        <v>-10444.510360570352</v>
      </c>
      <c r="AA39" s="89">
        <f t="shared" si="81"/>
        <v>-10444.510360570352</v>
      </c>
      <c r="AB39" s="89">
        <f t="shared" si="81"/>
        <v>-10444.510360570352</v>
      </c>
      <c r="AC39" s="89">
        <f t="shared" si="79"/>
        <v>-10444.510360570352</v>
      </c>
      <c r="AD39" s="89">
        <f t="shared" si="79"/>
        <v>-10444.510360570352</v>
      </c>
      <c r="AE39" s="89">
        <f t="shared" si="79"/>
        <v>-10444.510360570357</v>
      </c>
      <c r="AF39" s="89">
        <f t="shared" si="79"/>
        <v>-10444.510360570352</v>
      </c>
      <c r="AG39" s="89">
        <f t="shared" si="79"/>
        <v>-10444.510360570352</v>
      </c>
      <c r="AH39" s="89">
        <f t="shared" si="79"/>
        <v>-10444.510360570357</v>
      </c>
      <c r="AI39" s="89">
        <f t="shared" si="79"/>
        <v>-10444.510360570357</v>
      </c>
      <c r="AJ39" s="89">
        <f t="shared" si="79"/>
        <v>-10444.510360570352</v>
      </c>
      <c r="AK39" s="89">
        <f t="shared" si="79"/>
        <v>-10444.510360570357</v>
      </c>
      <c r="AL39" s="89">
        <f t="shared" si="79"/>
        <v>-10444.510360570357</v>
      </c>
      <c r="AM39" s="89">
        <f t="shared" si="79"/>
        <v>-10444.510360570352</v>
      </c>
      <c r="AN39" s="89">
        <f t="shared" si="79"/>
        <v>-10444.510360570357</v>
      </c>
      <c r="AO39" s="89">
        <f t="shared" si="79"/>
        <v>-10444.510360570357</v>
      </c>
      <c r="AP39" s="89">
        <f t="shared" si="79"/>
        <v>-10444.510360570357</v>
      </c>
      <c r="AQ39" s="89">
        <f t="shared" si="79"/>
        <v>-10444.510360570352</v>
      </c>
      <c r="AR39" s="89">
        <f t="shared" si="79"/>
        <v>-10444.510360570352</v>
      </c>
      <c r="AS39" s="89">
        <f t="shared" si="79"/>
        <v>-10444.510360570352</v>
      </c>
      <c r="AT39" s="89">
        <f t="shared" si="79"/>
        <v>-10444.51036057035</v>
      </c>
      <c r="AU39" s="89">
        <f t="shared" si="79"/>
        <v>-10444.51036057035</v>
      </c>
      <c r="AV39" s="89">
        <f t="shared" si="79"/>
        <v>-10444.51036057035</v>
      </c>
      <c r="AW39" s="89">
        <f t="shared" si="79"/>
        <v>-10444.51036057035</v>
      </c>
      <c r="AX39" s="89">
        <f t="shared" si="79"/>
        <v>-10444.510360570346</v>
      </c>
      <c r="AY39" s="89">
        <f t="shared" si="79"/>
        <v>-10444.510360570346</v>
      </c>
      <c r="AZ39" s="89">
        <f t="shared" si="79"/>
        <v>-10444.510360570344</v>
      </c>
      <c r="BA39" s="89">
        <f t="shared" ref="BA39:BP39" si="82">-BA48*BA$19/10^3</f>
        <v>-10444.510360570343</v>
      </c>
      <c r="BB39" s="89">
        <f t="shared" si="82"/>
        <v>-10444.510360570341</v>
      </c>
      <c r="BC39" s="89">
        <f t="shared" si="82"/>
        <v>-10444.510360570341</v>
      </c>
      <c r="BD39" s="89">
        <f t="shared" si="82"/>
        <v>-10444.510360570339</v>
      </c>
      <c r="BE39" s="89">
        <f t="shared" si="82"/>
        <v>-10444.510360570341</v>
      </c>
      <c r="BF39" s="89">
        <f t="shared" si="82"/>
        <v>-10444.510360570341</v>
      </c>
      <c r="BG39" s="89">
        <f t="shared" si="82"/>
        <v>-10444.510360570341</v>
      </c>
      <c r="BH39" s="89">
        <f t="shared" si="82"/>
        <v>-10444.510360570335</v>
      </c>
      <c r="BI39" s="89">
        <f t="shared" si="82"/>
        <v>-10444.510360570341</v>
      </c>
      <c r="BJ39" s="89">
        <f t="shared" si="82"/>
        <v>-10444.510360570343</v>
      </c>
      <c r="BK39" s="89">
        <f t="shared" si="82"/>
        <v>-10444.510360570341</v>
      </c>
      <c r="BL39" s="89">
        <f t="shared" si="82"/>
        <v>-10444.510360570333</v>
      </c>
      <c r="BM39" s="89">
        <f t="shared" si="82"/>
        <v>0</v>
      </c>
      <c r="BN39" s="89">
        <f t="shared" si="82"/>
        <v>0</v>
      </c>
      <c r="BO39" s="89">
        <f t="shared" si="82"/>
        <v>0</v>
      </c>
      <c r="BP39" s="89">
        <f t="shared" si="82"/>
        <v>0</v>
      </c>
    </row>
    <row r="40" spans="2:68">
      <c r="B40" s="164" t="s">
        <v>184</v>
      </c>
      <c r="C40" s="244" t="s">
        <v>161</v>
      </c>
      <c r="D40" s="188"/>
      <c r="E40" s="188"/>
      <c r="F40" s="188"/>
      <c r="G40" s="246"/>
      <c r="H40" s="246">
        <f ca="1">SUM(OFFSET($U$40,,(COLUMNS($H$40:H40)-1)*4,,4))</f>
        <v>-85000</v>
      </c>
      <c r="I40" s="246">
        <f ca="1">SUM(OFFSET($U$40,,(COLUMNS($H$40:I40)-1)*4,,4))</f>
        <v>-97482.09669865662</v>
      </c>
      <c r="J40" s="246">
        <f ca="1">SUM(OFFSET($U$40,,(COLUMNS($H$40:J40)-1)*4,,4))</f>
        <v>-97482.096698656635</v>
      </c>
      <c r="K40" s="246">
        <f ca="1">SUM(OFFSET($U$40,,(COLUMNS($H$40:K40)-1)*4,,4))</f>
        <v>-97482.096698656635</v>
      </c>
      <c r="L40" s="246">
        <f ca="1">SUM(OFFSET($U$40,,(COLUMNS($H$40:L40)-1)*4,,4))</f>
        <v>-97482.096698656649</v>
      </c>
      <c r="M40" s="246">
        <f ca="1">SUM(OFFSET($U$40,,(COLUMNS($H$40:M40)-1)*4,,4))</f>
        <v>-97482.096698656635</v>
      </c>
      <c r="N40" s="246">
        <f ca="1">SUM(OFFSET($U$40,,(COLUMNS($H$40:N40)-1)*4,,4))</f>
        <v>-97482.096698656591</v>
      </c>
      <c r="O40" s="246">
        <f ca="1">SUM(OFFSET($U$40,,(COLUMNS($H$40:O40)-1)*4,,4))</f>
        <v>-97482.096698656562</v>
      </c>
      <c r="P40" s="246">
        <f ca="1">SUM(OFFSET($U$40,,(COLUMNS($H$40:P40)-1)*4,,4))</f>
        <v>-97482.096698656518</v>
      </c>
      <c r="Q40" s="246">
        <f ca="1">SUM(OFFSET($U$40,,(COLUMNS($H$40:Q40)-1)*4,,4))</f>
        <v>-97482.096698656504</v>
      </c>
      <c r="R40" s="246">
        <f ca="1">SUM(OFFSET($U$40,,(COLUMNS($H$40:R40)-1)*4,,4))</f>
        <v>-97482.096698656504</v>
      </c>
      <c r="U40" s="246">
        <f t="shared" ref="U40:AZ40" si="83">SUM(U38:U39)</f>
        <v>-14086</v>
      </c>
      <c r="V40" s="246">
        <f t="shared" si="83"/>
        <v>-14101</v>
      </c>
      <c r="W40" s="246">
        <f t="shared" si="83"/>
        <v>-27669</v>
      </c>
      <c r="X40" s="254">
        <f t="shared" si="83"/>
        <v>-29144</v>
      </c>
      <c r="Y40" s="254">
        <f t="shared" si="83"/>
        <v>-24370.524174664155</v>
      </c>
      <c r="Z40" s="254">
        <f t="shared" si="83"/>
        <v>-24370.524174664155</v>
      </c>
      <c r="AA40" s="254">
        <f t="shared" si="83"/>
        <v>-24370.524174664155</v>
      </c>
      <c r="AB40" s="254">
        <f t="shared" si="83"/>
        <v>-24370.524174664155</v>
      </c>
      <c r="AC40" s="254">
        <f t="shared" si="83"/>
        <v>-24370.524174664155</v>
      </c>
      <c r="AD40" s="254">
        <f t="shared" si="83"/>
        <v>-24370.524174664155</v>
      </c>
      <c r="AE40" s="254">
        <f t="shared" si="83"/>
        <v>-24370.524174664162</v>
      </c>
      <c r="AF40" s="254">
        <f t="shared" si="83"/>
        <v>-24370.524174664155</v>
      </c>
      <c r="AG40" s="254">
        <f t="shared" si="83"/>
        <v>-24370.524174664155</v>
      </c>
      <c r="AH40" s="254">
        <f t="shared" si="83"/>
        <v>-24370.524174664162</v>
      </c>
      <c r="AI40" s="254">
        <f t="shared" si="83"/>
        <v>-24370.524174664162</v>
      </c>
      <c r="AJ40" s="254">
        <f t="shared" si="83"/>
        <v>-24370.524174664155</v>
      </c>
      <c r="AK40" s="254">
        <f t="shared" si="83"/>
        <v>-24370.524174664162</v>
      </c>
      <c r="AL40" s="254">
        <f t="shared" si="83"/>
        <v>-24370.524174664162</v>
      </c>
      <c r="AM40" s="254">
        <f t="shared" si="83"/>
        <v>-24370.524174664155</v>
      </c>
      <c r="AN40" s="254">
        <f t="shared" si="83"/>
        <v>-24370.524174664162</v>
      </c>
      <c r="AO40" s="254">
        <f t="shared" si="83"/>
        <v>-24370.524174664162</v>
      </c>
      <c r="AP40" s="254">
        <f t="shared" si="83"/>
        <v>-24370.524174664162</v>
      </c>
      <c r="AQ40" s="254">
        <f t="shared" si="83"/>
        <v>-24370.524174664155</v>
      </c>
      <c r="AR40" s="254">
        <f t="shared" si="83"/>
        <v>-24370.524174664155</v>
      </c>
      <c r="AS40" s="254">
        <f t="shared" si="83"/>
        <v>-24370.524174664155</v>
      </c>
      <c r="AT40" s="254">
        <f t="shared" si="83"/>
        <v>-24370.524174664148</v>
      </c>
      <c r="AU40" s="254">
        <f t="shared" si="83"/>
        <v>-24370.524174664148</v>
      </c>
      <c r="AV40" s="254">
        <f t="shared" si="83"/>
        <v>-24370.524174664148</v>
      </c>
      <c r="AW40" s="254">
        <f t="shared" si="83"/>
        <v>-24370.524174664148</v>
      </c>
      <c r="AX40" s="254">
        <f t="shared" si="83"/>
        <v>-24370.52417466414</v>
      </c>
      <c r="AY40" s="254">
        <f t="shared" si="83"/>
        <v>-24370.52417466414</v>
      </c>
      <c r="AZ40" s="254">
        <f t="shared" si="83"/>
        <v>-24370.524174664137</v>
      </c>
      <c r="BA40" s="254">
        <f t="shared" ref="BA40:BP40" si="84">SUM(BA38:BA39)</f>
        <v>-24370.524174664133</v>
      </c>
      <c r="BB40" s="254">
        <f t="shared" si="84"/>
        <v>-24370.52417466413</v>
      </c>
      <c r="BC40" s="254">
        <f t="shared" si="84"/>
        <v>-24370.52417466413</v>
      </c>
      <c r="BD40" s="254">
        <f t="shared" si="84"/>
        <v>-24370.524174664126</v>
      </c>
      <c r="BE40" s="254">
        <f t="shared" si="84"/>
        <v>-24370.52417466413</v>
      </c>
      <c r="BF40" s="254">
        <f t="shared" si="84"/>
        <v>-24370.52417466413</v>
      </c>
      <c r="BG40" s="254">
        <f t="shared" si="84"/>
        <v>-24370.52417466413</v>
      </c>
      <c r="BH40" s="254">
        <f t="shared" si="84"/>
        <v>-24370.524174664119</v>
      </c>
      <c r="BI40" s="254">
        <f t="shared" si="84"/>
        <v>-24370.52417466413</v>
      </c>
      <c r="BJ40" s="254">
        <f t="shared" si="84"/>
        <v>-24370.524174664133</v>
      </c>
      <c r="BK40" s="254">
        <f t="shared" si="84"/>
        <v>-24370.52417466413</v>
      </c>
      <c r="BL40" s="254">
        <f t="shared" si="84"/>
        <v>-24370.524174664111</v>
      </c>
      <c r="BM40" s="254">
        <f t="shared" si="84"/>
        <v>-13926.013814093789</v>
      </c>
      <c r="BN40" s="254">
        <f t="shared" si="84"/>
        <v>-13926.0138140938</v>
      </c>
      <c r="BO40" s="254">
        <f t="shared" si="84"/>
        <v>-13926.013814093825</v>
      </c>
      <c r="BP40" s="254">
        <f t="shared" si="84"/>
        <v>-13926.013814093749</v>
      </c>
    </row>
    <row r="41" spans="2:68">
      <c r="B41" s="247" t="s">
        <v>183</v>
      </c>
      <c r="C41" s="248" t="s">
        <v>161</v>
      </c>
      <c r="D41" s="249"/>
      <c r="E41" s="249"/>
      <c r="F41" s="249"/>
      <c r="G41" s="89"/>
      <c r="H41" s="250">
        <f ca="1">SUM(OFFSET($U$41,,(COLUMNS($H$41:H41)-1)*4,,4))</f>
        <v>-219042.76910787763</v>
      </c>
      <c r="I41" s="250">
        <f ca="1">SUM(OFFSET($U$41,,(COLUMNS($H$41:I41)-1)*4,,4))</f>
        <v>-368160.98253919184</v>
      </c>
      <c r="J41" s="250">
        <f ca="1">SUM(OFFSET($U$41,,(COLUMNS($H$41:J41)-1)*4,,4))</f>
        <v>-359267.5445155208</v>
      </c>
      <c r="K41" s="250">
        <f ca="1">SUM(OFFSET($U$41,,(COLUMNS($H$41:K41)-1)*4,,4))</f>
        <v>-346957.51258168963</v>
      </c>
      <c r="L41" s="250">
        <f ca="1">SUM(OFFSET($U$41,,(COLUMNS($H$41:L41)-1)*4,,4))</f>
        <v>-334321.81900549715</v>
      </c>
      <c r="M41" s="250">
        <f ca="1">SUM(OFFSET($U$41,,(COLUMNS($H$41:M41)-1)*4,,4))</f>
        <v>-318855.22394047136</v>
      </c>
      <c r="N41" s="250">
        <f ca="1">SUM(OFFSET($U$41,,(COLUMNS($H$41:N41)-1)*4,,4))</f>
        <v>-318042.87313464913</v>
      </c>
      <c r="O41" s="250">
        <f ca="1">SUM(OFFSET($U$41,,(COLUMNS($H$41:O41)-1)*4,,4))</f>
        <v>-318042.87313464901</v>
      </c>
      <c r="P41" s="250">
        <f ca="1">SUM(OFFSET($U$41,,(COLUMNS($H$41:P41)-1)*4,,4))</f>
        <v>-318042.87313464889</v>
      </c>
      <c r="Q41" s="250">
        <f ca="1">SUM(OFFSET($U$41,,(COLUMNS($H$41:Q41)-1)*4,,4))</f>
        <v>-318042.87313464878</v>
      </c>
      <c r="R41" s="250">
        <f ca="1">SUM(OFFSET($U$41,,(COLUMNS($H$41:R41)-1)*4,,4))</f>
        <v>-318042.87313464883</v>
      </c>
      <c r="U41" s="89">
        <f t="shared" ref="U41:V41" si="85">U35+U38</f>
        <v>-38601</v>
      </c>
      <c r="V41" s="89">
        <f t="shared" si="85"/>
        <v>-63390</v>
      </c>
      <c r="W41" s="89">
        <f t="shared" ref="W41:AV41" si="86">W35+W38</f>
        <v>-70432</v>
      </c>
      <c r="X41" s="250">
        <f t="shared" si="86"/>
        <v>-46619.769107877612</v>
      </c>
      <c r="Y41" s="250">
        <f t="shared" ca="1" si="86"/>
        <v>-90278.005006463922</v>
      </c>
      <c r="Z41" s="250">
        <f t="shared" ca="1" si="86"/>
        <v>-92627.659177575988</v>
      </c>
      <c r="AA41" s="250">
        <f t="shared" ca="1" si="86"/>
        <v>-92627.659177575988</v>
      </c>
      <c r="AB41" s="250">
        <f t="shared" ca="1" si="86"/>
        <v>-92627.659177575988</v>
      </c>
      <c r="AC41" s="250">
        <f t="shared" ca="1" si="86"/>
        <v>-90753.810478445463</v>
      </c>
      <c r="AD41" s="250">
        <f t="shared" ca="1" si="86"/>
        <v>-90753.810478445463</v>
      </c>
      <c r="AE41" s="250">
        <f t="shared" ca="1" si="86"/>
        <v>-88879.961779314952</v>
      </c>
      <c r="AF41" s="250">
        <f t="shared" ca="1" si="86"/>
        <v>-88879.961779314937</v>
      </c>
      <c r="AG41" s="250">
        <f t="shared" ca="1" si="86"/>
        <v>-87685.006253621483</v>
      </c>
      <c r="AH41" s="250">
        <f t="shared" ca="1" si="86"/>
        <v>-87685.006253621497</v>
      </c>
      <c r="AI41" s="250">
        <f t="shared" ca="1" si="86"/>
        <v>-85793.750037223363</v>
      </c>
      <c r="AJ41" s="250">
        <f t="shared" ca="1" si="86"/>
        <v>-85793.750037223333</v>
      </c>
      <c r="AK41" s="250">
        <f t="shared" ca="1" si="86"/>
        <v>-83687.801107857915</v>
      </c>
      <c r="AL41" s="250">
        <f t="shared" ca="1" si="86"/>
        <v>-83687.801107857915</v>
      </c>
      <c r="AM41" s="250">
        <f t="shared" ca="1" si="86"/>
        <v>-83473.108394890631</v>
      </c>
      <c r="AN41" s="250">
        <f t="shared" ca="1" si="86"/>
        <v>-83473.108394890645</v>
      </c>
      <c r="AO41" s="250">
        <f t="shared" ca="1" si="86"/>
        <v>-79713.805985117855</v>
      </c>
      <c r="AP41" s="250">
        <f t="shared" ca="1" si="86"/>
        <v>-79713.805985117855</v>
      </c>
      <c r="AQ41" s="250">
        <f t="shared" ca="1" si="86"/>
        <v>-79713.805985117826</v>
      </c>
      <c r="AR41" s="250">
        <f t="shared" ca="1" si="86"/>
        <v>-79713.805985117826</v>
      </c>
      <c r="AS41" s="250">
        <f t="shared" ca="1" si="86"/>
        <v>-79510.718283662296</v>
      </c>
      <c r="AT41" s="250">
        <f t="shared" ca="1" si="86"/>
        <v>-79510.718283662281</v>
      </c>
      <c r="AU41" s="250">
        <f t="shared" ca="1" si="86"/>
        <v>-79510.718283662281</v>
      </c>
      <c r="AV41" s="250">
        <f t="shared" ca="1" si="86"/>
        <v>-79510.718283662281</v>
      </c>
      <c r="AW41" s="250">
        <f ca="1">AW35+AW38</f>
        <v>-79510.718283662281</v>
      </c>
      <c r="AX41" s="250">
        <f ca="1">AX35+AX38</f>
        <v>-79510.718283662252</v>
      </c>
      <c r="AY41" s="250">
        <f ca="1">AY35+AY38</f>
        <v>-79510.718283662252</v>
      </c>
      <c r="AZ41" s="250">
        <f ca="1">AZ35+AZ38</f>
        <v>-79510.718283662223</v>
      </c>
      <c r="BA41" s="250">
        <f t="shared" ref="BA41:BP41" ca="1" si="87">BA35+BA38</f>
        <v>-79510.718283662223</v>
      </c>
      <c r="BB41" s="250">
        <f t="shared" ca="1" si="87"/>
        <v>-79510.718283662209</v>
      </c>
      <c r="BC41" s="250">
        <f t="shared" ca="1" si="87"/>
        <v>-79510.718283662209</v>
      </c>
      <c r="BD41" s="250">
        <f t="shared" ca="1" si="87"/>
        <v>-79510.718283662194</v>
      </c>
      <c r="BE41" s="250">
        <f t="shared" ca="1" si="87"/>
        <v>-79510.718283662209</v>
      </c>
      <c r="BF41" s="250">
        <f t="shared" ca="1" si="87"/>
        <v>-79510.718283662209</v>
      </c>
      <c r="BG41" s="250">
        <f t="shared" ca="1" si="87"/>
        <v>-79510.718283662209</v>
      </c>
      <c r="BH41" s="250">
        <f t="shared" ca="1" si="87"/>
        <v>-79510.718283662165</v>
      </c>
      <c r="BI41" s="250">
        <f t="shared" ca="1" si="87"/>
        <v>-79510.718283662209</v>
      </c>
      <c r="BJ41" s="250">
        <f t="shared" ca="1" si="87"/>
        <v>-79510.718283662223</v>
      </c>
      <c r="BK41" s="250">
        <f t="shared" ca="1" si="87"/>
        <v>-79510.718283662209</v>
      </c>
      <c r="BL41" s="250">
        <f t="shared" ca="1" si="87"/>
        <v>-79510.71828366215</v>
      </c>
      <c r="BM41" s="250">
        <f t="shared" ca="1" si="87"/>
        <v>-79510.718283662209</v>
      </c>
      <c r="BN41" s="250">
        <f t="shared" ca="1" si="87"/>
        <v>-79510.718283662281</v>
      </c>
      <c r="BO41" s="250">
        <f t="shared" ca="1" si="87"/>
        <v>-79510.718283662398</v>
      </c>
      <c r="BP41" s="250">
        <f t="shared" ca="1" si="87"/>
        <v>-79510.718283661976</v>
      </c>
    </row>
    <row r="42" spans="2:68">
      <c r="B42" s="251" t="s">
        <v>185</v>
      </c>
      <c r="C42" s="248" t="s">
        <v>161</v>
      </c>
      <c r="D42" s="249"/>
      <c r="E42" s="249"/>
      <c r="F42" s="249"/>
      <c r="G42" s="250"/>
      <c r="H42" s="250">
        <f ca="1">SUM(OFFSET($U$42,,(COLUMNS($H$42:H42)-1)*4,,4))</f>
        <v>-264042.76910787763</v>
      </c>
      <c r="I42" s="250">
        <f ca="1">SUM(OFFSET($U$42,,(COLUMNS($H$42:I42)-1)*4,,4))</f>
        <v>-409939.02398147329</v>
      </c>
      <c r="J42" s="250">
        <f ca="1">SUM(OFFSET($U$42,,(COLUMNS($H$42:J42)-1)*4,,4))</f>
        <v>-401045.58595780225</v>
      </c>
      <c r="K42" s="250">
        <f ca="1">SUM(OFFSET($U$42,,(COLUMNS($H$42:K42)-1)*4,,4))</f>
        <v>-388735.55402397108</v>
      </c>
      <c r="L42" s="250">
        <f ca="1">SUM(OFFSET($U$42,,(COLUMNS($H$42:L42)-1)*4,,4))</f>
        <v>-376099.86044777854</v>
      </c>
      <c r="M42" s="250">
        <f ca="1">SUM(OFFSET($U$42,,(COLUMNS($H$42:M42)-1)*4,,4))</f>
        <v>-360633.26538275281</v>
      </c>
      <c r="N42" s="250">
        <f ca="1">SUM(OFFSET($U$42,,(COLUMNS($H$42:N42)-1)*4,,4))</f>
        <v>-359820.91457693052</v>
      </c>
      <c r="O42" s="250">
        <f ca="1">SUM(OFFSET($U$42,,(COLUMNS($H$42:O42)-1)*4,,4))</f>
        <v>-359820.9145769304</v>
      </c>
      <c r="P42" s="250">
        <f ca="1">SUM(OFFSET($U$42,,(COLUMNS($H$42:P42)-1)*4,,4))</f>
        <v>-359820.91457693023</v>
      </c>
      <c r="Q42" s="250">
        <f ca="1">SUM(OFFSET($U$42,,(COLUMNS($H$42:Q42)-1)*4,,4))</f>
        <v>-359820.91457693017</v>
      </c>
      <c r="R42" s="250">
        <f ca="1">SUM(OFFSET($U$42,,(COLUMNS($H$42:R42)-1)*4,,4))</f>
        <v>-359820.91457693017</v>
      </c>
      <c r="U42" s="250">
        <f t="shared" ref="U42:V42" si="88">U41+U39</f>
        <v>-43164</v>
      </c>
      <c r="V42" s="250">
        <f t="shared" si="88"/>
        <v>-68568</v>
      </c>
      <c r="W42" s="250">
        <f t="shared" ref="W42:AZ42" si="89">W41+W39</f>
        <v>-80582</v>
      </c>
      <c r="X42" s="250">
        <f t="shared" si="89"/>
        <v>-71728.769107877612</v>
      </c>
      <c r="Y42" s="250">
        <f t="shared" ca="1" si="89"/>
        <v>-100722.51536703427</v>
      </c>
      <c r="Z42" s="250">
        <f t="shared" ca="1" si="89"/>
        <v>-103072.16953814634</v>
      </c>
      <c r="AA42" s="250">
        <f t="shared" ca="1" si="89"/>
        <v>-103072.16953814634</v>
      </c>
      <c r="AB42" s="250">
        <f t="shared" ca="1" si="89"/>
        <v>-103072.16953814634</v>
      </c>
      <c r="AC42" s="250">
        <f t="shared" ca="1" si="89"/>
        <v>-101198.32083901581</v>
      </c>
      <c r="AD42" s="250">
        <f t="shared" ca="1" si="89"/>
        <v>-101198.32083901581</v>
      </c>
      <c r="AE42" s="250">
        <f t="shared" ca="1" si="89"/>
        <v>-99324.472139885314</v>
      </c>
      <c r="AF42" s="250">
        <f t="shared" ca="1" si="89"/>
        <v>-99324.472139885285</v>
      </c>
      <c r="AG42" s="250">
        <f t="shared" ca="1" si="89"/>
        <v>-98129.516614191831</v>
      </c>
      <c r="AH42" s="250">
        <f t="shared" ca="1" si="89"/>
        <v>-98129.51661419186</v>
      </c>
      <c r="AI42" s="250">
        <f t="shared" ca="1" si="89"/>
        <v>-96238.260397793725</v>
      </c>
      <c r="AJ42" s="250">
        <f t="shared" ca="1" si="89"/>
        <v>-96238.260397793681</v>
      </c>
      <c r="AK42" s="250">
        <f t="shared" ca="1" si="89"/>
        <v>-94132.311468428277</v>
      </c>
      <c r="AL42" s="250">
        <f t="shared" ca="1" si="89"/>
        <v>-94132.311468428277</v>
      </c>
      <c r="AM42" s="250">
        <f t="shared" ca="1" si="89"/>
        <v>-93917.618755460979</v>
      </c>
      <c r="AN42" s="250">
        <f t="shared" ca="1" si="89"/>
        <v>-93917.618755461008</v>
      </c>
      <c r="AO42" s="250">
        <f t="shared" ca="1" si="89"/>
        <v>-90158.316345688218</v>
      </c>
      <c r="AP42" s="250">
        <f t="shared" ca="1" si="89"/>
        <v>-90158.316345688218</v>
      </c>
      <c r="AQ42" s="250">
        <f t="shared" ca="1" si="89"/>
        <v>-90158.316345688174</v>
      </c>
      <c r="AR42" s="250">
        <f t="shared" ca="1" si="89"/>
        <v>-90158.316345688174</v>
      </c>
      <c r="AS42" s="250">
        <f t="shared" ca="1" si="89"/>
        <v>-89955.228644232644</v>
      </c>
      <c r="AT42" s="250">
        <f t="shared" ca="1" si="89"/>
        <v>-89955.228644232629</v>
      </c>
      <c r="AU42" s="250">
        <f t="shared" ca="1" si="89"/>
        <v>-89955.228644232629</v>
      </c>
      <c r="AV42" s="250">
        <f t="shared" ca="1" si="89"/>
        <v>-89955.228644232629</v>
      </c>
      <c r="AW42" s="250">
        <f t="shared" ca="1" si="89"/>
        <v>-89955.228644232629</v>
      </c>
      <c r="AX42" s="250">
        <f t="shared" ca="1" si="89"/>
        <v>-89955.2286442326</v>
      </c>
      <c r="AY42" s="250">
        <f t="shared" ca="1" si="89"/>
        <v>-89955.2286442326</v>
      </c>
      <c r="AZ42" s="250">
        <f t="shared" ca="1" si="89"/>
        <v>-89955.228644232571</v>
      </c>
      <c r="BA42" s="250">
        <f t="shared" ref="BA42:BP42" ca="1" si="90">BA41+BA39</f>
        <v>-89955.228644232571</v>
      </c>
      <c r="BB42" s="250">
        <f t="shared" ca="1" si="90"/>
        <v>-89955.228644232557</v>
      </c>
      <c r="BC42" s="250">
        <f t="shared" ca="1" si="90"/>
        <v>-89955.228644232557</v>
      </c>
      <c r="BD42" s="250">
        <f t="shared" ca="1" si="90"/>
        <v>-89955.228644232528</v>
      </c>
      <c r="BE42" s="250">
        <f t="shared" ca="1" si="90"/>
        <v>-89955.228644232557</v>
      </c>
      <c r="BF42" s="250">
        <f t="shared" ca="1" si="90"/>
        <v>-89955.228644232557</v>
      </c>
      <c r="BG42" s="250">
        <f t="shared" ca="1" si="90"/>
        <v>-89955.228644232557</v>
      </c>
      <c r="BH42" s="250">
        <f t="shared" ca="1" si="90"/>
        <v>-89955.228644232498</v>
      </c>
      <c r="BI42" s="250">
        <f t="shared" ca="1" si="90"/>
        <v>-89955.228644232557</v>
      </c>
      <c r="BJ42" s="250">
        <f t="shared" ca="1" si="90"/>
        <v>-89955.228644232571</v>
      </c>
      <c r="BK42" s="250">
        <f t="shared" ca="1" si="90"/>
        <v>-89955.228644232557</v>
      </c>
      <c r="BL42" s="250">
        <f t="shared" ca="1" si="90"/>
        <v>-89955.228644232484</v>
      </c>
      <c r="BM42" s="250">
        <f t="shared" ca="1" si="90"/>
        <v>-79510.718283662209</v>
      </c>
      <c r="BN42" s="250">
        <f t="shared" ca="1" si="90"/>
        <v>-79510.718283662281</v>
      </c>
      <c r="BO42" s="250">
        <f t="shared" ca="1" si="90"/>
        <v>-79510.718283662398</v>
      </c>
      <c r="BP42" s="250">
        <f t="shared" ca="1" si="90"/>
        <v>-79510.718283661976</v>
      </c>
    </row>
    <row r="43" spans="2:68">
      <c r="B43" s="251" t="s">
        <v>186</v>
      </c>
      <c r="C43" s="247" t="s">
        <v>187</v>
      </c>
      <c r="D43" s="249"/>
      <c r="E43" s="249"/>
      <c r="F43" s="249"/>
      <c r="G43" s="249"/>
      <c r="H43" s="195">
        <f t="shared" ref="H43:N43" ca="1" si="91">-H35/H22*1000</f>
        <v>571.53949950803769</v>
      </c>
      <c r="I43" s="195">
        <f t="shared" ca="1" si="91"/>
        <v>673.10774954121109</v>
      </c>
      <c r="J43" s="195">
        <f t="shared" ca="1" si="91"/>
        <v>653.94913428548625</v>
      </c>
      <c r="K43" s="195">
        <f t="shared" ca="1" si="91"/>
        <v>627.43034987632655</v>
      </c>
      <c r="L43" s="195">
        <f t="shared" ca="1" si="91"/>
        <v>600.21001156945658</v>
      </c>
      <c r="M43" s="195">
        <f t="shared" ca="1" si="91"/>
        <v>566.89122716029703</v>
      </c>
      <c r="N43" s="195">
        <f t="shared" ca="1" si="91"/>
        <v>565.14122716029703</v>
      </c>
      <c r="O43" s="195">
        <f t="shared" ref="O43:R43" ca="1" si="92">-O35/O22*1000</f>
        <v>565.14122716029726</v>
      </c>
      <c r="P43" s="195">
        <f t="shared" ca="1" si="92"/>
        <v>565.14122716029703</v>
      </c>
      <c r="Q43" s="195">
        <f t="shared" ca="1" si="92"/>
        <v>565.14122716029692</v>
      </c>
      <c r="R43" s="195">
        <f t="shared" ca="1" si="92"/>
        <v>565.14122716029658</v>
      </c>
      <c r="U43" s="195">
        <f>-U35/U22*1000</f>
        <v>564.08465731633987</v>
      </c>
      <c r="V43" s="195">
        <f t="shared" ref="V43" si="93">-V35/V22*1000</f>
        <v>547.58864749112763</v>
      </c>
      <c r="W43" s="195">
        <f t="shared" ref="W43:AV43" si="94">-W35/W22*1000</f>
        <v>491.99884701572336</v>
      </c>
      <c r="X43" s="195">
        <f t="shared" si="94"/>
        <v>586.99531684353315</v>
      </c>
      <c r="Y43" s="195">
        <f t="shared" ca="1" si="94"/>
        <v>657.92258038777629</v>
      </c>
      <c r="Z43" s="195">
        <f t="shared" ca="1" si="94"/>
        <v>678.16947259235621</v>
      </c>
      <c r="AA43" s="195">
        <f t="shared" ca="1" si="94"/>
        <v>678.16947259235621</v>
      </c>
      <c r="AB43" s="195">
        <f t="shared" ca="1" si="94"/>
        <v>678.16947259235621</v>
      </c>
      <c r="AC43" s="195">
        <f t="shared" ca="1" si="94"/>
        <v>662.02258038777632</v>
      </c>
      <c r="AD43" s="195">
        <f t="shared" ca="1" si="94"/>
        <v>662.02258038777632</v>
      </c>
      <c r="AE43" s="195">
        <f t="shared" ca="1" si="94"/>
        <v>645.87568818319642</v>
      </c>
      <c r="AF43" s="195">
        <f t="shared" ca="1" si="94"/>
        <v>645.87568818319642</v>
      </c>
      <c r="AG43" s="195">
        <f t="shared" ca="1" si="94"/>
        <v>635.57879597861654</v>
      </c>
      <c r="AH43" s="195">
        <f t="shared" ca="1" si="94"/>
        <v>635.57879597861643</v>
      </c>
      <c r="AI43" s="195">
        <f t="shared" ca="1" si="94"/>
        <v>619.28190377403666</v>
      </c>
      <c r="AJ43" s="195">
        <f t="shared" ca="1" si="94"/>
        <v>619.28190377403655</v>
      </c>
      <c r="AK43" s="195">
        <f t="shared" ca="1" si="94"/>
        <v>601.13501156945654</v>
      </c>
      <c r="AL43" s="195">
        <f t="shared" ca="1" si="94"/>
        <v>601.13501156945654</v>
      </c>
      <c r="AM43" s="195">
        <f t="shared" ca="1" si="94"/>
        <v>599.28501156945663</v>
      </c>
      <c r="AN43" s="195">
        <f t="shared" ca="1" si="94"/>
        <v>599.28501156945663</v>
      </c>
      <c r="AO43" s="195">
        <f t="shared" ca="1" si="94"/>
        <v>566.89122716029692</v>
      </c>
      <c r="AP43" s="195">
        <f t="shared" ca="1" si="94"/>
        <v>566.89122716029692</v>
      </c>
      <c r="AQ43" s="195">
        <f t="shared" ca="1" si="94"/>
        <v>566.89122716029681</v>
      </c>
      <c r="AR43" s="195">
        <f t="shared" ca="1" si="94"/>
        <v>566.89122716029681</v>
      </c>
      <c r="AS43" s="195">
        <f t="shared" ca="1" si="94"/>
        <v>565.14122716029692</v>
      </c>
      <c r="AT43" s="195">
        <f t="shared" ca="1" si="94"/>
        <v>565.14122716029692</v>
      </c>
      <c r="AU43" s="195">
        <f t="shared" ca="1" si="94"/>
        <v>565.14122716029692</v>
      </c>
      <c r="AV43" s="195">
        <f t="shared" ca="1" si="94"/>
        <v>565.14122716029692</v>
      </c>
      <c r="AW43" s="195">
        <f ca="1">-AW35/AW22*1000</f>
        <v>565.14122716029692</v>
      </c>
      <c r="AX43" s="195">
        <f ca="1">-AX35/AX22*1000</f>
        <v>565.14122716029692</v>
      </c>
      <c r="AY43" s="195">
        <f ca="1">-AY35/AY22*1000</f>
        <v>565.14122716029692</v>
      </c>
      <c r="AZ43" s="195">
        <f ca="1">-AZ35/AZ22*1000</f>
        <v>565.14122716029681</v>
      </c>
      <c r="BA43" s="195">
        <f t="shared" ref="BA43:BP43" ca="1" si="95">-BA35/BA22*1000</f>
        <v>565.14122716029692</v>
      </c>
      <c r="BB43" s="195">
        <f t="shared" ca="1" si="95"/>
        <v>565.14122716029692</v>
      </c>
      <c r="BC43" s="195">
        <f t="shared" ca="1" si="95"/>
        <v>565.14122716029692</v>
      </c>
      <c r="BD43" s="195">
        <f t="shared" ca="1" si="95"/>
        <v>565.14122716029692</v>
      </c>
      <c r="BE43" s="195">
        <f t="shared" ca="1" si="95"/>
        <v>565.14122716029692</v>
      </c>
      <c r="BF43" s="195">
        <f t="shared" ca="1" si="95"/>
        <v>565.14122716029692</v>
      </c>
      <c r="BG43" s="195">
        <f t="shared" ca="1" si="95"/>
        <v>565.14122716029692</v>
      </c>
      <c r="BH43" s="195">
        <f t="shared" ca="1" si="95"/>
        <v>565.14122716029692</v>
      </c>
      <c r="BI43" s="195">
        <f t="shared" ca="1" si="95"/>
        <v>565.14122716029692</v>
      </c>
      <c r="BJ43" s="195">
        <f t="shared" ca="1" si="95"/>
        <v>565.14122716029692</v>
      </c>
      <c r="BK43" s="195">
        <f t="shared" ca="1" si="95"/>
        <v>565.14122716029692</v>
      </c>
      <c r="BL43" s="195">
        <f t="shared" ca="1" si="95"/>
        <v>565.14122716029681</v>
      </c>
      <c r="BM43" s="195">
        <f t="shared" ca="1" si="95"/>
        <v>565.14122716029692</v>
      </c>
      <c r="BN43" s="195">
        <f t="shared" ca="1" si="95"/>
        <v>565.14122716029692</v>
      </c>
      <c r="BO43" s="195">
        <f t="shared" ca="1" si="95"/>
        <v>565.14122716029681</v>
      </c>
      <c r="BP43" s="195">
        <f t="shared" ca="1" si="95"/>
        <v>565.14122716029692</v>
      </c>
    </row>
    <row r="44" spans="2:68">
      <c r="B44" s="251" t="s">
        <v>188</v>
      </c>
      <c r="C44" s="247" t="s">
        <v>187</v>
      </c>
      <c r="D44" s="249"/>
      <c r="E44" s="249"/>
      <c r="F44" s="249"/>
      <c r="G44" s="249"/>
      <c r="H44" s="195">
        <f ca="1">-H41/H22*1000</f>
        <v>699.22731451578511</v>
      </c>
      <c r="I44" s="195">
        <f t="shared" ref="I44:N44" ca="1" si="96">-I41/I22*1000</f>
        <v>793.10774954121098</v>
      </c>
      <c r="J44" s="195">
        <f t="shared" ca="1" si="96"/>
        <v>773.94913428548625</v>
      </c>
      <c r="K44" s="195">
        <f t="shared" ca="1" si="96"/>
        <v>747.43034987632655</v>
      </c>
      <c r="L44" s="195">
        <f t="shared" ca="1" si="96"/>
        <v>720.2100115694567</v>
      </c>
      <c r="M44" s="195">
        <f t="shared" ca="1" si="96"/>
        <v>686.89122716029715</v>
      </c>
      <c r="N44" s="195">
        <f t="shared" ca="1" si="96"/>
        <v>685.14122716029715</v>
      </c>
      <c r="O44" s="195">
        <f t="shared" ref="O44:R44" ca="1" si="97">-O41/O22*1000</f>
        <v>685.14122716029726</v>
      </c>
      <c r="P44" s="195">
        <f t="shared" ca="1" si="97"/>
        <v>685.14122716029726</v>
      </c>
      <c r="Q44" s="195">
        <f t="shared" ca="1" si="97"/>
        <v>685.14122716029692</v>
      </c>
      <c r="R44" s="195">
        <f t="shared" ca="1" si="97"/>
        <v>685.14122716029669</v>
      </c>
      <c r="U44" s="195">
        <f t="shared" ref="U44:V44" si="98">-U41/U22*1000</f>
        <v>748.82150963161268</v>
      </c>
      <c r="V44" s="195">
        <f t="shared" si="98"/>
        <v>637.29679190083141</v>
      </c>
      <c r="W44" s="195">
        <f t="shared" ref="W44:AV44" si="99">-W41/W22*1000</f>
        <v>654.89506913256537</v>
      </c>
      <c r="X44" s="195">
        <f t="shared" si="99"/>
        <v>642.61440679242082</v>
      </c>
      <c r="Y44" s="195">
        <f t="shared" ca="1" si="99"/>
        <v>777.92258038777629</v>
      </c>
      <c r="Z44" s="195">
        <f t="shared" ca="1" si="99"/>
        <v>798.16947259235621</v>
      </c>
      <c r="AA44" s="195">
        <f t="shared" ca="1" si="99"/>
        <v>798.16947259235621</v>
      </c>
      <c r="AB44" s="195">
        <f t="shared" ca="1" si="99"/>
        <v>798.16947259235621</v>
      </c>
      <c r="AC44" s="195">
        <f t="shared" ca="1" si="99"/>
        <v>782.02258038777632</v>
      </c>
      <c r="AD44" s="195">
        <f t="shared" ca="1" si="99"/>
        <v>782.02258038777632</v>
      </c>
      <c r="AE44" s="195">
        <f t="shared" ca="1" si="99"/>
        <v>765.87568818319642</v>
      </c>
      <c r="AF44" s="195">
        <f t="shared" ca="1" si="99"/>
        <v>765.87568818319642</v>
      </c>
      <c r="AG44" s="195">
        <f t="shared" ca="1" si="99"/>
        <v>755.57879597861654</v>
      </c>
      <c r="AH44" s="195">
        <f t="shared" ca="1" si="99"/>
        <v>755.57879597861643</v>
      </c>
      <c r="AI44" s="195">
        <f t="shared" ca="1" si="99"/>
        <v>739.28190377403666</v>
      </c>
      <c r="AJ44" s="195">
        <f t="shared" ca="1" si="99"/>
        <v>739.28190377403655</v>
      </c>
      <c r="AK44" s="195">
        <f t="shared" ca="1" si="99"/>
        <v>721.13501156945654</v>
      </c>
      <c r="AL44" s="195">
        <f t="shared" ca="1" si="99"/>
        <v>721.13501156945654</v>
      </c>
      <c r="AM44" s="195">
        <f t="shared" ca="1" si="99"/>
        <v>719.28501156945663</v>
      </c>
      <c r="AN44" s="195">
        <f t="shared" ca="1" si="99"/>
        <v>719.28501156945663</v>
      </c>
      <c r="AO44" s="195">
        <f t="shared" ca="1" si="99"/>
        <v>686.89122716029692</v>
      </c>
      <c r="AP44" s="195">
        <f t="shared" ca="1" si="99"/>
        <v>686.89122716029692</v>
      </c>
      <c r="AQ44" s="195">
        <f t="shared" ca="1" si="99"/>
        <v>686.89122716029681</v>
      </c>
      <c r="AR44" s="195">
        <f t="shared" ca="1" si="99"/>
        <v>686.89122716029681</v>
      </c>
      <c r="AS44" s="195">
        <f t="shared" ca="1" si="99"/>
        <v>685.14122716029692</v>
      </c>
      <c r="AT44" s="195">
        <f t="shared" ca="1" si="99"/>
        <v>685.14122716029692</v>
      </c>
      <c r="AU44" s="195">
        <f t="shared" ca="1" si="99"/>
        <v>685.14122716029692</v>
      </c>
      <c r="AV44" s="195">
        <f t="shared" ca="1" si="99"/>
        <v>685.14122716029692</v>
      </c>
      <c r="AW44" s="195">
        <f ca="1">-AW41/AW22*1000</f>
        <v>685.14122716029692</v>
      </c>
      <c r="AX44" s="195">
        <f ca="1">-AX41/AX22*1000</f>
        <v>685.14122716029692</v>
      </c>
      <c r="AY44" s="195">
        <f ca="1">-AY41/AY22*1000</f>
        <v>685.14122716029692</v>
      </c>
      <c r="AZ44" s="195">
        <f ca="1">-AZ41/AZ22*1000</f>
        <v>685.14122716029681</v>
      </c>
      <c r="BA44" s="195">
        <f t="shared" ref="BA44:BP44" ca="1" si="100">-BA41/BA22*1000</f>
        <v>685.14122716029692</v>
      </c>
      <c r="BB44" s="195">
        <f t="shared" ca="1" si="100"/>
        <v>685.14122716029692</v>
      </c>
      <c r="BC44" s="195">
        <f t="shared" ca="1" si="100"/>
        <v>685.14122716029692</v>
      </c>
      <c r="BD44" s="195">
        <f t="shared" ca="1" si="100"/>
        <v>685.14122716029692</v>
      </c>
      <c r="BE44" s="195">
        <f t="shared" ca="1" si="100"/>
        <v>685.14122716029692</v>
      </c>
      <c r="BF44" s="195">
        <f t="shared" ca="1" si="100"/>
        <v>685.14122716029692</v>
      </c>
      <c r="BG44" s="195">
        <f t="shared" ca="1" si="100"/>
        <v>685.14122716029692</v>
      </c>
      <c r="BH44" s="195">
        <f t="shared" ca="1" si="100"/>
        <v>685.14122716029692</v>
      </c>
      <c r="BI44" s="195">
        <f t="shared" ca="1" si="100"/>
        <v>685.14122716029692</v>
      </c>
      <c r="BJ44" s="195">
        <f t="shared" ca="1" si="100"/>
        <v>685.14122716029692</v>
      </c>
      <c r="BK44" s="195">
        <f t="shared" ca="1" si="100"/>
        <v>685.14122716029692</v>
      </c>
      <c r="BL44" s="195">
        <f t="shared" ca="1" si="100"/>
        <v>685.14122716029681</v>
      </c>
      <c r="BM44" s="195">
        <f t="shared" ca="1" si="100"/>
        <v>685.14122716029692</v>
      </c>
      <c r="BN44" s="195">
        <f t="shared" ca="1" si="100"/>
        <v>685.14122716029692</v>
      </c>
      <c r="BO44" s="195">
        <f t="shared" ca="1" si="100"/>
        <v>685.14122716029669</v>
      </c>
      <c r="BP44" s="195">
        <f t="shared" ca="1" si="100"/>
        <v>685.14122716029692</v>
      </c>
    </row>
    <row r="45" spans="2:68">
      <c r="X45" s="167"/>
      <c r="Y45" s="167"/>
      <c r="Z45" s="167"/>
      <c r="AA45" s="167"/>
      <c r="AB45" s="167"/>
      <c r="AC45" s="167"/>
    </row>
    <row r="46" spans="2:68">
      <c r="B46" s="164" t="s">
        <v>241</v>
      </c>
      <c r="C46" s="164"/>
      <c r="D46" s="188"/>
      <c r="E46" s="188"/>
      <c r="F46" s="188"/>
      <c r="G46" s="245"/>
      <c r="H46" s="245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U46" s="188"/>
      <c r="V46" s="188"/>
      <c r="W46" s="284"/>
      <c r="X46" s="284"/>
      <c r="Y46" s="284"/>
      <c r="Z46" s="284"/>
      <c r="AA46" s="284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8"/>
      <c r="BN46" s="188"/>
      <c r="BO46" s="188"/>
      <c r="BP46" s="188"/>
    </row>
    <row r="47" spans="2:68">
      <c r="B47" s="243" t="s">
        <v>242</v>
      </c>
      <c r="C47" s="193" t="s">
        <v>187</v>
      </c>
      <c r="G47" s="186"/>
      <c r="H47" s="186">
        <f ca="1">AVERAGE(OFFSET($U$47,,(COLUMNS($H$47:H47)-1)*4,,4))</f>
        <v>139.65536946229176</v>
      </c>
      <c r="I47" s="186">
        <f ca="1">AVERAGE(OFFSET($U$47,,(COLUMNS($H$47:I47)-1)*4,,4))</f>
        <v>120</v>
      </c>
      <c r="J47" s="186">
        <f ca="1">AVERAGE(OFFSET($U$47,,(COLUMNS($H$47:J47)-1)*4,,4))</f>
        <v>120</v>
      </c>
      <c r="K47" s="186">
        <f ca="1">AVERAGE(OFFSET($U$47,,(COLUMNS($H$47:K47)-1)*4,,4))</f>
        <v>120</v>
      </c>
      <c r="L47" s="186">
        <f ca="1">AVERAGE(OFFSET($U$47,,(COLUMNS($H$47:L47)-1)*4,,4))</f>
        <v>120</v>
      </c>
      <c r="M47" s="186">
        <f ca="1">AVERAGE(OFFSET($U$47,,(COLUMNS($H$47:M47)-1)*4,,4))</f>
        <v>120</v>
      </c>
      <c r="N47" s="186">
        <f ca="1">AVERAGE(OFFSET($U$47,,(COLUMNS($H$47:N47)-1)*4,,4))</f>
        <v>120</v>
      </c>
      <c r="O47" s="186">
        <f ca="1">AVERAGE(OFFSET($U$47,,(COLUMNS($H$47:O47)-1)*4,,4))</f>
        <v>120</v>
      </c>
      <c r="P47" s="186">
        <f ca="1">AVERAGE(OFFSET($U$47,,(COLUMNS($H$47:P47)-1)*4,,4))</f>
        <v>120</v>
      </c>
      <c r="Q47" s="186">
        <f ca="1">AVERAGE(OFFSET($U$47,,(COLUMNS($H$47:Q47)-1)*4,,4))</f>
        <v>120</v>
      </c>
      <c r="R47" s="186">
        <f ca="1">AVERAGE(OFFSET($U$47,,(COLUMNS($H$47:R47)-1)*4,,4))</f>
        <v>120</v>
      </c>
      <c r="U47" s="186">
        <f t="shared" ref="U47:V47" si="101">-U38/U$19*10^3</f>
        <v>244.50549450549451</v>
      </c>
      <c r="V47" s="186">
        <f t="shared" si="101"/>
        <v>93.087547988649646</v>
      </c>
      <c r="W47" s="186">
        <f>-W38/W$19*10^3</f>
        <v>165.40934540613523</v>
      </c>
      <c r="X47" s="186">
        <f t="shared" ref="X47:X48" si="102">-X38/X$19*10^3</f>
        <v>55.619089948887634</v>
      </c>
      <c r="Y47" s="269">
        <v>120</v>
      </c>
      <c r="Z47" s="269">
        <f>Y47</f>
        <v>120</v>
      </c>
      <c r="AA47" s="269">
        <f>Z47</f>
        <v>120</v>
      </c>
      <c r="AB47" s="269">
        <f>AA47</f>
        <v>120</v>
      </c>
      <c r="AC47" s="269">
        <f t="shared" ref="AC47:AZ47" si="103">AB47</f>
        <v>120</v>
      </c>
      <c r="AD47" s="269">
        <f t="shared" si="103"/>
        <v>120</v>
      </c>
      <c r="AE47" s="269">
        <f t="shared" si="103"/>
        <v>120</v>
      </c>
      <c r="AF47" s="269">
        <f t="shared" si="103"/>
        <v>120</v>
      </c>
      <c r="AG47" s="269">
        <f t="shared" si="103"/>
        <v>120</v>
      </c>
      <c r="AH47" s="269">
        <f t="shared" si="103"/>
        <v>120</v>
      </c>
      <c r="AI47" s="269">
        <f t="shared" si="103"/>
        <v>120</v>
      </c>
      <c r="AJ47" s="269">
        <f t="shared" si="103"/>
        <v>120</v>
      </c>
      <c r="AK47" s="269">
        <f t="shared" si="103"/>
        <v>120</v>
      </c>
      <c r="AL47" s="269">
        <f t="shared" si="103"/>
        <v>120</v>
      </c>
      <c r="AM47" s="269">
        <f t="shared" si="103"/>
        <v>120</v>
      </c>
      <c r="AN47" s="269">
        <f t="shared" si="103"/>
        <v>120</v>
      </c>
      <c r="AO47" s="269">
        <f t="shared" si="103"/>
        <v>120</v>
      </c>
      <c r="AP47" s="269">
        <f t="shared" si="103"/>
        <v>120</v>
      </c>
      <c r="AQ47" s="269">
        <f t="shared" si="103"/>
        <v>120</v>
      </c>
      <c r="AR47" s="269">
        <f t="shared" si="103"/>
        <v>120</v>
      </c>
      <c r="AS47" s="269">
        <f t="shared" si="103"/>
        <v>120</v>
      </c>
      <c r="AT47" s="269">
        <f t="shared" si="103"/>
        <v>120</v>
      </c>
      <c r="AU47" s="269">
        <f t="shared" si="103"/>
        <v>120</v>
      </c>
      <c r="AV47" s="269">
        <f t="shared" si="103"/>
        <v>120</v>
      </c>
      <c r="AW47" s="269">
        <f t="shared" si="103"/>
        <v>120</v>
      </c>
      <c r="AX47" s="269">
        <f t="shared" si="103"/>
        <v>120</v>
      </c>
      <c r="AY47" s="269">
        <f t="shared" si="103"/>
        <v>120</v>
      </c>
      <c r="AZ47" s="269">
        <f t="shared" si="103"/>
        <v>120</v>
      </c>
      <c r="BA47" s="269">
        <f t="shared" ref="BA47:BP47" si="104">AZ47</f>
        <v>120</v>
      </c>
      <c r="BB47" s="269">
        <f t="shared" si="104"/>
        <v>120</v>
      </c>
      <c r="BC47" s="269">
        <f t="shared" si="104"/>
        <v>120</v>
      </c>
      <c r="BD47" s="269">
        <f t="shared" si="104"/>
        <v>120</v>
      </c>
      <c r="BE47" s="269">
        <f t="shared" si="104"/>
        <v>120</v>
      </c>
      <c r="BF47" s="269">
        <f t="shared" si="104"/>
        <v>120</v>
      </c>
      <c r="BG47" s="269">
        <f t="shared" si="104"/>
        <v>120</v>
      </c>
      <c r="BH47" s="269">
        <f t="shared" si="104"/>
        <v>120</v>
      </c>
      <c r="BI47" s="269">
        <f t="shared" si="104"/>
        <v>120</v>
      </c>
      <c r="BJ47" s="269">
        <f t="shared" si="104"/>
        <v>120</v>
      </c>
      <c r="BK47" s="269">
        <f t="shared" si="104"/>
        <v>120</v>
      </c>
      <c r="BL47" s="269">
        <f t="shared" si="104"/>
        <v>120</v>
      </c>
      <c r="BM47" s="269">
        <f t="shared" si="104"/>
        <v>120</v>
      </c>
      <c r="BN47" s="269">
        <f t="shared" si="104"/>
        <v>120</v>
      </c>
      <c r="BO47" s="269">
        <f t="shared" si="104"/>
        <v>120</v>
      </c>
      <c r="BP47" s="269">
        <f t="shared" si="104"/>
        <v>120</v>
      </c>
    </row>
    <row r="48" spans="2:68">
      <c r="B48" s="243" t="s">
        <v>243</v>
      </c>
      <c r="C48" s="193" t="s">
        <v>187</v>
      </c>
      <c r="G48" s="186"/>
      <c r="H48" s="186">
        <f ca="1">AVERAGE(OFFSET($U$48,,(COLUMNS($H$48:H48)-1)*4,,4))</f>
        <v>153.27865231136241</v>
      </c>
      <c r="I48" s="186">
        <f ca="1">AVERAGE(OFFSET($U$48,,(COLUMNS($H$48:I48)-1)*4,,4))</f>
        <v>90</v>
      </c>
      <c r="J48" s="186">
        <f ca="1">AVERAGE(OFFSET($U$48,,(COLUMNS($H$48:J48)-1)*4,,4))</f>
        <v>90</v>
      </c>
      <c r="K48" s="186">
        <f ca="1">AVERAGE(OFFSET($U$48,,(COLUMNS($H$48:K48)-1)*4,,4))</f>
        <v>90</v>
      </c>
      <c r="L48" s="186">
        <f ca="1">AVERAGE(OFFSET($U$48,,(COLUMNS($H$48:L48)-1)*4,,4))</f>
        <v>90</v>
      </c>
      <c r="M48" s="186">
        <f ca="1">AVERAGE(OFFSET($U$48,,(COLUMNS($H$48:M48)-1)*4,,4))</f>
        <v>90</v>
      </c>
      <c r="N48" s="186">
        <f ca="1">AVERAGE(OFFSET($U$48,,(COLUMNS($H$48:N48)-1)*4,,4))</f>
        <v>90</v>
      </c>
      <c r="O48" s="186">
        <f ca="1">AVERAGE(OFFSET($U$48,,(COLUMNS($H$48:O48)-1)*4,,4))</f>
        <v>90</v>
      </c>
      <c r="P48" s="186">
        <f ca="1">AVERAGE(OFFSET($U$48,,(COLUMNS($H$48:P48)-1)*4,,4))</f>
        <v>90</v>
      </c>
      <c r="Q48" s="186">
        <f ca="1">AVERAGE(OFFSET($U$48,,(COLUMNS($H$48:Q48)-1)*4,,4))</f>
        <v>90</v>
      </c>
      <c r="R48" s="186">
        <f ca="1">AVERAGE(OFFSET($U$48,,(COLUMNS($H$48:R48)-1)*4,,4))</f>
        <v>90</v>
      </c>
      <c r="U48" s="186">
        <f t="shared" ref="U48:V48" si="105">-U39/U$19*10^3</f>
        <v>117.15620827770361</v>
      </c>
      <c r="V48" s="186">
        <f t="shared" si="105"/>
        <v>54.018527791687532</v>
      </c>
      <c r="W48" s="186">
        <f>-W39/W$19*10^3</f>
        <v>95.833372673798308</v>
      </c>
      <c r="X48" s="186">
        <f t="shared" si="102"/>
        <v>346.10650050226013</v>
      </c>
      <c r="Y48" s="269">
        <v>90</v>
      </c>
      <c r="Z48" s="269">
        <f>Y48</f>
        <v>90</v>
      </c>
      <c r="AA48" s="269">
        <f t="shared" ref="AA48:AZ48" si="106">Z48</f>
        <v>90</v>
      </c>
      <c r="AB48" s="269">
        <f t="shared" si="106"/>
        <v>90</v>
      </c>
      <c r="AC48" s="269">
        <f t="shared" si="106"/>
        <v>90</v>
      </c>
      <c r="AD48" s="269">
        <f t="shared" si="106"/>
        <v>90</v>
      </c>
      <c r="AE48" s="269">
        <f t="shared" si="106"/>
        <v>90</v>
      </c>
      <c r="AF48" s="269">
        <f t="shared" si="106"/>
        <v>90</v>
      </c>
      <c r="AG48" s="269">
        <f t="shared" si="106"/>
        <v>90</v>
      </c>
      <c r="AH48" s="269">
        <f t="shared" si="106"/>
        <v>90</v>
      </c>
      <c r="AI48" s="269">
        <f t="shared" si="106"/>
        <v>90</v>
      </c>
      <c r="AJ48" s="269">
        <f t="shared" si="106"/>
        <v>90</v>
      </c>
      <c r="AK48" s="269">
        <f t="shared" si="106"/>
        <v>90</v>
      </c>
      <c r="AL48" s="269">
        <f t="shared" si="106"/>
        <v>90</v>
      </c>
      <c r="AM48" s="269">
        <f t="shared" si="106"/>
        <v>90</v>
      </c>
      <c r="AN48" s="269">
        <f t="shared" si="106"/>
        <v>90</v>
      </c>
      <c r="AO48" s="269">
        <f t="shared" si="106"/>
        <v>90</v>
      </c>
      <c r="AP48" s="269">
        <f t="shared" si="106"/>
        <v>90</v>
      </c>
      <c r="AQ48" s="269">
        <f t="shared" si="106"/>
        <v>90</v>
      </c>
      <c r="AR48" s="269">
        <f t="shared" si="106"/>
        <v>90</v>
      </c>
      <c r="AS48" s="269">
        <f t="shared" si="106"/>
        <v>90</v>
      </c>
      <c r="AT48" s="269">
        <f t="shared" si="106"/>
        <v>90</v>
      </c>
      <c r="AU48" s="269">
        <f t="shared" si="106"/>
        <v>90</v>
      </c>
      <c r="AV48" s="269">
        <f t="shared" si="106"/>
        <v>90</v>
      </c>
      <c r="AW48" s="269">
        <f t="shared" si="106"/>
        <v>90</v>
      </c>
      <c r="AX48" s="269">
        <f t="shared" si="106"/>
        <v>90</v>
      </c>
      <c r="AY48" s="269">
        <f t="shared" si="106"/>
        <v>90</v>
      </c>
      <c r="AZ48" s="269">
        <f t="shared" si="106"/>
        <v>90</v>
      </c>
      <c r="BA48" s="269">
        <f t="shared" ref="BA48:BL48" si="107">AZ48</f>
        <v>90</v>
      </c>
      <c r="BB48" s="269">
        <f t="shared" si="107"/>
        <v>90</v>
      </c>
      <c r="BC48" s="269">
        <f t="shared" si="107"/>
        <v>90</v>
      </c>
      <c r="BD48" s="269">
        <f t="shared" si="107"/>
        <v>90</v>
      </c>
      <c r="BE48" s="269">
        <f t="shared" si="107"/>
        <v>90</v>
      </c>
      <c r="BF48" s="269">
        <f t="shared" si="107"/>
        <v>90</v>
      </c>
      <c r="BG48" s="269">
        <f t="shared" si="107"/>
        <v>90</v>
      </c>
      <c r="BH48" s="269">
        <f t="shared" si="107"/>
        <v>90</v>
      </c>
      <c r="BI48" s="269">
        <f t="shared" si="107"/>
        <v>90</v>
      </c>
      <c r="BJ48" s="269">
        <f t="shared" si="107"/>
        <v>90</v>
      </c>
      <c r="BK48" s="269">
        <f t="shared" si="107"/>
        <v>90</v>
      </c>
      <c r="BL48" s="269">
        <f t="shared" si="107"/>
        <v>90</v>
      </c>
      <c r="BM48" s="269">
        <v>0</v>
      </c>
      <c r="BN48" s="269">
        <v>0</v>
      </c>
      <c r="BO48" s="269">
        <v>0</v>
      </c>
      <c r="BP48" s="269">
        <v>0</v>
      </c>
    </row>
    <row r="50" spans="2:68">
      <c r="B50" s="164" t="s">
        <v>19</v>
      </c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</row>
    <row r="51" spans="2:68">
      <c r="B51" s="243" t="s">
        <v>411</v>
      </c>
      <c r="C51" s="193" t="s">
        <v>187</v>
      </c>
      <c r="H51" s="186">
        <f ca="1">AVERAGE(OFFSET($U$51,,(COLUMNS($H$51:H51)-1)*4,,4))</f>
        <v>425.30397824927252</v>
      </c>
      <c r="I51" s="186">
        <f ca="1">AVERAGE(OFFSET($U$51,,(COLUMNS($H$51:I51)-1)*4,,4))</f>
        <v>450</v>
      </c>
      <c r="J51" s="186">
        <f ca="1">AVERAGE(OFFSET($U$51,,(COLUMNS($H$51:J51)-1)*4,,4))</f>
        <v>450</v>
      </c>
      <c r="K51" s="186">
        <f ca="1">AVERAGE(OFFSET($U$51,,(COLUMNS($H$51:K51)-1)*4,,4))</f>
        <v>450</v>
      </c>
      <c r="L51" s="186">
        <f ca="1">AVERAGE(OFFSET($U$51,,(COLUMNS($H$51:L51)-1)*4,,4))</f>
        <v>450</v>
      </c>
      <c r="M51" s="186">
        <f ca="1">AVERAGE(OFFSET($U$51,,(COLUMNS($H$51:M51)-1)*4,,4))</f>
        <v>450</v>
      </c>
      <c r="N51" s="186">
        <f ca="1">AVERAGE(OFFSET($U$51,,(COLUMNS($H$51:N51)-1)*4,,4))</f>
        <v>450</v>
      </c>
      <c r="O51" s="186">
        <f ca="1">AVERAGE(OFFSET($U$51,,(COLUMNS($H$51:O51)-1)*4,,4))</f>
        <v>450</v>
      </c>
      <c r="P51" s="186">
        <f ca="1">AVERAGE(OFFSET($U$51,,(COLUMNS($H$51:P51)-1)*4,,4))</f>
        <v>400</v>
      </c>
      <c r="Q51" s="186">
        <f ca="1">AVERAGE(OFFSET($U$51,,(COLUMNS($H$51:Q51)-1)*4,,4))</f>
        <v>400</v>
      </c>
      <c r="R51" s="186">
        <f ca="1">AVERAGE(OFFSET($U$51,,(COLUMNS($H$51:R51)-1)*4,,4))</f>
        <v>400</v>
      </c>
      <c r="U51" s="334">
        <f>-U36/U$19*10^3</f>
        <v>340.94176851186199</v>
      </c>
      <c r="V51" s="334">
        <f t="shared" ref="V51:W51" si="108">-V36/V$19*10^3</f>
        <v>433.31664162911034</v>
      </c>
      <c r="W51" s="334">
        <f t="shared" si="108"/>
        <v>476.95750285611774</v>
      </c>
      <c r="X51" s="332">
        <v>450</v>
      </c>
      <c r="Y51" s="332">
        <f>X51</f>
        <v>450</v>
      </c>
      <c r="Z51" s="332">
        <f t="shared" ref="Z51:AZ51" si="109">Y51</f>
        <v>450</v>
      </c>
      <c r="AA51" s="332">
        <f t="shared" si="109"/>
        <v>450</v>
      </c>
      <c r="AB51" s="332">
        <f t="shared" si="109"/>
        <v>450</v>
      </c>
      <c r="AC51" s="332">
        <f t="shared" si="109"/>
        <v>450</v>
      </c>
      <c r="AD51" s="332">
        <f t="shared" si="109"/>
        <v>450</v>
      </c>
      <c r="AE51" s="332">
        <f t="shared" si="109"/>
        <v>450</v>
      </c>
      <c r="AF51" s="332">
        <f t="shared" si="109"/>
        <v>450</v>
      </c>
      <c r="AG51" s="332">
        <f t="shared" si="109"/>
        <v>450</v>
      </c>
      <c r="AH51" s="332">
        <f t="shared" si="109"/>
        <v>450</v>
      </c>
      <c r="AI51" s="332">
        <f t="shared" si="109"/>
        <v>450</v>
      </c>
      <c r="AJ51" s="332">
        <f t="shared" si="109"/>
        <v>450</v>
      </c>
      <c r="AK51" s="332">
        <f t="shared" si="109"/>
        <v>450</v>
      </c>
      <c r="AL51" s="332">
        <f t="shared" si="109"/>
        <v>450</v>
      </c>
      <c r="AM51" s="332">
        <f t="shared" si="109"/>
        <v>450</v>
      </c>
      <c r="AN51" s="332">
        <f t="shared" si="109"/>
        <v>450</v>
      </c>
      <c r="AO51" s="332">
        <f t="shared" si="109"/>
        <v>450</v>
      </c>
      <c r="AP51" s="332">
        <f t="shared" si="109"/>
        <v>450</v>
      </c>
      <c r="AQ51" s="332">
        <f t="shared" si="109"/>
        <v>450</v>
      </c>
      <c r="AR51" s="332">
        <f t="shared" si="109"/>
        <v>450</v>
      </c>
      <c r="AS51" s="332">
        <f t="shared" si="109"/>
        <v>450</v>
      </c>
      <c r="AT51" s="332">
        <f t="shared" si="109"/>
        <v>450</v>
      </c>
      <c r="AU51" s="332">
        <f t="shared" si="109"/>
        <v>450</v>
      </c>
      <c r="AV51" s="332">
        <f t="shared" si="109"/>
        <v>450</v>
      </c>
      <c r="AW51" s="332">
        <f t="shared" si="109"/>
        <v>450</v>
      </c>
      <c r="AX51" s="332">
        <f t="shared" si="109"/>
        <v>450</v>
      </c>
      <c r="AY51" s="332">
        <f t="shared" si="109"/>
        <v>450</v>
      </c>
      <c r="AZ51" s="332">
        <f t="shared" si="109"/>
        <v>450</v>
      </c>
      <c r="BA51" s="332">
        <v>400</v>
      </c>
      <c r="BB51" s="332">
        <f>BA51</f>
        <v>400</v>
      </c>
      <c r="BC51" s="332">
        <f t="shared" ref="BC51:BO51" si="110">BB51</f>
        <v>400</v>
      </c>
      <c r="BD51" s="332">
        <f t="shared" si="110"/>
        <v>400</v>
      </c>
      <c r="BE51" s="332">
        <f t="shared" si="110"/>
        <v>400</v>
      </c>
      <c r="BF51" s="332">
        <f t="shared" si="110"/>
        <v>400</v>
      </c>
      <c r="BG51" s="332">
        <f t="shared" si="110"/>
        <v>400</v>
      </c>
      <c r="BH51" s="332">
        <f t="shared" si="110"/>
        <v>400</v>
      </c>
      <c r="BI51" s="332">
        <f t="shared" si="110"/>
        <v>400</v>
      </c>
      <c r="BJ51" s="332">
        <f t="shared" si="110"/>
        <v>400</v>
      </c>
      <c r="BK51" s="332">
        <f t="shared" si="110"/>
        <v>400</v>
      </c>
      <c r="BL51" s="332">
        <f t="shared" si="110"/>
        <v>400</v>
      </c>
      <c r="BM51" s="332">
        <f t="shared" si="110"/>
        <v>400</v>
      </c>
      <c r="BN51" s="332">
        <f t="shared" si="110"/>
        <v>400</v>
      </c>
      <c r="BO51" s="332">
        <f t="shared" si="110"/>
        <v>400</v>
      </c>
      <c r="BP51" s="332">
        <f>BO51</f>
        <v>400</v>
      </c>
    </row>
  </sheetData>
  <mergeCells count="1">
    <mergeCell ref="BR4:BR5"/>
  </mergeCells>
  <phoneticPr fontId="4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454C-A2B3-5A42-8C62-E96BDABCF610}">
  <dimension ref="B2:BL51"/>
  <sheetViews>
    <sheetView zoomScale="130" zoomScaleNormal="13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5" sqref="F5"/>
    </sheetView>
  </sheetViews>
  <sheetFormatPr baseColWidth="10" defaultRowHeight="14" outlineLevelCol="1"/>
  <cols>
    <col min="1" max="1" width="2.6640625" customWidth="1"/>
    <col min="2" max="2" width="34.33203125" bestFit="1" customWidth="1"/>
    <col min="3" max="3" width="8" customWidth="1"/>
    <col min="4" max="4" width="18.83203125" bestFit="1" customWidth="1"/>
    <col min="5" max="5" width="10.83203125" outlineLevel="1"/>
    <col min="6" max="6" width="12" customWidth="1" outlineLevel="1"/>
    <col min="7" max="17" width="10.83203125" outlineLevel="1"/>
    <col min="18" max="18" width="2.33203125" customWidth="1"/>
    <col min="19" max="19" width="13.5" bestFit="1" customWidth="1"/>
    <col min="63" max="63" width="2" customWidth="1"/>
    <col min="64" max="64" width="10.1640625" customWidth="1"/>
  </cols>
  <sheetData>
    <row r="2" spans="2:64" ht="18">
      <c r="B2" s="158" t="s">
        <v>386</v>
      </c>
    </row>
    <row r="3" spans="2:64" ht="18">
      <c r="B3" s="158" t="s">
        <v>247</v>
      </c>
    </row>
    <row r="4" spans="2:64">
      <c r="B4" s="160"/>
      <c r="C4" s="183" t="s">
        <v>128</v>
      </c>
      <c r="D4" s="161" t="s">
        <v>129</v>
      </c>
      <c r="E4" s="162">
        <f>F4-1</f>
        <v>2019</v>
      </c>
      <c r="F4" s="162">
        <f>YEAR(SUMMARY!B7)</f>
        <v>2020</v>
      </c>
      <c r="G4" s="163">
        <f t="shared" ref="G4" si="0">F4+1</f>
        <v>2021</v>
      </c>
      <c r="H4" s="163">
        <f t="shared" ref="H4" si="1">G4+1</f>
        <v>2022</v>
      </c>
      <c r="I4" s="163">
        <f t="shared" ref="I4" si="2">H4+1</f>
        <v>2023</v>
      </c>
      <c r="J4" s="163">
        <f t="shared" ref="J4" si="3">I4+1</f>
        <v>2024</v>
      </c>
      <c r="K4" s="163">
        <f t="shared" ref="K4" si="4">J4+1</f>
        <v>2025</v>
      </c>
      <c r="L4" s="163">
        <f t="shared" ref="L4" si="5">K4+1</f>
        <v>2026</v>
      </c>
      <c r="M4" s="163">
        <f t="shared" ref="M4" si="6">L4+1</f>
        <v>2027</v>
      </c>
      <c r="N4" s="163">
        <f t="shared" ref="N4" si="7">M4+1</f>
        <v>2028</v>
      </c>
      <c r="O4" s="163">
        <f t="shared" ref="O4" si="8">N4+1</f>
        <v>2029</v>
      </c>
      <c r="P4" s="163">
        <f t="shared" ref="P4" si="9">O4+1</f>
        <v>2030</v>
      </c>
      <c r="Q4" s="163">
        <f t="shared" ref="Q4" si="10">P4+1</f>
        <v>2031</v>
      </c>
      <c r="S4" s="286" t="s">
        <v>222</v>
      </c>
      <c r="T4" s="287" t="s">
        <v>198</v>
      </c>
      <c r="U4" s="287" t="s">
        <v>199</v>
      </c>
      <c r="V4" s="287" t="s">
        <v>200</v>
      </c>
      <c r="W4" s="287" t="s">
        <v>201</v>
      </c>
      <c r="X4" s="287" t="s">
        <v>202</v>
      </c>
      <c r="Y4" s="287" t="s">
        <v>203</v>
      </c>
      <c r="Z4" s="287" t="s">
        <v>204</v>
      </c>
      <c r="AA4" s="287" t="s">
        <v>205</v>
      </c>
      <c r="AB4" s="287" t="s">
        <v>206</v>
      </c>
      <c r="AC4" s="287" t="s">
        <v>207</v>
      </c>
      <c r="AD4" s="287" t="s">
        <v>208</v>
      </c>
      <c r="AE4" s="287" t="s">
        <v>209</v>
      </c>
      <c r="AF4" s="287" t="s">
        <v>210</v>
      </c>
      <c r="AG4" s="287" t="s">
        <v>211</v>
      </c>
      <c r="AH4" s="287" t="s">
        <v>212</v>
      </c>
      <c r="AI4" s="287" t="s">
        <v>213</v>
      </c>
      <c r="AJ4" s="287" t="s">
        <v>214</v>
      </c>
      <c r="AK4" s="287" t="s">
        <v>215</v>
      </c>
      <c r="AL4" s="287" t="s">
        <v>216</v>
      </c>
      <c r="AM4" s="287" t="s">
        <v>217</v>
      </c>
      <c r="AN4" s="287" t="s">
        <v>218</v>
      </c>
      <c r="AO4" s="287" t="s">
        <v>219</v>
      </c>
      <c r="AP4" s="287" t="s">
        <v>220</v>
      </c>
      <c r="AQ4" s="287" t="s">
        <v>221</v>
      </c>
      <c r="AR4" s="287" t="s">
        <v>228</v>
      </c>
      <c r="AS4" s="287" t="s">
        <v>229</v>
      </c>
      <c r="AT4" s="287" t="s">
        <v>230</v>
      </c>
      <c r="AU4" s="287" t="s">
        <v>231</v>
      </c>
      <c r="AV4" s="287" t="s">
        <v>232</v>
      </c>
      <c r="AW4" s="287" t="s">
        <v>233</v>
      </c>
      <c r="AX4" s="287" t="s">
        <v>234</v>
      </c>
      <c r="AY4" s="287" t="s">
        <v>235</v>
      </c>
      <c r="AZ4" s="287" t="s">
        <v>236</v>
      </c>
      <c r="BA4" s="287" t="s">
        <v>237</v>
      </c>
      <c r="BB4" s="287" t="s">
        <v>238</v>
      </c>
      <c r="BC4" s="287" t="s">
        <v>239</v>
      </c>
      <c r="BD4" s="287" t="s">
        <v>248</v>
      </c>
      <c r="BE4" s="287" t="s">
        <v>249</v>
      </c>
      <c r="BF4" s="287" t="s">
        <v>250</v>
      </c>
      <c r="BG4" s="287" t="s">
        <v>251</v>
      </c>
      <c r="BH4" s="287" t="s">
        <v>377</v>
      </c>
      <c r="BI4" s="287" t="s">
        <v>378</v>
      </c>
      <c r="BJ4" s="287" t="s">
        <v>379</v>
      </c>
      <c r="BL4" s="356" t="s">
        <v>154</v>
      </c>
    </row>
    <row r="5" spans="2:64">
      <c r="B5" s="164"/>
      <c r="C5" s="184"/>
      <c r="D5" s="165" t="s">
        <v>158</v>
      </c>
      <c r="E5" s="194">
        <v>12</v>
      </c>
      <c r="F5" s="194">
        <v>11</v>
      </c>
      <c r="G5" s="194">
        <v>10</v>
      </c>
      <c r="H5" s="194">
        <v>9</v>
      </c>
      <c r="I5" s="194">
        <v>8</v>
      </c>
      <c r="J5" s="194">
        <v>7</v>
      </c>
      <c r="K5" s="194">
        <v>6</v>
      </c>
      <c r="L5" s="194">
        <v>5</v>
      </c>
      <c r="M5" s="194">
        <v>4</v>
      </c>
      <c r="N5" s="194">
        <v>3</v>
      </c>
      <c r="O5" s="194">
        <v>2</v>
      </c>
      <c r="P5" s="194">
        <v>1</v>
      </c>
      <c r="Q5" s="194">
        <v>0</v>
      </c>
      <c r="S5" s="164" t="s">
        <v>158</v>
      </c>
      <c r="T5" s="188">
        <v>10.75</v>
      </c>
      <c r="U5" s="188">
        <v>10.5</v>
      </c>
      <c r="V5" s="188">
        <v>10.25</v>
      </c>
      <c r="W5" s="188">
        <v>10</v>
      </c>
      <c r="X5" s="188">
        <v>9.75</v>
      </c>
      <c r="Y5" s="188">
        <v>9.5</v>
      </c>
      <c r="Z5" s="188">
        <v>9.25</v>
      </c>
      <c r="AA5" s="188">
        <v>9</v>
      </c>
      <c r="AB5" s="188">
        <v>8.75</v>
      </c>
      <c r="AC5" s="188">
        <v>8.5</v>
      </c>
      <c r="AD5" s="188">
        <v>8.25</v>
      </c>
      <c r="AE5" s="188">
        <v>8</v>
      </c>
      <c r="AF5" s="188">
        <v>7.75</v>
      </c>
      <c r="AG5" s="188">
        <v>7.5</v>
      </c>
      <c r="AH5" s="188">
        <v>7.25</v>
      </c>
      <c r="AI5" s="188">
        <v>7</v>
      </c>
      <c r="AJ5" s="188">
        <v>6.75</v>
      </c>
      <c r="AK5" s="188">
        <v>6.5</v>
      </c>
      <c r="AL5" s="188">
        <v>6.25</v>
      </c>
      <c r="AM5" s="188">
        <v>6</v>
      </c>
      <c r="AN5" s="188">
        <v>5.75</v>
      </c>
      <c r="AO5" s="188">
        <v>5.5</v>
      </c>
      <c r="AP5" s="188">
        <v>5.25</v>
      </c>
      <c r="AQ5" s="188">
        <v>5</v>
      </c>
      <c r="AR5" s="188">
        <v>4.75</v>
      </c>
      <c r="AS5" s="188">
        <v>4.5</v>
      </c>
      <c r="AT5" s="188">
        <v>4.25</v>
      </c>
      <c r="AU5" s="188">
        <v>4</v>
      </c>
      <c r="AV5" s="188">
        <v>3.75</v>
      </c>
      <c r="AW5" s="188">
        <v>3.5</v>
      </c>
      <c r="AX5" s="188">
        <v>3.25</v>
      </c>
      <c r="AY5" s="188">
        <v>3</v>
      </c>
      <c r="AZ5" s="188">
        <v>2.75</v>
      </c>
      <c r="BA5" s="188">
        <v>2.5</v>
      </c>
      <c r="BB5" s="188">
        <v>2.25</v>
      </c>
      <c r="BC5" s="188">
        <v>2</v>
      </c>
      <c r="BD5" s="188">
        <v>1.75</v>
      </c>
      <c r="BE5" s="188">
        <v>1.5</v>
      </c>
      <c r="BF5" s="188">
        <v>1.25</v>
      </c>
      <c r="BG5" s="188">
        <v>1</v>
      </c>
      <c r="BH5" s="188">
        <v>0.75</v>
      </c>
      <c r="BI5" s="188">
        <v>0.5</v>
      </c>
      <c r="BJ5" s="188">
        <v>0.25</v>
      </c>
      <c r="BL5" s="357"/>
    </row>
    <row r="6" spans="2:64" ht="18">
      <c r="B6" s="158" t="s">
        <v>127</v>
      </c>
      <c r="C6" s="178"/>
    </row>
    <row r="7" spans="2:64">
      <c r="C7" s="178"/>
    </row>
    <row r="8" spans="2:64">
      <c r="B8" s="197" t="s">
        <v>132</v>
      </c>
      <c r="C8" s="174" t="s">
        <v>153</v>
      </c>
      <c r="E8" s="168">
        <v>958</v>
      </c>
      <c r="F8" s="168">
        <v>3606</v>
      </c>
      <c r="G8" s="186">
        <f ca="1">SUM(OFFSET($T$8,,(COLUMNS(G$8:$G8)-1)*4,,4))</f>
        <v>2891.0749999999998</v>
      </c>
      <c r="H8" s="186">
        <f ca="1">SUM(OFFSET($T$8,,(COLUMNS($G$8:H8)-1)*4,,4))</f>
        <v>2112.2999999999997</v>
      </c>
      <c r="I8" s="186">
        <f ca="1">SUM(OFFSET($T$8,,(COLUMNS($G$8:I8)-1)*4,,4))</f>
        <v>2112.2999999999997</v>
      </c>
      <c r="J8" s="186">
        <f ca="1">SUM(OFFSET($T$8,,(COLUMNS($G$8:J8)-1)*4,,4))</f>
        <v>2112.2999999999993</v>
      </c>
      <c r="K8" s="186">
        <f ca="1">SUM(OFFSET($T$8,,(COLUMNS($G$8:K8)-1)*4,,4))</f>
        <v>2112.2999999999993</v>
      </c>
      <c r="L8" s="186">
        <f ca="1">SUM(OFFSET($T$8,,(COLUMNS($G$8:L8)-1)*4,,4))</f>
        <v>2112.2999999999993</v>
      </c>
      <c r="M8" s="186">
        <f ca="1">SUM(OFFSET($T$8,,(COLUMNS($G$8:M8)-1)*4,,4))</f>
        <v>2112.2999999999979</v>
      </c>
      <c r="N8" s="186">
        <f ca="1">SUM(OFFSET($T$8,,(COLUMNS($G$8:N8)-1)*4,,4))</f>
        <v>2112.2999999999961</v>
      </c>
      <c r="O8" s="186">
        <f ca="1">SUM(OFFSET($T$8,,(COLUMNS($G$8:O8)-1)*4,,4))</f>
        <v>2112.2999999999956</v>
      </c>
      <c r="P8" s="186">
        <f ca="1">SUM(OFFSET($T$8,,(COLUMNS($G$8:P8)-1)*4,,4))</f>
        <v>2112.2999999999956</v>
      </c>
      <c r="Q8" s="186">
        <f ca="1">SUM(OFFSET($T$8,,(COLUMNS($G$8:Q8)-1)*4,,4))</f>
        <v>1584.2249999999954</v>
      </c>
      <c r="T8">
        <v>538</v>
      </c>
      <c r="U8" s="168">
        <v>1016</v>
      </c>
      <c r="V8" s="168">
        <v>809</v>
      </c>
      <c r="W8" s="186">
        <f>IF(W9=0,((('Reserves and Resources'!$F$78*1000)-V10)/W5)/4,W9)</f>
        <v>528.07500000000005</v>
      </c>
      <c r="X8" s="186">
        <f>IF(X9=0,((('Reserves and Resources'!$F$78*1000)-W10)/X5)/4,X9)</f>
        <v>528.07499999999993</v>
      </c>
      <c r="Y8" s="186">
        <f>IF(Y9=0,((('Reserves and Resources'!$F$78*1000)-X10)/Y5)/4,Y9)</f>
        <v>528.07499999999993</v>
      </c>
      <c r="Z8" s="186">
        <f>IF(Z9=0,((('Reserves and Resources'!$F$78*1000)-Y10)/Z5)/4,Z9)</f>
        <v>528.07500000000005</v>
      </c>
      <c r="AA8" s="186">
        <f>IF(AA9=0,((('Reserves and Resources'!$F$78*1000)-Z10)/AA5)/4,AA9)</f>
        <v>528.07499999999993</v>
      </c>
      <c r="AB8" s="186">
        <f>IF(AB9=0,((('Reserves and Resources'!$F$78*1000)-AA10)/AB5)/4,AB9)</f>
        <v>528.07500000000005</v>
      </c>
      <c r="AC8" s="186">
        <f>IF(AC9=0,((('Reserves and Resources'!$F$78*1000)-AB10)/AC5)/4,AC9)</f>
        <v>528.07499999999982</v>
      </c>
      <c r="AD8" s="186">
        <f>IF(AD9=0,((('Reserves and Resources'!$F$78*1000)-AC10)/AD5)/4,AD9)</f>
        <v>528.07499999999993</v>
      </c>
      <c r="AE8" s="186">
        <f>IF(AE9=0,((('Reserves and Resources'!$F$78*1000)-AD10)/AE5)/4,AE9)</f>
        <v>528.07499999999993</v>
      </c>
      <c r="AF8" s="186">
        <f>IF(AF9=0,((('Reserves and Resources'!$F$78*1000)-AE10)/AF5)/4,AF9)</f>
        <v>528.07499999999993</v>
      </c>
      <c r="AG8" s="186">
        <f>IF(AG9=0,((('Reserves and Resources'!$F$78*1000)-AF10)/AG5)/4,AG9)</f>
        <v>528.07499999999993</v>
      </c>
      <c r="AH8" s="186">
        <f>IF(AH9=0,((('Reserves and Resources'!$F$78*1000)-AG10)/AH5)/4,AH9)</f>
        <v>528.07499999999982</v>
      </c>
      <c r="AI8" s="186">
        <f>IF(AI9=0,((('Reserves and Resources'!$F$78*1000)-AH10)/AI5)/4,AI9)</f>
        <v>528.07499999999982</v>
      </c>
      <c r="AJ8" s="186">
        <f>IF(AJ9=0,((('Reserves and Resources'!$F$78*1000)-AI10)/AJ5)/4,AJ9)</f>
        <v>528.07499999999982</v>
      </c>
      <c r="AK8" s="186">
        <f>IF(AK9=0,((('Reserves and Resources'!$F$78*1000)-AJ10)/AK5)/4,AK9)</f>
        <v>528.0749999999997</v>
      </c>
      <c r="AL8" s="186">
        <f>IF(AL9=0,((('Reserves and Resources'!$F$78*1000)-AK10)/AL5)/4,AL9)</f>
        <v>528.07499999999982</v>
      </c>
      <c r="AM8" s="186">
        <f>IF(AM9=0,((('Reserves and Resources'!$F$78*1000)-AL10)/AM5)/4,AM9)</f>
        <v>528.07499999999982</v>
      </c>
      <c r="AN8" s="186">
        <f>IF(AN9=0,((('Reserves and Resources'!$F$78*1000)-AM10)/AN5)/4,AN9)</f>
        <v>528.07499999999982</v>
      </c>
      <c r="AO8" s="186">
        <f>IF(AO9=0,((('Reserves and Resources'!$F$78*1000)-AN10)/AO5)/4,AO9)</f>
        <v>528.0749999999997</v>
      </c>
      <c r="AP8" s="186">
        <f>IF(AP9=0,((('Reserves and Resources'!$F$78*1000)-AO10)/AP5)/4,AP9)</f>
        <v>528.0749999999997</v>
      </c>
      <c r="AQ8" s="186">
        <f>IF(AQ9=0,((('Reserves and Resources'!$F$78*1000)-AP10)/AQ5)/4,AQ9)</f>
        <v>528.07499999999959</v>
      </c>
      <c r="AR8" s="186">
        <f>IF(AR9=0,((('Reserves and Resources'!$F$78*1000)-AQ10)/AR5)/4,AR9)</f>
        <v>528.07499999999959</v>
      </c>
      <c r="AS8" s="186">
        <f>IF(AS9=0,((('Reserves and Resources'!$F$78*1000)-AR10)/AS5)/4,AS9)</f>
        <v>528.07499999999948</v>
      </c>
      <c r="AT8" s="186">
        <f>IF(AT9=0,((('Reserves and Resources'!$F$78*1000)-AS10)/AT5)/4,AT9)</f>
        <v>528.07499999999948</v>
      </c>
      <c r="AU8" s="186">
        <f>IF(AU9=0,((('Reserves and Resources'!$F$78*1000)-AT10)/AU5)/4,AU9)</f>
        <v>528.07499999999936</v>
      </c>
      <c r="AV8" s="186">
        <f>IF(AV9=0,((('Reserves and Resources'!$F$78*1000)-AU10)/AV5)/4,AV9)</f>
        <v>528.07499999999925</v>
      </c>
      <c r="AW8" s="186">
        <f>IF(AW9=0,((('Reserves and Resources'!$F$78*1000)-AV10)/AW5)/4,AW9)</f>
        <v>528.07499999999914</v>
      </c>
      <c r="AX8" s="186">
        <f>IF(AX9=0,((('Reserves and Resources'!$F$78*1000)-AW10)/AX5)/4,AX9)</f>
        <v>528.07499999999902</v>
      </c>
      <c r="AY8" s="186">
        <f>IF(AY9=0,((('Reserves and Resources'!$F$78*1000)-AX10)/AY5)/4,AY9)</f>
        <v>528.07499999999891</v>
      </c>
      <c r="AZ8" s="186">
        <f>IF(AZ9=0,((('Reserves and Resources'!$F$78*1000)-AY10)/AZ5)/4,AZ9)</f>
        <v>528.07499999999902</v>
      </c>
      <c r="BA8" s="186">
        <f>IF(BA9=0,((('Reserves and Resources'!$F$78*1000)-AZ10)/BA5)/4,BA9)</f>
        <v>528.07499999999891</v>
      </c>
      <c r="BB8" s="186">
        <f>IF(BB9=0,((('Reserves and Resources'!$F$78*1000)-BA10)/BB5)/4,BB9)</f>
        <v>528.07499999999868</v>
      </c>
      <c r="BC8" s="186">
        <f>IF(BC9=0,((('Reserves and Resources'!$F$78*1000)-BB10)/BC5)/4,BC9)</f>
        <v>528.07499999999891</v>
      </c>
      <c r="BD8" s="186">
        <f>IF(BD9=0,((('Reserves and Resources'!$F$78*1000)-BC10)/BD5)/4,BD9)</f>
        <v>528.07499999999914</v>
      </c>
      <c r="BE8" s="186">
        <f>IF(BE9=0,((('Reserves and Resources'!$F$78*1000)-BD10)/BE5)/4,BE9)</f>
        <v>528.07499999999891</v>
      </c>
      <c r="BF8" s="186">
        <f>IF(BF9=0,((('Reserves and Resources'!$F$78*1000)-BE10)/BF5)/4,BF9)</f>
        <v>528.07499999999857</v>
      </c>
      <c r="BG8" s="186">
        <f>IF(BG9=0,((('Reserves and Resources'!$F$78*1000)-BF10)/BG5)/4,BG9)</f>
        <v>528.07499999999891</v>
      </c>
      <c r="BH8" s="186">
        <f>IF(BH9=0,((('Reserves and Resources'!$F$78*1000)-BG10)/BH5)/4,BH9)</f>
        <v>528.07499999999948</v>
      </c>
      <c r="BI8" s="186">
        <f>IF(BI9=0,((('Reserves and Resources'!$F$78*1000)-BH10)/BI5)/4,BI9)</f>
        <v>528.07499999999891</v>
      </c>
      <c r="BJ8" s="186">
        <f>IF(BJ9=0,((('Reserves and Resources'!$F$78*1000)-BI10)/BJ5)/4,BJ9)</f>
        <v>528.07499999999709</v>
      </c>
      <c r="BK8" s="186"/>
      <c r="BL8" s="262" t="s">
        <v>160</v>
      </c>
    </row>
    <row r="9" spans="2:64" ht="16">
      <c r="B9" s="166"/>
      <c r="C9" s="174"/>
      <c r="E9" s="168"/>
      <c r="F9" s="168"/>
      <c r="G9" s="168"/>
      <c r="H9" s="253"/>
      <c r="I9" s="253"/>
      <c r="J9" s="253"/>
      <c r="K9" s="253"/>
      <c r="L9" s="253"/>
      <c r="M9" s="253"/>
      <c r="N9" s="253"/>
      <c r="O9" s="253"/>
      <c r="P9" s="253"/>
      <c r="Q9" s="253"/>
      <c r="W9" s="264"/>
      <c r="X9" s="270"/>
      <c r="Y9" s="270"/>
      <c r="Z9" s="270"/>
      <c r="AA9" s="270"/>
      <c r="BL9" s="156" t="s">
        <v>159</v>
      </c>
    </row>
    <row r="10" spans="2:64">
      <c r="B10" s="156" t="s">
        <v>133</v>
      </c>
      <c r="C10" s="174" t="s">
        <v>153</v>
      </c>
      <c r="D10" s="156"/>
      <c r="E10" s="186">
        <f>IF(E8=0,0,E8+D10)</f>
        <v>958</v>
      </c>
      <c r="F10" s="186">
        <f>IF(F8=0,0,F8+E10)</f>
        <v>4564</v>
      </c>
      <c r="G10" s="186">
        <f ca="1">IF(G8=0,0,G8+F10)</f>
        <v>7455.0749999999998</v>
      </c>
      <c r="H10" s="186">
        <f t="shared" ref="H10:Q10" ca="1" si="11">IF(H8=0,0,H8+G10)</f>
        <v>9567.375</v>
      </c>
      <c r="I10" s="186">
        <f t="shared" ca="1" si="11"/>
        <v>11679.674999999999</v>
      </c>
      <c r="J10" s="186">
        <f t="shared" ca="1" si="11"/>
        <v>13791.974999999999</v>
      </c>
      <c r="K10" s="186">
        <f t="shared" ca="1" si="11"/>
        <v>15904.274999999998</v>
      </c>
      <c r="L10" s="186">
        <f t="shared" ca="1" si="11"/>
        <v>18016.574999999997</v>
      </c>
      <c r="M10" s="186">
        <f t="shared" ca="1" si="11"/>
        <v>20128.874999999996</v>
      </c>
      <c r="N10" s="186">
        <f t="shared" ca="1" si="11"/>
        <v>22241.174999999992</v>
      </c>
      <c r="O10" s="186">
        <f t="shared" ca="1" si="11"/>
        <v>24353.474999999988</v>
      </c>
      <c r="P10" s="186">
        <f t="shared" ca="1" si="11"/>
        <v>26465.774999999983</v>
      </c>
      <c r="Q10" s="186">
        <f t="shared" ca="1" si="11"/>
        <v>28049.999999999978</v>
      </c>
      <c r="T10" s="186">
        <f>IF(T8=0,0,T8+S10)+E8+F8</f>
        <v>5102</v>
      </c>
      <c r="U10" s="186">
        <f>IF(U8=0,0,U8+T10)</f>
        <v>6118</v>
      </c>
      <c r="V10" s="186">
        <f t="shared" ref="V10:AT10" si="12">IF(V8=0,0,V8+U10)</f>
        <v>6927</v>
      </c>
      <c r="W10" s="186">
        <f>IF(W8=0,0,W8+V10)</f>
        <v>7455.0749999999998</v>
      </c>
      <c r="X10" s="186">
        <f>IF(X8=0,0,X8+W10)</f>
        <v>7983.15</v>
      </c>
      <c r="Y10" s="186">
        <f t="shared" si="12"/>
        <v>8511.2250000000004</v>
      </c>
      <c r="Z10" s="186">
        <f t="shared" si="12"/>
        <v>9039.3000000000011</v>
      </c>
      <c r="AA10" s="186">
        <f>IF(AA8=0,0,AA8+Z10)</f>
        <v>9567.3750000000018</v>
      </c>
      <c r="AB10" s="186">
        <f t="shared" si="12"/>
        <v>10095.450000000003</v>
      </c>
      <c r="AC10" s="186">
        <f t="shared" si="12"/>
        <v>10623.525000000001</v>
      </c>
      <c r="AD10" s="186">
        <f t="shared" si="12"/>
        <v>11151.600000000002</v>
      </c>
      <c r="AE10" s="186">
        <f t="shared" si="12"/>
        <v>11679.675000000003</v>
      </c>
      <c r="AF10" s="186">
        <f t="shared" si="12"/>
        <v>12207.750000000004</v>
      </c>
      <c r="AG10" s="186">
        <f t="shared" si="12"/>
        <v>12735.825000000004</v>
      </c>
      <c r="AH10" s="186">
        <f t="shared" si="12"/>
        <v>13263.900000000005</v>
      </c>
      <c r="AI10" s="186">
        <f t="shared" si="12"/>
        <v>13791.975000000006</v>
      </c>
      <c r="AJ10" s="186">
        <f t="shared" si="12"/>
        <v>14320.050000000007</v>
      </c>
      <c r="AK10" s="186">
        <f t="shared" si="12"/>
        <v>14848.125000000005</v>
      </c>
      <c r="AL10" s="186">
        <f t="shared" si="12"/>
        <v>15376.200000000004</v>
      </c>
      <c r="AM10" s="186">
        <f t="shared" si="12"/>
        <v>15904.275000000005</v>
      </c>
      <c r="AN10" s="186">
        <f t="shared" si="12"/>
        <v>16432.350000000006</v>
      </c>
      <c r="AO10" s="186">
        <f t="shared" si="12"/>
        <v>16960.425000000007</v>
      </c>
      <c r="AP10" s="186">
        <f t="shared" si="12"/>
        <v>17488.500000000007</v>
      </c>
      <c r="AQ10" s="186">
        <f t="shared" si="12"/>
        <v>18016.575000000008</v>
      </c>
      <c r="AR10" s="186">
        <f t="shared" si="12"/>
        <v>18544.650000000009</v>
      </c>
      <c r="AS10" s="186">
        <f t="shared" si="12"/>
        <v>19072.725000000009</v>
      </c>
      <c r="AT10" s="186">
        <f t="shared" si="12"/>
        <v>19600.80000000001</v>
      </c>
      <c r="AU10" s="186">
        <f>IF(AU8=0,0,AU8+AT10)</f>
        <v>20128.875000000011</v>
      </c>
      <c r="AV10" s="186">
        <f>IF(AV8=0,0,AV8+AU10)</f>
        <v>20656.950000000012</v>
      </c>
      <c r="AW10" s="186">
        <f>IF(AW8=0,0,AW8+AV10)</f>
        <v>21185.025000000012</v>
      </c>
      <c r="AX10" s="186">
        <f>IF(AX8=0,0,AX8+AW10)</f>
        <v>21713.100000000013</v>
      </c>
      <c r="AY10" s="186">
        <f>IF(AY8=0,0,AY8+AX10)</f>
        <v>22241.17500000001</v>
      </c>
      <c r="AZ10" s="186">
        <f t="shared" ref="AZ10:BJ10" si="13">IF(AZ8=0,0,AZ8+AY10)</f>
        <v>22769.250000000011</v>
      </c>
      <c r="BA10" s="186">
        <f t="shared" si="13"/>
        <v>23297.325000000012</v>
      </c>
      <c r="BB10" s="186">
        <f t="shared" si="13"/>
        <v>23825.400000000009</v>
      </c>
      <c r="BC10" s="186">
        <f t="shared" si="13"/>
        <v>24353.475000000006</v>
      </c>
      <c r="BD10" s="186">
        <f t="shared" si="13"/>
        <v>24881.550000000007</v>
      </c>
      <c r="BE10" s="186">
        <f t="shared" si="13"/>
        <v>25409.625000000007</v>
      </c>
      <c r="BF10" s="186">
        <f t="shared" si="13"/>
        <v>25937.700000000004</v>
      </c>
      <c r="BG10" s="186">
        <f t="shared" si="13"/>
        <v>26465.775000000001</v>
      </c>
      <c r="BH10" s="186">
        <f t="shared" si="13"/>
        <v>26993.850000000002</v>
      </c>
      <c r="BI10" s="186">
        <f t="shared" si="13"/>
        <v>27521.925000000003</v>
      </c>
      <c r="BJ10" s="186">
        <f t="shared" si="13"/>
        <v>28050</v>
      </c>
      <c r="BK10" s="186"/>
    </row>
    <row r="11" spans="2:64">
      <c r="C11" s="178"/>
    </row>
    <row r="12" spans="2:64">
      <c r="B12" t="s">
        <v>134</v>
      </c>
      <c r="C12" s="178" t="s">
        <v>139</v>
      </c>
      <c r="E12">
        <v>1.63</v>
      </c>
      <c r="F12">
        <v>1.59</v>
      </c>
      <c r="G12" s="263">
        <f ca="1">AVERAGE(OFFSET($T$12,,(COLUMNS(G$12:$G12)-1)*4,,4))</f>
        <v>1.3533333333333335</v>
      </c>
      <c r="H12" s="263">
        <f ca="1">AVERAGE(OFFSET($T$12,,(COLUMNS($G$12:H12)-1)*4,,4))</f>
        <v>1.3544444444444446</v>
      </c>
      <c r="I12" s="263">
        <f ca="1">AVERAGE(OFFSET($T$12,,(COLUMNS($G$12:I12)-1)*4,,4))</f>
        <v>1.3544444444444446</v>
      </c>
      <c r="J12" s="263">
        <f ca="1">AVERAGE(OFFSET($T$12,,(COLUMNS($G$12:J12)-1)*4,,4))</f>
        <v>1.3544444444444446</v>
      </c>
      <c r="K12" s="263">
        <f ca="1">AVERAGE(OFFSET($T$12,,(COLUMNS($G$12:K12)-1)*4,,4))</f>
        <v>1.3544444444444446</v>
      </c>
      <c r="L12" s="263">
        <f ca="1">AVERAGE(OFFSET($T$12,,(COLUMNS($G$12:L12)-1)*4,,4))</f>
        <v>1.3544444444444446</v>
      </c>
      <c r="M12" s="263">
        <f ca="1">AVERAGE(OFFSET($T$12,,(COLUMNS($G$12:M12)-1)*4,,4))</f>
        <v>1.3544444444444446</v>
      </c>
      <c r="N12" s="263">
        <f ca="1">AVERAGE(OFFSET($T$12,,(COLUMNS($G$12:N12)-1)*4,,4))</f>
        <v>1.3544444444444446</v>
      </c>
      <c r="O12" s="263">
        <f ca="1">AVERAGE(OFFSET($T$12,,(COLUMNS($G$12:O12)-1)*4,,4))</f>
        <v>1.3544444444444446</v>
      </c>
      <c r="P12" s="263">
        <f ca="1">AVERAGE(OFFSET($T$12,,(COLUMNS($G$12:P12)-1)*4,,4))</f>
        <v>1.3544444444444446</v>
      </c>
      <c r="Q12" s="263">
        <f ca="1">AVERAGE(OFFSET($T$12,,(COLUMNS($G$12:Q12)-1)*4,,4))</f>
        <v>1.3544444444444446</v>
      </c>
      <c r="T12">
        <v>1.35</v>
      </c>
      <c r="U12">
        <v>1.31</v>
      </c>
      <c r="V12" s="181">
        <v>1.4</v>
      </c>
      <c r="W12" s="263">
        <f>AVERAGE(T12:V12)</f>
        <v>1.3533333333333335</v>
      </c>
      <c r="X12" s="263">
        <f>AVERAGE(U12:W12)</f>
        <v>1.3544444444444446</v>
      </c>
      <c r="Y12" s="263">
        <f>X12</f>
        <v>1.3544444444444446</v>
      </c>
      <c r="Z12" s="263">
        <f t="shared" ref="Z12:BJ12" si="14">Y12</f>
        <v>1.3544444444444446</v>
      </c>
      <c r="AA12" s="263">
        <f t="shared" si="14"/>
        <v>1.3544444444444446</v>
      </c>
      <c r="AB12" s="263">
        <f t="shared" si="14"/>
        <v>1.3544444444444446</v>
      </c>
      <c r="AC12" s="263">
        <f t="shared" si="14"/>
        <v>1.3544444444444446</v>
      </c>
      <c r="AD12" s="263">
        <f t="shared" si="14"/>
        <v>1.3544444444444446</v>
      </c>
      <c r="AE12" s="263">
        <f t="shared" si="14"/>
        <v>1.3544444444444446</v>
      </c>
      <c r="AF12" s="263">
        <f t="shared" si="14"/>
        <v>1.3544444444444446</v>
      </c>
      <c r="AG12" s="263">
        <f t="shared" si="14"/>
        <v>1.3544444444444446</v>
      </c>
      <c r="AH12" s="263">
        <f t="shared" si="14"/>
        <v>1.3544444444444446</v>
      </c>
      <c r="AI12" s="263">
        <f t="shared" si="14"/>
        <v>1.3544444444444446</v>
      </c>
      <c r="AJ12" s="263">
        <f t="shared" si="14"/>
        <v>1.3544444444444446</v>
      </c>
      <c r="AK12" s="263">
        <f t="shared" si="14"/>
        <v>1.3544444444444446</v>
      </c>
      <c r="AL12" s="263">
        <f t="shared" si="14"/>
        <v>1.3544444444444446</v>
      </c>
      <c r="AM12" s="263">
        <f t="shared" si="14"/>
        <v>1.3544444444444446</v>
      </c>
      <c r="AN12" s="263">
        <f t="shared" si="14"/>
        <v>1.3544444444444446</v>
      </c>
      <c r="AO12" s="263">
        <f t="shared" si="14"/>
        <v>1.3544444444444446</v>
      </c>
      <c r="AP12" s="263">
        <f t="shared" si="14"/>
        <v>1.3544444444444446</v>
      </c>
      <c r="AQ12" s="263">
        <f t="shared" si="14"/>
        <v>1.3544444444444446</v>
      </c>
      <c r="AR12" s="263">
        <f t="shared" si="14"/>
        <v>1.3544444444444446</v>
      </c>
      <c r="AS12" s="263">
        <f t="shared" si="14"/>
        <v>1.3544444444444446</v>
      </c>
      <c r="AT12" s="263">
        <f t="shared" si="14"/>
        <v>1.3544444444444446</v>
      </c>
      <c r="AU12" s="263">
        <f t="shared" si="14"/>
        <v>1.3544444444444446</v>
      </c>
      <c r="AV12" s="263">
        <f t="shared" si="14"/>
        <v>1.3544444444444446</v>
      </c>
      <c r="AW12" s="263">
        <f t="shared" si="14"/>
        <v>1.3544444444444446</v>
      </c>
      <c r="AX12" s="263">
        <f t="shared" si="14"/>
        <v>1.3544444444444446</v>
      </c>
      <c r="AY12" s="263">
        <f t="shared" si="14"/>
        <v>1.3544444444444446</v>
      </c>
      <c r="AZ12" s="263">
        <f t="shared" si="14"/>
        <v>1.3544444444444446</v>
      </c>
      <c r="BA12" s="263">
        <f t="shared" si="14"/>
        <v>1.3544444444444446</v>
      </c>
      <c r="BB12" s="263">
        <f t="shared" si="14"/>
        <v>1.3544444444444446</v>
      </c>
      <c r="BC12" s="263">
        <f t="shared" si="14"/>
        <v>1.3544444444444446</v>
      </c>
      <c r="BD12" s="263">
        <f t="shared" si="14"/>
        <v>1.3544444444444446</v>
      </c>
      <c r="BE12" s="263">
        <f t="shared" si="14"/>
        <v>1.3544444444444446</v>
      </c>
      <c r="BF12" s="263">
        <f t="shared" si="14"/>
        <v>1.3544444444444446</v>
      </c>
      <c r="BG12" s="263">
        <f t="shared" si="14"/>
        <v>1.3544444444444446</v>
      </c>
      <c r="BH12" s="263">
        <f t="shared" si="14"/>
        <v>1.3544444444444446</v>
      </c>
      <c r="BI12" s="263">
        <f t="shared" si="14"/>
        <v>1.3544444444444446</v>
      </c>
      <c r="BJ12" s="263">
        <f t="shared" si="14"/>
        <v>1.3544444444444446</v>
      </c>
      <c r="BL12" s="156"/>
    </row>
    <row r="13" spans="2:64">
      <c r="C13" s="178"/>
    </row>
    <row r="14" spans="2:64">
      <c r="B14" t="s">
        <v>135</v>
      </c>
      <c r="C14" s="174" t="s">
        <v>156</v>
      </c>
      <c r="E14" s="186">
        <f>(E8*E12/31.1035*1000)</f>
        <v>50204.639349269368</v>
      </c>
      <c r="F14" s="186">
        <f t="shared" ref="F14:Q14" si="15">(F8*F12/31.1035*1000)</f>
        <v>184337.45398427828</v>
      </c>
      <c r="G14" s="186">
        <f t="shared" ca="1" si="15"/>
        <v>125792.53674559669</v>
      </c>
      <c r="H14" s="186">
        <f t="shared" ca="1" si="15"/>
        <v>91982.992267751208</v>
      </c>
      <c r="I14" s="186">
        <f t="shared" ca="1" si="15"/>
        <v>91982.992267751208</v>
      </c>
      <c r="J14" s="186">
        <f t="shared" ca="1" si="15"/>
        <v>91982.992267751193</v>
      </c>
      <c r="K14" s="186">
        <f t="shared" ca="1" si="15"/>
        <v>91982.992267751193</v>
      </c>
      <c r="L14" s="186">
        <f t="shared" ca="1" si="15"/>
        <v>91982.992267751193</v>
      </c>
      <c r="M14" s="186">
        <f t="shared" ca="1" si="15"/>
        <v>91982.992267751135</v>
      </c>
      <c r="N14" s="186">
        <f t="shared" ca="1" si="15"/>
        <v>91982.992267751062</v>
      </c>
      <c r="O14" s="186">
        <f t="shared" ca="1" si="15"/>
        <v>91982.992267751048</v>
      </c>
      <c r="P14" s="186">
        <f t="shared" ca="1" si="15"/>
        <v>91982.992267751048</v>
      </c>
      <c r="Q14" s="186">
        <f t="shared" ca="1" si="15"/>
        <v>68987.24420081322</v>
      </c>
      <c r="T14" s="186">
        <f>(T8*T12/31.1035*1000)</f>
        <v>23351.0698152941</v>
      </c>
      <c r="U14" s="186">
        <f t="shared" ref="U14:AU14" si="16">(U8*U12/31.1035*1000)</f>
        <v>42791.325735045895</v>
      </c>
      <c r="V14" s="186">
        <f t="shared" si="16"/>
        <v>36413.908402591347</v>
      </c>
      <c r="W14" s="186">
        <f>(W8*W12/31.1035*1000)</f>
        <v>22976.883630459601</v>
      </c>
      <c r="X14" s="186">
        <f t="shared" si="16"/>
        <v>22995.748066937802</v>
      </c>
      <c r="Y14" s="186">
        <f t="shared" si="16"/>
        <v>22995.748066937802</v>
      </c>
      <c r="Z14" s="186">
        <f t="shared" si="16"/>
        <v>22995.748066937806</v>
      </c>
      <c r="AA14" s="186">
        <f>(AA8*AA12/31.1035*1000)</f>
        <v>22995.748066937802</v>
      </c>
      <c r="AB14" s="186">
        <f t="shared" si="16"/>
        <v>22995.748066937806</v>
      </c>
      <c r="AC14" s="186">
        <f t="shared" si="16"/>
        <v>22995.748066937798</v>
      </c>
      <c r="AD14" s="186">
        <f t="shared" si="16"/>
        <v>22995.748066937802</v>
      </c>
      <c r="AE14" s="186">
        <f t="shared" si="16"/>
        <v>22995.748066937802</v>
      </c>
      <c r="AF14" s="186">
        <f t="shared" si="16"/>
        <v>22995.748066937802</v>
      </c>
      <c r="AG14" s="186">
        <f t="shared" si="16"/>
        <v>22995.748066937802</v>
      </c>
      <c r="AH14" s="186">
        <f t="shared" si="16"/>
        <v>22995.748066937798</v>
      </c>
      <c r="AI14" s="186">
        <f t="shared" si="16"/>
        <v>22995.748066937798</v>
      </c>
      <c r="AJ14" s="186">
        <f t="shared" si="16"/>
        <v>22995.748066937798</v>
      </c>
      <c r="AK14" s="186">
        <f t="shared" si="16"/>
        <v>22995.748066937795</v>
      </c>
      <c r="AL14" s="186">
        <f t="shared" si="16"/>
        <v>22995.748066937798</v>
      </c>
      <c r="AM14" s="186">
        <f t="shared" si="16"/>
        <v>22995.748066937798</v>
      </c>
      <c r="AN14" s="186">
        <f t="shared" si="16"/>
        <v>22995.748066937798</v>
      </c>
      <c r="AO14" s="186">
        <f t="shared" si="16"/>
        <v>22995.748066937795</v>
      </c>
      <c r="AP14" s="186">
        <f t="shared" si="16"/>
        <v>22995.748066937795</v>
      </c>
      <c r="AQ14" s="186">
        <f t="shared" si="16"/>
        <v>22995.748066937791</v>
      </c>
      <c r="AR14" s="186">
        <f t="shared" si="16"/>
        <v>22995.748066937791</v>
      </c>
      <c r="AS14" s="186">
        <f t="shared" si="16"/>
        <v>22995.748066937784</v>
      </c>
      <c r="AT14" s="186">
        <f t="shared" si="16"/>
        <v>22995.748066937784</v>
      </c>
      <c r="AU14" s="186">
        <f t="shared" si="16"/>
        <v>22995.74806693778</v>
      </c>
      <c r="AV14" s="186">
        <f>(AV8*AV12/31.1035*1000)</f>
        <v>22995.748066937776</v>
      </c>
      <c r="AW14" s="186">
        <f>(AW8*AW12/31.1035*1000)</f>
        <v>22995.748066937769</v>
      </c>
      <c r="AX14" s="186">
        <f>(AX8*AX12/31.1035*1000)</f>
        <v>22995.748066937766</v>
      </c>
      <c r="AY14" s="186">
        <f>(AY8*AY12/31.1035*1000)</f>
        <v>22995.748066937762</v>
      </c>
      <c r="AZ14" s="186">
        <f t="shared" ref="AZ14:BJ14" si="17">(AZ8*AZ12/31.1035*1000)</f>
        <v>22995.748066937766</v>
      </c>
      <c r="BA14" s="186">
        <f t="shared" si="17"/>
        <v>22995.748066937762</v>
      </c>
      <c r="BB14" s="186">
        <f t="shared" si="17"/>
        <v>22995.748066937751</v>
      </c>
      <c r="BC14" s="186">
        <f t="shared" si="17"/>
        <v>22995.748066937762</v>
      </c>
      <c r="BD14" s="186">
        <f t="shared" si="17"/>
        <v>22995.748066937769</v>
      </c>
      <c r="BE14" s="186">
        <f t="shared" si="17"/>
        <v>22995.748066937762</v>
      </c>
      <c r="BF14" s="186">
        <f t="shared" si="17"/>
        <v>22995.748066937747</v>
      </c>
      <c r="BG14" s="186">
        <f t="shared" si="17"/>
        <v>22995.748066937762</v>
      </c>
      <c r="BH14" s="186">
        <f t="shared" si="17"/>
        <v>22995.748066937784</v>
      </c>
      <c r="BI14" s="186">
        <f t="shared" si="17"/>
        <v>22995.748066937762</v>
      </c>
      <c r="BJ14" s="186">
        <f t="shared" si="17"/>
        <v>22995.748066937678</v>
      </c>
    </row>
    <row r="15" spans="2:64">
      <c r="B15" s="156" t="s">
        <v>133</v>
      </c>
      <c r="C15" s="174" t="s">
        <v>156</v>
      </c>
      <c r="D15" s="156"/>
      <c r="E15" s="186">
        <f>IF(E14=0,0,E14+D15)</f>
        <v>50204.639349269368</v>
      </c>
      <c r="F15" s="186">
        <f t="shared" ref="F15:Q15" si="18">IF(F14=0,0,F14+E15)</f>
        <v>234542.09333354764</v>
      </c>
      <c r="G15" s="186">
        <f t="shared" ca="1" si="18"/>
        <v>360334.63007914432</v>
      </c>
      <c r="H15" s="186">
        <f t="shared" ca="1" si="18"/>
        <v>452317.62234689551</v>
      </c>
      <c r="I15" s="186">
        <f t="shared" ca="1" si="18"/>
        <v>544300.61461464677</v>
      </c>
      <c r="J15" s="186">
        <f t="shared" ca="1" si="18"/>
        <v>636283.60688239802</v>
      </c>
      <c r="K15" s="186">
        <f t="shared" ca="1" si="18"/>
        <v>728266.59915014915</v>
      </c>
      <c r="L15" s="186">
        <f t="shared" ca="1" si="18"/>
        <v>820249.59141790029</v>
      </c>
      <c r="M15" s="186">
        <f t="shared" ca="1" si="18"/>
        <v>912232.58368565142</v>
      </c>
      <c r="N15" s="186">
        <f t="shared" ca="1" si="18"/>
        <v>1004215.5759534024</v>
      </c>
      <c r="O15" s="186">
        <f t="shared" ca="1" si="18"/>
        <v>1096198.5682211535</v>
      </c>
      <c r="P15" s="186">
        <f t="shared" ca="1" si="18"/>
        <v>1188181.5604889046</v>
      </c>
      <c r="Q15" s="186">
        <f t="shared" ca="1" si="18"/>
        <v>1257168.8046897177</v>
      </c>
      <c r="T15" s="186">
        <f>IF(T14=0,0,T14+S15)+E14+F14</f>
        <v>257893.16314884176</v>
      </c>
      <c r="U15" s="186">
        <f>IF(U14=0,0,U14+T15)</f>
        <v>300684.48888388765</v>
      </c>
      <c r="V15" s="186">
        <f t="shared" ref="V15:AU15" si="19">IF(V14=0,0,V14+U15)</f>
        <v>337098.39728647901</v>
      </c>
      <c r="W15" s="186">
        <f t="shared" si="19"/>
        <v>360075.28091693862</v>
      </c>
      <c r="X15" s="186">
        <f>IF(X14=0,0,X14+W15)</f>
        <v>383071.0289838764</v>
      </c>
      <c r="Y15" s="186">
        <f t="shared" si="19"/>
        <v>406066.77705081418</v>
      </c>
      <c r="Z15" s="186">
        <f t="shared" si="19"/>
        <v>429062.52511775197</v>
      </c>
      <c r="AA15" s="186">
        <f t="shared" si="19"/>
        <v>452058.27318468975</v>
      </c>
      <c r="AB15" s="186">
        <f t="shared" si="19"/>
        <v>475054.02125162754</v>
      </c>
      <c r="AC15" s="186">
        <f t="shared" si="19"/>
        <v>498049.76931856532</v>
      </c>
      <c r="AD15" s="186">
        <f t="shared" si="19"/>
        <v>521045.5173855031</v>
      </c>
      <c r="AE15" s="186">
        <f t="shared" si="19"/>
        <v>544041.26545244094</v>
      </c>
      <c r="AF15" s="186">
        <f t="shared" si="19"/>
        <v>567037.01351937873</v>
      </c>
      <c r="AG15" s="186">
        <f t="shared" si="19"/>
        <v>590032.76158631651</v>
      </c>
      <c r="AH15" s="186">
        <f t="shared" si="19"/>
        <v>613028.5096532543</v>
      </c>
      <c r="AI15" s="186">
        <f t="shared" si="19"/>
        <v>636024.25772019208</v>
      </c>
      <c r="AJ15" s="186">
        <f t="shared" si="19"/>
        <v>659020.00578712986</v>
      </c>
      <c r="AK15" s="186">
        <f t="shared" si="19"/>
        <v>682015.75385406765</v>
      </c>
      <c r="AL15" s="186">
        <f t="shared" si="19"/>
        <v>705011.50192100543</v>
      </c>
      <c r="AM15" s="186">
        <f t="shared" si="19"/>
        <v>728007.24998794321</v>
      </c>
      <c r="AN15" s="186">
        <f t="shared" si="19"/>
        <v>751002.998054881</v>
      </c>
      <c r="AO15" s="186">
        <f t="shared" si="19"/>
        <v>773998.74612181878</v>
      </c>
      <c r="AP15" s="186">
        <f t="shared" si="19"/>
        <v>796994.49418875657</v>
      </c>
      <c r="AQ15" s="186">
        <f t="shared" si="19"/>
        <v>819990.24225569435</v>
      </c>
      <c r="AR15" s="186">
        <f t="shared" si="19"/>
        <v>842985.99032263213</v>
      </c>
      <c r="AS15" s="186">
        <f t="shared" si="19"/>
        <v>865981.73838956992</v>
      </c>
      <c r="AT15" s="186">
        <f t="shared" si="19"/>
        <v>888977.4864565077</v>
      </c>
      <c r="AU15" s="186">
        <f t="shared" si="19"/>
        <v>911973.23452344548</v>
      </c>
      <c r="AV15" s="186">
        <f>IF(AV14=0,0,AV14+AU15)</f>
        <v>934968.98259038327</v>
      </c>
      <c r="AW15" s="186">
        <f>IF(AW14=0,0,AW14+AV15)</f>
        <v>957964.73065732105</v>
      </c>
      <c r="AX15" s="186">
        <f>IF(AX14=0,0,AX14+AW15)</f>
        <v>980960.47872425884</v>
      </c>
      <c r="AY15" s="186">
        <f>IF(AY14=0,0,AY14+AX15)</f>
        <v>1003956.2267911966</v>
      </c>
      <c r="AZ15" s="186">
        <f t="shared" ref="AZ15:BJ15" si="20">IF(AZ14=0,0,AZ14+AY15)</f>
        <v>1026951.9748581344</v>
      </c>
      <c r="BA15" s="186">
        <f t="shared" si="20"/>
        <v>1049947.7229250721</v>
      </c>
      <c r="BB15" s="186">
        <f t="shared" si="20"/>
        <v>1072943.4709920099</v>
      </c>
      <c r="BC15" s="186">
        <f t="shared" si="20"/>
        <v>1095939.2190589476</v>
      </c>
      <c r="BD15" s="186">
        <f t="shared" si="20"/>
        <v>1118934.9671258854</v>
      </c>
      <c r="BE15" s="186">
        <f t="shared" si="20"/>
        <v>1141930.7151928232</v>
      </c>
      <c r="BF15" s="186">
        <f t="shared" si="20"/>
        <v>1164926.463259761</v>
      </c>
      <c r="BG15" s="186">
        <f t="shared" si="20"/>
        <v>1187922.2113266988</v>
      </c>
      <c r="BH15" s="186">
        <f t="shared" si="20"/>
        <v>1210917.9593936366</v>
      </c>
      <c r="BI15" s="186">
        <f t="shared" si="20"/>
        <v>1233913.7074605743</v>
      </c>
      <c r="BJ15" s="186">
        <f t="shared" si="20"/>
        <v>1256909.4555275121</v>
      </c>
    </row>
    <row r="16" spans="2:64">
      <c r="C16" s="178"/>
    </row>
    <row r="17" spans="2:64">
      <c r="B17" t="s">
        <v>136</v>
      </c>
      <c r="C17" s="178" t="s">
        <v>140</v>
      </c>
      <c r="E17" s="319">
        <v>0.94699999999999995</v>
      </c>
      <c r="F17" s="319">
        <v>0.94899999999999995</v>
      </c>
      <c r="G17" s="319">
        <v>0.89400000000000002</v>
      </c>
      <c r="H17" s="273">
        <f ca="1">AVERAGE(OFFSET($T$17,,(COLUMNS($H$17:H17)-1)*4,,4))</f>
        <v>0.9375</v>
      </c>
      <c r="I17" s="273">
        <f ca="1">AVERAGE(OFFSET($T$17,,(COLUMNS($G$17:I17)-1)*4,,4))</f>
        <v>0.93</v>
      </c>
      <c r="J17" s="273">
        <f ca="1">AVERAGE(OFFSET($T$17,,(COLUMNS($G$17:J17)-1)*4,,4))</f>
        <v>0.93</v>
      </c>
      <c r="K17" s="273">
        <f ca="1">AVERAGE(OFFSET($T$17,,(COLUMNS($G$17:K17)-1)*4,,4))</f>
        <v>0.93</v>
      </c>
      <c r="L17" s="273">
        <f ca="1">AVERAGE(OFFSET($T$17,,(COLUMNS($G$17:L17)-1)*4,,4))</f>
        <v>0.93</v>
      </c>
      <c r="M17" s="273">
        <f ca="1">AVERAGE(OFFSET($T$17,,(COLUMNS($G$17:M17)-1)*4,,4))</f>
        <v>0.93</v>
      </c>
      <c r="N17" s="273">
        <f ca="1">AVERAGE(OFFSET($T$17,,(COLUMNS($G$17:N17)-1)*4,,4))</f>
        <v>0.93</v>
      </c>
      <c r="O17" s="273">
        <f ca="1">AVERAGE(OFFSET($T$17,,(COLUMNS($G$17:O17)-1)*4,,4))</f>
        <v>0.93</v>
      </c>
      <c r="P17" s="273">
        <f ca="1">AVERAGE(OFFSET($T$17,,(COLUMNS($G$17:P17)-1)*4,,4))</f>
        <v>0.93</v>
      </c>
      <c r="Q17" s="273">
        <f ca="1">AVERAGE(OFFSET($T$17,,(COLUMNS($G$17:Q17)-1)*4,,4))</f>
        <v>0.93</v>
      </c>
      <c r="T17" s="185">
        <v>0.94</v>
      </c>
      <c r="U17" s="185">
        <v>0.95</v>
      </c>
      <c r="V17" s="185">
        <v>0.93</v>
      </c>
      <c r="W17" s="187">
        <v>0.93</v>
      </c>
      <c r="X17" s="187">
        <f>W17</f>
        <v>0.93</v>
      </c>
      <c r="Y17" s="187">
        <f t="shared" ref="Y17:BJ17" si="21">X17</f>
        <v>0.93</v>
      </c>
      <c r="Z17" s="187">
        <f t="shared" si="21"/>
        <v>0.93</v>
      </c>
      <c r="AA17" s="187">
        <f t="shared" si="21"/>
        <v>0.93</v>
      </c>
      <c r="AB17" s="187">
        <f t="shared" si="21"/>
        <v>0.93</v>
      </c>
      <c r="AC17" s="187">
        <f t="shared" si="21"/>
        <v>0.93</v>
      </c>
      <c r="AD17" s="187">
        <f t="shared" si="21"/>
        <v>0.93</v>
      </c>
      <c r="AE17" s="187">
        <f t="shared" si="21"/>
        <v>0.93</v>
      </c>
      <c r="AF17" s="187">
        <f t="shared" si="21"/>
        <v>0.93</v>
      </c>
      <c r="AG17" s="187">
        <f t="shared" si="21"/>
        <v>0.93</v>
      </c>
      <c r="AH17" s="187">
        <f t="shared" si="21"/>
        <v>0.93</v>
      </c>
      <c r="AI17" s="187">
        <f t="shared" si="21"/>
        <v>0.93</v>
      </c>
      <c r="AJ17" s="187">
        <f t="shared" si="21"/>
        <v>0.93</v>
      </c>
      <c r="AK17" s="187">
        <f t="shared" si="21"/>
        <v>0.93</v>
      </c>
      <c r="AL17" s="187">
        <f t="shared" si="21"/>
        <v>0.93</v>
      </c>
      <c r="AM17" s="187">
        <f t="shared" si="21"/>
        <v>0.93</v>
      </c>
      <c r="AN17" s="187">
        <f t="shared" si="21"/>
        <v>0.93</v>
      </c>
      <c r="AO17" s="187">
        <f t="shared" si="21"/>
        <v>0.93</v>
      </c>
      <c r="AP17" s="187">
        <f t="shared" si="21"/>
        <v>0.93</v>
      </c>
      <c r="AQ17" s="187">
        <f t="shared" si="21"/>
        <v>0.93</v>
      </c>
      <c r="AR17" s="187">
        <f t="shared" si="21"/>
        <v>0.93</v>
      </c>
      <c r="AS17" s="187">
        <f t="shared" si="21"/>
        <v>0.93</v>
      </c>
      <c r="AT17" s="187">
        <f t="shared" si="21"/>
        <v>0.93</v>
      </c>
      <c r="AU17" s="187">
        <f t="shared" si="21"/>
        <v>0.93</v>
      </c>
      <c r="AV17" s="187">
        <f t="shared" si="21"/>
        <v>0.93</v>
      </c>
      <c r="AW17" s="187">
        <f t="shared" si="21"/>
        <v>0.93</v>
      </c>
      <c r="AX17" s="187">
        <f t="shared" si="21"/>
        <v>0.93</v>
      </c>
      <c r="AY17" s="187">
        <f t="shared" si="21"/>
        <v>0.93</v>
      </c>
      <c r="AZ17" s="187">
        <f t="shared" si="21"/>
        <v>0.93</v>
      </c>
      <c r="BA17" s="187">
        <f t="shared" si="21"/>
        <v>0.93</v>
      </c>
      <c r="BB17" s="187">
        <f t="shared" si="21"/>
        <v>0.93</v>
      </c>
      <c r="BC17" s="187">
        <f t="shared" si="21"/>
        <v>0.93</v>
      </c>
      <c r="BD17" s="187">
        <f t="shared" si="21"/>
        <v>0.93</v>
      </c>
      <c r="BE17" s="187">
        <f t="shared" si="21"/>
        <v>0.93</v>
      </c>
      <c r="BF17" s="187">
        <f t="shared" si="21"/>
        <v>0.93</v>
      </c>
      <c r="BG17" s="187">
        <f t="shared" si="21"/>
        <v>0.93</v>
      </c>
      <c r="BH17" s="187">
        <f t="shared" si="21"/>
        <v>0.93</v>
      </c>
      <c r="BI17" s="187">
        <f t="shared" si="21"/>
        <v>0.93</v>
      </c>
      <c r="BJ17" s="187">
        <f t="shared" si="21"/>
        <v>0.93</v>
      </c>
      <c r="BL17" s="156"/>
    </row>
    <row r="18" spans="2:64">
      <c r="C18" s="178"/>
    </row>
    <row r="19" spans="2:64">
      <c r="B19" t="s">
        <v>137</v>
      </c>
      <c r="C19" s="174" t="s">
        <v>156</v>
      </c>
      <c r="E19" s="168">
        <v>47492</v>
      </c>
      <c r="F19" s="168">
        <v>175000</v>
      </c>
      <c r="G19" s="186">
        <f ca="1">SUM(OFFSET($T$19,,(COLUMNS(G$19:$G19)-1)*4,,4))</f>
        <v>121163.50177632744</v>
      </c>
      <c r="H19" s="186">
        <f ca="1">SUM(OFFSET($T$19,,(COLUMNS($H$19:H19)-1)*4,,4))</f>
        <v>121163.50177632744</v>
      </c>
      <c r="I19" s="186">
        <f ca="1">SUM(OFFSET($T$19,,(COLUMNS($G$19:I19)-1)*4,,4))</f>
        <v>85544.182809008635</v>
      </c>
      <c r="J19" s="186">
        <f ca="1">SUM(OFFSET($T$19,,(COLUMNS($G$19:J19)-1)*4,,4))</f>
        <v>85544.182809008635</v>
      </c>
      <c r="K19" s="186">
        <f ca="1">SUM(OFFSET($T$19,,(COLUMNS($G$19:K19)-1)*4,,4))</f>
        <v>85544.18280900862</v>
      </c>
      <c r="L19" s="186">
        <f ca="1">SUM(OFFSET($T$19,,(COLUMNS($G$19:L19)-1)*4,,4))</f>
        <v>85544.182809008606</v>
      </c>
      <c r="M19" s="186">
        <f ca="1">SUM(OFFSET($T$19,,(COLUMNS($G$19:M19)-1)*4,,4))</f>
        <v>85544.182809008576</v>
      </c>
      <c r="N19" s="186">
        <f ca="1">SUM(OFFSET($T$19,,(COLUMNS($G$19:N19)-1)*4,,4))</f>
        <v>85544.182809008504</v>
      </c>
      <c r="O19" s="186">
        <f ca="1">SUM(OFFSET($T$19,,(COLUMNS($G$19:O19)-1)*4,,4))</f>
        <v>85544.182809008475</v>
      </c>
      <c r="P19" s="186">
        <f ca="1">SUM(OFFSET($T$19,,(COLUMNS($G$19:P19)-1)*4,,4))</f>
        <v>85544.182809008475</v>
      </c>
      <c r="Q19" s="186">
        <f ca="1">SUM(OFFSET($T$19,,(COLUMNS($G$19:Q19)-1)*4,,4))</f>
        <v>64158.137106756301</v>
      </c>
      <c r="T19" s="168">
        <v>24659</v>
      </c>
      <c r="U19" s="168">
        <v>40991</v>
      </c>
      <c r="V19" s="168">
        <v>34145</v>
      </c>
      <c r="W19" s="186">
        <f>W14*W17</f>
        <v>21368.50177632743</v>
      </c>
      <c r="X19" s="186">
        <f t="shared" ref="X19:BJ19" si="22">X14*X17</f>
        <v>21386.045702252159</v>
      </c>
      <c r="Y19" s="186">
        <f t="shared" si="22"/>
        <v>21386.045702252159</v>
      </c>
      <c r="Z19" s="186">
        <f t="shared" si="22"/>
        <v>21386.045702252159</v>
      </c>
      <c r="AA19" s="186">
        <f t="shared" si="22"/>
        <v>21386.045702252159</v>
      </c>
      <c r="AB19" s="186">
        <f t="shared" si="22"/>
        <v>21386.045702252159</v>
      </c>
      <c r="AC19" s="186">
        <f t="shared" si="22"/>
        <v>21386.045702252155</v>
      </c>
      <c r="AD19" s="186">
        <f t="shared" si="22"/>
        <v>21386.045702252159</v>
      </c>
      <c r="AE19" s="186">
        <f t="shared" si="22"/>
        <v>21386.045702252159</v>
      </c>
      <c r="AF19" s="186">
        <f t="shared" si="22"/>
        <v>21386.045702252159</v>
      </c>
      <c r="AG19" s="186">
        <f t="shared" si="22"/>
        <v>21386.045702252159</v>
      </c>
      <c r="AH19" s="186">
        <f t="shared" si="22"/>
        <v>21386.045702252155</v>
      </c>
      <c r="AI19" s="186">
        <f t="shared" si="22"/>
        <v>21386.045702252155</v>
      </c>
      <c r="AJ19" s="186">
        <f t="shared" si="22"/>
        <v>21386.045702252155</v>
      </c>
      <c r="AK19" s="186">
        <f t="shared" si="22"/>
        <v>21386.045702252151</v>
      </c>
      <c r="AL19" s="186">
        <f t="shared" si="22"/>
        <v>21386.045702252155</v>
      </c>
      <c r="AM19" s="186">
        <f t="shared" si="22"/>
        <v>21386.045702252155</v>
      </c>
      <c r="AN19" s="186">
        <f t="shared" si="22"/>
        <v>21386.045702252155</v>
      </c>
      <c r="AO19" s="186">
        <f t="shared" si="22"/>
        <v>21386.045702252151</v>
      </c>
      <c r="AP19" s="186">
        <f t="shared" si="22"/>
        <v>21386.045702252151</v>
      </c>
      <c r="AQ19" s="186">
        <f t="shared" si="22"/>
        <v>21386.045702252148</v>
      </c>
      <c r="AR19" s="186">
        <f t="shared" si="22"/>
        <v>21386.045702252148</v>
      </c>
      <c r="AS19" s="186">
        <f t="shared" si="22"/>
        <v>21386.04570225214</v>
      </c>
      <c r="AT19" s="186">
        <f t="shared" si="22"/>
        <v>21386.04570225214</v>
      </c>
      <c r="AU19" s="186">
        <f t="shared" si="22"/>
        <v>21386.045702252137</v>
      </c>
      <c r="AV19" s="186">
        <f t="shared" si="22"/>
        <v>21386.045702252133</v>
      </c>
      <c r="AW19" s="186">
        <f t="shared" si="22"/>
        <v>21386.045702252126</v>
      </c>
      <c r="AX19" s="186">
        <f t="shared" si="22"/>
        <v>21386.045702252122</v>
      </c>
      <c r="AY19" s="186">
        <f t="shared" si="22"/>
        <v>21386.045702252119</v>
      </c>
      <c r="AZ19" s="186">
        <f t="shared" si="22"/>
        <v>21386.045702252122</v>
      </c>
      <c r="BA19" s="186">
        <f t="shared" si="22"/>
        <v>21386.045702252119</v>
      </c>
      <c r="BB19" s="186">
        <f t="shared" si="22"/>
        <v>21386.045702252108</v>
      </c>
      <c r="BC19" s="186">
        <f t="shared" si="22"/>
        <v>21386.045702252119</v>
      </c>
      <c r="BD19" s="186">
        <f t="shared" si="22"/>
        <v>21386.045702252126</v>
      </c>
      <c r="BE19" s="186">
        <f t="shared" si="22"/>
        <v>21386.045702252119</v>
      </c>
      <c r="BF19" s="186">
        <f t="shared" si="22"/>
        <v>21386.045702252108</v>
      </c>
      <c r="BG19" s="186">
        <f t="shared" si="22"/>
        <v>21386.045702252119</v>
      </c>
      <c r="BH19" s="186">
        <f t="shared" si="22"/>
        <v>21386.04570225214</v>
      </c>
      <c r="BI19" s="186">
        <f t="shared" si="22"/>
        <v>21386.045702252119</v>
      </c>
      <c r="BJ19" s="186">
        <f t="shared" si="22"/>
        <v>21386.045702252042</v>
      </c>
    </row>
    <row r="20" spans="2:64">
      <c r="B20" s="156" t="s">
        <v>138</v>
      </c>
      <c r="C20" s="174" t="s">
        <v>156</v>
      </c>
      <c r="D20" s="156"/>
      <c r="E20" s="186">
        <f>IF(E19=0,0,E19+D20)</f>
        <v>47492</v>
      </c>
      <c r="F20" s="186">
        <f>IF(F19=0,0,F19+E20)</f>
        <v>222492</v>
      </c>
      <c r="G20" s="186">
        <f t="shared" ref="G20:Q20" ca="1" si="23">IF(G19=0,0,G19+F20)</f>
        <v>343655.50177632744</v>
      </c>
      <c r="H20" s="186">
        <f t="shared" ca="1" si="23"/>
        <v>464819.00355265487</v>
      </c>
      <c r="I20" s="186">
        <f t="shared" ca="1" si="23"/>
        <v>550363.18636166351</v>
      </c>
      <c r="J20" s="186">
        <f t="shared" ca="1" si="23"/>
        <v>635907.36917067214</v>
      </c>
      <c r="K20" s="186">
        <f t="shared" ca="1" si="23"/>
        <v>721451.55197968078</v>
      </c>
      <c r="L20" s="186">
        <f t="shared" ca="1" si="23"/>
        <v>806995.73478868941</v>
      </c>
      <c r="M20" s="186">
        <f t="shared" ca="1" si="23"/>
        <v>892539.91759769805</v>
      </c>
      <c r="N20" s="186">
        <f t="shared" ca="1" si="23"/>
        <v>978084.10040670657</v>
      </c>
      <c r="O20" s="186">
        <f t="shared" ca="1" si="23"/>
        <v>1063628.2832157151</v>
      </c>
      <c r="P20" s="186">
        <f t="shared" ca="1" si="23"/>
        <v>1149172.4660247236</v>
      </c>
      <c r="Q20" s="186">
        <f t="shared" ca="1" si="23"/>
        <v>1213330.6031314798</v>
      </c>
      <c r="T20" s="186">
        <f>IF(T19=0,0,T19+S20)+E19+F19</f>
        <v>247151</v>
      </c>
      <c r="U20" s="186">
        <f>IF(U19=0,0,U19+T20)</f>
        <v>288142</v>
      </c>
      <c r="V20" s="186">
        <f t="shared" ref="V20:AU20" si="24">IF(V19=0,0,V19+U20)</f>
        <v>322287</v>
      </c>
      <c r="W20" s="186">
        <f t="shared" si="24"/>
        <v>343655.50177632744</v>
      </c>
      <c r="X20" s="186">
        <f>IF(X19=0,0,X19+W20)</f>
        <v>365041.54747857957</v>
      </c>
      <c r="Y20" s="186">
        <f t="shared" si="24"/>
        <v>386427.59318083175</v>
      </c>
      <c r="Z20" s="186">
        <f t="shared" si="24"/>
        <v>407813.63888308394</v>
      </c>
      <c r="AA20" s="186">
        <f t="shared" si="24"/>
        <v>429199.68458533613</v>
      </c>
      <c r="AB20" s="186">
        <f t="shared" si="24"/>
        <v>450585.73028758832</v>
      </c>
      <c r="AC20" s="186">
        <f t="shared" si="24"/>
        <v>471971.77598984045</v>
      </c>
      <c r="AD20" s="186">
        <f t="shared" si="24"/>
        <v>493357.82169209258</v>
      </c>
      <c r="AE20" s="186">
        <f t="shared" si="24"/>
        <v>514743.86739434476</v>
      </c>
      <c r="AF20" s="186">
        <f t="shared" si="24"/>
        <v>536129.91309659695</v>
      </c>
      <c r="AG20" s="186">
        <f t="shared" si="24"/>
        <v>557515.95879884914</v>
      </c>
      <c r="AH20" s="186">
        <f t="shared" si="24"/>
        <v>578902.00450110133</v>
      </c>
      <c r="AI20" s="186">
        <f t="shared" si="24"/>
        <v>600288.05020335352</v>
      </c>
      <c r="AJ20" s="186">
        <f t="shared" si="24"/>
        <v>621674.0959056057</v>
      </c>
      <c r="AK20" s="186">
        <f t="shared" si="24"/>
        <v>643060.14160785789</v>
      </c>
      <c r="AL20" s="186">
        <f t="shared" si="24"/>
        <v>664446.18731011008</v>
      </c>
      <c r="AM20" s="186">
        <f t="shared" si="24"/>
        <v>685832.23301236227</v>
      </c>
      <c r="AN20" s="186">
        <f t="shared" si="24"/>
        <v>707218.27871461445</v>
      </c>
      <c r="AO20" s="186">
        <f t="shared" si="24"/>
        <v>728604.32441686664</v>
      </c>
      <c r="AP20" s="186">
        <f t="shared" si="24"/>
        <v>749990.37011911883</v>
      </c>
      <c r="AQ20" s="186">
        <f t="shared" si="24"/>
        <v>771376.41582137102</v>
      </c>
      <c r="AR20" s="186">
        <f t="shared" si="24"/>
        <v>792762.46152362321</v>
      </c>
      <c r="AS20" s="186">
        <f t="shared" si="24"/>
        <v>814148.50722587539</v>
      </c>
      <c r="AT20" s="186">
        <f t="shared" si="24"/>
        <v>835534.55292812758</v>
      </c>
      <c r="AU20" s="186">
        <f t="shared" si="24"/>
        <v>856920.59863037977</v>
      </c>
      <c r="AV20" s="186">
        <f>IF(AV19=0,0,AV19+AU20)</f>
        <v>878306.64433263196</v>
      </c>
      <c r="AW20" s="186">
        <f>IF(AW19=0,0,AW19+AV20)</f>
        <v>899692.69003488403</v>
      </c>
      <c r="AX20" s="186">
        <f>IF(AX19=0,0,AX19+AW20)</f>
        <v>921078.7357371361</v>
      </c>
      <c r="AY20" s="186">
        <f>IF(AY19=0,0,AY19+AX20)</f>
        <v>942464.78143938817</v>
      </c>
      <c r="AZ20" s="186">
        <f t="shared" ref="AZ20:BJ20" si="25">IF(AZ19=0,0,AZ19+AY20)</f>
        <v>963850.82714164024</v>
      </c>
      <c r="BA20" s="186">
        <f t="shared" si="25"/>
        <v>985236.87284389231</v>
      </c>
      <c r="BB20" s="186">
        <f t="shared" si="25"/>
        <v>1006622.9185461444</v>
      </c>
      <c r="BC20" s="186">
        <f t="shared" si="25"/>
        <v>1028008.9642483965</v>
      </c>
      <c r="BD20" s="186">
        <f t="shared" si="25"/>
        <v>1049395.0099506485</v>
      </c>
      <c r="BE20" s="186">
        <f t="shared" si="25"/>
        <v>1070781.0556529006</v>
      </c>
      <c r="BF20" s="186">
        <f t="shared" si="25"/>
        <v>1092167.1013551527</v>
      </c>
      <c r="BG20" s="186">
        <f t="shared" si="25"/>
        <v>1113553.1470574047</v>
      </c>
      <c r="BH20" s="186">
        <f t="shared" si="25"/>
        <v>1134939.1927596568</v>
      </c>
      <c r="BI20" s="186">
        <f t="shared" si="25"/>
        <v>1156325.2384619089</v>
      </c>
      <c r="BJ20" s="186">
        <f t="shared" si="25"/>
        <v>1177711.284164161</v>
      </c>
    </row>
    <row r="21" spans="2:64">
      <c r="C21" s="174"/>
    </row>
    <row r="22" spans="2:64">
      <c r="B22" s="156" t="s">
        <v>155</v>
      </c>
      <c r="C22" s="174" t="s">
        <v>156</v>
      </c>
      <c r="G22" s="186">
        <f t="shared" ref="G22:Q22" ca="1" si="26">G19</f>
        <v>121163.50177632744</v>
      </c>
      <c r="H22" s="186">
        <f t="shared" ca="1" si="26"/>
        <v>121163.50177632744</v>
      </c>
      <c r="I22" s="186">
        <f t="shared" ca="1" si="26"/>
        <v>85544.182809008635</v>
      </c>
      <c r="J22" s="186">
        <f t="shared" ca="1" si="26"/>
        <v>85544.182809008635</v>
      </c>
      <c r="K22" s="186">
        <f t="shared" ca="1" si="26"/>
        <v>85544.18280900862</v>
      </c>
      <c r="L22" s="186">
        <f t="shared" ca="1" si="26"/>
        <v>85544.182809008606</v>
      </c>
      <c r="M22" s="186">
        <f t="shared" ca="1" si="26"/>
        <v>85544.182809008576</v>
      </c>
      <c r="N22" s="186">
        <f t="shared" ca="1" si="26"/>
        <v>85544.182809008504</v>
      </c>
      <c r="O22" s="186">
        <f t="shared" ca="1" si="26"/>
        <v>85544.182809008475</v>
      </c>
      <c r="P22" s="186">
        <f t="shared" ca="1" si="26"/>
        <v>85544.182809008475</v>
      </c>
      <c r="Q22" s="186">
        <f t="shared" ca="1" si="26"/>
        <v>64158.137106756301</v>
      </c>
      <c r="T22" s="168">
        <v>29646</v>
      </c>
      <c r="U22" s="168">
        <v>47732</v>
      </c>
      <c r="V22" s="168">
        <v>35360</v>
      </c>
      <c r="W22" s="168">
        <f t="shared" ref="W22:Z22" si="27">W19</f>
        <v>21368.50177632743</v>
      </c>
      <c r="X22" s="168">
        <f t="shared" si="27"/>
        <v>21386.045702252159</v>
      </c>
      <c r="Y22" s="168">
        <f t="shared" si="27"/>
        <v>21386.045702252159</v>
      </c>
      <c r="Z22" s="168">
        <f t="shared" si="27"/>
        <v>21386.045702252159</v>
      </c>
      <c r="AA22" s="168">
        <f>AA19</f>
        <v>21386.045702252159</v>
      </c>
      <c r="AB22" s="168">
        <f>AB19</f>
        <v>21386.045702252159</v>
      </c>
      <c r="AC22" s="168">
        <f t="shared" ref="AC22:AU22" si="28">AC19</f>
        <v>21386.045702252155</v>
      </c>
      <c r="AD22" s="168">
        <f t="shared" si="28"/>
        <v>21386.045702252159</v>
      </c>
      <c r="AE22" s="168">
        <f t="shared" si="28"/>
        <v>21386.045702252159</v>
      </c>
      <c r="AF22" s="168">
        <f t="shared" si="28"/>
        <v>21386.045702252159</v>
      </c>
      <c r="AG22" s="168">
        <f t="shared" si="28"/>
        <v>21386.045702252159</v>
      </c>
      <c r="AH22" s="168">
        <f t="shared" si="28"/>
        <v>21386.045702252155</v>
      </c>
      <c r="AI22" s="168">
        <f t="shared" si="28"/>
        <v>21386.045702252155</v>
      </c>
      <c r="AJ22" s="168">
        <f t="shared" si="28"/>
        <v>21386.045702252155</v>
      </c>
      <c r="AK22" s="168">
        <f t="shared" si="28"/>
        <v>21386.045702252151</v>
      </c>
      <c r="AL22" s="168">
        <f t="shared" si="28"/>
        <v>21386.045702252155</v>
      </c>
      <c r="AM22" s="168">
        <f t="shared" si="28"/>
        <v>21386.045702252155</v>
      </c>
      <c r="AN22" s="168">
        <f t="shared" si="28"/>
        <v>21386.045702252155</v>
      </c>
      <c r="AO22" s="168">
        <f t="shared" si="28"/>
        <v>21386.045702252151</v>
      </c>
      <c r="AP22" s="168">
        <f t="shared" si="28"/>
        <v>21386.045702252151</v>
      </c>
      <c r="AQ22" s="168">
        <f t="shared" si="28"/>
        <v>21386.045702252148</v>
      </c>
      <c r="AR22" s="168">
        <f t="shared" si="28"/>
        <v>21386.045702252148</v>
      </c>
      <c r="AS22" s="168">
        <f t="shared" si="28"/>
        <v>21386.04570225214</v>
      </c>
      <c r="AT22" s="168">
        <f t="shared" si="28"/>
        <v>21386.04570225214</v>
      </c>
      <c r="AU22" s="168">
        <f t="shared" si="28"/>
        <v>21386.045702252137</v>
      </c>
      <c r="AV22" s="168">
        <f>AV19</f>
        <v>21386.045702252133</v>
      </c>
      <c r="AW22" s="168">
        <f>AW19</f>
        <v>21386.045702252126</v>
      </c>
      <c r="AX22" s="168">
        <f>AX19</f>
        <v>21386.045702252122</v>
      </c>
      <c r="AY22" s="168">
        <f>AY19</f>
        <v>21386.045702252119</v>
      </c>
      <c r="AZ22" s="168">
        <f t="shared" ref="AZ22:BJ22" si="29">AZ19</f>
        <v>21386.045702252122</v>
      </c>
      <c r="BA22" s="168">
        <f t="shared" si="29"/>
        <v>21386.045702252119</v>
      </c>
      <c r="BB22" s="168">
        <f t="shared" si="29"/>
        <v>21386.045702252108</v>
      </c>
      <c r="BC22" s="168">
        <f t="shared" si="29"/>
        <v>21386.045702252119</v>
      </c>
      <c r="BD22" s="168">
        <f t="shared" si="29"/>
        <v>21386.045702252126</v>
      </c>
      <c r="BE22" s="168">
        <f t="shared" si="29"/>
        <v>21386.045702252119</v>
      </c>
      <c r="BF22" s="168">
        <f t="shared" si="29"/>
        <v>21386.045702252108</v>
      </c>
      <c r="BG22" s="168">
        <f t="shared" si="29"/>
        <v>21386.045702252119</v>
      </c>
      <c r="BH22" s="168">
        <f t="shared" si="29"/>
        <v>21386.04570225214</v>
      </c>
      <c r="BI22" s="168">
        <f t="shared" si="29"/>
        <v>21386.045702252119</v>
      </c>
      <c r="BJ22" s="168">
        <f t="shared" si="29"/>
        <v>21386.045702252042</v>
      </c>
    </row>
    <row r="24" spans="2:64" ht="18">
      <c r="B24" s="158" t="s">
        <v>142</v>
      </c>
      <c r="C24" s="174"/>
      <c r="G24" s="168"/>
      <c r="H24" s="186"/>
      <c r="I24" s="186"/>
      <c r="J24" s="186"/>
      <c r="K24" s="186"/>
      <c r="L24" s="186"/>
      <c r="M24" s="186"/>
      <c r="N24" s="186"/>
      <c r="O24" s="186"/>
      <c r="P24" s="186"/>
      <c r="Q24" s="186"/>
    </row>
    <row r="26" spans="2:64">
      <c r="B26" t="s">
        <v>141</v>
      </c>
      <c r="C26" s="156" t="s">
        <v>187</v>
      </c>
      <c r="G26" s="228">
        <f>Assumptions!G11</f>
        <v>1799</v>
      </c>
      <c r="H26" s="228">
        <f ca="1">Assumptions!H11</f>
        <v>2087.5</v>
      </c>
      <c r="I26" s="228">
        <f ca="1">Assumptions!I11</f>
        <v>2025</v>
      </c>
      <c r="J26" s="228">
        <f ca="1">Assumptions!J11</f>
        <v>1925</v>
      </c>
      <c r="K26" s="228">
        <f ca="1">Assumptions!K11</f>
        <v>1850</v>
      </c>
      <c r="L26" s="228">
        <f ca="1">Assumptions!L11</f>
        <v>1750</v>
      </c>
      <c r="M26" s="228">
        <f ca="1">L26</f>
        <v>1750</v>
      </c>
      <c r="N26" s="228">
        <f t="shared" ref="N26:Q26" ca="1" si="30">M26</f>
        <v>1750</v>
      </c>
      <c r="O26" s="228">
        <f t="shared" ca="1" si="30"/>
        <v>1750</v>
      </c>
      <c r="P26" s="228">
        <f t="shared" ca="1" si="30"/>
        <v>1750</v>
      </c>
      <c r="Q26" s="228">
        <f t="shared" ca="1" si="30"/>
        <v>1750</v>
      </c>
      <c r="T26" s="267">
        <f>Assumptions!S11</f>
        <v>1707</v>
      </c>
      <c r="U26" s="267">
        <f>Assumptions!T11</f>
        <v>1770</v>
      </c>
      <c r="V26" s="267">
        <f>Assumptions!U11</f>
        <v>1756</v>
      </c>
      <c r="W26" s="267">
        <f>Assumptions!V11</f>
        <v>1829</v>
      </c>
      <c r="X26" s="267">
        <f ca="1">Assumptions!W11</f>
        <v>2050</v>
      </c>
      <c r="Y26" s="267">
        <f ca="1">Assumptions!X11</f>
        <v>2100</v>
      </c>
      <c r="Z26" s="267">
        <f ca="1">Assumptions!Y11</f>
        <v>2100</v>
      </c>
      <c r="AA26" s="267">
        <f ca="1">Assumptions!Z11</f>
        <v>2100</v>
      </c>
      <c r="AB26" s="267">
        <f ca="1">Assumptions!AA11</f>
        <v>2050</v>
      </c>
      <c r="AC26" s="267">
        <f ca="1">Assumptions!AB11</f>
        <v>2050</v>
      </c>
      <c r="AD26" s="267">
        <f ca="1">Assumptions!AC11</f>
        <v>2000</v>
      </c>
      <c r="AE26" s="267">
        <f ca="1">Assumptions!AD11</f>
        <v>2000</v>
      </c>
      <c r="AF26" s="267">
        <f ca="1">Assumptions!AE11</f>
        <v>1950</v>
      </c>
      <c r="AG26" s="267">
        <f ca="1">Assumptions!AF11</f>
        <v>1950</v>
      </c>
      <c r="AH26" s="267">
        <f ca="1">Assumptions!AG11</f>
        <v>1900</v>
      </c>
      <c r="AI26" s="267">
        <f ca="1">Assumptions!AH11</f>
        <v>1900</v>
      </c>
      <c r="AJ26" s="267">
        <f ca="1">Assumptions!AI11</f>
        <v>1850</v>
      </c>
      <c r="AK26" s="267">
        <f ca="1">Assumptions!AJ11</f>
        <v>1850</v>
      </c>
      <c r="AL26" s="267">
        <f ca="1">Assumptions!AK11</f>
        <v>1850</v>
      </c>
      <c r="AM26" s="267">
        <f ca="1">Assumptions!AL11</f>
        <v>1850</v>
      </c>
      <c r="AN26" s="267">
        <f ca="1">Assumptions!L11</f>
        <v>1750</v>
      </c>
      <c r="AO26" s="267">
        <f ca="1">AN26</f>
        <v>1750</v>
      </c>
      <c r="AP26" s="267">
        <f t="shared" ref="AP26:BJ26" ca="1" si="31">AO26</f>
        <v>1750</v>
      </c>
      <c r="AQ26" s="267">
        <f t="shared" ca="1" si="31"/>
        <v>1750</v>
      </c>
      <c r="AR26" s="267">
        <f t="shared" ca="1" si="31"/>
        <v>1750</v>
      </c>
      <c r="AS26" s="267">
        <f t="shared" ca="1" si="31"/>
        <v>1750</v>
      </c>
      <c r="AT26" s="267">
        <f t="shared" ca="1" si="31"/>
        <v>1750</v>
      </c>
      <c r="AU26" s="267">
        <f t="shared" ca="1" si="31"/>
        <v>1750</v>
      </c>
      <c r="AV26" s="267">
        <f t="shared" ca="1" si="31"/>
        <v>1750</v>
      </c>
      <c r="AW26" s="267">
        <f t="shared" ca="1" si="31"/>
        <v>1750</v>
      </c>
      <c r="AX26" s="267">
        <f t="shared" ca="1" si="31"/>
        <v>1750</v>
      </c>
      <c r="AY26" s="267">
        <f t="shared" ca="1" si="31"/>
        <v>1750</v>
      </c>
      <c r="AZ26" s="267">
        <f t="shared" ca="1" si="31"/>
        <v>1750</v>
      </c>
      <c r="BA26" s="267">
        <f t="shared" ca="1" si="31"/>
        <v>1750</v>
      </c>
      <c r="BB26" s="267">
        <f t="shared" ca="1" si="31"/>
        <v>1750</v>
      </c>
      <c r="BC26" s="267">
        <f t="shared" ca="1" si="31"/>
        <v>1750</v>
      </c>
      <c r="BD26" s="267">
        <f t="shared" ca="1" si="31"/>
        <v>1750</v>
      </c>
      <c r="BE26" s="267">
        <f t="shared" ca="1" si="31"/>
        <v>1750</v>
      </c>
      <c r="BF26" s="267">
        <f t="shared" ca="1" si="31"/>
        <v>1750</v>
      </c>
      <c r="BG26" s="267">
        <f t="shared" ca="1" si="31"/>
        <v>1750</v>
      </c>
      <c r="BH26" s="267">
        <f t="shared" ca="1" si="31"/>
        <v>1750</v>
      </c>
      <c r="BI26" s="267">
        <f t="shared" ca="1" si="31"/>
        <v>1750</v>
      </c>
      <c r="BJ26" s="267">
        <f t="shared" ca="1" si="31"/>
        <v>1750</v>
      </c>
    </row>
    <row r="28" spans="2:64">
      <c r="B28" s="188" t="s">
        <v>7</v>
      </c>
      <c r="C28" s="244" t="s">
        <v>161</v>
      </c>
      <c r="D28" s="188"/>
      <c r="E28" s="188"/>
      <c r="F28" s="188"/>
      <c r="G28" s="266">
        <f ca="1">SUM(OFFSET($T$28,,(COLUMNS(G$28:$G28)-1)*4,,4))</f>
        <v>240091.98974890288</v>
      </c>
      <c r="H28" s="266">
        <f ca="1">SUM(OFFSET($T$28,,(COLUMNS($G$28:H28)-1)*4,,4))</f>
        <v>178573.48161380552</v>
      </c>
      <c r="I28" s="266">
        <f ca="1">SUM(OFFSET($T$28,,(COLUMNS($G$28:I28)-1)*4,,4))</f>
        <v>173226.97018824247</v>
      </c>
      <c r="J28" s="266">
        <f ca="1">SUM(OFFSET($T$28,,(COLUMNS($G$28:J28)-1)*4,,4))</f>
        <v>164672.55190734161</v>
      </c>
      <c r="K28" s="266">
        <f ca="1">SUM(OFFSET($T$28,,(COLUMNS($G$28:K28)-1)*4,,4))</f>
        <v>158256.73819666594</v>
      </c>
      <c r="L28" s="266">
        <f ca="1">SUM(OFFSET($T$28,,(COLUMNS($G$28:L28)-1)*4,,4))</f>
        <v>149702.31991576508</v>
      </c>
      <c r="M28" s="266">
        <f ca="1">SUM(OFFSET($T$28,,(COLUMNS($G$28:M28)-1)*4,,4))</f>
        <v>149702.31991576499</v>
      </c>
      <c r="N28" s="266">
        <f ca="1">SUM(OFFSET($T$28,,(COLUMNS($G$28:N28)-1)*4,,4))</f>
        <v>149702.31991576488</v>
      </c>
      <c r="O28" s="266">
        <f ca="1">SUM(OFFSET($T$28,,(COLUMNS($G$28:O28)-1)*4,,4))</f>
        <v>149702.31991576482</v>
      </c>
      <c r="P28" s="266">
        <f ca="1">SUM(OFFSET($T$28,,(COLUMNS($G$28:P28)-1)*4,,4))</f>
        <v>149702.31991576482</v>
      </c>
      <c r="Q28" s="266">
        <f ca="1">SUM(OFFSET($T$28,,(COLUMNS($G$28:Q28)-1)*4,,4))</f>
        <v>112276.73993682352</v>
      </c>
      <c r="T28" s="245">
        <v>52655</v>
      </c>
      <c r="U28" s="245">
        <v>86133</v>
      </c>
      <c r="V28" s="245">
        <v>62221</v>
      </c>
      <c r="W28" s="266">
        <f>W22*W26/1000</f>
        <v>39082.989748902874</v>
      </c>
      <c r="X28" s="266">
        <f t="shared" ref="X28:BJ28" ca="1" si="32">X22*X26/1000</f>
        <v>43841.393689616925</v>
      </c>
      <c r="Y28" s="266">
        <f t="shared" ca="1" si="32"/>
        <v>44910.695974729533</v>
      </c>
      <c r="Z28" s="266">
        <f t="shared" ca="1" si="32"/>
        <v>44910.695974729533</v>
      </c>
      <c r="AA28" s="266">
        <f t="shared" ca="1" si="32"/>
        <v>44910.695974729533</v>
      </c>
      <c r="AB28" s="266">
        <f t="shared" ca="1" si="32"/>
        <v>43841.393689616925</v>
      </c>
      <c r="AC28" s="266">
        <f t="shared" ca="1" si="32"/>
        <v>43841.393689616918</v>
      </c>
      <c r="AD28" s="266">
        <f t="shared" ca="1" si="32"/>
        <v>42772.091404504317</v>
      </c>
      <c r="AE28" s="266">
        <f t="shared" ca="1" si="32"/>
        <v>42772.091404504317</v>
      </c>
      <c r="AF28" s="266">
        <f t="shared" ca="1" si="32"/>
        <v>41702.789119391709</v>
      </c>
      <c r="AG28" s="266">
        <f t="shared" ca="1" si="32"/>
        <v>41702.789119391709</v>
      </c>
      <c r="AH28" s="266">
        <f t="shared" ca="1" si="32"/>
        <v>40633.486834279094</v>
      </c>
      <c r="AI28" s="266">
        <f t="shared" ca="1" si="32"/>
        <v>40633.486834279094</v>
      </c>
      <c r="AJ28" s="266">
        <f t="shared" ca="1" si="32"/>
        <v>39564.184549166486</v>
      </c>
      <c r="AK28" s="266">
        <f t="shared" ca="1" si="32"/>
        <v>39564.184549166479</v>
      </c>
      <c r="AL28" s="266">
        <f t="shared" ca="1" si="32"/>
        <v>39564.184549166486</v>
      </c>
      <c r="AM28" s="266">
        <f t="shared" ca="1" si="32"/>
        <v>39564.184549166486</v>
      </c>
      <c r="AN28" s="266">
        <f t="shared" ca="1" si="32"/>
        <v>37425.57997894127</v>
      </c>
      <c r="AO28" s="266">
        <f t="shared" ca="1" si="32"/>
        <v>37425.579978941263</v>
      </c>
      <c r="AP28" s="266">
        <f t="shared" ca="1" si="32"/>
        <v>37425.579978941263</v>
      </c>
      <c r="AQ28" s="266">
        <f t="shared" ca="1" si="32"/>
        <v>37425.579978941263</v>
      </c>
      <c r="AR28" s="266">
        <f t="shared" ca="1" si="32"/>
        <v>37425.579978941263</v>
      </c>
      <c r="AS28" s="266">
        <f t="shared" ca="1" si="32"/>
        <v>37425.579978941249</v>
      </c>
      <c r="AT28" s="266">
        <f t="shared" ca="1" si="32"/>
        <v>37425.579978941249</v>
      </c>
      <c r="AU28" s="266">
        <f t="shared" ca="1" si="32"/>
        <v>37425.579978941241</v>
      </c>
      <c r="AV28" s="266">
        <f t="shared" ca="1" si="32"/>
        <v>37425.579978941234</v>
      </c>
      <c r="AW28" s="266">
        <f t="shared" ca="1" si="32"/>
        <v>37425.579978941219</v>
      </c>
      <c r="AX28" s="266">
        <f t="shared" ca="1" si="32"/>
        <v>37425.579978941219</v>
      </c>
      <c r="AY28" s="266">
        <f t="shared" ca="1" si="32"/>
        <v>37425.579978941212</v>
      </c>
      <c r="AZ28" s="266">
        <f t="shared" ca="1" si="32"/>
        <v>37425.579978941219</v>
      </c>
      <c r="BA28" s="266">
        <f t="shared" ca="1" si="32"/>
        <v>37425.579978941212</v>
      </c>
      <c r="BB28" s="266">
        <f t="shared" ca="1" si="32"/>
        <v>37425.57997894119</v>
      </c>
      <c r="BC28" s="266">
        <f t="shared" ca="1" si="32"/>
        <v>37425.579978941212</v>
      </c>
      <c r="BD28" s="266">
        <f t="shared" ca="1" si="32"/>
        <v>37425.579978941219</v>
      </c>
      <c r="BE28" s="266">
        <f t="shared" ca="1" si="32"/>
        <v>37425.579978941212</v>
      </c>
      <c r="BF28" s="266">
        <f t="shared" ca="1" si="32"/>
        <v>37425.57997894119</v>
      </c>
      <c r="BG28" s="266">
        <f t="shared" ca="1" si="32"/>
        <v>37425.579978941212</v>
      </c>
      <c r="BH28" s="266">
        <f t="shared" ca="1" si="32"/>
        <v>37425.579978941249</v>
      </c>
      <c r="BI28" s="266">
        <f t="shared" ca="1" si="32"/>
        <v>37425.579978941212</v>
      </c>
      <c r="BJ28" s="266">
        <f t="shared" ca="1" si="32"/>
        <v>37425.579978941074</v>
      </c>
    </row>
    <row r="29" spans="2:64">
      <c r="B29" s="156" t="s">
        <v>162</v>
      </c>
      <c r="C29" s="196" t="s">
        <v>161</v>
      </c>
      <c r="G29" s="89">
        <f ca="1">SUM(OFFSET($T$29,,(COLUMNS(G$29:$G29)-1)*4,,4))</f>
        <v>-118437.12185680951</v>
      </c>
      <c r="H29" s="89">
        <f ca="1">SUM(OFFSET($T$29,,(COLUMNS($G$29:H29)-1)*4,,4))</f>
        <v>-92095.023408582405</v>
      </c>
      <c r="I29" s="89">
        <f ca="1">SUM(OFFSET($T$29,,(COLUMNS($G$29:I29)-1)*4,,4))</f>
        <v>-89337.687378385337</v>
      </c>
      <c r="J29" s="89">
        <f ca="1">SUM(OFFSET($T$29,,(COLUMNS($G$29:J29)-1)*4,,4))</f>
        <v>-84925.949730069988</v>
      </c>
      <c r="K29" s="89">
        <f ca="1">SUM(OFFSET($T$29,,(COLUMNS($G$29:K29)-1)*4,,4))</f>
        <v>-81617.146493833498</v>
      </c>
      <c r="L29" s="89">
        <f ca="1">SUM(OFFSET($T$29,,(COLUMNS($G$29:L29)-1)*4,,4))</f>
        <v>-77205.408845518148</v>
      </c>
      <c r="M29" s="89">
        <f ca="1">SUM(OFFSET($T$29,,(COLUMNS($G$29:M29)-1)*4,,4))</f>
        <v>-77205.408845518134</v>
      </c>
      <c r="N29" s="89">
        <f ca="1">SUM(OFFSET($T$29,,(COLUMNS($G$29:N29)-1)*4,,4))</f>
        <v>-77205.408845518075</v>
      </c>
      <c r="O29" s="89">
        <f ca="1">SUM(OFFSET($T$29,,(COLUMNS($G$29:O29)-1)*4,,4))</f>
        <v>-77205.408845518046</v>
      </c>
      <c r="P29" s="89">
        <f ca="1">SUM(OFFSET($T$29,,(COLUMNS($G$29:P29)-1)*4,,4))</f>
        <v>-77205.408845518046</v>
      </c>
      <c r="Q29" s="89">
        <f ca="1">SUM(OFFSET($T$29,,(COLUMNS($G$29:Q29)-1)*4,,4))</f>
        <v>-57904.056634138477</v>
      </c>
      <c r="T29" s="198">
        <v>-26240</v>
      </c>
      <c r="U29" s="198">
        <v>-39952</v>
      </c>
      <c r="V29" s="198">
        <v>-32089</v>
      </c>
      <c r="W29" s="89">
        <f>IF(W31=0,(-V29/V28)*-W28,V29*(1+W31))</f>
        <v>-20156.121856809506</v>
      </c>
      <c r="X29" s="89">
        <f t="shared" ref="X29:AA29" ca="1" si="33">IF(X31=0,(-W29/W28)*-X28,W29*(1+X31))</f>
        <v>-22610.155447616038</v>
      </c>
      <c r="Y29" s="89">
        <f t="shared" ca="1" si="33"/>
        <v>-23161.622653655453</v>
      </c>
      <c r="Z29" s="89">
        <f t="shared" ca="1" si="33"/>
        <v>-23161.622653655453</v>
      </c>
      <c r="AA29" s="89">
        <f t="shared" ca="1" si="33"/>
        <v>-23161.622653655453</v>
      </c>
      <c r="AB29" s="89">
        <f ca="1">IF(X31=0,(-AA29/AA28)*-AB28,AA29*(1+X31))</f>
        <v>-22610.155447616038</v>
      </c>
      <c r="AC29" s="89">
        <f ca="1">IF(Y31=0,(-AB29/AB28)*-AC28,AB29*(1+Y31))</f>
        <v>-22610.155447616035</v>
      </c>
      <c r="AD29" s="89">
        <f ca="1">IF(Z31=0,(-AC29/AC28)*-AD28,AC29*(1+Z31))</f>
        <v>-22058.688241576623</v>
      </c>
      <c r="AE29" s="89">
        <f ca="1">IF(AA31=0,(-AD29/AD28)*-AE28,AD29*(1+AA31))</f>
        <v>-22058.688241576623</v>
      </c>
      <c r="AF29" s="89">
        <f t="shared" ref="AF29:BJ29" ca="1" si="34">IF(AF31=0,(-AE29/AE28)*-AF28,AE29*(1+AF31))</f>
        <v>-21507.221035537208</v>
      </c>
      <c r="AG29" s="89">
        <f t="shared" ca="1" si="34"/>
        <v>-21507.221035537208</v>
      </c>
      <c r="AH29" s="89">
        <f t="shared" ca="1" si="34"/>
        <v>-20955.753829497789</v>
      </c>
      <c r="AI29" s="89">
        <f t="shared" ca="1" si="34"/>
        <v>-20955.753829497789</v>
      </c>
      <c r="AJ29" s="89">
        <f t="shared" ca="1" si="34"/>
        <v>-20404.286623458374</v>
      </c>
      <c r="AK29" s="89">
        <f t="shared" ca="1" si="34"/>
        <v>-20404.286623458371</v>
      </c>
      <c r="AL29" s="89">
        <f t="shared" ca="1" si="34"/>
        <v>-20404.286623458374</v>
      </c>
      <c r="AM29" s="89">
        <f t="shared" ca="1" si="34"/>
        <v>-20404.286623458374</v>
      </c>
      <c r="AN29" s="89">
        <f t="shared" ca="1" si="34"/>
        <v>-19301.352211379541</v>
      </c>
      <c r="AO29" s="89">
        <f t="shared" ca="1" si="34"/>
        <v>-19301.352211379537</v>
      </c>
      <c r="AP29" s="89">
        <f t="shared" ca="1" si="34"/>
        <v>-19301.352211379537</v>
      </c>
      <c r="AQ29" s="89">
        <f t="shared" ca="1" si="34"/>
        <v>-19301.352211379537</v>
      </c>
      <c r="AR29" s="89">
        <f t="shared" ca="1" si="34"/>
        <v>-19301.352211379537</v>
      </c>
      <c r="AS29" s="89">
        <f t="shared" ca="1" si="34"/>
        <v>-19301.35221137953</v>
      </c>
      <c r="AT29" s="89">
        <f t="shared" ca="1" si="34"/>
        <v>-19301.35221137953</v>
      </c>
      <c r="AU29" s="89">
        <f t="shared" ca="1" si="34"/>
        <v>-19301.352211379526</v>
      </c>
      <c r="AV29" s="89">
        <f t="shared" ca="1" si="34"/>
        <v>-19301.352211379522</v>
      </c>
      <c r="AW29" s="89">
        <f t="shared" ca="1" si="34"/>
        <v>-19301.352211379515</v>
      </c>
      <c r="AX29" s="89">
        <f t="shared" ca="1" si="34"/>
        <v>-19301.352211379515</v>
      </c>
      <c r="AY29" s="89">
        <f t="shared" ca="1" si="34"/>
        <v>-19301.352211379512</v>
      </c>
      <c r="AZ29" s="89">
        <f t="shared" ca="1" si="34"/>
        <v>-19301.352211379515</v>
      </c>
      <c r="BA29" s="89">
        <f t="shared" ca="1" si="34"/>
        <v>-19301.352211379512</v>
      </c>
      <c r="BB29" s="89">
        <f t="shared" ca="1" si="34"/>
        <v>-19301.352211379501</v>
      </c>
      <c r="BC29" s="89">
        <f t="shared" ca="1" si="34"/>
        <v>-19301.352211379512</v>
      </c>
      <c r="BD29" s="89">
        <f t="shared" ca="1" si="34"/>
        <v>-19301.352211379515</v>
      </c>
      <c r="BE29" s="89">
        <f t="shared" ca="1" si="34"/>
        <v>-19301.352211379512</v>
      </c>
      <c r="BF29" s="89">
        <f t="shared" ca="1" si="34"/>
        <v>-19301.352211379501</v>
      </c>
      <c r="BG29" s="89">
        <f t="shared" ca="1" si="34"/>
        <v>-19301.352211379512</v>
      </c>
      <c r="BH29" s="89">
        <f t="shared" ca="1" si="34"/>
        <v>-19301.35221137953</v>
      </c>
      <c r="BI29" s="89">
        <f t="shared" ca="1" si="34"/>
        <v>-19301.352211379512</v>
      </c>
      <c r="BJ29" s="89">
        <f t="shared" ca="1" si="34"/>
        <v>-19301.352211379439</v>
      </c>
    </row>
    <row r="30" spans="2:64">
      <c r="B30" s="242" t="s">
        <v>223</v>
      </c>
      <c r="C30" s="196" t="s">
        <v>140</v>
      </c>
      <c r="G30" s="89"/>
      <c r="H30" s="274">
        <f t="shared" ref="H30:Q30" ca="1" si="35">H29/G29-1</f>
        <v>-0.22241420624924257</v>
      </c>
      <c r="I30" s="274">
        <f t="shared" ca="1" si="35"/>
        <v>-2.9940119760478945E-2</v>
      </c>
      <c r="J30" s="274">
        <f t="shared" ca="1" si="35"/>
        <v>-4.9382716049382935E-2</v>
      </c>
      <c r="K30" s="274">
        <f t="shared" ca="1" si="35"/>
        <v>-3.8961038961038974E-2</v>
      </c>
      <c r="L30" s="274">
        <f t="shared" ca="1" si="35"/>
        <v>-5.405405405405439E-2</v>
      </c>
      <c r="M30" s="274">
        <f t="shared" ca="1" si="35"/>
        <v>0</v>
      </c>
      <c r="N30" s="274">
        <f t="shared" ca="1" si="35"/>
        <v>0</v>
      </c>
      <c r="O30" s="274">
        <f t="shared" ca="1" si="35"/>
        <v>0</v>
      </c>
      <c r="P30" s="274">
        <f t="shared" ca="1" si="35"/>
        <v>0</v>
      </c>
      <c r="Q30" s="274">
        <f t="shared" ca="1" si="35"/>
        <v>-0.25000000000000078</v>
      </c>
      <c r="V30" s="198"/>
      <c r="W30" s="259"/>
      <c r="X30" s="259">
        <f ca="1">X29/T29-1</f>
        <v>-0.13833249056341324</v>
      </c>
      <c r="Y30" s="259">
        <f t="shared" ref="Y30" ca="1" si="36">Y29/U29-1</f>
        <v>-0.42026375015880424</v>
      </c>
      <c r="Z30" s="259">
        <f ca="1">Z29/V29-1</f>
        <v>-0.27820677946787209</v>
      </c>
      <c r="AA30" s="259">
        <f ca="1">AA29/W29-1</f>
        <v>0.1491110650251688</v>
      </c>
      <c r="AB30" s="259">
        <f t="shared" ref="AB30:AU30" ca="1" si="37">AB29/X29-1</f>
        <v>0</v>
      </c>
      <c r="AC30" s="259">
        <f t="shared" ca="1" si="37"/>
        <v>-2.3809523809523947E-2</v>
      </c>
      <c r="AD30" s="259">
        <f t="shared" ca="1" si="37"/>
        <v>-4.7619047619047561E-2</v>
      </c>
      <c r="AE30" s="259">
        <f t="shared" ca="1" si="37"/>
        <v>-4.7619047619047561E-2</v>
      </c>
      <c r="AF30" s="259">
        <f t="shared" ca="1" si="37"/>
        <v>-4.8780487804877981E-2</v>
      </c>
      <c r="AG30" s="259">
        <f t="shared" ca="1" si="37"/>
        <v>-4.878048780487787E-2</v>
      </c>
      <c r="AH30" s="259">
        <f t="shared" ca="1" si="37"/>
        <v>-5.0000000000000155E-2</v>
      </c>
      <c r="AI30" s="259">
        <f t="shared" ca="1" si="37"/>
        <v>-5.0000000000000155E-2</v>
      </c>
      <c r="AJ30" s="259">
        <f t="shared" ca="1" si="37"/>
        <v>-5.1282051282051433E-2</v>
      </c>
      <c r="AK30" s="259">
        <f t="shared" ca="1" si="37"/>
        <v>-5.1282051282051544E-2</v>
      </c>
      <c r="AL30" s="259">
        <f t="shared" ca="1" si="37"/>
        <v>-2.6315789473684181E-2</v>
      </c>
      <c r="AM30" s="259">
        <f t="shared" ca="1" si="37"/>
        <v>-2.6315789473684181E-2</v>
      </c>
      <c r="AN30" s="259">
        <f t="shared" ca="1" si="37"/>
        <v>-5.4054054054054168E-2</v>
      </c>
      <c r="AO30" s="259">
        <f t="shared" ca="1" si="37"/>
        <v>-5.4054054054054168E-2</v>
      </c>
      <c r="AP30" s="259">
        <f t="shared" ca="1" si="37"/>
        <v>-5.405405405405439E-2</v>
      </c>
      <c r="AQ30" s="259">
        <f t="shared" ca="1" si="37"/>
        <v>-5.405405405405439E-2</v>
      </c>
      <c r="AR30" s="259">
        <f t="shared" ca="1" si="37"/>
        <v>0</v>
      </c>
      <c r="AS30" s="259">
        <f t="shared" ca="1" si="37"/>
        <v>0</v>
      </c>
      <c r="AT30" s="259">
        <f t="shared" ca="1" si="37"/>
        <v>0</v>
      </c>
      <c r="AU30" s="259">
        <f t="shared" ca="1" si="37"/>
        <v>0</v>
      </c>
      <c r="AV30" s="259">
        <f ca="1">AV29/AR29-1</f>
        <v>0</v>
      </c>
      <c r="AW30" s="259">
        <f ca="1">AW29/AS29-1</f>
        <v>0</v>
      </c>
      <c r="AX30" s="259">
        <f ca="1">AX29/AT29-1</f>
        <v>0</v>
      </c>
      <c r="AY30" s="259">
        <f ca="1">AY29/AU29-1</f>
        <v>0</v>
      </c>
      <c r="AZ30" s="259">
        <f t="shared" ref="AZ30:BJ30" ca="1" si="38">AZ29/AV29-1</f>
        <v>0</v>
      </c>
      <c r="BA30" s="259">
        <f t="shared" ca="1" si="38"/>
        <v>0</v>
      </c>
      <c r="BB30" s="259">
        <f t="shared" ca="1" si="38"/>
        <v>0</v>
      </c>
      <c r="BC30" s="259">
        <f t="shared" ca="1" si="38"/>
        <v>0</v>
      </c>
      <c r="BD30" s="259">
        <f t="shared" ca="1" si="38"/>
        <v>0</v>
      </c>
      <c r="BE30" s="259">
        <f t="shared" ca="1" si="38"/>
        <v>0</v>
      </c>
      <c r="BF30" s="259">
        <f t="shared" ca="1" si="38"/>
        <v>0</v>
      </c>
      <c r="BG30" s="259">
        <f t="shared" ca="1" si="38"/>
        <v>0</v>
      </c>
      <c r="BH30" s="259">
        <f t="shared" ca="1" si="38"/>
        <v>0</v>
      </c>
      <c r="BI30" s="259">
        <f t="shared" ca="1" si="38"/>
        <v>0</v>
      </c>
      <c r="BJ30" s="259">
        <f t="shared" ca="1" si="38"/>
        <v>-3.219646771412954E-15</v>
      </c>
    </row>
    <row r="31" spans="2:64">
      <c r="B31" s="242" t="s">
        <v>240</v>
      </c>
      <c r="C31" s="159" t="s">
        <v>140</v>
      </c>
      <c r="W31" s="275"/>
      <c r="X31" s="276"/>
      <c r="Y31" s="276"/>
      <c r="Z31" s="276"/>
      <c r="AA31" s="285"/>
    </row>
    <row r="32" spans="2:64">
      <c r="B32" s="243" t="s">
        <v>178</v>
      </c>
      <c r="C32" s="156" t="s">
        <v>140</v>
      </c>
      <c r="G32" s="240">
        <f ca="1">AVERAGE(OFFSET($T$32,,(COLUMNS($G$32:G32)-1)*4,,4))</f>
        <v>6.5555106379704645E-2</v>
      </c>
      <c r="H32" s="240">
        <f ca="1">AVERAGE(OFFSET($T$32,,(COLUMNS($G$32:H32)-1)*4,,4))</f>
        <v>5.9499999999999997E-2</v>
      </c>
      <c r="I32" s="240">
        <f ca="1">AVERAGE(OFFSET($T$32,,(COLUMNS($G$32:I32)-1)*4,,4))</f>
        <v>0.06</v>
      </c>
      <c r="J32" s="240">
        <f ca="1">AVERAGE(OFFSET($T$32,,(COLUMNS($G$32:J32)-1)*4,,4))</f>
        <v>6.3E-2</v>
      </c>
      <c r="K32" s="240">
        <f ca="1">AVERAGE(OFFSET($T$32,,(COLUMNS($G$32:K32)-1)*4,,4))</f>
        <v>6.1499999999999999E-2</v>
      </c>
      <c r="L32" s="240">
        <f ca="1">AVERAGE(OFFSET($T$32,,(COLUMNS($G$32:L32)-1)*4,,4))</f>
        <v>6.0999999999999999E-2</v>
      </c>
      <c r="M32" s="240">
        <f ca="1">AVERAGE(OFFSET($T$32,,(COLUMNS($G$32:M32)-1)*4,,4))</f>
        <v>0.06</v>
      </c>
      <c r="N32" s="240">
        <f ca="1">AVERAGE(OFFSET($T$32,,(COLUMNS($G$32:N32)-1)*4,,4))</f>
        <v>0.06</v>
      </c>
      <c r="O32" s="240">
        <f ca="1">AVERAGE(OFFSET($T$32,,(COLUMNS($G$32:O32)-1)*4,,4))</f>
        <v>0.06</v>
      </c>
      <c r="P32" s="240">
        <f ca="1">AVERAGE(OFFSET($T$32,,(COLUMNS($G$32:P32)-1)*4,,4))</f>
        <v>0.06</v>
      </c>
      <c r="Q32" s="240">
        <f ca="1">AVERAGE(OFFSET($T$32,,(COLUMNS($G$32:Q32)-1)*4,,4))</f>
        <v>0.06</v>
      </c>
      <c r="T32" s="240">
        <f t="shared" ref="T32:U32" si="39">-T33/T28</f>
        <v>6.7495964295888333E-2</v>
      </c>
      <c r="U32" s="240">
        <f t="shared" si="39"/>
        <v>6.9833861586151652E-2</v>
      </c>
      <c r="V32" s="240">
        <f>-V33/V28</f>
        <v>6.6890599636778583E-2</v>
      </c>
      <c r="W32" s="241">
        <v>5.8000000000000003E-2</v>
      </c>
      <c r="X32" s="241">
        <f>W32</f>
        <v>5.8000000000000003E-2</v>
      </c>
      <c r="Y32" s="241">
        <v>0.06</v>
      </c>
      <c r="Z32" s="241">
        <f t="shared" ref="Z32" si="40">Y32</f>
        <v>0.06</v>
      </c>
      <c r="AA32" s="241">
        <f>Z32</f>
        <v>0.06</v>
      </c>
      <c r="AB32" s="241">
        <v>0.06</v>
      </c>
      <c r="AC32" s="241">
        <v>0.06</v>
      </c>
      <c r="AD32" s="241">
        <f t="shared" ref="AD32:AE32" si="41">AC32</f>
        <v>0.06</v>
      </c>
      <c r="AE32" s="241">
        <f t="shared" si="41"/>
        <v>0.06</v>
      </c>
      <c r="AF32" s="241">
        <v>6.3E-2</v>
      </c>
      <c r="AG32" s="241">
        <v>6.3E-2</v>
      </c>
      <c r="AH32" s="241">
        <v>6.3E-2</v>
      </c>
      <c r="AI32" s="241">
        <v>6.3E-2</v>
      </c>
      <c r="AJ32" s="241">
        <v>6.2E-2</v>
      </c>
      <c r="AK32" s="241">
        <v>6.2E-2</v>
      </c>
      <c r="AL32" s="241">
        <v>6.0999999999999999E-2</v>
      </c>
      <c r="AM32" s="241">
        <v>6.0999999999999999E-2</v>
      </c>
      <c r="AN32" s="241">
        <v>6.0999999999999999E-2</v>
      </c>
      <c r="AO32" s="241">
        <v>6.0999999999999999E-2</v>
      </c>
      <c r="AP32" s="241">
        <v>6.0999999999999999E-2</v>
      </c>
      <c r="AQ32" s="241">
        <v>6.0999999999999999E-2</v>
      </c>
      <c r="AR32" s="241">
        <v>0.06</v>
      </c>
      <c r="AS32" s="241">
        <v>0.06</v>
      </c>
      <c r="AT32" s="241">
        <v>0.06</v>
      </c>
      <c r="AU32" s="241">
        <v>0.06</v>
      </c>
      <c r="AV32" s="241">
        <v>0.06</v>
      </c>
      <c r="AW32" s="241">
        <v>0.06</v>
      </c>
      <c r="AX32" s="241">
        <v>0.06</v>
      </c>
      <c r="AY32" s="241">
        <v>0.06</v>
      </c>
      <c r="AZ32" s="241">
        <v>0.06</v>
      </c>
      <c r="BA32" s="241">
        <v>0.06</v>
      </c>
      <c r="BB32" s="241">
        <v>0.06</v>
      </c>
      <c r="BC32" s="241">
        <v>0.06</v>
      </c>
      <c r="BD32" s="241">
        <v>0.06</v>
      </c>
      <c r="BE32" s="241">
        <v>0.06</v>
      </c>
      <c r="BF32" s="241">
        <v>0.06</v>
      </c>
      <c r="BG32" s="241">
        <v>0.06</v>
      </c>
      <c r="BH32" s="241">
        <v>0.06</v>
      </c>
      <c r="BI32" s="241">
        <v>0.06</v>
      </c>
      <c r="BJ32" s="241">
        <v>0.06</v>
      </c>
      <c r="BL32" s="156"/>
    </row>
    <row r="33" spans="2:62">
      <c r="B33" s="156" t="s">
        <v>179</v>
      </c>
      <c r="C33" s="196" t="s">
        <v>161</v>
      </c>
      <c r="E33" s="167"/>
      <c r="F33" s="167"/>
      <c r="G33" s="246">
        <f ca="1">SUM(OFFSET($T$33,,(COLUMNS(G$33:$G33)-1)*4,,4))</f>
        <v>-15997.813405436367</v>
      </c>
      <c r="H33" s="246">
        <f ca="1">SUM(OFFSET($T$33,,(COLUMNS($G$33:H33)-1)*4,,4))</f>
        <v>-10626.726109449097</v>
      </c>
      <c r="I33" s="246">
        <f ca="1">SUM(OFFSET($T$33,,(COLUMNS($G$33:I33)-1)*4,,4))</f>
        <v>-10393.618211294548</v>
      </c>
      <c r="J33" s="246">
        <f ca="1">SUM(OFFSET($T$33,,(COLUMNS($G$33:J33)-1)*4,,4))</f>
        <v>-10374.370770162521</v>
      </c>
      <c r="K33" s="246">
        <f ca="1">SUM(OFFSET($T$33,,(COLUMNS($G$33:K33)-1)*4,,4))</f>
        <v>-9732.789399094956</v>
      </c>
      <c r="L33" s="246">
        <f ca="1">SUM(OFFSET($T$33,,(COLUMNS($G$33:L33)-1)*4,,4))</f>
        <v>-9131.8415148616696</v>
      </c>
      <c r="M33" s="246">
        <f ca="1">SUM(OFFSET($T$33,,(COLUMNS($G$33:M33)-1)*4,,4))</f>
        <v>-8982.1391949458994</v>
      </c>
      <c r="N33" s="246">
        <f ca="1">SUM(OFFSET($T$33,,(COLUMNS($G$33:N33)-1)*4,,4))</f>
        <v>-8982.1391949458921</v>
      </c>
      <c r="O33" s="246">
        <f ca="1">SUM(OFFSET($T$33,,(COLUMNS($G$33:O33)-1)*4,,4))</f>
        <v>-8982.1391949458903</v>
      </c>
      <c r="P33" s="246">
        <f ca="1">SUM(OFFSET($T$33,,(COLUMNS($G$33:P33)-1)*4,,4))</f>
        <v>-8982.1391949458903</v>
      </c>
      <c r="Q33" s="246">
        <f ca="1">SUM(OFFSET($T$33,,(COLUMNS($G$33:Q33)-1)*4,,4))</f>
        <v>-6736.6043962094118</v>
      </c>
      <c r="T33" s="198">
        <v>-3554</v>
      </c>
      <c r="U33" s="198">
        <v>-6015</v>
      </c>
      <c r="V33" s="198">
        <v>-4162</v>
      </c>
      <c r="W33" s="89">
        <f t="shared" ref="W33:BJ33" si="42">-W28*W32</f>
        <v>-2266.8134054363668</v>
      </c>
      <c r="X33" s="89">
        <f t="shared" ca="1" si="42"/>
        <v>-2542.8008339977819</v>
      </c>
      <c r="Y33" s="89">
        <f t="shared" ca="1" si="42"/>
        <v>-2694.6417584837718</v>
      </c>
      <c r="Z33" s="89">
        <f t="shared" ca="1" si="42"/>
        <v>-2694.6417584837718</v>
      </c>
      <c r="AA33" s="89">
        <f t="shared" ca="1" si="42"/>
        <v>-2694.6417584837718</v>
      </c>
      <c r="AB33" s="89">
        <f t="shared" ca="1" si="42"/>
        <v>-2630.4836213770154</v>
      </c>
      <c r="AC33" s="89">
        <f t="shared" ca="1" si="42"/>
        <v>-2630.483621377015</v>
      </c>
      <c r="AD33" s="89">
        <f t="shared" ca="1" si="42"/>
        <v>-2566.325484270259</v>
      </c>
      <c r="AE33" s="89">
        <f t="shared" ca="1" si="42"/>
        <v>-2566.325484270259</v>
      </c>
      <c r="AF33" s="89">
        <f t="shared" ca="1" si="42"/>
        <v>-2627.2757145216779</v>
      </c>
      <c r="AG33" s="89">
        <f t="shared" ca="1" si="42"/>
        <v>-2627.2757145216779</v>
      </c>
      <c r="AH33" s="89">
        <f t="shared" ca="1" si="42"/>
        <v>-2559.909670559583</v>
      </c>
      <c r="AI33" s="89">
        <f t="shared" ca="1" si="42"/>
        <v>-2559.909670559583</v>
      </c>
      <c r="AJ33" s="89">
        <f t="shared" ca="1" si="42"/>
        <v>-2452.9794420483222</v>
      </c>
      <c r="AK33" s="89">
        <f t="shared" ca="1" si="42"/>
        <v>-2452.9794420483217</v>
      </c>
      <c r="AL33" s="89">
        <f t="shared" ca="1" si="42"/>
        <v>-2413.4152574991558</v>
      </c>
      <c r="AM33" s="89">
        <f t="shared" ca="1" si="42"/>
        <v>-2413.4152574991558</v>
      </c>
      <c r="AN33" s="89">
        <f t="shared" ca="1" si="42"/>
        <v>-2282.9603787154174</v>
      </c>
      <c r="AO33" s="89">
        <f t="shared" ca="1" si="42"/>
        <v>-2282.9603787154169</v>
      </c>
      <c r="AP33" s="89">
        <f t="shared" ca="1" si="42"/>
        <v>-2282.9603787154169</v>
      </c>
      <c r="AQ33" s="89">
        <f t="shared" ca="1" si="42"/>
        <v>-2282.9603787154169</v>
      </c>
      <c r="AR33" s="89">
        <f t="shared" ca="1" si="42"/>
        <v>-2245.5347987364758</v>
      </c>
      <c r="AS33" s="89">
        <f t="shared" ca="1" si="42"/>
        <v>-2245.5347987364748</v>
      </c>
      <c r="AT33" s="89">
        <f t="shared" ca="1" si="42"/>
        <v>-2245.5347987364748</v>
      </c>
      <c r="AU33" s="89">
        <f t="shared" ca="1" si="42"/>
        <v>-2245.5347987364744</v>
      </c>
      <c r="AV33" s="89">
        <f t="shared" ca="1" si="42"/>
        <v>-2245.5347987364739</v>
      </c>
      <c r="AW33" s="89">
        <f t="shared" ca="1" si="42"/>
        <v>-2245.534798736473</v>
      </c>
      <c r="AX33" s="89">
        <f t="shared" ca="1" si="42"/>
        <v>-2245.534798736473</v>
      </c>
      <c r="AY33" s="89">
        <f t="shared" ca="1" si="42"/>
        <v>-2245.5347987364726</v>
      </c>
      <c r="AZ33" s="89">
        <f t="shared" ca="1" si="42"/>
        <v>-2245.534798736473</v>
      </c>
      <c r="BA33" s="89">
        <f t="shared" ca="1" si="42"/>
        <v>-2245.5347987364726</v>
      </c>
      <c r="BB33" s="89">
        <f t="shared" ca="1" si="42"/>
        <v>-2245.5347987364712</v>
      </c>
      <c r="BC33" s="89">
        <f t="shared" ca="1" si="42"/>
        <v>-2245.5347987364726</v>
      </c>
      <c r="BD33" s="89">
        <f t="shared" ca="1" si="42"/>
        <v>-2245.534798736473</v>
      </c>
      <c r="BE33" s="89">
        <f t="shared" ca="1" si="42"/>
        <v>-2245.5347987364726</v>
      </c>
      <c r="BF33" s="89">
        <f t="shared" ca="1" si="42"/>
        <v>-2245.5347987364712</v>
      </c>
      <c r="BG33" s="89">
        <f t="shared" ca="1" si="42"/>
        <v>-2245.5347987364726</v>
      </c>
      <c r="BH33" s="89">
        <f t="shared" ca="1" si="42"/>
        <v>-2245.5347987364748</v>
      </c>
      <c r="BI33" s="89">
        <f t="shared" ca="1" si="42"/>
        <v>-2245.5347987364726</v>
      </c>
      <c r="BJ33" s="89">
        <f t="shared" ca="1" si="42"/>
        <v>-2245.5347987364644</v>
      </c>
    </row>
    <row r="34" spans="2:62">
      <c r="B34" s="156" t="s">
        <v>180</v>
      </c>
      <c r="C34" s="196" t="s">
        <v>161</v>
      </c>
      <c r="D34" s="249"/>
      <c r="E34" s="249"/>
      <c r="F34" s="249"/>
      <c r="G34" s="250">
        <f ca="1">SUM(OFFSET($T$34,,(COLUMNS(G$34:$G34)-1)*4,,4))</f>
        <v>10840</v>
      </c>
      <c r="H34" s="250">
        <f ca="1">SUM(OFFSET($T$34,,(COLUMNS($G$34:H34)-1)*4,,4))</f>
        <v>0</v>
      </c>
      <c r="I34" s="320">
        <f ca="1">SUM(OFFSET($T$34,,(COLUMNS($G$34:I34)-1)*4,,4))</f>
        <v>0</v>
      </c>
      <c r="J34" s="320">
        <f ca="1">SUM(OFFSET($T$34,,(COLUMNS($G$34:J34)-1)*4,,4))</f>
        <v>0</v>
      </c>
      <c r="K34" s="320">
        <f ca="1">SUM(OFFSET($T$34,,(COLUMNS($G$34:K34)-1)*4,,4))</f>
        <v>0</v>
      </c>
      <c r="L34" s="320">
        <f ca="1">SUM(OFFSET($T$34,,(COLUMNS($G$34:L34)-1)*4,,4))</f>
        <v>0</v>
      </c>
      <c r="M34" s="320">
        <f ca="1">SUM(OFFSET($T$34,,(COLUMNS($G$34:M34)-1)*4,,4))</f>
        <v>0</v>
      </c>
      <c r="N34" s="320">
        <f ca="1">SUM(OFFSET($T$34,,(COLUMNS($G$34:N34)-1)*4,,4))</f>
        <v>0</v>
      </c>
      <c r="O34" s="320">
        <f ca="1">SUM(OFFSET($T$34,,(COLUMNS($G$34:O34)-1)*4,,4))</f>
        <v>0</v>
      </c>
      <c r="P34" s="320">
        <f ca="1">SUM(OFFSET($T$34,,(COLUMNS($G$34:P34)-1)*4,,4))</f>
        <v>0</v>
      </c>
      <c r="Q34" s="320">
        <f ca="1">SUM(OFFSET($T$34,,(COLUMNS($G$34:Q34)-1)*4,,4))</f>
        <v>0</v>
      </c>
      <c r="T34" s="168">
        <v>7679</v>
      </c>
      <c r="U34" s="168">
        <v>1665</v>
      </c>
      <c r="V34" s="265">
        <v>1496</v>
      </c>
      <c r="W34" s="268">
        <v>0</v>
      </c>
      <c r="X34" s="268">
        <v>0</v>
      </c>
      <c r="Y34" s="268">
        <v>0</v>
      </c>
      <c r="Z34" s="268">
        <v>0</v>
      </c>
      <c r="AA34" s="268">
        <f>Z34</f>
        <v>0</v>
      </c>
      <c r="AB34" s="268">
        <f>AA34</f>
        <v>0</v>
      </c>
      <c r="AC34" s="268">
        <f>AB34</f>
        <v>0</v>
      </c>
      <c r="AD34" s="268">
        <f>AC34</f>
        <v>0</v>
      </c>
      <c r="AE34" s="268">
        <f>AD34</f>
        <v>0</v>
      </c>
      <c r="AF34" s="268">
        <f t="shared" ref="AF34:AU34" si="43">AE34</f>
        <v>0</v>
      </c>
      <c r="AG34" s="268">
        <f t="shared" si="43"/>
        <v>0</v>
      </c>
      <c r="AH34" s="268">
        <f t="shared" si="43"/>
        <v>0</v>
      </c>
      <c r="AI34" s="268">
        <f t="shared" si="43"/>
        <v>0</v>
      </c>
      <c r="AJ34" s="268">
        <f t="shared" si="43"/>
        <v>0</v>
      </c>
      <c r="AK34" s="268">
        <f t="shared" si="43"/>
        <v>0</v>
      </c>
      <c r="AL34" s="268">
        <f t="shared" si="43"/>
        <v>0</v>
      </c>
      <c r="AM34" s="268">
        <f t="shared" si="43"/>
        <v>0</v>
      </c>
      <c r="AN34" s="268">
        <f t="shared" si="43"/>
        <v>0</v>
      </c>
      <c r="AO34" s="268">
        <f t="shared" si="43"/>
        <v>0</v>
      </c>
      <c r="AP34" s="268">
        <f t="shared" si="43"/>
        <v>0</v>
      </c>
      <c r="AQ34" s="268">
        <f t="shared" si="43"/>
        <v>0</v>
      </c>
      <c r="AR34" s="268">
        <f t="shared" si="43"/>
        <v>0</v>
      </c>
      <c r="AS34" s="268">
        <f t="shared" si="43"/>
        <v>0</v>
      </c>
      <c r="AT34" s="268">
        <f t="shared" si="43"/>
        <v>0</v>
      </c>
      <c r="AU34" s="268">
        <f t="shared" si="43"/>
        <v>0</v>
      </c>
      <c r="AV34" s="268">
        <f>AU34</f>
        <v>0</v>
      </c>
      <c r="AW34" s="268">
        <f>AV34</f>
        <v>0</v>
      </c>
      <c r="AX34" s="268">
        <f>AW34</f>
        <v>0</v>
      </c>
      <c r="AY34" s="268">
        <f>AX34</f>
        <v>0</v>
      </c>
      <c r="AZ34" s="268">
        <f t="shared" ref="AZ34:BJ34" si="44">AY34</f>
        <v>0</v>
      </c>
      <c r="BA34" s="268">
        <f t="shared" si="44"/>
        <v>0</v>
      </c>
      <c r="BB34" s="268">
        <f t="shared" si="44"/>
        <v>0</v>
      </c>
      <c r="BC34" s="268">
        <f t="shared" si="44"/>
        <v>0</v>
      </c>
      <c r="BD34" s="268">
        <f t="shared" si="44"/>
        <v>0</v>
      </c>
      <c r="BE34" s="268">
        <f t="shared" si="44"/>
        <v>0</v>
      </c>
      <c r="BF34" s="268">
        <f t="shared" si="44"/>
        <v>0</v>
      </c>
      <c r="BG34" s="268">
        <f t="shared" si="44"/>
        <v>0</v>
      </c>
      <c r="BH34" s="268">
        <f t="shared" si="44"/>
        <v>0</v>
      </c>
      <c r="BI34" s="268">
        <f t="shared" si="44"/>
        <v>0</v>
      </c>
      <c r="BJ34" s="268">
        <f t="shared" si="44"/>
        <v>0</v>
      </c>
    </row>
    <row r="35" spans="2:62">
      <c r="B35" s="164" t="s">
        <v>181</v>
      </c>
      <c r="C35" s="244" t="s">
        <v>161</v>
      </c>
      <c r="D35" s="188"/>
      <c r="E35" s="188"/>
      <c r="F35" s="188"/>
      <c r="G35" s="246">
        <f ca="1">SUM(OFFSET($T$35,,(COLUMNS(G$35:$G35)-1)*4,,4))</f>
        <v>-123594.93526224587</v>
      </c>
      <c r="H35" s="246">
        <f ca="1">SUM(OFFSET($T$35,,(COLUMNS($G$35:H35)-1)*4,,4))</f>
        <v>-102721.74951803149</v>
      </c>
      <c r="I35" s="246">
        <f ca="1">SUM(OFFSET($T$35,,(COLUMNS($G$35:I35)-1)*4,,4))</f>
        <v>-99731.305589679861</v>
      </c>
      <c r="J35" s="246">
        <f ca="1">SUM(OFFSET($T$35,,(COLUMNS($G$35:J35)-1)*4,,4))</f>
        <v>-95300.320500232527</v>
      </c>
      <c r="K35" s="246">
        <f ca="1">SUM(OFFSET($T$35,,(COLUMNS($G$35:K35)-1)*4,,4))</f>
        <v>-91349.93589292845</v>
      </c>
      <c r="L35" s="246">
        <f ca="1">SUM(OFFSET($T$35,,(COLUMNS($G$35:L35)-1)*4,,4))</f>
        <v>-86337.25036037981</v>
      </c>
      <c r="M35" s="246">
        <f ca="1">SUM(OFFSET($T$35,,(COLUMNS($G$35:M35)-1)*4,,4))</f>
        <v>-86187.548040464026</v>
      </c>
      <c r="N35" s="246">
        <f ca="1">SUM(OFFSET($T$35,,(COLUMNS($G$35:N35)-1)*4,,4))</f>
        <v>-86187.548040463953</v>
      </c>
      <c r="O35" s="246">
        <f ca="1">SUM(OFFSET($T$35,,(COLUMNS($G$35:O35)-1)*4,,4))</f>
        <v>-86187.548040463924</v>
      </c>
      <c r="P35" s="246">
        <f ca="1">SUM(OFFSET($T$35,,(COLUMNS($G$35:P35)-1)*4,,4))</f>
        <v>-86187.548040463924</v>
      </c>
      <c r="Q35" s="246">
        <f ca="1">SUM(OFFSET($T$35,,(COLUMNS($G$35:Q35)-1)*4,,4))</f>
        <v>-64640.661030347896</v>
      </c>
      <c r="T35" s="246">
        <f>T29+T33+T34</f>
        <v>-22115</v>
      </c>
      <c r="U35" s="246">
        <f t="shared" ref="U35:BJ35" si="45">U29+U33+U34</f>
        <v>-44302</v>
      </c>
      <c r="V35" s="246">
        <f t="shared" si="45"/>
        <v>-34755</v>
      </c>
      <c r="W35" s="246">
        <f t="shared" si="45"/>
        <v>-22422.935262245872</v>
      </c>
      <c r="X35" s="246">
        <f t="shared" ca="1" si="45"/>
        <v>-25152.95628161382</v>
      </c>
      <c r="Y35" s="246">
        <f t="shared" ca="1" si="45"/>
        <v>-25856.264412139226</v>
      </c>
      <c r="Z35" s="246">
        <f t="shared" ca="1" si="45"/>
        <v>-25856.264412139226</v>
      </c>
      <c r="AA35" s="246">
        <f t="shared" ca="1" si="45"/>
        <v>-25856.264412139226</v>
      </c>
      <c r="AB35" s="246">
        <f t="shared" ca="1" si="45"/>
        <v>-25240.639068993052</v>
      </c>
      <c r="AC35" s="246">
        <f t="shared" ca="1" si="45"/>
        <v>-25240.639068993049</v>
      </c>
      <c r="AD35" s="246">
        <f t="shared" ca="1" si="45"/>
        <v>-24625.013725846882</v>
      </c>
      <c r="AE35" s="246">
        <f t="shared" ca="1" si="45"/>
        <v>-24625.013725846882</v>
      </c>
      <c r="AF35" s="246">
        <f t="shared" ca="1" si="45"/>
        <v>-24134.496750058886</v>
      </c>
      <c r="AG35" s="246">
        <f t="shared" ca="1" si="45"/>
        <v>-24134.496750058886</v>
      </c>
      <c r="AH35" s="246">
        <f t="shared" ca="1" si="45"/>
        <v>-23515.663500057373</v>
      </c>
      <c r="AI35" s="246">
        <f t="shared" ca="1" si="45"/>
        <v>-23515.663500057373</v>
      </c>
      <c r="AJ35" s="246">
        <f t="shared" ca="1" si="45"/>
        <v>-22857.266065506697</v>
      </c>
      <c r="AK35" s="246">
        <f t="shared" ca="1" si="45"/>
        <v>-22857.266065506694</v>
      </c>
      <c r="AL35" s="246">
        <f t="shared" ca="1" si="45"/>
        <v>-22817.701880957531</v>
      </c>
      <c r="AM35" s="246">
        <f t="shared" ca="1" si="45"/>
        <v>-22817.701880957531</v>
      </c>
      <c r="AN35" s="246">
        <f t="shared" ca="1" si="45"/>
        <v>-21584.31259009496</v>
      </c>
      <c r="AO35" s="246">
        <f t="shared" ca="1" si="45"/>
        <v>-21584.312590094953</v>
      </c>
      <c r="AP35" s="246">
        <f t="shared" ca="1" si="45"/>
        <v>-21584.312590094953</v>
      </c>
      <c r="AQ35" s="246">
        <f t="shared" ca="1" si="45"/>
        <v>-21584.312590094953</v>
      </c>
      <c r="AR35" s="246">
        <f t="shared" ca="1" si="45"/>
        <v>-21546.887010116014</v>
      </c>
      <c r="AS35" s="246">
        <f t="shared" ca="1" si="45"/>
        <v>-21546.887010116006</v>
      </c>
      <c r="AT35" s="246">
        <f t="shared" ca="1" si="45"/>
        <v>-21546.887010116006</v>
      </c>
      <c r="AU35" s="246">
        <f t="shared" ca="1" si="45"/>
        <v>-21546.887010115999</v>
      </c>
      <c r="AV35" s="246">
        <f t="shared" ca="1" si="45"/>
        <v>-21546.887010115996</v>
      </c>
      <c r="AW35" s="246">
        <f t="shared" ca="1" si="45"/>
        <v>-21546.887010115988</v>
      </c>
      <c r="AX35" s="246">
        <f t="shared" ca="1" si="45"/>
        <v>-21546.887010115988</v>
      </c>
      <c r="AY35" s="246">
        <f t="shared" ca="1" si="45"/>
        <v>-21546.887010115985</v>
      </c>
      <c r="AZ35" s="246">
        <f t="shared" ca="1" si="45"/>
        <v>-21546.887010115988</v>
      </c>
      <c r="BA35" s="246">
        <f t="shared" ca="1" si="45"/>
        <v>-21546.887010115985</v>
      </c>
      <c r="BB35" s="246">
        <f t="shared" ca="1" si="45"/>
        <v>-21546.88701011597</v>
      </c>
      <c r="BC35" s="246">
        <f t="shared" ca="1" si="45"/>
        <v>-21546.887010115985</v>
      </c>
      <c r="BD35" s="246">
        <f t="shared" ca="1" si="45"/>
        <v>-21546.887010115988</v>
      </c>
      <c r="BE35" s="246">
        <f t="shared" ca="1" si="45"/>
        <v>-21546.887010115985</v>
      </c>
      <c r="BF35" s="246">
        <f t="shared" ca="1" si="45"/>
        <v>-21546.88701011597</v>
      </c>
      <c r="BG35" s="246">
        <f t="shared" ca="1" si="45"/>
        <v>-21546.887010115985</v>
      </c>
      <c r="BH35" s="246">
        <f t="shared" ca="1" si="45"/>
        <v>-21546.887010116006</v>
      </c>
      <c r="BI35" s="246">
        <f t="shared" ca="1" si="45"/>
        <v>-21546.887010115985</v>
      </c>
      <c r="BJ35" s="246">
        <f t="shared" ca="1" si="45"/>
        <v>-21546.887010115905</v>
      </c>
    </row>
    <row r="36" spans="2:62">
      <c r="B36" s="164" t="s">
        <v>19</v>
      </c>
      <c r="C36" s="244" t="s">
        <v>161</v>
      </c>
      <c r="D36" s="188"/>
      <c r="E36" s="188"/>
      <c r="F36" s="188"/>
      <c r="G36" s="246">
        <f ca="1">SUM(OFFSET($T$36,,(COLUMNS(G$36:$G36)-1)*4,,4))</f>
        <v>-58257.825799347345</v>
      </c>
      <c r="H36" s="246">
        <f ca="1">SUM(OFFSET($T$36,,(COLUMNS($G$36:H36)-1)*4,,4))</f>
        <v>-38494.882264053886</v>
      </c>
      <c r="I36" s="246">
        <f ca="1">SUM(OFFSET($T$36,,(COLUMNS($G$36:I36)-1)*4,,4))</f>
        <v>-38494.882264053886</v>
      </c>
      <c r="J36" s="246">
        <f ca="1">SUM(OFFSET($T$36,,(COLUMNS($G$36:J36)-1)*4,,4))</f>
        <v>-38494.882264053886</v>
      </c>
      <c r="K36" s="246">
        <f ca="1">SUM(OFFSET($T$36,,(COLUMNS($G$36:K36)-1)*4,,4))</f>
        <v>-38494.882264053878</v>
      </c>
      <c r="L36" s="246">
        <f ca="1">SUM(OFFSET($T$36,,(COLUMNS($G$36:L36)-1)*4,,4))</f>
        <v>-38494.882264053871</v>
      </c>
      <c r="M36" s="246">
        <f ca="1">SUM(OFFSET($T$36,,(COLUMNS($G$36:M36)-1)*4,,4))</f>
        <v>-38494.882264053856</v>
      </c>
      <c r="N36" s="246">
        <f ca="1">SUM(OFFSET($T$36,,(COLUMNS($G$36:N36)-1)*4,,4))</f>
        <v>-38494.882264053827</v>
      </c>
      <c r="O36" s="246">
        <f ca="1">SUM(OFFSET($T$36,,(COLUMNS($G$36:O36)-1)*4,,4))</f>
        <v>-38494.882264053813</v>
      </c>
      <c r="P36" s="246">
        <f ca="1">SUM(OFFSET($T$36,,(COLUMNS($G$36:P36)-1)*4,,4))</f>
        <v>-38494.882264053813</v>
      </c>
      <c r="Q36" s="246">
        <f ca="1">SUM(OFFSET($T$36,,(COLUMNS($G$36:Q36)-1)*4,,4))</f>
        <v>-28871.161698040334</v>
      </c>
      <c r="T36" s="329">
        <v>-8925</v>
      </c>
      <c r="U36" s="329">
        <v>-21199</v>
      </c>
      <c r="V36" s="329">
        <v>-18518</v>
      </c>
      <c r="W36" s="246">
        <f>-W51*W$19/10^3</f>
        <v>-9615.8257993473435</v>
      </c>
      <c r="X36" s="246">
        <f t="shared" ref="X36:BJ36" si="46">-X51*X$19/10^3</f>
        <v>-9623.7205660134714</v>
      </c>
      <c r="Y36" s="246">
        <f t="shared" si="46"/>
        <v>-9623.7205660134714</v>
      </c>
      <c r="Z36" s="246">
        <f t="shared" si="46"/>
        <v>-9623.7205660134714</v>
      </c>
      <c r="AA36" s="246">
        <f t="shared" si="46"/>
        <v>-9623.7205660134714</v>
      </c>
      <c r="AB36" s="246">
        <f t="shared" si="46"/>
        <v>-9623.7205660134714</v>
      </c>
      <c r="AC36" s="246">
        <f t="shared" si="46"/>
        <v>-9623.7205660134696</v>
      </c>
      <c r="AD36" s="246">
        <f t="shared" si="46"/>
        <v>-9623.7205660134714</v>
      </c>
      <c r="AE36" s="246">
        <f t="shared" si="46"/>
        <v>-9623.7205660134714</v>
      </c>
      <c r="AF36" s="246">
        <f t="shared" si="46"/>
        <v>-9623.7205660134714</v>
      </c>
      <c r="AG36" s="246">
        <f t="shared" si="46"/>
        <v>-9623.7205660134714</v>
      </c>
      <c r="AH36" s="246">
        <f t="shared" si="46"/>
        <v>-9623.7205660134696</v>
      </c>
      <c r="AI36" s="246">
        <f t="shared" si="46"/>
        <v>-9623.7205660134696</v>
      </c>
      <c r="AJ36" s="246">
        <f t="shared" si="46"/>
        <v>-9623.7205660134696</v>
      </c>
      <c r="AK36" s="246">
        <f t="shared" si="46"/>
        <v>-9623.7205660134678</v>
      </c>
      <c r="AL36" s="246">
        <f t="shared" si="46"/>
        <v>-9623.7205660134696</v>
      </c>
      <c r="AM36" s="246">
        <f t="shared" si="46"/>
        <v>-9623.7205660134696</v>
      </c>
      <c r="AN36" s="246">
        <f t="shared" si="46"/>
        <v>-9623.7205660134696</v>
      </c>
      <c r="AO36" s="246">
        <f t="shared" si="46"/>
        <v>-9623.7205660134678</v>
      </c>
      <c r="AP36" s="246">
        <f t="shared" si="46"/>
        <v>-9623.7205660134678</v>
      </c>
      <c r="AQ36" s="246">
        <f t="shared" si="46"/>
        <v>-9623.7205660134659</v>
      </c>
      <c r="AR36" s="246">
        <f t="shared" si="46"/>
        <v>-9623.7205660134659</v>
      </c>
      <c r="AS36" s="246">
        <f t="shared" si="46"/>
        <v>-9623.7205660134623</v>
      </c>
      <c r="AT36" s="246">
        <f t="shared" si="46"/>
        <v>-9623.7205660134623</v>
      </c>
      <c r="AU36" s="246">
        <f t="shared" si="46"/>
        <v>-9623.7205660134605</v>
      </c>
      <c r="AV36" s="246">
        <f t="shared" si="46"/>
        <v>-9623.7205660134587</v>
      </c>
      <c r="AW36" s="246">
        <f t="shared" si="46"/>
        <v>-9623.7205660134568</v>
      </c>
      <c r="AX36" s="246">
        <f t="shared" si="46"/>
        <v>-9623.720566013455</v>
      </c>
      <c r="AY36" s="246">
        <f t="shared" si="46"/>
        <v>-9623.7205660134532</v>
      </c>
      <c r="AZ36" s="246">
        <f t="shared" si="46"/>
        <v>-9623.720566013455</v>
      </c>
      <c r="BA36" s="246">
        <f t="shared" si="46"/>
        <v>-9623.7205660134532</v>
      </c>
      <c r="BB36" s="246">
        <f t="shared" si="46"/>
        <v>-9623.7205660134478</v>
      </c>
      <c r="BC36" s="246">
        <f t="shared" si="46"/>
        <v>-9623.7205660134532</v>
      </c>
      <c r="BD36" s="246">
        <f t="shared" si="46"/>
        <v>-9623.7205660134568</v>
      </c>
      <c r="BE36" s="246">
        <f t="shared" si="46"/>
        <v>-9623.7205660134532</v>
      </c>
      <c r="BF36" s="246">
        <f t="shared" si="46"/>
        <v>-9623.7205660134478</v>
      </c>
      <c r="BG36" s="246">
        <f t="shared" si="46"/>
        <v>-9623.7205660134532</v>
      </c>
      <c r="BH36" s="246">
        <f t="shared" si="46"/>
        <v>-9623.7205660134623</v>
      </c>
      <c r="BI36" s="246">
        <f t="shared" si="46"/>
        <v>-9623.7205660134532</v>
      </c>
      <c r="BJ36" s="246">
        <f t="shared" si="46"/>
        <v>-9623.7205660134186</v>
      </c>
    </row>
    <row r="37" spans="2:62">
      <c r="B37" s="247" t="s">
        <v>17</v>
      </c>
      <c r="C37" s="248" t="s">
        <v>161</v>
      </c>
      <c r="D37" s="249"/>
      <c r="E37" s="249"/>
      <c r="F37" s="249"/>
      <c r="G37" s="250">
        <f ca="1">SUM(OFFSET($T$37,,(COLUMNS(G$37:$G37)-1)*4,,4))</f>
        <v>174754.88028600434</v>
      </c>
      <c r="H37" s="250">
        <f ca="1">SUM(OFFSET($T$37,,(COLUMNS($G$37:H37)-1)*4,,4))</f>
        <v>114346.6143598279</v>
      </c>
      <c r="I37" s="250">
        <f ca="1">SUM(OFFSET($T$37,,(COLUMNS($G$37:I37)-1)*4,,4))</f>
        <v>111990.54686261649</v>
      </c>
      <c r="J37" s="250">
        <f ca="1">SUM(OFFSET($T$37,,(COLUMNS($G$37:J37)-1)*4,,4))</f>
        <v>107867.11367116297</v>
      </c>
      <c r="K37" s="250">
        <f ca="1">SUM(OFFSET($T$37,,(COLUMNS($G$37:K37)-1)*4,,4))</f>
        <v>105401.68456779137</v>
      </c>
      <c r="L37" s="250">
        <f ca="1">SUM(OFFSET($T$37,,(COLUMNS($G$37:L37)-1)*4,,4))</f>
        <v>101859.95181943913</v>
      </c>
      <c r="M37" s="250">
        <f ca="1">SUM(OFFSET($T$37,,(COLUMNS($G$37:M37)-1)*4,,4))</f>
        <v>102009.65413935483</v>
      </c>
      <c r="N37" s="250">
        <f ca="1">SUM(OFFSET($T$37,,(COLUMNS($G$37:N37)-1)*4,,4))</f>
        <v>102009.65413935474</v>
      </c>
      <c r="O37" s="250">
        <f ca="1">SUM(OFFSET($T$37,,(COLUMNS($G$37:O37)-1)*4,,4))</f>
        <v>102009.65413935471</v>
      </c>
      <c r="P37" s="250">
        <f ca="1">SUM(OFFSET($T$37,,(COLUMNS($G$37:P37)-1)*4,,4))</f>
        <v>102009.65413935471</v>
      </c>
      <c r="Q37" s="250">
        <f ca="1">SUM(OFFSET($T$37,,(COLUMNS($G$37:Q37)-1)*4,,4))</f>
        <v>76507.240604515973</v>
      </c>
      <c r="T37" s="195">
        <f>T28+T35-T36</f>
        <v>39465</v>
      </c>
      <c r="U37" s="266">
        <f t="shared" ref="U37:BJ37" si="47">U28+U35-U36</f>
        <v>63030</v>
      </c>
      <c r="V37" s="266">
        <f t="shared" si="47"/>
        <v>45984</v>
      </c>
      <c r="W37" s="266">
        <f t="shared" si="47"/>
        <v>26275.880286004343</v>
      </c>
      <c r="X37" s="195">
        <f t="shared" ca="1" si="47"/>
        <v>28312.157974016576</v>
      </c>
      <c r="Y37" s="195">
        <f t="shared" ca="1" si="47"/>
        <v>28678.152128603779</v>
      </c>
      <c r="Z37" s="195">
        <f t="shared" ca="1" si="47"/>
        <v>28678.152128603779</v>
      </c>
      <c r="AA37" s="195">
        <f t="shared" ca="1" si="47"/>
        <v>28678.152128603779</v>
      </c>
      <c r="AB37" s="195">
        <f t="shared" ca="1" si="47"/>
        <v>28224.475186637344</v>
      </c>
      <c r="AC37" s="195">
        <f t="shared" ca="1" si="47"/>
        <v>28224.475186637341</v>
      </c>
      <c r="AD37" s="195">
        <f t="shared" ca="1" si="47"/>
        <v>27770.798244670907</v>
      </c>
      <c r="AE37" s="195">
        <f t="shared" ca="1" si="47"/>
        <v>27770.798244670907</v>
      </c>
      <c r="AF37" s="195">
        <f t="shared" ca="1" si="47"/>
        <v>27192.012935346294</v>
      </c>
      <c r="AG37" s="195">
        <f t="shared" ca="1" si="47"/>
        <v>27192.012935346294</v>
      </c>
      <c r="AH37" s="195">
        <f t="shared" ca="1" si="47"/>
        <v>26741.543900235192</v>
      </c>
      <c r="AI37" s="195">
        <f t="shared" ca="1" si="47"/>
        <v>26741.543900235192</v>
      </c>
      <c r="AJ37" s="195">
        <f t="shared" ca="1" si="47"/>
        <v>26330.639049673257</v>
      </c>
      <c r="AK37" s="195">
        <f t="shared" ca="1" si="47"/>
        <v>26330.639049673253</v>
      </c>
      <c r="AL37" s="195">
        <f t="shared" ca="1" si="47"/>
        <v>26370.203234222427</v>
      </c>
      <c r="AM37" s="195">
        <f t="shared" ca="1" si="47"/>
        <v>26370.203234222427</v>
      </c>
      <c r="AN37" s="195">
        <f t="shared" ca="1" si="47"/>
        <v>25464.987954859782</v>
      </c>
      <c r="AO37" s="195">
        <f t="shared" ca="1" si="47"/>
        <v>25464.987954859778</v>
      </c>
      <c r="AP37" s="195">
        <f t="shared" ca="1" si="47"/>
        <v>25464.987954859778</v>
      </c>
      <c r="AQ37" s="195">
        <f t="shared" ca="1" si="47"/>
        <v>25464.987954859775</v>
      </c>
      <c r="AR37" s="195">
        <f t="shared" ca="1" si="47"/>
        <v>25502.413534838714</v>
      </c>
      <c r="AS37" s="195">
        <f t="shared" ca="1" si="47"/>
        <v>25502.413534838706</v>
      </c>
      <c r="AT37" s="195">
        <f t="shared" ca="1" si="47"/>
        <v>25502.413534838706</v>
      </c>
      <c r="AU37" s="195">
        <f t="shared" ca="1" si="47"/>
        <v>25502.413534838703</v>
      </c>
      <c r="AV37" s="195">
        <f t="shared" ca="1" si="47"/>
        <v>25502.413534838699</v>
      </c>
      <c r="AW37" s="195">
        <f t="shared" ca="1" si="47"/>
        <v>25502.413534838688</v>
      </c>
      <c r="AX37" s="195">
        <f t="shared" ca="1" si="47"/>
        <v>25502.413534838684</v>
      </c>
      <c r="AY37" s="195">
        <f t="shared" ca="1" si="47"/>
        <v>25502.413534838681</v>
      </c>
      <c r="AZ37" s="195">
        <f t="shared" ca="1" si="47"/>
        <v>25502.413534838684</v>
      </c>
      <c r="BA37" s="195">
        <f t="shared" ca="1" si="47"/>
        <v>25502.413534838681</v>
      </c>
      <c r="BB37" s="195">
        <f t="shared" ca="1" si="47"/>
        <v>25502.41353483867</v>
      </c>
      <c r="BC37" s="195">
        <f t="shared" ca="1" si="47"/>
        <v>25502.413534838681</v>
      </c>
      <c r="BD37" s="195">
        <f t="shared" ca="1" si="47"/>
        <v>25502.413534838688</v>
      </c>
      <c r="BE37" s="195">
        <f t="shared" ca="1" si="47"/>
        <v>25502.413534838681</v>
      </c>
      <c r="BF37" s="195">
        <f t="shared" ca="1" si="47"/>
        <v>25502.41353483867</v>
      </c>
      <c r="BG37" s="195">
        <f t="shared" ca="1" si="47"/>
        <v>25502.413534838681</v>
      </c>
      <c r="BH37" s="195">
        <f t="shared" ca="1" si="47"/>
        <v>25502.413534838706</v>
      </c>
      <c r="BI37" s="195">
        <f t="shared" ca="1" si="47"/>
        <v>25502.413534838681</v>
      </c>
      <c r="BJ37" s="195">
        <f t="shared" ca="1" si="47"/>
        <v>25502.41353483859</v>
      </c>
    </row>
    <row r="38" spans="2:62">
      <c r="B38" s="174" t="s">
        <v>76</v>
      </c>
      <c r="C38" s="196" t="s">
        <v>161</v>
      </c>
      <c r="G38" s="89">
        <f ca="1">SUM(OFFSET($T$38,,(COLUMNS(G$38:$G38)-1)*4,,4))</f>
        <v>-14000</v>
      </c>
      <c r="H38" s="89">
        <f ca="1">SUM(OFFSET($T$38,,(COLUMNS($G$38:H38)-1)*4,,4))</f>
        <v>-9837.581023035993</v>
      </c>
      <c r="I38" s="89">
        <f ca="1">SUM(OFFSET($T$38,,(COLUMNS($G$38:I38)-1)*4,,4))</f>
        <v>-9837.581023035993</v>
      </c>
      <c r="J38" s="89">
        <f ca="1">SUM(OFFSET($T$38,,(COLUMNS($G$38:J38)-1)*4,,4))</f>
        <v>-9837.581023035993</v>
      </c>
      <c r="K38" s="89">
        <f ca="1">SUM(OFFSET($T$38,,(COLUMNS($G$38:K38)-1)*4,,4))</f>
        <v>-9837.5810230359912</v>
      </c>
      <c r="L38" s="89">
        <f ca="1">SUM(OFFSET($T$38,,(COLUMNS($G$38:L38)-1)*4,,4))</f>
        <v>-9837.5810230359893</v>
      </c>
      <c r="M38" s="89">
        <f ca="1">SUM(OFFSET($T$38,,(COLUMNS($G$38:M38)-1)*4,,4))</f>
        <v>-9837.5810230359857</v>
      </c>
      <c r="N38" s="89">
        <f ca="1">SUM(OFFSET($T$38,,(COLUMNS($G$38:N38)-1)*4,,4))</f>
        <v>-9837.5810230359784</v>
      </c>
      <c r="O38" s="89">
        <f ca="1">SUM(OFFSET($T$38,,(COLUMNS($G$38:O38)-1)*4,,4))</f>
        <v>-9837.5810230359748</v>
      </c>
      <c r="P38" s="89">
        <f ca="1">SUM(OFFSET($T$38,,(COLUMNS($G$38:P38)-1)*4,,4))</f>
        <v>-9837.5810230359748</v>
      </c>
      <c r="Q38" s="89">
        <f ca="1">SUM(OFFSET($T$38,,(COLUMNS($G$38:Q38)-1)*4,,4))</f>
        <v>-4918.7905115179892</v>
      </c>
      <c r="T38" s="198">
        <v>-995</v>
      </c>
      <c r="U38" s="198">
        <v>-2454</v>
      </c>
      <c r="V38" s="198">
        <v>-4052</v>
      </c>
      <c r="W38" s="198">
        <f>-14000-SUM(T38:V38)</f>
        <v>-6499</v>
      </c>
      <c r="X38" s="89">
        <f>-X47*X$19/10^3</f>
        <v>-2459.3952557589982</v>
      </c>
      <c r="Y38" s="89">
        <f>-Y47*Y$19/10^3</f>
        <v>-2459.3952557589982</v>
      </c>
      <c r="Z38" s="89">
        <f>-Z47*Z$19/10^3</f>
        <v>-2459.3952557589982</v>
      </c>
      <c r="AA38" s="89">
        <f>-AA47*AA$19/10^3</f>
        <v>-2459.3952557589982</v>
      </c>
      <c r="AB38" s="89">
        <f t="shared" ref="AB38:BJ39" si="48">-AB47*AB$19/10^3</f>
        <v>-2459.3952557589982</v>
      </c>
      <c r="AC38" s="89">
        <f t="shared" si="48"/>
        <v>-2459.3952557589978</v>
      </c>
      <c r="AD38" s="89">
        <f t="shared" si="48"/>
        <v>-2459.3952557589982</v>
      </c>
      <c r="AE38" s="89">
        <f t="shared" si="48"/>
        <v>-2459.3952557589982</v>
      </c>
      <c r="AF38" s="89">
        <f t="shared" si="48"/>
        <v>-2459.3952557589982</v>
      </c>
      <c r="AG38" s="89">
        <f t="shared" si="48"/>
        <v>-2459.3952557589982</v>
      </c>
      <c r="AH38" s="89">
        <f t="shared" si="48"/>
        <v>-2459.3952557589978</v>
      </c>
      <c r="AI38" s="89">
        <f t="shared" si="48"/>
        <v>-2459.3952557589978</v>
      </c>
      <c r="AJ38" s="89">
        <f t="shared" si="48"/>
        <v>-2459.3952557589978</v>
      </c>
      <c r="AK38" s="89">
        <f t="shared" si="48"/>
        <v>-2459.3952557589973</v>
      </c>
      <c r="AL38" s="89">
        <f t="shared" si="48"/>
        <v>-2459.3952557589978</v>
      </c>
      <c r="AM38" s="89">
        <f t="shared" si="48"/>
        <v>-2459.3952557589978</v>
      </c>
      <c r="AN38" s="89">
        <f t="shared" si="48"/>
        <v>-2459.3952557589978</v>
      </c>
      <c r="AO38" s="89">
        <f t="shared" si="48"/>
        <v>-2459.3952557589973</v>
      </c>
      <c r="AP38" s="89">
        <f t="shared" si="48"/>
        <v>-2459.3952557589973</v>
      </c>
      <c r="AQ38" s="89">
        <f t="shared" si="48"/>
        <v>-2459.3952557589969</v>
      </c>
      <c r="AR38" s="89">
        <f t="shared" si="48"/>
        <v>-2459.3952557589969</v>
      </c>
      <c r="AS38" s="89">
        <f t="shared" si="48"/>
        <v>-2459.395255758996</v>
      </c>
      <c r="AT38" s="89">
        <f t="shared" si="48"/>
        <v>-2459.395255758996</v>
      </c>
      <c r="AU38" s="89">
        <f t="shared" si="48"/>
        <v>-2459.3952557589955</v>
      </c>
      <c r="AV38" s="89">
        <f t="shared" si="48"/>
        <v>-2459.3952557589951</v>
      </c>
      <c r="AW38" s="89">
        <f t="shared" si="48"/>
        <v>-2459.3952557589942</v>
      </c>
      <c r="AX38" s="89">
        <f t="shared" si="48"/>
        <v>-2459.3952557589942</v>
      </c>
      <c r="AY38" s="89">
        <f t="shared" si="48"/>
        <v>-2459.3952557589937</v>
      </c>
      <c r="AZ38" s="89">
        <f t="shared" si="48"/>
        <v>-2459.3952557589942</v>
      </c>
      <c r="BA38" s="89">
        <f t="shared" si="48"/>
        <v>-2459.3952557589937</v>
      </c>
      <c r="BB38" s="89">
        <f t="shared" si="48"/>
        <v>-2459.3952557589923</v>
      </c>
      <c r="BC38" s="89">
        <f t="shared" si="48"/>
        <v>-2459.3952557589937</v>
      </c>
      <c r="BD38" s="89">
        <f t="shared" si="48"/>
        <v>-2459.3952557589942</v>
      </c>
      <c r="BE38" s="89">
        <f t="shared" si="48"/>
        <v>-2459.3952557589937</v>
      </c>
      <c r="BF38" s="89">
        <f t="shared" si="48"/>
        <v>-2459.3952557589923</v>
      </c>
      <c r="BG38" s="89">
        <f t="shared" si="48"/>
        <v>-2459.3952557589937</v>
      </c>
      <c r="BH38" s="89">
        <f t="shared" si="48"/>
        <v>-2459.395255758996</v>
      </c>
      <c r="BI38" s="89">
        <f t="shared" si="48"/>
        <v>-2459.3952557589937</v>
      </c>
      <c r="BJ38" s="89">
        <f t="shared" si="48"/>
        <v>0</v>
      </c>
    </row>
    <row r="39" spans="2:62">
      <c r="B39" s="174" t="s">
        <v>182</v>
      </c>
      <c r="C39" s="196" t="s">
        <v>161</v>
      </c>
      <c r="G39" s="89">
        <f ca="1">SUM(OFFSET($T$39,,(COLUMNS(G$39:$G39)-1)*4,,4))</f>
        <v>-26000</v>
      </c>
      <c r="H39" s="89">
        <f ca="1">SUM(OFFSET($T$39,,(COLUMNS($G$39:H39)-1)*4,,4))</f>
        <v>-12831.627421351295</v>
      </c>
      <c r="I39" s="89">
        <f ca="1">SUM(OFFSET($T$39,,(COLUMNS($G$39:I39)-1)*4,,4))</f>
        <v>-12831.627421351295</v>
      </c>
      <c r="J39" s="89">
        <f ca="1">SUM(OFFSET($T$39,,(COLUMNS($G$39:J39)-1)*4,,4))</f>
        <v>-12831.627421351295</v>
      </c>
      <c r="K39" s="89">
        <f ca="1">SUM(OFFSET($T$39,,(COLUMNS($G$39:K39)-1)*4,,4))</f>
        <v>-12831.627421351293</v>
      </c>
      <c r="L39" s="89">
        <f ca="1">SUM(OFFSET($T$39,,(COLUMNS($G$39:L39)-1)*4,,4))</f>
        <v>-12831.62742135129</v>
      </c>
      <c r="M39" s="89">
        <f ca="1">SUM(OFFSET($T$39,,(COLUMNS($G$39:M39)-1)*4,,4))</f>
        <v>-12831.627421351284</v>
      </c>
      <c r="N39" s="89">
        <f ca="1">SUM(OFFSET($T$39,,(COLUMNS($G$39:N39)-1)*4,,4))</f>
        <v>-12831.627421351275</v>
      </c>
      <c r="O39" s="89">
        <f ca="1">SUM(OFFSET($T$39,,(COLUMNS($G$39:O39)-1)*4,,4))</f>
        <v>-12831.627421351272</v>
      </c>
      <c r="P39" s="89">
        <f ca="1">SUM(OFFSET($T$39,,(COLUMNS($G$39:P39)-1)*4,,4))</f>
        <v>-12831.627421351272</v>
      </c>
      <c r="Q39" s="89">
        <f ca="1">SUM(OFFSET($T$39,,(COLUMNS($G$39:Q39)-1)*4,,4))</f>
        <v>-9623.7205660134459</v>
      </c>
      <c r="T39" s="198">
        <v>-3747</v>
      </c>
      <c r="U39" s="198">
        <v>-9011</v>
      </c>
      <c r="V39" s="198">
        <v>-7536</v>
      </c>
      <c r="W39" s="198">
        <f>-26000-SUM(T39:V39)</f>
        <v>-5706</v>
      </c>
      <c r="X39" s="89">
        <f t="shared" ref="X39:AA39" si="49">-X48*X$19/10^3</f>
        <v>-3207.9068553378238</v>
      </c>
      <c r="Y39" s="89">
        <f t="shared" si="49"/>
        <v>-3207.9068553378238</v>
      </c>
      <c r="Z39" s="89">
        <f t="shared" si="49"/>
        <v>-3207.9068553378238</v>
      </c>
      <c r="AA39" s="89">
        <f t="shared" si="49"/>
        <v>-3207.9068553378238</v>
      </c>
      <c r="AB39" s="89">
        <f t="shared" si="48"/>
        <v>-3207.9068553378238</v>
      </c>
      <c r="AC39" s="89">
        <f t="shared" si="48"/>
        <v>-3207.9068553378233</v>
      </c>
      <c r="AD39" s="89">
        <f t="shared" si="48"/>
        <v>-3207.9068553378238</v>
      </c>
      <c r="AE39" s="89">
        <f t="shared" si="48"/>
        <v>-3207.9068553378238</v>
      </c>
      <c r="AF39" s="89">
        <f t="shared" si="48"/>
        <v>-3207.9068553378238</v>
      </c>
      <c r="AG39" s="89">
        <f t="shared" si="48"/>
        <v>-3207.9068553378238</v>
      </c>
      <c r="AH39" s="89">
        <f t="shared" si="48"/>
        <v>-3207.9068553378233</v>
      </c>
      <c r="AI39" s="89">
        <f t="shared" si="48"/>
        <v>-3207.9068553378233</v>
      </c>
      <c r="AJ39" s="89">
        <f t="shared" si="48"/>
        <v>-3207.9068553378233</v>
      </c>
      <c r="AK39" s="89">
        <f t="shared" si="48"/>
        <v>-3207.9068553378229</v>
      </c>
      <c r="AL39" s="89">
        <f t="shared" si="48"/>
        <v>-3207.9068553378233</v>
      </c>
      <c r="AM39" s="89">
        <f t="shared" si="48"/>
        <v>-3207.9068553378233</v>
      </c>
      <c r="AN39" s="89">
        <f t="shared" si="48"/>
        <v>-3207.9068553378233</v>
      </c>
      <c r="AO39" s="89">
        <f t="shared" si="48"/>
        <v>-3207.9068553378229</v>
      </c>
      <c r="AP39" s="89">
        <f t="shared" si="48"/>
        <v>-3207.9068553378229</v>
      </c>
      <c r="AQ39" s="89">
        <f t="shared" si="48"/>
        <v>-3207.9068553378224</v>
      </c>
      <c r="AR39" s="89">
        <f t="shared" si="48"/>
        <v>-3207.9068553378224</v>
      </c>
      <c r="AS39" s="89">
        <f t="shared" si="48"/>
        <v>-3207.9068553378211</v>
      </c>
      <c r="AT39" s="89">
        <f t="shared" si="48"/>
        <v>-3207.9068553378211</v>
      </c>
      <c r="AU39" s="89">
        <f t="shared" si="48"/>
        <v>-3207.9068553378206</v>
      </c>
      <c r="AV39" s="89">
        <f t="shared" si="48"/>
        <v>-3207.9068553378202</v>
      </c>
      <c r="AW39" s="89">
        <f t="shared" si="48"/>
        <v>-3207.9068553378193</v>
      </c>
      <c r="AX39" s="89">
        <f t="shared" si="48"/>
        <v>-3207.9068553378183</v>
      </c>
      <c r="AY39" s="89">
        <f t="shared" si="48"/>
        <v>-3207.9068553378179</v>
      </c>
      <c r="AZ39" s="89">
        <f t="shared" si="48"/>
        <v>-3207.9068553378183</v>
      </c>
      <c r="BA39" s="89">
        <f t="shared" si="48"/>
        <v>-3207.9068553378179</v>
      </c>
      <c r="BB39" s="89">
        <f t="shared" si="48"/>
        <v>-3207.9068553378161</v>
      </c>
      <c r="BC39" s="89">
        <f t="shared" si="48"/>
        <v>-3207.9068553378179</v>
      </c>
      <c r="BD39" s="89">
        <f t="shared" si="48"/>
        <v>-3207.9068553378193</v>
      </c>
      <c r="BE39" s="89">
        <f t="shared" si="48"/>
        <v>-3207.9068553378179</v>
      </c>
      <c r="BF39" s="89">
        <f t="shared" si="48"/>
        <v>-3207.9068553378161</v>
      </c>
      <c r="BG39" s="89">
        <f t="shared" si="48"/>
        <v>-3207.9068553378179</v>
      </c>
      <c r="BH39" s="89">
        <f t="shared" si="48"/>
        <v>-3207.9068553378211</v>
      </c>
      <c r="BI39" s="89">
        <f t="shared" si="48"/>
        <v>-3207.9068553378179</v>
      </c>
      <c r="BJ39" s="89">
        <f t="shared" si="48"/>
        <v>-3207.9068553378065</v>
      </c>
    </row>
    <row r="40" spans="2:62">
      <c r="B40" s="164" t="s">
        <v>184</v>
      </c>
      <c r="C40" s="244" t="s">
        <v>161</v>
      </c>
      <c r="D40" s="188"/>
      <c r="E40" s="188"/>
      <c r="F40" s="188"/>
      <c r="G40" s="246">
        <f ca="1">SUM(OFFSET($T$40,,(COLUMNS(G$40:$G40)-1)*4,,4))</f>
        <v>-40000</v>
      </c>
      <c r="H40" s="246">
        <f ca="1">SUM(OFFSET($T$40,,(COLUMNS($G$40:H40)-1)*4,,4))</f>
        <v>-22669.208444387288</v>
      </c>
      <c r="I40" s="246">
        <f ca="1">SUM(OFFSET($T$40,,(COLUMNS($G$40:I40)-1)*4,,4))</f>
        <v>-22669.208444387288</v>
      </c>
      <c r="J40" s="246">
        <f ca="1">SUM(OFFSET($T$40,,(COLUMNS($G$40:J40)-1)*4,,4))</f>
        <v>-22669.208444387288</v>
      </c>
      <c r="K40" s="246">
        <f ca="1">SUM(OFFSET($T$40,,(COLUMNS($G$40:K40)-1)*4,,4))</f>
        <v>-22669.208444387285</v>
      </c>
      <c r="L40" s="246">
        <f ca="1">SUM(OFFSET($T$40,,(COLUMNS($G$40:L40)-1)*4,,4))</f>
        <v>-22669.208444387281</v>
      </c>
      <c r="M40" s="246">
        <f ca="1">SUM(OFFSET($T$40,,(COLUMNS($G$40:M40)-1)*4,,4))</f>
        <v>-22669.208444387274</v>
      </c>
      <c r="N40" s="246">
        <f ca="1">SUM(OFFSET($T$40,,(COLUMNS($G$40:N40)-1)*4,,4))</f>
        <v>-22669.208444387252</v>
      </c>
      <c r="O40" s="246">
        <f ca="1">SUM(OFFSET($T$40,,(COLUMNS($G$40:O40)-1)*4,,4))</f>
        <v>-22669.208444387245</v>
      </c>
      <c r="P40" s="246">
        <f ca="1">SUM(OFFSET($T$40,,(COLUMNS($G$40:P40)-1)*4,,4))</f>
        <v>-22669.208444387245</v>
      </c>
      <c r="Q40" s="246">
        <f ca="1">SUM(OFFSET($T$40,,(COLUMNS($G$40:Q40)-1)*4,,4))</f>
        <v>-14542.511077531435</v>
      </c>
      <c r="T40" s="89">
        <f t="shared" ref="T40:BJ40" si="50">SUM(T38:T39)</f>
        <v>-4742</v>
      </c>
      <c r="U40" s="246">
        <f t="shared" si="50"/>
        <v>-11465</v>
      </c>
      <c r="V40" s="246">
        <f t="shared" si="50"/>
        <v>-11588</v>
      </c>
      <c r="W40" s="254">
        <f t="shared" si="50"/>
        <v>-12205</v>
      </c>
      <c r="X40" s="254">
        <f t="shared" si="50"/>
        <v>-5667.302111096822</v>
      </c>
      <c r="Y40" s="254">
        <f t="shared" si="50"/>
        <v>-5667.302111096822</v>
      </c>
      <c r="Z40" s="254">
        <f t="shared" si="50"/>
        <v>-5667.302111096822</v>
      </c>
      <c r="AA40" s="254">
        <f t="shared" si="50"/>
        <v>-5667.302111096822</v>
      </c>
      <c r="AB40" s="254">
        <f t="shared" si="50"/>
        <v>-5667.302111096822</v>
      </c>
      <c r="AC40" s="254">
        <f t="shared" si="50"/>
        <v>-5667.3021110968211</v>
      </c>
      <c r="AD40" s="254">
        <f t="shared" si="50"/>
        <v>-5667.302111096822</v>
      </c>
      <c r="AE40" s="254">
        <f t="shared" si="50"/>
        <v>-5667.302111096822</v>
      </c>
      <c r="AF40" s="254">
        <f t="shared" si="50"/>
        <v>-5667.302111096822</v>
      </c>
      <c r="AG40" s="254">
        <f t="shared" si="50"/>
        <v>-5667.302111096822</v>
      </c>
      <c r="AH40" s="254">
        <f t="shared" si="50"/>
        <v>-5667.3021110968211</v>
      </c>
      <c r="AI40" s="254">
        <f t="shared" si="50"/>
        <v>-5667.3021110968211</v>
      </c>
      <c r="AJ40" s="254">
        <f t="shared" si="50"/>
        <v>-5667.3021110968211</v>
      </c>
      <c r="AK40" s="254">
        <f t="shared" si="50"/>
        <v>-5667.3021110968202</v>
      </c>
      <c r="AL40" s="254">
        <f t="shared" si="50"/>
        <v>-5667.3021110968211</v>
      </c>
      <c r="AM40" s="254">
        <f t="shared" si="50"/>
        <v>-5667.3021110968211</v>
      </c>
      <c r="AN40" s="254">
        <f t="shared" si="50"/>
        <v>-5667.3021110968211</v>
      </c>
      <c r="AO40" s="254">
        <f t="shared" si="50"/>
        <v>-5667.3021110968202</v>
      </c>
      <c r="AP40" s="254">
        <f t="shared" si="50"/>
        <v>-5667.3021110968202</v>
      </c>
      <c r="AQ40" s="254">
        <f t="shared" si="50"/>
        <v>-5667.3021110968193</v>
      </c>
      <c r="AR40" s="254">
        <f t="shared" si="50"/>
        <v>-5667.3021110968193</v>
      </c>
      <c r="AS40" s="254">
        <f t="shared" si="50"/>
        <v>-5667.3021110968166</v>
      </c>
      <c r="AT40" s="254">
        <f t="shared" si="50"/>
        <v>-5667.3021110968166</v>
      </c>
      <c r="AU40" s="254">
        <f t="shared" si="50"/>
        <v>-5667.3021110968166</v>
      </c>
      <c r="AV40" s="254">
        <f t="shared" si="50"/>
        <v>-5667.3021110968148</v>
      </c>
      <c r="AW40" s="254">
        <f t="shared" si="50"/>
        <v>-5667.302111096813</v>
      </c>
      <c r="AX40" s="254">
        <f t="shared" si="50"/>
        <v>-5667.302111096813</v>
      </c>
      <c r="AY40" s="254">
        <f t="shared" si="50"/>
        <v>-5667.3021110968111</v>
      </c>
      <c r="AZ40" s="254">
        <f t="shared" si="50"/>
        <v>-5667.302111096813</v>
      </c>
      <c r="BA40" s="254">
        <f t="shared" si="50"/>
        <v>-5667.3021110968111</v>
      </c>
      <c r="BB40" s="254">
        <f t="shared" si="50"/>
        <v>-5667.3021110968084</v>
      </c>
      <c r="BC40" s="254">
        <f t="shared" si="50"/>
        <v>-5667.3021110968111</v>
      </c>
      <c r="BD40" s="254">
        <f t="shared" si="50"/>
        <v>-5667.302111096813</v>
      </c>
      <c r="BE40" s="254">
        <f t="shared" si="50"/>
        <v>-5667.3021110968111</v>
      </c>
      <c r="BF40" s="254">
        <f t="shared" si="50"/>
        <v>-5667.3021110968084</v>
      </c>
      <c r="BG40" s="254">
        <f t="shared" si="50"/>
        <v>-5667.3021110968111</v>
      </c>
      <c r="BH40" s="254">
        <f t="shared" si="50"/>
        <v>-5667.3021110968166</v>
      </c>
      <c r="BI40" s="254">
        <f t="shared" si="50"/>
        <v>-5667.3021110968111</v>
      </c>
      <c r="BJ40" s="254">
        <f t="shared" si="50"/>
        <v>-3207.9068553378065</v>
      </c>
    </row>
    <row r="41" spans="2:62">
      <c r="B41" s="247" t="s">
        <v>183</v>
      </c>
      <c r="C41" s="248" t="s">
        <v>161</v>
      </c>
      <c r="D41" s="249"/>
      <c r="E41" s="249"/>
      <c r="F41" s="249"/>
      <c r="G41" s="89">
        <f ca="1">SUM(OFFSET($T$41,,(COLUMNS(G$41:$G41)-1)*4,,4))</f>
        <v>-137594.93526224588</v>
      </c>
      <c r="H41" s="250">
        <f ca="1">SUM(OFFSET($T$41,,(COLUMNS($G$41:H41)-1)*4,,4))</f>
        <v>-112559.33054106749</v>
      </c>
      <c r="I41" s="250">
        <f ca="1">SUM(OFFSET($T$41,,(COLUMNS($G$41:I41)-1)*4,,4))</f>
        <v>-109568.88661271587</v>
      </c>
      <c r="J41" s="250">
        <f ca="1">SUM(OFFSET($T$41,,(COLUMNS($G$41:J41)-1)*4,,4))</f>
        <v>-105137.90152326851</v>
      </c>
      <c r="K41" s="250">
        <f ca="1">SUM(OFFSET($T$41,,(COLUMNS($G$41:K41)-1)*4,,4))</f>
        <v>-101187.51691596446</v>
      </c>
      <c r="L41" s="250">
        <f ca="1">SUM(OFFSET($T$41,,(COLUMNS($G$41:L41)-1)*4,,4))</f>
        <v>-96174.831383415803</v>
      </c>
      <c r="M41" s="250">
        <f ca="1">SUM(OFFSET($T$41,,(COLUMNS($G$41:M41)-1)*4,,4))</f>
        <v>-96025.129063500004</v>
      </c>
      <c r="N41" s="250">
        <f ca="1">SUM(OFFSET($T$41,,(COLUMNS($G$41:N41)-1)*4,,4))</f>
        <v>-96025.129063499931</v>
      </c>
      <c r="O41" s="250">
        <f ca="1">SUM(OFFSET($T$41,,(COLUMNS($G$41:O41)-1)*4,,4))</f>
        <v>-96025.129063499902</v>
      </c>
      <c r="P41" s="250">
        <f ca="1">SUM(OFFSET($T$41,,(COLUMNS($G$41:P41)-1)*4,,4))</f>
        <v>-96025.129063499902</v>
      </c>
      <c r="Q41" s="250">
        <f ca="1">SUM(OFFSET($T$41,,(COLUMNS($G$41:Q41)-1)*4,,4))</f>
        <v>-69559.451541865885</v>
      </c>
      <c r="T41" s="89">
        <f t="shared" ref="T41:AU41" si="51">T35+T38</f>
        <v>-23110</v>
      </c>
      <c r="U41" s="89">
        <f t="shared" si="51"/>
        <v>-46756</v>
      </c>
      <c r="V41" s="89">
        <f>V35+V38</f>
        <v>-38807</v>
      </c>
      <c r="W41" s="250">
        <f t="shared" si="51"/>
        <v>-28921.935262245872</v>
      </c>
      <c r="X41" s="250">
        <f t="shared" ca="1" si="51"/>
        <v>-27612.351537372819</v>
      </c>
      <c r="Y41" s="250">
        <f t="shared" ca="1" si="51"/>
        <v>-28315.659667898224</v>
      </c>
      <c r="Z41" s="250">
        <f t="shared" ca="1" si="51"/>
        <v>-28315.659667898224</v>
      </c>
      <c r="AA41" s="250">
        <f t="shared" ca="1" si="51"/>
        <v>-28315.659667898224</v>
      </c>
      <c r="AB41" s="250">
        <f t="shared" ca="1" si="51"/>
        <v>-27700.03432475205</v>
      </c>
      <c r="AC41" s="250">
        <f t="shared" ca="1" si="51"/>
        <v>-27700.034324752047</v>
      </c>
      <c r="AD41" s="250">
        <f t="shared" ca="1" si="51"/>
        <v>-27084.40898160588</v>
      </c>
      <c r="AE41" s="250">
        <f t="shared" ca="1" si="51"/>
        <v>-27084.40898160588</v>
      </c>
      <c r="AF41" s="250">
        <f t="shared" ca="1" si="51"/>
        <v>-26593.892005817885</v>
      </c>
      <c r="AG41" s="250">
        <f t="shared" ca="1" si="51"/>
        <v>-26593.892005817885</v>
      </c>
      <c r="AH41" s="250">
        <f t="shared" ca="1" si="51"/>
        <v>-25975.058755816372</v>
      </c>
      <c r="AI41" s="250">
        <f t="shared" ca="1" si="51"/>
        <v>-25975.058755816372</v>
      </c>
      <c r="AJ41" s="250">
        <f t="shared" ca="1" si="51"/>
        <v>-25316.661321265696</v>
      </c>
      <c r="AK41" s="250">
        <f t="shared" ca="1" si="51"/>
        <v>-25316.661321265692</v>
      </c>
      <c r="AL41" s="250">
        <f t="shared" ca="1" si="51"/>
        <v>-25277.097136716529</v>
      </c>
      <c r="AM41" s="250">
        <f t="shared" ca="1" si="51"/>
        <v>-25277.097136716529</v>
      </c>
      <c r="AN41" s="250">
        <f t="shared" ca="1" si="51"/>
        <v>-24043.707845853958</v>
      </c>
      <c r="AO41" s="250">
        <f t="shared" ca="1" si="51"/>
        <v>-24043.707845853951</v>
      </c>
      <c r="AP41" s="250">
        <f t="shared" ca="1" si="51"/>
        <v>-24043.707845853951</v>
      </c>
      <c r="AQ41" s="250">
        <f t="shared" ca="1" si="51"/>
        <v>-24043.707845853951</v>
      </c>
      <c r="AR41" s="250">
        <f t="shared" ca="1" si="51"/>
        <v>-24006.282265875012</v>
      </c>
      <c r="AS41" s="250">
        <f t="shared" ca="1" si="51"/>
        <v>-24006.282265875001</v>
      </c>
      <c r="AT41" s="250">
        <f t="shared" ca="1" si="51"/>
        <v>-24006.282265875001</v>
      </c>
      <c r="AU41" s="250">
        <f t="shared" ca="1" si="51"/>
        <v>-24006.282265874994</v>
      </c>
      <c r="AV41" s="250">
        <f ca="1">AV35+AV38</f>
        <v>-24006.28226587499</v>
      </c>
      <c r="AW41" s="250">
        <f ca="1">AW35+AW38</f>
        <v>-24006.282265874983</v>
      </c>
      <c r="AX41" s="250">
        <f ca="1">AX35+AX38</f>
        <v>-24006.282265874983</v>
      </c>
      <c r="AY41" s="250">
        <f ca="1">AY35+AY38</f>
        <v>-24006.282265874979</v>
      </c>
      <c r="AZ41" s="250">
        <f t="shared" ref="AZ41:BJ41" ca="1" si="52">AZ35+AZ38</f>
        <v>-24006.282265874983</v>
      </c>
      <c r="BA41" s="250">
        <f t="shared" ca="1" si="52"/>
        <v>-24006.282265874979</v>
      </c>
      <c r="BB41" s="250">
        <f t="shared" ca="1" si="52"/>
        <v>-24006.282265874961</v>
      </c>
      <c r="BC41" s="250">
        <f t="shared" ca="1" si="52"/>
        <v>-24006.282265874979</v>
      </c>
      <c r="BD41" s="250">
        <f t="shared" ca="1" si="52"/>
        <v>-24006.282265874983</v>
      </c>
      <c r="BE41" s="250">
        <f t="shared" ca="1" si="52"/>
        <v>-24006.282265874979</v>
      </c>
      <c r="BF41" s="250">
        <f t="shared" ca="1" si="52"/>
        <v>-24006.282265874961</v>
      </c>
      <c r="BG41" s="250">
        <f t="shared" ca="1" si="52"/>
        <v>-24006.282265874979</v>
      </c>
      <c r="BH41" s="250">
        <f t="shared" ca="1" si="52"/>
        <v>-24006.282265875001</v>
      </c>
      <c r="BI41" s="250">
        <f t="shared" ca="1" si="52"/>
        <v>-24006.282265874979</v>
      </c>
      <c r="BJ41" s="250">
        <f t="shared" ca="1" si="52"/>
        <v>-21546.887010115905</v>
      </c>
    </row>
    <row r="42" spans="2:62">
      <c r="B42" s="251" t="s">
        <v>185</v>
      </c>
      <c r="C42" s="248" t="s">
        <v>161</v>
      </c>
      <c r="D42" s="249"/>
      <c r="E42" s="249"/>
      <c r="F42" s="249"/>
      <c r="G42" s="250">
        <f ca="1">SUM(OFFSET($T$42,,(COLUMNS(G$42:$G42)-1)*4,,4))</f>
        <v>-163594.93526224588</v>
      </c>
      <c r="H42" s="250">
        <f ca="1">SUM(OFFSET($T$42,,(COLUMNS($G$42:H42)-1)*4,,4))</f>
        <v>-125390.95796241879</v>
      </c>
      <c r="I42" s="250">
        <f ca="1">SUM(OFFSET($T$42,,(COLUMNS($G$42:I42)-1)*4,,4))</f>
        <v>-122400.51403406715</v>
      </c>
      <c r="J42" s="250">
        <f ca="1">SUM(OFFSET($T$42,,(COLUMNS($G$42:J42)-1)*4,,4))</f>
        <v>-117969.52894461981</v>
      </c>
      <c r="K42" s="250">
        <f ca="1">SUM(OFFSET($T$42,,(COLUMNS($G$42:K42)-1)*4,,4))</f>
        <v>-114019.14433731574</v>
      </c>
      <c r="L42" s="250">
        <f ca="1">SUM(OFFSET($T$42,,(COLUMNS($G$42:L42)-1)*4,,4))</f>
        <v>-109006.45880476711</v>
      </c>
      <c r="M42" s="250">
        <f ca="1">SUM(OFFSET($T$42,,(COLUMNS($G$42:M42)-1)*4,,4))</f>
        <v>-108856.75648485128</v>
      </c>
      <c r="N42" s="250">
        <f ca="1">SUM(OFFSET($T$42,,(COLUMNS($G$42:N42)-1)*4,,4))</f>
        <v>-108856.75648485121</v>
      </c>
      <c r="O42" s="250">
        <f ca="1">SUM(OFFSET($T$42,,(COLUMNS($G$42:O42)-1)*4,,4))</f>
        <v>-108856.75648485117</v>
      </c>
      <c r="P42" s="250">
        <f ca="1">SUM(OFFSET($T$42,,(COLUMNS($G$42:P42)-1)*4,,4))</f>
        <v>-108856.75648485117</v>
      </c>
      <c r="Q42" s="250">
        <f ca="1">SUM(OFFSET($T$42,,(COLUMNS($G$42:Q42)-1)*4,,4))</f>
        <v>-79183.172107879334</v>
      </c>
      <c r="T42" s="250">
        <f t="shared" ref="T42:BJ42" si="53">T41+T39</f>
        <v>-26857</v>
      </c>
      <c r="U42" s="250">
        <f t="shared" si="53"/>
        <v>-55767</v>
      </c>
      <c r="V42" s="250">
        <f t="shared" si="53"/>
        <v>-46343</v>
      </c>
      <c r="W42" s="250">
        <f t="shared" si="53"/>
        <v>-34627.935262245868</v>
      </c>
      <c r="X42" s="250">
        <f t="shared" ca="1" si="53"/>
        <v>-30820.258392710643</v>
      </c>
      <c r="Y42" s="250">
        <f t="shared" ca="1" si="53"/>
        <v>-31523.566523236048</v>
      </c>
      <c r="Z42" s="250">
        <f t="shared" ca="1" si="53"/>
        <v>-31523.566523236048</v>
      </c>
      <c r="AA42" s="250">
        <f t="shared" ca="1" si="53"/>
        <v>-31523.566523236048</v>
      </c>
      <c r="AB42" s="250">
        <f t="shared" ca="1" si="53"/>
        <v>-30907.941180089874</v>
      </c>
      <c r="AC42" s="250">
        <f t="shared" ca="1" si="53"/>
        <v>-30907.941180089871</v>
      </c>
      <c r="AD42" s="250">
        <f t="shared" ca="1" si="53"/>
        <v>-30292.315836943704</v>
      </c>
      <c r="AE42" s="250">
        <f t="shared" ca="1" si="53"/>
        <v>-30292.315836943704</v>
      </c>
      <c r="AF42" s="250">
        <f t="shared" ca="1" si="53"/>
        <v>-29801.798861155708</v>
      </c>
      <c r="AG42" s="250">
        <f t="shared" ca="1" si="53"/>
        <v>-29801.798861155708</v>
      </c>
      <c r="AH42" s="250">
        <f t="shared" ca="1" si="53"/>
        <v>-29182.965611154195</v>
      </c>
      <c r="AI42" s="250">
        <f t="shared" ca="1" si="53"/>
        <v>-29182.965611154195</v>
      </c>
      <c r="AJ42" s="250">
        <f t="shared" ca="1" si="53"/>
        <v>-28524.56817660352</v>
      </c>
      <c r="AK42" s="250">
        <f t="shared" ca="1" si="53"/>
        <v>-28524.568176603516</v>
      </c>
      <c r="AL42" s="250">
        <f t="shared" ca="1" si="53"/>
        <v>-28485.003992054353</v>
      </c>
      <c r="AM42" s="250">
        <f t="shared" ca="1" si="53"/>
        <v>-28485.003992054353</v>
      </c>
      <c r="AN42" s="250">
        <f t="shared" ca="1" si="53"/>
        <v>-27251.614701191782</v>
      </c>
      <c r="AO42" s="250">
        <f t="shared" ca="1" si="53"/>
        <v>-27251.614701191775</v>
      </c>
      <c r="AP42" s="250">
        <f t="shared" ca="1" si="53"/>
        <v>-27251.614701191775</v>
      </c>
      <c r="AQ42" s="250">
        <f t="shared" ca="1" si="53"/>
        <v>-27251.614701191775</v>
      </c>
      <c r="AR42" s="250">
        <f t="shared" ca="1" si="53"/>
        <v>-27214.189121212836</v>
      </c>
      <c r="AS42" s="250">
        <f t="shared" ca="1" si="53"/>
        <v>-27214.189121212821</v>
      </c>
      <c r="AT42" s="250">
        <f t="shared" ca="1" si="53"/>
        <v>-27214.189121212821</v>
      </c>
      <c r="AU42" s="250">
        <f t="shared" ca="1" si="53"/>
        <v>-27214.189121212814</v>
      </c>
      <c r="AV42" s="250">
        <f t="shared" ca="1" si="53"/>
        <v>-27214.18912121281</v>
      </c>
      <c r="AW42" s="250">
        <f t="shared" ca="1" si="53"/>
        <v>-27214.189121212803</v>
      </c>
      <c r="AX42" s="250">
        <f t="shared" ca="1" si="53"/>
        <v>-27214.189121212803</v>
      </c>
      <c r="AY42" s="250">
        <f t="shared" ca="1" si="53"/>
        <v>-27214.189121212796</v>
      </c>
      <c r="AZ42" s="250">
        <f t="shared" ca="1" si="53"/>
        <v>-27214.189121212803</v>
      </c>
      <c r="BA42" s="250">
        <f t="shared" ca="1" si="53"/>
        <v>-27214.189121212796</v>
      </c>
      <c r="BB42" s="250">
        <f t="shared" ca="1" si="53"/>
        <v>-27214.189121212778</v>
      </c>
      <c r="BC42" s="250">
        <f t="shared" ca="1" si="53"/>
        <v>-27214.189121212796</v>
      </c>
      <c r="BD42" s="250">
        <f t="shared" ca="1" si="53"/>
        <v>-27214.189121212803</v>
      </c>
      <c r="BE42" s="250">
        <f t="shared" ca="1" si="53"/>
        <v>-27214.189121212796</v>
      </c>
      <c r="BF42" s="250">
        <f t="shared" ca="1" si="53"/>
        <v>-27214.189121212778</v>
      </c>
      <c r="BG42" s="250">
        <f t="shared" ca="1" si="53"/>
        <v>-27214.189121212796</v>
      </c>
      <c r="BH42" s="250">
        <f t="shared" ca="1" si="53"/>
        <v>-27214.189121212821</v>
      </c>
      <c r="BI42" s="250">
        <f t="shared" ca="1" si="53"/>
        <v>-27214.189121212796</v>
      </c>
      <c r="BJ42" s="250">
        <f t="shared" ca="1" si="53"/>
        <v>-24754.79386545371</v>
      </c>
    </row>
    <row r="43" spans="2:62">
      <c r="B43" s="251" t="s">
        <v>186</v>
      </c>
      <c r="C43" s="247" t="s">
        <v>187</v>
      </c>
      <c r="D43" s="249"/>
      <c r="E43" s="249"/>
      <c r="F43" s="249"/>
      <c r="G43" s="195">
        <f t="shared" ref="G43:Q43" ca="1" si="54">-G35/G22*1000</f>
        <v>1020.0673754907394</v>
      </c>
      <c r="H43" s="195">
        <f t="shared" ca="1" si="54"/>
        <v>847.7944926654551</v>
      </c>
      <c r="I43" s="195">
        <f t="shared" ca="1" si="54"/>
        <v>1165.8455585734719</v>
      </c>
      <c r="J43" s="195">
        <f t="shared" ca="1" si="54"/>
        <v>1114.0479383970044</v>
      </c>
      <c r="K43" s="195">
        <f t="shared" ca="1" si="54"/>
        <v>1067.8684732646534</v>
      </c>
      <c r="L43" s="195">
        <f t="shared" ca="1" si="54"/>
        <v>1009.2708530881855</v>
      </c>
      <c r="M43" s="195">
        <f t="shared" ca="1" si="54"/>
        <v>1007.5208530881856</v>
      </c>
      <c r="N43" s="195">
        <f t="shared" ca="1" si="54"/>
        <v>1007.5208530881856</v>
      </c>
      <c r="O43" s="195">
        <f t="shared" ca="1" si="54"/>
        <v>1007.5208530881856</v>
      </c>
      <c r="P43" s="195">
        <f t="shared" ca="1" si="54"/>
        <v>1007.5208530881856</v>
      </c>
      <c r="Q43" s="195">
        <f t="shared" ca="1" si="54"/>
        <v>1007.5208530881858</v>
      </c>
      <c r="T43" s="195">
        <f>-T35/T22*1000</f>
        <v>745.96910207110568</v>
      </c>
      <c r="U43" s="195">
        <f t="shared" ref="U43:AU43" si="55">-U35/U22*1000</f>
        <v>928.1404508505824</v>
      </c>
      <c r="V43" s="195">
        <f t="shared" si="55"/>
        <v>982.89027149321259</v>
      </c>
      <c r="W43" s="195">
        <f t="shared" si="55"/>
        <v>1049.3452230275952</v>
      </c>
      <c r="X43" s="195">
        <f t="shared" ca="1" si="55"/>
        <v>1176.138713617589</v>
      </c>
      <c r="Y43" s="195">
        <f t="shared" ca="1" si="55"/>
        <v>1209.0250237058228</v>
      </c>
      <c r="Z43" s="195">
        <f t="shared" ca="1" si="55"/>
        <v>1209.0250237058228</v>
      </c>
      <c r="AA43" s="195">
        <f t="shared" ca="1" si="55"/>
        <v>1209.0250237058228</v>
      </c>
      <c r="AB43" s="195">
        <f t="shared" ca="1" si="55"/>
        <v>1180.2387136175889</v>
      </c>
      <c r="AC43" s="195">
        <f t="shared" ca="1" si="55"/>
        <v>1180.2387136175889</v>
      </c>
      <c r="AD43" s="195">
        <f t="shared" ca="1" si="55"/>
        <v>1151.452403529355</v>
      </c>
      <c r="AE43" s="195">
        <f t="shared" ca="1" si="55"/>
        <v>1151.452403529355</v>
      </c>
      <c r="AF43" s="195">
        <f t="shared" ca="1" si="55"/>
        <v>1128.516093441121</v>
      </c>
      <c r="AG43" s="195">
        <f t="shared" ca="1" si="55"/>
        <v>1128.516093441121</v>
      </c>
      <c r="AH43" s="195">
        <f t="shared" ca="1" si="55"/>
        <v>1099.5797833528873</v>
      </c>
      <c r="AI43" s="195">
        <f t="shared" ca="1" si="55"/>
        <v>1099.5797833528873</v>
      </c>
      <c r="AJ43" s="195">
        <f t="shared" ca="1" si="55"/>
        <v>1068.7934732646536</v>
      </c>
      <c r="AK43" s="195">
        <f t="shared" ca="1" si="55"/>
        <v>1068.7934732646536</v>
      </c>
      <c r="AL43" s="195">
        <f t="shared" ca="1" si="55"/>
        <v>1066.9434732646534</v>
      </c>
      <c r="AM43" s="195">
        <f t="shared" ca="1" si="55"/>
        <v>1066.9434732646534</v>
      </c>
      <c r="AN43" s="195">
        <f t="shared" ca="1" si="55"/>
        <v>1009.2708530881857</v>
      </c>
      <c r="AO43" s="195">
        <f t="shared" ca="1" si="55"/>
        <v>1009.2708530881855</v>
      </c>
      <c r="AP43" s="195">
        <f t="shared" ca="1" si="55"/>
        <v>1009.2708530881855</v>
      </c>
      <c r="AQ43" s="195">
        <f t="shared" ca="1" si="55"/>
        <v>1009.2708530881857</v>
      </c>
      <c r="AR43" s="195">
        <f t="shared" ca="1" si="55"/>
        <v>1007.5208530881858</v>
      </c>
      <c r="AS43" s="195">
        <f t="shared" ca="1" si="55"/>
        <v>1007.5208530881858</v>
      </c>
      <c r="AT43" s="195">
        <f t="shared" ca="1" si="55"/>
        <v>1007.5208530881858</v>
      </c>
      <c r="AU43" s="195">
        <f t="shared" ca="1" si="55"/>
        <v>1007.5208530881856</v>
      </c>
      <c r="AV43" s="195">
        <f ca="1">-AV35/AV22*1000</f>
        <v>1007.5208530881856</v>
      </c>
      <c r="AW43" s="195">
        <f ca="1">-AW35/AW22*1000</f>
        <v>1007.5208530881856</v>
      </c>
      <c r="AX43" s="195">
        <f ca="1">-AX35/AX22*1000</f>
        <v>1007.5208530881858</v>
      </c>
      <c r="AY43" s="195">
        <f ca="1">-AY35/AY22*1000</f>
        <v>1007.5208530881858</v>
      </c>
      <c r="AZ43" s="195">
        <f t="shared" ref="AZ43:BJ43" ca="1" si="56">-AZ35/AZ22*1000</f>
        <v>1007.5208530881858</v>
      </c>
      <c r="BA43" s="195">
        <f t="shared" ca="1" si="56"/>
        <v>1007.5208530881858</v>
      </c>
      <c r="BB43" s="195">
        <f t="shared" ca="1" si="56"/>
        <v>1007.5208530881856</v>
      </c>
      <c r="BC43" s="195">
        <f t="shared" ca="1" si="56"/>
        <v>1007.5208530881858</v>
      </c>
      <c r="BD43" s="195">
        <f t="shared" ca="1" si="56"/>
        <v>1007.5208530881856</v>
      </c>
      <c r="BE43" s="195">
        <f t="shared" ca="1" si="56"/>
        <v>1007.5208530881858</v>
      </c>
      <c r="BF43" s="195">
        <f t="shared" ca="1" si="56"/>
        <v>1007.5208530881856</v>
      </c>
      <c r="BG43" s="195">
        <f t="shared" ca="1" si="56"/>
        <v>1007.5208530881858</v>
      </c>
      <c r="BH43" s="195">
        <f t="shared" ca="1" si="56"/>
        <v>1007.5208530881858</v>
      </c>
      <c r="BI43" s="195">
        <f t="shared" ca="1" si="56"/>
        <v>1007.5208530881858</v>
      </c>
      <c r="BJ43" s="195">
        <f t="shared" ca="1" si="56"/>
        <v>1007.5208530881856</v>
      </c>
    </row>
    <row r="44" spans="2:62">
      <c r="B44" s="251" t="s">
        <v>188</v>
      </c>
      <c r="C44" s="247" t="s">
        <v>187</v>
      </c>
      <c r="D44" s="249"/>
      <c r="E44" s="249"/>
      <c r="F44" s="249"/>
      <c r="G44" s="195">
        <f ca="1">-G41/G22*1000</f>
        <v>1135.6137223258165</v>
      </c>
      <c r="H44" s="195">
        <f ca="1">-H41/H22*1000</f>
        <v>928.98710330159008</v>
      </c>
      <c r="I44" s="195">
        <f t="shared" ref="I44:Q44" ca="1" si="57">-I41/I22*1000</f>
        <v>1280.8455585734719</v>
      </c>
      <c r="J44" s="195">
        <f t="shared" ca="1" si="57"/>
        <v>1229.0479383970041</v>
      </c>
      <c r="K44" s="195">
        <f t="shared" ca="1" si="57"/>
        <v>1182.8684732646536</v>
      </c>
      <c r="L44" s="195">
        <f t="shared" ca="1" si="57"/>
        <v>1124.2708530881855</v>
      </c>
      <c r="M44" s="195">
        <f t="shared" ca="1" si="57"/>
        <v>1122.5208530881855</v>
      </c>
      <c r="N44" s="195">
        <f t="shared" ca="1" si="57"/>
        <v>1122.5208530881855</v>
      </c>
      <c r="O44" s="195">
        <f t="shared" ca="1" si="57"/>
        <v>1122.5208530881855</v>
      </c>
      <c r="P44" s="195">
        <f t="shared" ca="1" si="57"/>
        <v>1122.5208530881855</v>
      </c>
      <c r="Q44" s="195">
        <f t="shared" ca="1" si="57"/>
        <v>1084.1875197548525</v>
      </c>
      <c r="T44" s="195">
        <f t="shared" ref="T44:AU44" si="58">-T41/T22*1000</f>
        <v>779.53180867570666</v>
      </c>
      <c r="U44" s="195">
        <f t="shared" si="58"/>
        <v>979.55250146652145</v>
      </c>
      <c r="V44" s="195">
        <f t="shared" si="58"/>
        <v>1097.4830316742082</v>
      </c>
      <c r="W44" s="195">
        <f t="shared" si="58"/>
        <v>1353.4844681664265</v>
      </c>
      <c r="X44" s="195">
        <f t="shared" ca="1" si="58"/>
        <v>1291.138713617589</v>
      </c>
      <c r="Y44" s="195">
        <f t="shared" ca="1" si="58"/>
        <v>1324.0250237058228</v>
      </c>
      <c r="Z44" s="195">
        <f t="shared" ca="1" si="58"/>
        <v>1324.0250237058228</v>
      </c>
      <c r="AA44" s="195">
        <f t="shared" ca="1" si="58"/>
        <v>1324.0250237058228</v>
      </c>
      <c r="AB44" s="195">
        <f t="shared" ca="1" si="58"/>
        <v>1295.2387136175889</v>
      </c>
      <c r="AC44" s="195">
        <f t="shared" ca="1" si="58"/>
        <v>1295.2387136175889</v>
      </c>
      <c r="AD44" s="195">
        <f t="shared" ca="1" si="58"/>
        <v>1266.452403529355</v>
      </c>
      <c r="AE44" s="195">
        <f t="shared" ca="1" si="58"/>
        <v>1266.452403529355</v>
      </c>
      <c r="AF44" s="195">
        <f t="shared" ca="1" si="58"/>
        <v>1243.5160934411213</v>
      </c>
      <c r="AG44" s="195">
        <f t="shared" ca="1" si="58"/>
        <v>1243.5160934411213</v>
      </c>
      <c r="AH44" s="195">
        <f t="shared" ca="1" si="58"/>
        <v>1214.5797833528875</v>
      </c>
      <c r="AI44" s="195">
        <f t="shared" ca="1" si="58"/>
        <v>1214.5797833528875</v>
      </c>
      <c r="AJ44" s="195">
        <f t="shared" ca="1" si="58"/>
        <v>1183.7934732646536</v>
      </c>
      <c r="AK44" s="195">
        <f t="shared" ca="1" si="58"/>
        <v>1183.7934732646536</v>
      </c>
      <c r="AL44" s="195">
        <f t="shared" ca="1" si="58"/>
        <v>1181.9434732646537</v>
      </c>
      <c r="AM44" s="195">
        <f t="shared" ca="1" si="58"/>
        <v>1181.9434732646537</v>
      </c>
      <c r="AN44" s="195">
        <f t="shared" ca="1" si="58"/>
        <v>1124.2708530881857</v>
      </c>
      <c r="AO44" s="195">
        <f t="shared" ca="1" si="58"/>
        <v>1124.2708530881855</v>
      </c>
      <c r="AP44" s="195">
        <f t="shared" ca="1" si="58"/>
        <v>1124.2708530881855</v>
      </c>
      <c r="AQ44" s="195">
        <f t="shared" ca="1" si="58"/>
        <v>1124.2708530881857</v>
      </c>
      <c r="AR44" s="195">
        <f t="shared" ca="1" si="58"/>
        <v>1122.5208530881857</v>
      </c>
      <c r="AS44" s="195">
        <f t="shared" ca="1" si="58"/>
        <v>1122.5208530881857</v>
      </c>
      <c r="AT44" s="195">
        <f t="shared" ca="1" si="58"/>
        <v>1122.5208530881857</v>
      </c>
      <c r="AU44" s="195">
        <f t="shared" ca="1" si="58"/>
        <v>1122.5208530881855</v>
      </c>
      <c r="AV44" s="195">
        <f ca="1">-AV41/AV22*1000</f>
        <v>1122.5208530881855</v>
      </c>
      <c r="AW44" s="195">
        <f ca="1">-AW41/AW22*1000</f>
        <v>1122.5208530881855</v>
      </c>
      <c r="AX44" s="195">
        <f ca="1">-AX41/AX22*1000</f>
        <v>1122.5208530881857</v>
      </c>
      <c r="AY44" s="195">
        <f ca="1">-AY41/AY22*1000</f>
        <v>1122.5208530881857</v>
      </c>
      <c r="AZ44" s="195">
        <f t="shared" ref="AZ44:BJ44" ca="1" si="59">-AZ41/AZ22*1000</f>
        <v>1122.5208530881857</v>
      </c>
      <c r="BA44" s="195">
        <f t="shared" ca="1" si="59"/>
        <v>1122.5208530881857</v>
      </c>
      <c r="BB44" s="195">
        <f t="shared" ca="1" si="59"/>
        <v>1122.5208530881855</v>
      </c>
      <c r="BC44" s="195">
        <f t="shared" ca="1" si="59"/>
        <v>1122.5208530881857</v>
      </c>
      <c r="BD44" s="195">
        <f t="shared" ca="1" si="59"/>
        <v>1122.5208530881855</v>
      </c>
      <c r="BE44" s="195">
        <f t="shared" ca="1" si="59"/>
        <v>1122.5208530881857</v>
      </c>
      <c r="BF44" s="195">
        <f t="shared" ca="1" si="59"/>
        <v>1122.5208530881855</v>
      </c>
      <c r="BG44" s="195">
        <f t="shared" ca="1" si="59"/>
        <v>1122.5208530881857</v>
      </c>
      <c r="BH44" s="195">
        <f t="shared" ca="1" si="59"/>
        <v>1122.5208530881857</v>
      </c>
      <c r="BI44" s="195">
        <f t="shared" ca="1" si="59"/>
        <v>1122.5208530881857</v>
      </c>
      <c r="BJ44" s="195">
        <f t="shared" ca="1" si="59"/>
        <v>1007.5208530881856</v>
      </c>
    </row>
    <row r="45" spans="2:62">
      <c r="W45" s="167"/>
      <c r="X45" s="167"/>
      <c r="Y45" s="167"/>
      <c r="Z45" s="167"/>
      <c r="AA45" s="167"/>
      <c r="AB45" s="167"/>
    </row>
    <row r="46" spans="2:62">
      <c r="B46" s="164" t="s">
        <v>241</v>
      </c>
      <c r="C46" s="164"/>
      <c r="D46" s="188"/>
      <c r="E46" s="188"/>
      <c r="F46" s="188"/>
      <c r="G46" s="245"/>
      <c r="H46" s="245"/>
      <c r="I46" s="188"/>
      <c r="J46" s="188"/>
      <c r="K46" s="188"/>
      <c r="L46" s="188"/>
      <c r="M46" s="188"/>
      <c r="N46" s="188"/>
      <c r="O46" s="188"/>
      <c r="P46" s="188"/>
      <c r="Q46" s="188"/>
      <c r="T46" s="188"/>
      <c r="U46" s="188"/>
      <c r="V46" s="284"/>
      <c r="W46" s="284"/>
      <c r="X46" s="284"/>
      <c r="Y46" s="284"/>
      <c r="Z46" s="284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</row>
    <row r="47" spans="2:62">
      <c r="B47" s="243" t="s">
        <v>242</v>
      </c>
      <c r="C47" s="193" t="s">
        <v>187</v>
      </c>
      <c r="G47" s="186">
        <f ca="1">AVERAGE(OFFSET($T$47,,(COLUMNS(G$47:$G47)-1)*4,,4))</f>
        <v>130.75670016905599</v>
      </c>
      <c r="H47" s="186">
        <f ca="1">AVERAGE(OFFSET($T$47,,(COLUMNS($G$47:H47)-1)*4,,4))</f>
        <v>115</v>
      </c>
      <c r="I47" s="186">
        <f ca="1">AVERAGE(OFFSET($T$47,,(COLUMNS($G$47:I47)-1)*4,,4))</f>
        <v>115</v>
      </c>
      <c r="J47" s="186">
        <f ca="1">AVERAGE(OFFSET($T$47,,(COLUMNS($G$47:J47)-1)*4,,4))</f>
        <v>115</v>
      </c>
      <c r="K47" s="186">
        <f ca="1">AVERAGE(OFFSET($T$47,,(COLUMNS($G$47:K47)-1)*4,,4))</f>
        <v>115</v>
      </c>
      <c r="L47" s="186">
        <f ca="1">AVERAGE(OFFSET($T$47,,(COLUMNS($G$47:L47)-1)*4,,4))</f>
        <v>115</v>
      </c>
      <c r="M47" s="186">
        <f ca="1">AVERAGE(OFFSET($T$47,,(COLUMNS($G$47:M47)-1)*4,,4))</f>
        <v>115</v>
      </c>
      <c r="N47" s="186">
        <f ca="1">AVERAGE(OFFSET($T$47,,(COLUMNS($G$47:N47)-1)*4,,4))</f>
        <v>115</v>
      </c>
      <c r="O47" s="186">
        <f ca="1">AVERAGE(OFFSET($T$47,,(COLUMNS($G$47:O47)-1)*4,,4))</f>
        <v>115</v>
      </c>
      <c r="P47" s="186">
        <f ca="1">AVERAGE(OFFSET($T$47,,(COLUMNS($G$47:P47)-1)*4,,4))</f>
        <v>115</v>
      </c>
      <c r="Q47" s="186">
        <f ca="1">AVERAGE(OFFSET($T$47,,(COLUMNS($G$47:Q47)-1)*4,,4))</f>
        <v>76.666666666666671</v>
      </c>
      <c r="T47" s="186">
        <f t="shared" ref="T47:U48" si="60">-T38/T$19*10^3</f>
        <v>40.350379171904784</v>
      </c>
      <c r="U47" s="186">
        <f t="shared" si="60"/>
        <v>59.866800029274721</v>
      </c>
      <c r="V47" s="186">
        <f>-V38/V$19*10^3</f>
        <v>118.67037633621321</v>
      </c>
      <c r="W47" s="186">
        <f>-W38/W$19*10^3</f>
        <v>304.13924513883126</v>
      </c>
      <c r="X47" s="269">
        <v>115</v>
      </c>
      <c r="Y47" s="269">
        <f>X47</f>
        <v>115</v>
      </c>
      <c r="Z47" s="269">
        <f>Y47</f>
        <v>115</v>
      </c>
      <c r="AA47" s="269">
        <f>Z47</f>
        <v>115</v>
      </c>
      <c r="AB47" s="269">
        <f t="shared" ref="AB47:BJ48" si="61">AA47</f>
        <v>115</v>
      </c>
      <c r="AC47" s="269">
        <f t="shared" si="61"/>
        <v>115</v>
      </c>
      <c r="AD47" s="269">
        <f t="shared" si="61"/>
        <v>115</v>
      </c>
      <c r="AE47" s="269">
        <f t="shared" si="61"/>
        <v>115</v>
      </c>
      <c r="AF47" s="269">
        <f t="shared" si="61"/>
        <v>115</v>
      </c>
      <c r="AG47" s="269">
        <f t="shared" si="61"/>
        <v>115</v>
      </c>
      <c r="AH47" s="269">
        <f t="shared" si="61"/>
        <v>115</v>
      </c>
      <c r="AI47" s="269">
        <f t="shared" si="61"/>
        <v>115</v>
      </c>
      <c r="AJ47" s="269">
        <f t="shared" si="61"/>
        <v>115</v>
      </c>
      <c r="AK47" s="269">
        <f t="shared" si="61"/>
        <v>115</v>
      </c>
      <c r="AL47" s="269">
        <f t="shared" si="61"/>
        <v>115</v>
      </c>
      <c r="AM47" s="269">
        <f t="shared" si="61"/>
        <v>115</v>
      </c>
      <c r="AN47" s="269">
        <f t="shared" si="61"/>
        <v>115</v>
      </c>
      <c r="AO47" s="269">
        <f t="shared" si="61"/>
        <v>115</v>
      </c>
      <c r="AP47" s="269">
        <f t="shared" si="61"/>
        <v>115</v>
      </c>
      <c r="AQ47" s="269">
        <f t="shared" si="61"/>
        <v>115</v>
      </c>
      <c r="AR47" s="269">
        <f t="shared" si="61"/>
        <v>115</v>
      </c>
      <c r="AS47" s="269">
        <f t="shared" si="61"/>
        <v>115</v>
      </c>
      <c r="AT47" s="269">
        <f t="shared" si="61"/>
        <v>115</v>
      </c>
      <c r="AU47" s="269">
        <f t="shared" si="61"/>
        <v>115</v>
      </c>
      <c r="AV47" s="269">
        <f t="shared" si="61"/>
        <v>115</v>
      </c>
      <c r="AW47" s="269">
        <f t="shared" si="61"/>
        <v>115</v>
      </c>
      <c r="AX47" s="269">
        <f t="shared" si="61"/>
        <v>115</v>
      </c>
      <c r="AY47" s="269">
        <f t="shared" si="61"/>
        <v>115</v>
      </c>
      <c r="AZ47" s="269">
        <f t="shared" si="61"/>
        <v>115</v>
      </c>
      <c r="BA47" s="269">
        <f t="shared" si="61"/>
        <v>115</v>
      </c>
      <c r="BB47" s="269">
        <f t="shared" si="61"/>
        <v>115</v>
      </c>
      <c r="BC47" s="269">
        <f t="shared" si="61"/>
        <v>115</v>
      </c>
      <c r="BD47" s="269">
        <f t="shared" si="61"/>
        <v>115</v>
      </c>
      <c r="BE47" s="269">
        <f t="shared" si="61"/>
        <v>115</v>
      </c>
      <c r="BF47" s="269">
        <f t="shared" si="61"/>
        <v>115</v>
      </c>
      <c r="BG47" s="269">
        <f t="shared" si="61"/>
        <v>115</v>
      </c>
      <c r="BH47" s="269">
        <f t="shared" si="61"/>
        <v>115</v>
      </c>
      <c r="BI47" s="269">
        <f t="shared" si="61"/>
        <v>115</v>
      </c>
      <c r="BJ47" s="269">
        <v>0</v>
      </c>
    </row>
    <row r="48" spans="2:62">
      <c r="B48" s="243" t="s">
        <v>243</v>
      </c>
      <c r="C48" s="193" t="s">
        <v>187</v>
      </c>
      <c r="G48" s="186">
        <f ca="1">AVERAGE(OFFSET($T$48,,(COLUMNS(G$48:$G48)-1)*4,,4))</f>
        <v>214.87893453951747</v>
      </c>
      <c r="H48" s="186">
        <f ca="1">AVERAGE(OFFSET($T$48,,(COLUMNS($G$48:H48)-1)*4,,4))</f>
        <v>150</v>
      </c>
      <c r="I48" s="186">
        <f ca="1">AVERAGE(OFFSET($T$48,,(COLUMNS($G$48:I48)-1)*4,,4))</f>
        <v>150</v>
      </c>
      <c r="J48" s="186">
        <f ca="1">AVERAGE(OFFSET($T$48,,(COLUMNS($G$48:J48)-1)*4,,4))</f>
        <v>150</v>
      </c>
      <c r="K48" s="186">
        <f ca="1">AVERAGE(OFFSET($T$48,,(COLUMNS($G$48:K48)-1)*4,,4))</f>
        <v>150</v>
      </c>
      <c r="L48" s="186">
        <f ca="1">AVERAGE(OFFSET($T$48,,(COLUMNS($G$48:L48)-1)*4,,4))</f>
        <v>150</v>
      </c>
      <c r="M48" s="186">
        <f ca="1">AVERAGE(OFFSET($T$48,,(COLUMNS($G$48:M48)-1)*4,,4))</f>
        <v>150</v>
      </c>
      <c r="N48" s="186">
        <f ca="1">AVERAGE(OFFSET($T$48,,(COLUMNS($G$48:N48)-1)*4,,4))</f>
        <v>150</v>
      </c>
      <c r="O48" s="186">
        <f ca="1">AVERAGE(OFFSET($T$48,,(COLUMNS($G$48:O48)-1)*4,,4))</f>
        <v>150</v>
      </c>
      <c r="P48" s="186">
        <f ca="1">AVERAGE(OFFSET($T$48,,(COLUMNS($G$48:P48)-1)*4,,4))</f>
        <v>150</v>
      </c>
      <c r="Q48" s="186">
        <f ca="1">AVERAGE(OFFSET($T$48,,(COLUMNS($G$48:Q48)-1)*4,,4))</f>
        <v>150</v>
      </c>
      <c r="T48" s="186">
        <f t="shared" si="60"/>
        <v>151.95263392676102</v>
      </c>
      <c r="U48" s="186">
        <f t="shared" si="60"/>
        <v>219.82874289478178</v>
      </c>
      <c r="V48" s="186">
        <f>-V39/V$19*10^3</f>
        <v>220.70581344267094</v>
      </c>
      <c r="W48" s="186">
        <f t="shared" ref="W48" si="62">-W39/W$19*10^3</f>
        <v>267.02854789385617</v>
      </c>
      <c r="X48" s="269">
        <v>150</v>
      </c>
      <c r="Y48" s="269">
        <f>X48</f>
        <v>150</v>
      </c>
      <c r="Z48" s="269">
        <f t="shared" ref="Z48:AY48" si="63">Y48</f>
        <v>150</v>
      </c>
      <c r="AA48" s="269">
        <f t="shared" si="63"/>
        <v>150</v>
      </c>
      <c r="AB48" s="269">
        <f t="shared" si="63"/>
        <v>150</v>
      </c>
      <c r="AC48" s="269">
        <f t="shared" si="63"/>
        <v>150</v>
      </c>
      <c r="AD48" s="269">
        <f t="shared" si="63"/>
        <v>150</v>
      </c>
      <c r="AE48" s="269">
        <f t="shared" si="63"/>
        <v>150</v>
      </c>
      <c r="AF48" s="269">
        <f t="shared" si="63"/>
        <v>150</v>
      </c>
      <c r="AG48" s="269">
        <f t="shared" si="63"/>
        <v>150</v>
      </c>
      <c r="AH48" s="269">
        <f t="shared" si="63"/>
        <v>150</v>
      </c>
      <c r="AI48" s="269">
        <f t="shared" si="63"/>
        <v>150</v>
      </c>
      <c r="AJ48" s="269">
        <f t="shared" si="63"/>
        <v>150</v>
      </c>
      <c r="AK48" s="269">
        <f t="shared" si="63"/>
        <v>150</v>
      </c>
      <c r="AL48" s="269">
        <f t="shared" si="63"/>
        <v>150</v>
      </c>
      <c r="AM48" s="269">
        <f t="shared" si="63"/>
        <v>150</v>
      </c>
      <c r="AN48" s="269">
        <f t="shared" si="63"/>
        <v>150</v>
      </c>
      <c r="AO48" s="269">
        <f t="shared" si="63"/>
        <v>150</v>
      </c>
      <c r="AP48" s="269">
        <f t="shared" si="63"/>
        <v>150</v>
      </c>
      <c r="AQ48" s="269">
        <f t="shared" si="63"/>
        <v>150</v>
      </c>
      <c r="AR48" s="269">
        <f t="shared" si="63"/>
        <v>150</v>
      </c>
      <c r="AS48" s="269">
        <f t="shared" si="63"/>
        <v>150</v>
      </c>
      <c r="AT48" s="269">
        <f t="shared" si="63"/>
        <v>150</v>
      </c>
      <c r="AU48" s="269">
        <f t="shared" si="63"/>
        <v>150</v>
      </c>
      <c r="AV48" s="269">
        <f t="shared" si="63"/>
        <v>150</v>
      </c>
      <c r="AW48" s="269">
        <f t="shared" si="63"/>
        <v>150</v>
      </c>
      <c r="AX48" s="269">
        <f t="shared" si="63"/>
        <v>150</v>
      </c>
      <c r="AY48" s="269">
        <f t="shared" si="63"/>
        <v>150</v>
      </c>
      <c r="AZ48" s="269">
        <f t="shared" si="61"/>
        <v>150</v>
      </c>
      <c r="BA48" s="269">
        <f t="shared" si="61"/>
        <v>150</v>
      </c>
      <c r="BB48" s="269">
        <f t="shared" si="61"/>
        <v>150</v>
      </c>
      <c r="BC48" s="269">
        <f t="shared" si="61"/>
        <v>150</v>
      </c>
      <c r="BD48" s="269">
        <f t="shared" si="61"/>
        <v>150</v>
      </c>
      <c r="BE48" s="269">
        <f t="shared" si="61"/>
        <v>150</v>
      </c>
      <c r="BF48" s="269">
        <f t="shared" si="61"/>
        <v>150</v>
      </c>
      <c r="BG48" s="269">
        <f t="shared" si="61"/>
        <v>150</v>
      </c>
      <c r="BH48" s="269">
        <f t="shared" si="61"/>
        <v>150</v>
      </c>
      <c r="BI48" s="269">
        <f t="shared" si="61"/>
        <v>150</v>
      </c>
      <c r="BJ48" s="269">
        <f t="shared" si="61"/>
        <v>150</v>
      </c>
    </row>
    <row r="50" spans="2:62">
      <c r="B50" s="164" t="s">
        <v>19</v>
      </c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</row>
    <row r="51" spans="2:62">
      <c r="B51" s="243" t="s">
        <v>411</v>
      </c>
      <c r="C51" s="193" t="s">
        <v>187</v>
      </c>
      <c r="G51" s="186">
        <f ca="1">AVERAGE(OFFSET($T$51,,(COLUMNS(G$51:$G51)-1)*4,,4))</f>
        <v>467.85832131211532</v>
      </c>
      <c r="H51" s="186">
        <f ca="1">AVERAGE(OFFSET($T$51,,(COLUMNS($G$51:H51)-1)*4,,4))</f>
        <v>450</v>
      </c>
      <c r="I51" s="186">
        <f ca="1">AVERAGE(OFFSET($T$51,,(COLUMNS($G$51:I51)-1)*4,,4))</f>
        <v>450</v>
      </c>
      <c r="J51" s="186">
        <f ca="1">AVERAGE(OFFSET($T$51,,(COLUMNS($G$51:J51)-1)*4,,4))</f>
        <v>450</v>
      </c>
      <c r="K51" s="186">
        <f ca="1">AVERAGE(OFFSET($T$51,,(COLUMNS($G$51:K51)-1)*4,,4))</f>
        <v>450</v>
      </c>
      <c r="L51" s="186">
        <f ca="1">AVERAGE(OFFSET($T$51,,(COLUMNS($G$51:L51)-1)*4,,4))</f>
        <v>450</v>
      </c>
      <c r="M51" s="186">
        <f ca="1">AVERAGE(OFFSET($T$51,,(COLUMNS($G$51:M51)-1)*4,,4))</f>
        <v>450</v>
      </c>
      <c r="N51" s="186">
        <f ca="1">AVERAGE(OFFSET($T$51,,(COLUMNS($G$51:N51)-1)*4,,4))</f>
        <v>450</v>
      </c>
      <c r="O51" s="186">
        <f ca="1">AVERAGE(OFFSET($T$51,,(COLUMNS($G$51:O51)-1)*4,,4))</f>
        <v>450</v>
      </c>
      <c r="P51" s="186">
        <f ca="1">AVERAGE(OFFSET($T$51,,(COLUMNS($G$51:P51)-1)*4,,4))</f>
        <v>450</v>
      </c>
      <c r="Q51" s="186">
        <f ca="1">AVERAGE(OFFSET($T$51,,(COLUMNS($G$51:Q51)-1)*4,,4))</f>
        <v>450</v>
      </c>
      <c r="T51" s="334">
        <f>-T36/T$19*10^3</f>
        <v>361.93681820025142</v>
      </c>
      <c r="U51" s="334">
        <f t="shared" ref="U51:V51" si="64">-U36/U$19*10^3</f>
        <v>517.16230392037278</v>
      </c>
      <c r="V51" s="334">
        <f t="shared" si="64"/>
        <v>542.33416312783709</v>
      </c>
      <c r="W51" s="332">
        <v>450</v>
      </c>
      <c r="X51" s="332">
        <f>W51</f>
        <v>450</v>
      </c>
      <c r="Y51" s="332">
        <f t="shared" ref="Y51:BJ51" si="65">X51</f>
        <v>450</v>
      </c>
      <c r="Z51" s="332">
        <f t="shared" si="65"/>
        <v>450</v>
      </c>
      <c r="AA51" s="332">
        <f t="shared" si="65"/>
        <v>450</v>
      </c>
      <c r="AB51" s="332">
        <f t="shared" si="65"/>
        <v>450</v>
      </c>
      <c r="AC51" s="332">
        <f t="shared" si="65"/>
        <v>450</v>
      </c>
      <c r="AD51" s="332">
        <f t="shared" si="65"/>
        <v>450</v>
      </c>
      <c r="AE51" s="332">
        <f t="shared" si="65"/>
        <v>450</v>
      </c>
      <c r="AF51" s="332">
        <f t="shared" si="65"/>
        <v>450</v>
      </c>
      <c r="AG51" s="332">
        <f t="shared" si="65"/>
        <v>450</v>
      </c>
      <c r="AH51" s="332">
        <f t="shared" si="65"/>
        <v>450</v>
      </c>
      <c r="AI51" s="332">
        <f t="shared" si="65"/>
        <v>450</v>
      </c>
      <c r="AJ51" s="332">
        <f t="shared" si="65"/>
        <v>450</v>
      </c>
      <c r="AK51" s="332">
        <f t="shared" si="65"/>
        <v>450</v>
      </c>
      <c r="AL51" s="332">
        <f t="shared" si="65"/>
        <v>450</v>
      </c>
      <c r="AM51" s="332">
        <f t="shared" si="65"/>
        <v>450</v>
      </c>
      <c r="AN51" s="332">
        <f t="shared" si="65"/>
        <v>450</v>
      </c>
      <c r="AO51" s="332">
        <f t="shared" si="65"/>
        <v>450</v>
      </c>
      <c r="AP51" s="332">
        <f t="shared" si="65"/>
        <v>450</v>
      </c>
      <c r="AQ51" s="332">
        <f t="shared" si="65"/>
        <v>450</v>
      </c>
      <c r="AR51" s="332">
        <f t="shared" si="65"/>
        <v>450</v>
      </c>
      <c r="AS51" s="332">
        <f t="shared" si="65"/>
        <v>450</v>
      </c>
      <c r="AT51" s="332">
        <f t="shared" si="65"/>
        <v>450</v>
      </c>
      <c r="AU51" s="332">
        <f t="shared" si="65"/>
        <v>450</v>
      </c>
      <c r="AV51" s="332">
        <f t="shared" si="65"/>
        <v>450</v>
      </c>
      <c r="AW51" s="332">
        <f t="shared" si="65"/>
        <v>450</v>
      </c>
      <c r="AX51" s="332">
        <f t="shared" si="65"/>
        <v>450</v>
      </c>
      <c r="AY51" s="332">
        <f t="shared" si="65"/>
        <v>450</v>
      </c>
      <c r="AZ51" s="332">
        <f t="shared" si="65"/>
        <v>450</v>
      </c>
      <c r="BA51" s="332">
        <f t="shared" si="65"/>
        <v>450</v>
      </c>
      <c r="BB51" s="332">
        <f t="shared" si="65"/>
        <v>450</v>
      </c>
      <c r="BC51" s="332">
        <f t="shared" si="65"/>
        <v>450</v>
      </c>
      <c r="BD51" s="332">
        <f t="shared" si="65"/>
        <v>450</v>
      </c>
      <c r="BE51" s="332">
        <f t="shared" si="65"/>
        <v>450</v>
      </c>
      <c r="BF51" s="332">
        <f t="shared" si="65"/>
        <v>450</v>
      </c>
      <c r="BG51" s="332">
        <f t="shared" si="65"/>
        <v>450</v>
      </c>
      <c r="BH51" s="332">
        <f t="shared" si="65"/>
        <v>450</v>
      </c>
      <c r="BI51" s="332">
        <f t="shared" si="65"/>
        <v>450</v>
      </c>
      <c r="BJ51" s="332">
        <f t="shared" si="65"/>
        <v>450</v>
      </c>
    </row>
  </sheetData>
  <mergeCells count="1">
    <mergeCell ref="BL4:BL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8CFC3-91DF-B34E-AE51-F537D1281BA9}">
  <dimension ref="B2:G79"/>
  <sheetViews>
    <sheetView topLeftCell="A50" workbookViewId="0">
      <selection activeCell="F73" sqref="F73:G78"/>
    </sheetView>
  </sheetViews>
  <sheetFormatPr baseColWidth="10" defaultRowHeight="14"/>
  <cols>
    <col min="1" max="1" width="1.6640625" customWidth="1"/>
    <col min="2" max="2" width="32.83203125" bestFit="1" customWidth="1"/>
    <col min="5" max="5" width="13" bestFit="1" customWidth="1"/>
    <col min="6" max="6" width="17.5" customWidth="1"/>
    <col min="7" max="7" width="12.6640625" bestFit="1" customWidth="1"/>
  </cols>
  <sheetData>
    <row r="2" spans="2:7" ht="18">
      <c r="B2" s="158" t="s">
        <v>126</v>
      </c>
    </row>
    <row r="3" spans="2:7" ht="37" customHeight="1">
      <c r="B3" s="252" t="s">
        <v>144</v>
      </c>
      <c r="C3" s="190" t="s">
        <v>148</v>
      </c>
      <c r="D3" s="190" t="s">
        <v>150</v>
      </c>
      <c r="E3" s="190" t="s">
        <v>149</v>
      </c>
      <c r="F3" s="189" t="s">
        <v>157</v>
      </c>
      <c r="G3" s="191" t="s">
        <v>152</v>
      </c>
    </row>
    <row r="4" spans="2:7">
      <c r="B4" t="s">
        <v>145</v>
      </c>
      <c r="C4" s="176">
        <v>1.7</v>
      </c>
      <c r="D4" s="176">
        <v>3.83</v>
      </c>
      <c r="E4" s="177">
        <v>213</v>
      </c>
      <c r="F4" s="178"/>
      <c r="G4" s="178"/>
    </row>
    <row r="5" spans="2:7">
      <c r="B5" t="s">
        <v>146</v>
      </c>
      <c r="C5" s="176">
        <v>6.8</v>
      </c>
      <c r="D5" s="176">
        <v>3.6</v>
      </c>
      <c r="E5" s="177">
        <v>791</v>
      </c>
      <c r="F5" s="178"/>
      <c r="G5" s="178"/>
    </row>
    <row r="6" spans="2:7">
      <c r="B6" s="157" t="s">
        <v>147</v>
      </c>
      <c r="C6" s="179">
        <f>SUM(C4:C5)</f>
        <v>8.5</v>
      </c>
      <c r="D6" s="179">
        <v>3.65</v>
      </c>
      <c r="E6" s="180">
        <f>SUM(E4:E5)</f>
        <v>1004</v>
      </c>
      <c r="F6" s="192">
        <f>0.9*C6</f>
        <v>7.65</v>
      </c>
      <c r="G6" s="175" t="s">
        <v>151</v>
      </c>
    </row>
    <row r="7" spans="2:7">
      <c r="B7" s="156" t="s">
        <v>260</v>
      </c>
      <c r="C7" s="288">
        <v>1.9</v>
      </c>
      <c r="D7" s="288">
        <v>3.89</v>
      </c>
      <c r="E7" s="289">
        <v>244</v>
      </c>
      <c r="F7" s="192"/>
      <c r="G7" s="175"/>
    </row>
    <row r="8" spans="2:7">
      <c r="B8" s="156" t="s">
        <v>261</v>
      </c>
      <c r="C8" s="288">
        <v>12.5</v>
      </c>
      <c r="D8" s="288">
        <v>3.23</v>
      </c>
      <c r="E8" s="289">
        <v>1295</v>
      </c>
      <c r="F8" s="192"/>
      <c r="G8" s="175"/>
    </row>
    <row r="9" spans="2:7">
      <c r="B9" s="156" t="s">
        <v>262</v>
      </c>
      <c r="C9" s="288">
        <v>14.4</v>
      </c>
      <c r="D9" s="288">
        <v>3.32</v>
      </c>
      <c r="E9" s="289">
        <v>1538</v>
      </c>
      <c r="F9" s="192">
        <f>0.6*C9</f>
        <v>8.64</v>
      </c>
      <c r="G9" s="175" t="s">
        <v>258</v>
      </c>
    </row>
    <row r="10" spans="2:7">
      <c r="B10" s="156" t="s">
        <v>256</v>
      </c>
      <c r="C10" s="288">
        <v>0.8</v>
      </c>
      <c r="D10" s="288">
        <v>3.03</v>
      </c>
      <c r="E10" s="289">
        <v>82</v>
      </c>
      <c r="F10" s="192">
        <f>0.3*C10</f>
        <v>0.24</v>
      </c>
      <c r="G10" s="175" t="s">
        <v>259</v>
      </c>
    </row>
    <row r="11" spans="2:7" ht="15" thickBot="1">
      <c r="B11" s="157" t="s">
        <v>263</v>
      </c>
      <c r="C11" s="179"/>
      <c r="D11" s="179"/>
      <c r="E11" s="180"/>
      <c r="F11" s="290">
        <f>SUM(F9:F10)</f>
        <v>8.8800000000000008</v>
      </c>
    </row>
    <row r="12" spans="2:7" ht="15" thickTop="1">
      <c r="B12" s="157"/>
      <c r="C12" s="179"/>
      <c r="D12" s="179"/>
      <c r="E12" s="180"/>
      <c r="F12" s="192"/>
      <c r="G12" s="175"/>
    </row>
    <row r="13" spans="2:7">
      <c r="B13" s="156"/>
      <c r="C13" s="169"/>
      <c r="D13" s="169"/>
      <c r="E13" s="168"/>
    </row>
    <row r="14" spans="2:7" ht="18">
      <c r="B14" s="158" t="s">
        <v>190</v>
      </c>
      <c r="C14" s="172"/>
      <c r="D14" s="170"/>
      <c r="E14" s="173"/>
      <c r="G14" s="156"/>
    </row>
    <row r="15" spans="2:7" ht="45">
      <c r="B15" s="252" t="s">
        <v>144</v>
      </c>
      <c r="C15" s="190" t="s">
        <v>148</v>
      </c>
      <c r="D15" s="190" t="s">
        <v>150</v>
      </c>
      <c r="E15" s="190" t="s">
        <v>191</v>
      </c>
      <c r="F15" s="189" t="s">
        <v>157</v>
      </c>
      <c r="G15" s="191" t="s">
        <v>152</v>
      </c>
    </row>
    <row r="16" spans="2:7">
      <c r="B16" t="s">
        <v>145</v>
      </c>
      <c r="C16" s="176">
        <v>2.6</v>
      </c>
      <c r="D16" s="256">
        <v>1.26</v>
      </c>
      <c r="E16" s="177">
        <v>104</v>
      </c>
      <c r="F16" s="178"/>
      <c r="G16" s="178"/>
    </row>
    <row r="17" spans="2:7">
      <c r="B17" t="s">
        <v>146</v>
      </c>
      <c r="C17" s="176">
        <v>43.7</v>
      </c>
      <c r="D17" s="256">
        <v>1.76</v>
      </c>
      <c r="E17" s="177">
        <v>2480</v>
      </c>
      <c r="F17" s="177"/>
      <c r="G17" s="178"/>
    </row>
    <row r="18" spans="2:7">
      <c r="B18" s="157" t="s">
        <v>147</v>
      </c>
      <c r="C18" s="179">
        <v>46.3</v>
      </c>
      <c r="D18" s="257">
        <v>1.74</v>
      </c>
      <c r="E18" s="180">
        <v>2584</v>
      </c>
      <c r="F18" s="192">
        <f>0.9*C18</f>
        <v>41.67</v>
      </c>
      <c r="G18" s="175" t="s">
        <v>151</v>
      </c>
    </row>
    <row r="19" spans="2:7">
      <c r="B19" s="156" t="s">
        <v>257</v>
      </c>
      <c r="C19" s="288">
        <v>2.8</v>
      </c>
      <c r="D19" s="292">
        <v>1.26</v>
      </c>
      <c r="E19" s="289">
        <v>112</v>
      </c>
      <c r="F19" s="192"/>
      <c r="G19" s="175"/>
    </row>
    <row r="20" spans="2:7">
      <c r="B20" s="156" t="s">
        <v>254</v>
      </c>
      <c r="C20" s="288">
        <v>79.2</v>
      </c>
      <c r="D20" s="292">
        <v>1.75</v>
      </c>
      <c r="E20" s="289">
        <v>4469</v>
      </c>
      <c r="F20" s="192"/>
      <c r="G20" s="175"/>
    </row>
    <row r="21" spans="2:7">
      <c r="B21" s="156" t="s">
        <v>255</v>
      </c>
      <c r="C21" s="288">
        <v>82</v>
      </c>
      <c r="D21" s="292">
        <v>1.74</v>
      </c>
      <c r="E21" s="289">
        <v>4581</v>
      </c>
      <c r="F21" s="192">
        <f>0.6*C21</f>
        <v>49.199999999999996</v>
      </c>
      <c r="G21" s="175" t="s">
        <v>258</v>
      </c>
    </row>
    <row r="22" spans="2:7">
      <c r="B22" s="156" t="s">
        <v>256</v>
      </c>
      <c r="C22" s="288">
        <v>18.3</v>
      </c>
      <c r="D22" s="292">
        <v>1.69</v>
      </c>
      <c r="E22" s="289">
        <v>999</v>
      </c>
      <c r="F22" s="192">
        <f>0.3*C22</f>
        <v>5.49</v>
      </c>
      <c r="G22" s="175" t="s">
        <v>259</v>
      </c>
    </row>
    <row r="23" spans="2:7" ht="15" thickBot="1">
      <c r="B23" s="157" t="s">
        <v>263</v>
      </c>
      <c r="C23" s="179"/>
      <c r="D23" s="257"/>
      <c r="E23" s="180"/>
      <c r="F23" s="290">
        <f>SUM(F21:F22)</f>
        <v>54.69</v>
      </c>
    </row>
    <row r="24" spans="2:7" ht="15" thickTop="1">
      <c r="B24" s="157"/>
      <c r="C24" s="179"/>
      <c r="D24" s="257"/>
      <c r="E24" s="180"/>
      <c r="F24" s="192"/>
      <c r="G24" s="175"/>
    </row>
    <row r="25" spans="2:7">
      <c r="C25" s="171"/>
    </row>
    <row r="26" spans="2:7" ht="18">
      <c r="B26" s="158" t="s">
        <v>245</v>
      </c>
      <c r="C26" s="171"/>
    </row>
    <row r="27" spans="2:7" ht="45">
      <c r="B27" s="252" t="s">
        <v>144</v>
      </c>
      <c r="C27" s="190" t="s">
        <v>148</v>
      </c>
      <c r="D27" s="190" t="s">
        <v>150</v>
      </c>
      <c r="E27" s="190" t="s">
        <v>149</v>
      </c>
      <c r="F27" s="189" t="s">
        <v>157</v>
      </c>
      <c r="G27" s="191" t="s">
        <v>152</v>
      </c>
    </row>
    <row r="28" spans="2:7">
      <c r="B28" t="s">
        <v>145</v>
      </c>
      <c r="C28">
        <v>10.199999999999999</v>
      </c>
      <c r="D28">
        <v>0.95</v>
      </c>
      <c r="E28">
        <v>312</v>
      </c>
    </row>
    <row r="29" spans="2:7">
      <c r="B29" t="s">
        <v>146</v>
      </c>
      <c r="C29">
        <v>43.7</v>
      </c>
      <c r="D29">
        <v>1.73</v>
      </c>
      <c r="E29" s="168">
        <v>2433</v>
      </c>
    </row>
    <row r="30" spans="2:7">
      <c r="B30" s="157" t="s">
        <v>244</v>
      </c>
      <c r="C30" s="157">
        <v>53.9</v>
      </c>
      <c r="D30" s="157">
        <v>1.58</v>
      </c>
      <c r="E30" s="173">
        <v>2745</v>
      </c>
      <c r="F30" s="192">
        <f>0.9*C30</f>
        <v>48.51</v>
      </c>
      <c r="G30" s="175" t="s">
        <v>151</v>
      </c>
    </row>
    <row r="31" spans="2:7">
      <c r="B31" s="156" t="s">
        <v>260</v>
      </c>
      <c r="C31" s="156">
        <v>11.6</v>
      </c>
      <c r="D31" s="156">
        <v>0.95</v>
      </c>
      <c r="E31" s="265">
        <v>354</v>
      </c>
      <c r="F31" s="192"/>
      <c r="G31" s="175"/>
    </row>
    <row r="32" spans="2:7">
      <c r="B32" s="156" t="s">
        <v>264</v>
      </c>
      <c r="C32" s="156">
        <v>65.599999999999994</v>
      </c>
      <c r="D32" s="156">
        <v>1.62</v>
      </c>
      <c r="E32" s="265">
        <v>3407</v>
      </c>
      <c r="F32" s="192"/>
      <c r="G32" s="175"/>
    </row>
    <row r="33" spans="2:7">
      <c r="B33" s="156" t="s">
        <v>265</v>
      </c>
      <c r="C33" s="156">
        <v>77.099999999999994</v>
      </c>
      <c r="D33" s="156">
        <v>1.52</v>
      </c>
      <c r="E33" s="265">
        <v>3762</v>
      </c>
      <c r="F33" s="192">
        <f>0.6*C33</f>
        <v>46.26</v>
      </c>
      <c r="G33" s="175" t="s">
        <v>258</v>
      </c>
    </row>
    <row r="34" spans="2:7">
      <c r="B34" s="156" t="s">
        <v>256</v>
      </c>
      <c r="C34" s="156">
        <v>17.899999999999999</v>
      </c>
      <c r="D34" s="156">
        <v>1.32</v>
      </c>
      <c r="E34" s="265">
        <v>762</v>
      </c>
      <c r="F34" s="192">
        <f>0.3*C34</f>
        <v>5.3699999999999992</v>
      </c>
      <c r="G34" s="175" t="s">
        <v>259</v>
      </c>
    </row>
    <row r="35" spans="2:7" ht="15" thickBot="1">
      <c r="B35" s="157" t="s">
        <v>263</v>
      </c>
      <c r="C35" s="157"/>
      <c r="D35" s="157"/>
      <c r="E35" s="173"/>
      <c r="F35" s="290">
        <f>SUM(F33:F34)</f>
        <v>51.629999999999995</v>
      </c>
    </row>
    <row r="36" spans="2:7" ht="15" thickTop="1">
      <c r="B36" s="157"/>
      <c r="C36" s="157"/>
      <c r="D36" s="157"/>
      <c r="E36" s="173"/>
      <c r="F36" s="192"/>
      <c r="G36" s="175"/>
    </row>
    <row r="37" spans="2:7">
      <c r="B37" s="157"/>
      <c r="C37" s="157"/>
      <c r="D37" s="157"/>
      <c r="E37" s="173"/>
      <c r="F37" s="192"/>
      <c r="G37" s="175"/>
    </row>
    <row r="38" spans="2:7" ht="18">
      <c r="B38" s="158" t="s">
        <v>252</v>
      </c>
    </row>
    <row r="39" spans="2:7" ht="45">
      <c r="B39" s="252" t="s">
        <v>144</v>
      </c>
      <c r="C39" s="190" t="s">
        <v>148</v>
      </c>
      <c r="D39" s="190" t="s">
        <v>150</v>
      </c>
      <c r="E39" s="190" t="s">
        <v>149</v>
      </c>
      <c r="F39" s="189" t="s">
        <v>157</v>
      </c>
      <c r="G39" s="191" t="s">
        <v>152</v>
      </c>
    </row>
    <row r="40" spans="2:7">
      <c r="B40" t="s">
        <v>145</v>
      </c>
      <c r="C40">
        <v>0.3</v>
      </c>
      <c r="D40">
        <v>0.4</v>
      </c>
      <c r="E40">
        <v>4</v>
      </c>
    </row>
    <row r="41" spans="2:7">
      <c r="B41" t="s">
        <v>146</v>
      </c>
      <c r="C41">
        <v>5.2</v>
      </c>
      <c r="D41">
        <v>0.93</v>
      </c>
      <c r="E41">
        <v>154</v>
      </c>
    </row>
    <row r="42" spans="2:7">
      <c r="B42" t="s">
        <v>244</v>
      </c>
      <c r="C42">
        <v>5.5</v>
      </c>
      <c r="D42">
        <v>0.9</v>
      </c>
      <c r="E42">
        <v>158</v>
      </c>
      <c r="F42" s="192">
        <f>0.9*C42</f>
        <v>4.95</v>
      </c>
      <c r="G42" s="175" t="s">
        <v>151</v>
      </c>
    </row>
    <row r="43" spans="2:7">
      <c r="B43" t="s">
        <v>257</v>
      </c>
      <c r="C43">
        <v>0.3</v>
      </c>
      <c r="D43">
        <v>0.4</v>
      </c>
      <c r="E43">
        <v>4</v>
      </c>
    </row>
    <row r="44" spans="2:7">
      <c r="B44" t="s">
        <v>254</v>
      </c>
      <c r="C44">
        <v>47.7</v>
      </c>
      <c r="D44">
        <v>1.24</v>
      </c>
      <c r="E44" s="168">
        <v>1894</v>
      </c>
    </row>
    <row r="45" spans="2:7">
      <c r="B45" t="s">
        <v>255</v>
      </c>
      <c r="C45">
        <v>48</v>
      </c>
      <c r="D45">
        <v>1.23</v>
      </c>
      <c r="E45" s="168">
        <v>1898</v>
      </c>
      <c r="F45" s="192">
        <f>0.6*C45</f>
        <v>28.799999999999997</v>
      </c>
      <c r="G45" s="175" t="s">
        <v>258</v>
      </c>
    </row>
    <row r="46" spans="2:7">
      <c r="B46" t="s">
        <v>256</v>
      </c>
      <c r="C46">
        <v>16.2</v>
      </c>
      <c r="D46">
        <v>1.3</v>
      </c>
      <c r="E46">
        <v>67</v>
      </c>
      <c r="F46" s="192">
        <f>0.3*C46</f>
        <v>4.8599999999999994</v>
      </c>
      <c r="G46" s="175" t="s">
        <v>259</v>
      </c>
    </row>
    <row r="47" spans="2:7" ht="15" thickBot="1">
      <c r="B47" s="157" t="s">
        <v>263</v>
      </c>
      <c r="F47" s="291">
        <f>SUM(F45:F46)</f>
        <v>33.659999999999997</v>
      </c>
    </row>
    <row r="48" spans="2:7" ht="15" thickTop="1"/>
    <row r="49" spans="2:7" ht="18">
      <c r="B49" s="158" t="s">
        <v>267</v>
      </c>
    </row>
    <row r="50" spans="2:7" ht="45">
      <c r="B50" s="252" t="s">
        <v>144</v>
      </c>
      <c r="C50" s="190" t="s">
        <v>148</v>
      </c>
      <c r="D50" s="190" t="s">
        <v>150</v>
      </c>
      <c r="E50" s="190" t="s">
        <v>149</v>
      </c>
      <c r="F50" s="189" t="s">
        <v>157</v>
      </c>
      <c r="G50" s="191" t="s">
        <v>152</v>
      </c>
    </row>
    <row r="51" spans="2:7">
      <c r="B51" t="s">
        <v>145</v>
      </c>
      <c r="C51">
        <v>5.7</v>
      </c>
      <c r="D51">
        <v>3.18</v>
      </c>
      <c r="E51">
        <v>578</v>
      </c>
    </row>
    <row r="52" spans="2:7">
      <c r="B52" t="s">
        <v>146</v>
      </c>
      <c r="C52">
        <v>8.6</v>
      </c>
      <c r="D52">
        <v>3.05</v>
      </c>
      <c r="E52">
        <v>839</v>
      </c>
    </row>
    <row r="53" spans="2:7">
      <c r="B53" t="s">
        <v>244</v>
      </c>
      <c r="C53">
        <v>14.2</v>
      </c>
      <c r="D53">
        <v>3.1</v>
      </c>
      <c r="E53" s="168">
        <v>1418</v>
      </c>
      <c r="F53" s="192">
        <f>0.9*C53</f>
        <v>12.78</v>
      </c>
      <c r="G53" s="175" t="s">
        <v>151</v>
      </c>
    </row>
    <row r="54" spans="2:7">
      <c r="B54" t="s">
        <v>260</v>
      </c>
      <c r="C54">
        <v>10.8</v>
      </c>
      <c r="D54">
        <v>2.19</v>
      </c>
      <c r="E54">
        <v>758</v>
      </c>
    </row>
    <row r="55" spans="2:7">
      <c r="B55" t="s">
        <v>261</v>
      </c>
      <c r="C55">
        <v>34.5</v>
      </c>
      <c r="D55">
        <v>2.0299999999999998</v>
      </c>
      <c r="E55" s="168">
        <v>2250</v>
      </c>
    </row>
    <row r="56" spans="2:7">
      <c r="B56" t="s">
        <v>262</v>
      </c>
      <c r="C56">
        <v>45.2</v>
      </c>
      <c r="D56">
        <v>2.0699999999999998</v>
      </c>
      <c r="E56" s="168">
        <v>3009</v>
      </c>
      <c r="F56" s="192">
        <f>0.6*C56</f>
        <v>27.12</v>
      </c>
      <c r="G56" s="175" t="s">
        <v>258</v>
      </c>
    </row>
    <row r="57" spans="2:7">
      <c r="B57" t="s">
        <v>256</v>
      </c>
      <c r="C57">
        <v>10.199999999999999</v>
      </c>
      <c r="D57">
        <v>2.14</v>
      </c>
      <c r="E57">
        <v>701</v>
      </c>
      <c r="F57" s="192">
        <f>0.3*C57</f>
        <v>3.0599999999999996</v>
      </c>
      <c r="G57" s="175" t="s">
        <v>259</v>
      </c>
    </row>
    <row r="58" spans="2:7" ht="15" thickBot="1">
      <c r="F58" s="291">
        <f>SUM(F56:F57)</f>
        <v>30.18</v>
      </c>
    </row>
    <row r="59" spans="2:7" ht="19" thickTop="1">
      <c r="B59" s="158" t="s">
        <v>376</v>
      </c>
    </row>
    <row r="60" spans="2:7" ht="45">
      <c r="B60" s="252" t="s">
        <v>144</v>
      </c>
      <c r="C60" s="190" t="s">
        <v>148</v>
      </c>
      <c r="D60" s="190" t="s">
        <v>150</v>
      </c>
      <c r="E60" s="190" t="s">
        <v>149</v>
      </c>
      <c r="F60" s="189" t="s">
        <v>157</v>
      </c>
      <c r="G60" s="191" t="s">
        <v>152</v>
      </c>
    </row>
    <row r="61" spans="2:7">
      <c r="B61" t="s">
        <v>145</v>
      </c>
      <c r="C61">
        <v>17.3</v>
      </c>
      <c r="D61">
        <v>1.25</v>
      </c>
      <c r="E61">
        <v>696</v>
      </c>
    </row>
    <row r="62" spans="2:7">
      <c r="B62" t="s">
        <v>146</v>
      </c>
      <c r="C62">
        <v>60.1</v>
      </c>
      <c r="D62">
        <v>2.12</v>
      </c>
      <c r="E62" s="168">
        <v>4101</v>
      </c>
    </row>
    <row r="63" spans="2:7">
      <c r="B63" t="s">
        <v>244</v>
      </c>
      <c r="C63">
        <v>77.400000000000006</v>
      </c>
      <c r="D63">
        <v>1.93</v>
      </c>
      <c r="E63" s="168">
        <v>4796</v>
      </c>
      <c r="F63" s="192">
        <f>0.9*C63</f>
        <v>69.660000000000011</v>
      </c>
      <c r="G63" s="175" t="s">
        <v>151</v>
      </c>
    </row>
    <row r="64" spans="2:7">
      <c r="B64" t="s">
        <v>257</v>
      </c>
      <c r="C64">
        <v>19.399999999999999</v>
      </c>
      <c r="D64">
        <v>1.38</v>
      </c>
      <c r="E64">
        <v>862</v>
      </c>
    </row>
    <row r="65" spans="2:7">
      <c r="B65" t="s">
        <v>254</v>
      </c>
      <c r="C65">
        <v>82.7</v>
      </c>
      <c r="D65">
        <v>2.17</v>
      </c>
      <c r="E65" s="168">
        <v>5778</v>
      </c>
    </row>
    <row r="66" spans="2:7">
      <c r="B66" t="s">
        <v>255</v>
      </c>
      <c r="C66">
        <v>102.1</v>
      </c>
      <c r="D66">
        <v>2.02</v>
      </c>
      <c r="E66" s="168">
        <v>6640</v>
      </c>
      <c r="F66" s="192">
        <f>0.6*C66</f>
        <v>61.259999999999991</v>
      </c>
      <c r="G66" s="175" t="s">
        <v>258</v>
      </c>
    </row>
    <row r="67" spans="2:7">
      <c r="B67" t="s">
        <v>256</v>
      </c>
      <c r="C67">
        <v>24.3</v>
      </c>
      <c r="D67">
        <v>2.21</v>
      </c>
      <c r="E67" s="168">
        <v>1728</v>
      </c>
      <c r="F67" s="192">
        <f>0.3*C67</f>
        <v>7.29</v>
      </c>
      <c r="G67" s="175" t="s">
        <v>259</v>
      </c>
    </row>
    <row r="68" spans="2:7" ht="15" thickBot="1">
      <c r="F68" s="291">
        <f>SUM(F66:F67)</f>
        <v>68.55</v>
      </c>
    </row>
    <row r="69" spans="2:7" ht="15" thickTop="1"/>
    <row r="70" spans="2:7" ht="45">
      <c r="B70" s="252" t="s">
        <v>144</v>
      </c>
      <c r="C70" s="190" t="s">
        <v>148</v>
      </c>
      <c r="D70" s="190" t="s">
        <v>150</v>
      </c>
      <c r="E70" s="190" t="s">
        <v>149</v>
      </c>
      <c r="F70" s="189" t="s">
        <v>157</v>
      </c>
      <c r="G70" s="191" t="s">
        <v>152</v>
      </c>
    </row>
    <row r="71" spans="2:7">
      <c r="B71" t="s">
        <v>145</v>
      </c>
      <c r="C71">
        <v>2.2000000000000002</v>
      </c>
      <c r="D71">
        <v>1.23</v>
      </c>
      <c r="E71">
        <v>86</v>
      </c>
    </row>
    <row r="72" spans="2:7">
      <c r="B72" t="s">
        <v>146</v>
      </c>
      <c r="C72">
        <v>24.3</v>
      </c>
      <c r="D72">
        <v>1.64</v>
      </c>
      <c r="E72" s="168">
        <v>1282</v>
      </c>
    </row>
    <row r="73" spans="2:7">
      <c r="B73" t="s">
        <v>244</v>
      </c>
      <c r="C73">
        <v>26.4</v>
      </c>
      <c r="D73">
        <v>1.61</v>
      </c>
      <c r="E73" s="168">
        <v>1367</v>
      </c>
      <c r="F73" s="192">
        <f>0.9*C73</f>
        <v>23.759999999999998</v>
      </c>
      <c r="G73" s="175" t="s">
        <v>151</v>
      </c>
    </row>
    <row r="74" spans="2:7">
      <c r="B74" t="s">
        <v>257</v>
      </c>
      <c r="C74">
        <v>2.4</v>
      </c>
      <c r="D74">
        <v>1.23</v>
      </c>
      <c r="E74">
        <v>97</v>
      </c>
    </row>
    <row r="75" spans="2:7">
      <c r="B75" t="s">
        <v>254</v>
      </c>
      <c r="C75">
        <v>41.8</v>
      </c>
      <c r="D75">
        <v>1.53</v>
      </c>
      <c r="E75" s="168">
        <v>2055</v>
      </c>
    </row>
    <row r="76" spans="2:7">
      <c r="B76" t="s">
        <v>255</v>
      </c>
      <c r="C76">
        <v>44.2</v>
      </c>
      <c r="D76">
        <v>1.51</v>
      </c>
      <c r="E76" s="168">
        <v>2152</v>
      </c>
      <c r="F76" s="192">
        <f>0.6*C76</f>
        <v>26.52</v>
      </c>
      <c r="G76" s="175" t="s">
        <v>258</v>
      </c>
    </row>
    <row r="77" spans="2:7">
      <c r="B77" t="s">
        <v>256</v>
      </c>
      <c r="C77">
        <v>5.0999999999999996</v>
      </c>
      <c r="D77">
        <v>1.52</v>
      </c>
      <c r="E77">
        <v>250</v>
      </c>
      <c r="F77" s="192">
        <f>0.3*C77</f>
        <v>1.5299999999999998</v>
      </c>
      <c r="G77" s="175" t="s">
        <v>259</v>
      </c>
    </row>
    <row r="78" spans="2:7" ht="15" thickBot="1">
      <c r="F78" s="291">
        <f>SUM(F76:F77)</f>
        <v>28.05</v>
      </c>
    </row>
    <row r="79" spans="2:7" ht="15" thickTop="1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pane ySplit="8" topLeftCell="A20" activePane="bottomLeft" state="frozen"/>
      <selection pane="bottomLeft" activeCell="B34" sqref="B34"/>
    </sheetView>
  </sheetViews>
  <sheetFormatPr baseColWidth="10" defaultColWidth="12.6640625" defaultRowHeight="15" customHeight="1" outlineLevelRow="2"/>
  <cols>
    <col min="1" max="1" width="19.6640625" customWidth="1"/>
    <col min="2" max="2" width="10.5" customWidth="1"/>
    <col min="3" max="3" width="7.6640625" customWidth="1"/>
    <col min="4" max="4" width="8.1640625" customWidth="1"/>
    <col min="5" max="5" width="9.6640625" customWidth="1"/>
    <col min="6" max="6" width="9.33203125" customWidth="1"/>
    <col min="7" max="7" width="16.1640625" customWidth="1"/>
    <col min="8" max="8" width="9.83203125" customWidth="1"/>
    <col min="9" max="12" width="7.6640625" customWidth="1"/>
    <col min="13" max="13" width="5.33203125" customWidth="1"/>
    <col min="14" max="26" width="7.6640625" customWidth="1"/>
  </cols>
  <sheetData>
    <row r="1" spans="1:26" outlineLevel="1">
      <c r="A1" s="64" t="s">
        <v>8</v>
      </c>
      <c r="B1" s="6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outlineLevel="1">
      <c r="A2" s="66" t="s">
        <v>79</v>
      </c>
      <c r="B2" s="67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outlineLevel="1">
      <c r="A3" s="68" t="s">
        <v>80</v>
      </c>
      <c r="B3" s="69">
        <f>B1*B2/1000000</f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outlineLevel="1">
      <c r="A4" s="70" t="s">
        <v>81</v>
      </c>
      <c r="B4" s="71" t="e">
        <f>#REF!</f>
        <v>#REF!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outlineLevel="1">
      <c r="A5" s="70" t="s">
        <v>82</v>
      </c>
      <c r="B5" s="7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outlineLevel="1">
      <c r="A6" s="62" t="s">
        <v>83</v>
      </c>
      <c r="B6" s="73" t="e">
        <f>B3+B4+B5</f>
        <v>#REF!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outlineLevel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74" t="s">
        <v>84</v>
      </c>
      <c r="B8" s="7" t="e">
        <f>#REF!</f>
        <v>#REF!</v>
      </c>
      <c r="C8" s="7" t="e">
        <f>#REF!</f>
        <v>#REF!</v>
      </c>
      <c r="D8" s="7" t="e">
        <f>#REF!</f>
        <v>#REF!</v>
      </c>
      <c r="E8" s="7" t="e">
        <f>#REF!</f>
        <v>#REF!</v>
      </c>
      <c r="F8" s="7" t="e">
        <f>#REF!</f>
        <v>#REF!</v>
      </c>
      <c r="G8" s="7" t="e">
        <f>#REF!</f>
        <v>#REF!</v>
      </c>
      <c r="H8" s="7" t="e">
        <f>#REF!</f>
        <v>#REF!</v>
      </c>
      <c r="I8" s="7" t="e">
        <f>#REF!</f>
        <v>#REF!</v>
      </c>
      <c r="J8" s="7" t="e">
        <f>#REF!</f>
        <v>#REF!</v>
      </c>
      <c r="K8" s="5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6" outlineLevel="1">
      <c r="A9" s="42" t="s">
        <v>85</v>
      </c>
      <c r="B9" s="43" t="e">
        <f>#REF!</f>
        <v>#REF!</v>
      </c>
      <c r="C9" s="43" t="e">
        <f>#REF!</f>
        <v>#REF!</v>
      </c>
      <c r="D9" s="43" t="e">
        <f>#REF!</f>
        <v>#REF!</v>
      </c>
      <c r="E9" s="43" t="e">
        <f>#REF!</f>
        <v>#REF!</v>
      </c>
      <c r="F9" s="43" t="e">
        <f>#REF!</f>
        <v>#REF!</v>
      </c>
      <c r="G9" s="43" t="e">
        <f>#REF!</f>
        <v>#REF!</v>
      </c>
      <c r="H9" s="43" t="e">
        <f>#REF!</f>
        <v>#REF!</v>
      </c>
      <c r="I9" s="43" t="e">
        <f>#REF!</f>
        <v>#REF!</v>
      </c>
      <c r="J9" s="75" t="e">
        <f>#REF!</f>
        <v>#REF!</v>
      </c>
      <c r="K9" s="5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6" outlineLevel="1">
      <c r="A10" s="76" t="s">
        <v>63</v>
      </c>
      <c r="B10" s="77" t="e">
        <f>B9/#REF!-1</f>
        <v>#REF!</v>
      </c>
      <c r="C10" s="77" t="e">
        <f>C9/B9-1</f>
        <v>#REF!</v>
      </c>
      <c r="D10" s="77" t="e">
        <f t="shared" ref="D10:J10" si="0">D9/C9-1</f>
        <v>#REF!</v>
      </c>
      <c r="E10" s="77" t="e">
        <f t="shared" si="0"/>
        <v>#REF!</v>
      </c>
      <c r="F10" s="77" t="e">
        <f t="shared" si="0"/>
        <v>#REF!</v>
      </c>
      <c r="G10" s="77" t="e">
        <f t="shared" si="0"/>
        <v>#REF!</v>
      </c>
      <c r="H10" s="77" t="e">
        <f t="shared" si="0"/>
        <v>#REF!</v>
      </c>
      <c r="I10" s="77" t="e">
        <f t="shared" si="0"/>
        <v>#REF!</v>
      </c>
      <c r="J10" s="77" t="e">
        <f t="shared" si="0"/>
        <v>#REF!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spans="1:26" outlineLevel="2">
      <c r="A11" s="79" t="s">
        <v>13</v>
      </c>
      <c r="B11" s="80" t="e">
        <f>B9+#REF!</f>
        <v>#REF!</v>
      </c>
      <c r="C11" s="80" t="e">
        <f>C9+#REF!</f>
        <v>#REF!</v>
      </c>
      <c r="D11" s="80" t="e">
        <f>D9+#REF!</f>
        <v>#REF!</v>
      </c>
      <c r="E11" s="80" t="e">
        <f>E9+#REF!</f>
        <v>#REF!</v>
      </c>
      <c r="F11" s="80" t="e">
        <f>F9+#REF!</f>
        <v>#REF!</v>
      </c>
      <c r="G11" s="80" t="e">
        <f>G9+#REF!</f>
        <v>#REF!</v>
      </c>
      <c r="H11" s="80" t="e">
        <f>H9+#REF!</f>
        <v>#REF!</v>
      </c>
      <c r="I11" s="80" t="e">
        <f>I9+#REF!</f>
        <v>#REF!</v>
      </c>
      <c r="J11" s="80" t="e">
        <f>J9+#REF!</f>
        <v>#REF!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</row>
    <row r="12" spans="1:26" outlineLevel="2">
      <c r="A12" s="81" t="s">
        <v>86</v>
      </c>
      <c r="B12" s="82" t="e">
        <f t="shared" ref="B12:J12" si="1">B11/B9</f>
        <v>#REF!</v>
      </c>
      <c r="C12" s="82" t="e">
        <f t="shared" si="1"/>
        <v>#REF!</v>
      </c>
      <c r="D12" s="82" t="e">
        <f t="shared" si="1"/>
        <v>#REF!</v>
      </c>
      <c r="E12" s="82" t="e">
        <f t="shared" si="1"/>
        <v>#REF!</v>
      </c>
      <c r="F12" s="82" t="e">
        <f t="shared" si="1"/>
        <v>#REF!</v>
      </c>
      <c r="G12" s="82" t="e">
        <f t="shared" si="1"/>
        <v>#REF!</v>
      </c>
      <c r="H12" s="82" t="e">
        <f t="shared" si="1"/>
        <v>#REF!</v>
      </c>
      <c r="I12" s="82" t="e">
        <f t="shared" si="1"/>
        <v>#REF!</v>
      </c>
      <c r="J12" s="82" t="e">
        <f t="shared" si="1"/>
        <v>#REF!</v>
      </c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spans="1:26" outlineLevel="1">
      <c r="A13" s="42" t="s">
        <v>17</v>
      </c>
      <c r="B13" s="49" t="e">
        <f>#REF!</f>
        <v>#REF!</v>
      </c>
      <c r="C13" s="49" t="e">
        <f>#REF!</f>
        <v>#REF!</v>
      </c>
      <c r="D13" s="49" t="e">
        <f>#REF!</f>
        <v>#REF!</v>
      </c>
      <c r="E13" s="49" t="e">
        <f>#REF!</f>
        <v>#REF!</v>
      </c>
      <c r="F13" s="49" t="e">
        <f>#REF!</f>
        <v>#REF!</v>
      </c>
      <c r="G13" s="49" t="e">
        <f>#REF!</f>
        <v>#REF!</v>
      </c>
      <c r="H13" s="49" t="e">
        <f>#REF!</f>
        <v>#REF!</v>
      </c>
      <c r="I13" s="49" t="e">
        <f>#REF!</f>
        <v>#REF!</v>
      </c>
      <c r="J13" s="49" t="e">
        <f>#REF!</f>
        <v>#REF!</v>
      </c>
      <c r="K13" s="5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6" outlineLevel="1">
      <c r="A14" s="48" t="s">
        <v>63</v>
      </c>
      <c r="B14" s="51" t="e">
        <f>B13/#REF!-1</f>
        <v>#REF!</v>
      </c>
      <c r="C14" s="51" t="e">
        <f t="shared" ref="C14:J14" si="2">C13/B13-1</f>
        <v>#REF!</v>
      </c>
      <c r="D14" s="51" t="e">
        <f t="shared" si="2"/>
        <v>#REF!</v>
      </c>
      <c r="E14" s="51" t="e">
        <f t="shared" si="2"/>
        <v>#REF!</v>
      </c>
      <c r="F14" s="51" t="e">
        <f t="shared" si="2"/>
        <v>#REF!</v>
      </c>
      <c r="G14" s="51" t="e">
        <f t="shared" si="2"/>
        <v>#REF!</v>
      </c>
      <c r="H14" s="51" t="e">
        <f t="shared" si="2"/>
        <v>#REF!</v>
      </c>
      <c r="I14" s="51" t="e">
        <f t="shared" si="2"/>
        <v>#REF!</v>
      </c>
      <c r="J14" s="51" t="e">
        <f t="shared" si="2"/>
        <v>#REF!</v>
      </c>
    </row>
    <row r="15" spans="1:26" outlineLevel="2">
      <c r="A15" s="84" t="s">
        <v>70</v>
      </c>
      <c r="B15" s="56" t="e">
        <f t="shared" ref="B15:J15" si="3">B13/B9</f>
        <v>#REF!</v>
      </c>
      <c r="C15" s="56" t="e">
        <f t="shared" si="3"/>
        <v>#REF!</v>
      </c>
      <c r="D15" s="56" t="e">
        <f t="shared" si="3"/>
        <v>#REF!</v>
      </c>
      <c r="E15" s="56" t="e">
        <f t="shared" si="3"/>
        <v>#REF!</v>
      </c>
      <c r="F15" s="56" t="e">
        <f t="shared" si="3"/>
        <v>#REF!</v>
      </c>
      <c r="G15" s="56" t="e">
        <f t="shared" si="3"/>
        <v>#REF!</v>
      </c>
      <c r="H15" s="56" t="e">
        <f t="shared" si="3"/>
        <v>#REF!</v>
      </c>
      <c r="I15" s="56" t="e">
        <f t="shared" si="3"/>
        <v>#REF!</v>
      </c>
      <c r="J15" s="56" t="e">
        <f t="shared" si="3"/>
        <v>#REF!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</row>
    <row r="16" spans="1:26" outlineLevel="2">
      <c r="A16" s="51" t="s">
        <v>73</v>
      </c>
      <c r="B16" s="85" t="e">
        <f>#REF!</f>
        <v>#REF!</v>
      </c>
      <c r="C16" s="85" t="e">
        <f>#REF!</f>
        <v>#REF!</v>
      </c>
      <c r="D16" s="85" t="e">
        <f>#REF!</f>
        <v>#REF!</v>
      </c>
      <c r="E16" s="85" t="e">
        <f>#REF!</f>
        <v>#REF!</v>
      </c>
      <c r="F16" s="85" t="e">
        <f>#REF!</f>
        <v>#REF!</v>
      </c>
      <c r="G16" s="85" t="e">
        <f>#REF!</f>
        <v>#REF!</v>
      </c>
      <c r="H16" s="85" t="e">
        <f>#REF!</f>
        <v>#REF!</v>
      </c>
      <c r="I16" s="85" t="e">
        <f>#REF!</f>
        <v>#REF!</v>
      </c>
      <c r="J16" s="85" t="e">
        <f>#REF!</f>
        <v>#REF!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</row>
    <row r="17" spans="1:24" outlineLevel="2">
      <c r="A17" s="86" t="s">
        <v>87</v>
      </c>
      <c r="B17" s="87" t="e">
        <f t="shared" ref="B17:J17" si="4">B13+B16</f>
        <v>#REF!</v>
      </c>
      <c r="C17" s="87" t="e">
        <f t="shared" si="4"/>
        <v>#REF!</v>
      </c>
      <c r="D17" s="87" t="e">
        <f t="shared" si="4"/>
        <v>#REF!</v>
      </c>
      <c r="E17" s="87" t="e">
        <f t="shared" si="4"/>
        <v>#REF!</v>
      </c>
      <c r="F17" s="87" t="e">
        <f t="shared" si="4"/>
        <v>#REF!</v>
      </c>
      <c r="G17" s="87" t="e">
        <f t="shared" si="4"/>
        <v>#REF!</v>
      </c>
      <c r="H17" s="87" t="e">
        <f t="shared" si="4"/>
        <v>#REF!</v>
      </c>
      <c r="I17" s="87" t="e">
        <f t="shared" si="4"/>
        <v>#REF!</v>
      </c>
      <c r="J17" s="88" t="e">
        <f t="shared" si="4"/>
        <v>#REF!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</row>
    <row r="18" spans="1:24" outlineLevel="2">
      <c r="A18" s="51" t="s">
        <v>88</v>
      </c>
      <c r="B18" s="89">
        <v>0</v>
      </c>
      <c r="C18" s="52" t="e">
        <f>#REF!</f>
        <v>#REF!</v>
      </c>
      <c r="D18" s="52" t="e">
        <f>#REF!</f>
        <v>#REF!</v>
      </c>
      <c r="E18" s="52" t="e">
        <f>#REF!</f>
        <v>#REF!</v>
      </c>
      <c r="F18" s="52" t="e">
        <f>#REF!</f>
        <v>#REF!</v>
      </c>
      <c r="G18" s="52" t="e">
        <f>#REF!</f>
        <v>#REF!</v>
      </c>
      <c r="H18" s="52" t="e">
        <f>#REF!</f>
        <v>#REF!</v>
      </c>
      <c r="I18" s="52" t="e">
        <f>#REF!</f>
        <v>#REF!</v>
      </c>
      <c r="J18" s="52" t="e">
        <f>#REF!</f>
        <v>#REF!</v>
      </c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</row>
    <row r="19" spans="1:24" outlineLevel="2">
      <c r="A19" s="51" t="s">
        <v>64</v>
      </c>
      <c r="B19" s="52" t="e">
        <f>#REF!</f>
        <v>#REF!</v>
      </c>
      <c r="C19" s="52" t="e">
        <f>#REF!</f>
        <v>#REF!</v>
      </c>
      <c r="D19" s="52" t="e">
        <f>#REF!</f>
        <v>#REF!</v>
      </c>
      <c r="E19" s="52" t="e">
        <f>#REF!</f>
        <v>#REF!</v>
      </c>
      <c r="F19" s="52" t="e">
        <f>#REF!</f>
        <v>#REF!</v>
      </c>
      <c r="G19" s="52" t="e">
        <f>#REF!</f>
        <v>#REF!</v>
      </c>
      <c r="H19" s="52" t="e">
        <f>#REF!</f>
        <v>#REF!</v>
      </c>
      <c r="I19" s="52" t="e">
        <f>#REF!</f>
        <v>#REF!</v>
      </c>
      <c r="J19" s="52" t="e">
        <f>#REF!</f>
        <v>#REF!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</row>
    <row r="20" spans="1:24" outlineLevel="2">
      <c r="A20" s="51" t="s">
        <v>65</v>
      </c>
      <c r="B20" s="52" t="e">
        <f>#REF!</f>
        <v>#REF!</v>
      </c>
      <c r="C20" s="52" t="e">
        <f>#REF!</f>
        <v>#REF!</v>
      </c>
      <c r="D20" s="52" t="e">
        <f>#REF!</f>
        <v>#REF!</v>
      </c>
      <c r="E20" s="52" t="e">
        <f>#REF!</f>
        <v>#REF!</v>
      </c>
      <c r="F20" s="52" t="e">
        <f>#REF!</f>
        <v>#REF!</v>
      </c>
      <c r="G20" s="52" t="e">
        <f>#REF!</f>
        <v>#REF!</v>
      </c>
      <c r="H20" s="52" t="e">
        <f>#REF!</f>
        <v>#REF!</v>
      </c>
      <c r="I20" s="52" t="e">
        <f>#REF!</f>
        <v>#REF!</v>
      </c>
      <c r="J20" s="52" t="e">
        <f>#REF!</f>
        <v>#REF!</v>
      </c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</row>
    <row r="21" spans="1:24" ht="15.75" customHeight="1" outlineLevel="2">
      <c r="A21" s="53" t="s">
        <v>66</v>
      </c>
      <c r="B21" s="89">
        <v>0</v>
      </c>
      <c r="C21" s="89">
        <v>0</v>
      </c>
      <c r="D21" s="52" t="e">
        <f>#REF!</f>
        <v>#REF!</v>
      </c>
      <c r="E21" s="52" t="e">
        <f>#REF!</f>
        <v>#REF!</v>
      </c>
      <c r="F21" s="52" t="e">
        <f>#REF!</f>
        <v>#REF!</v>
      </c>
      <c r="G21" s="52" t="e">
        <f>#REF!</f>
        <v>#REF!</v>
      </c>
      <c r="H21" s="52" t="e">
        <f>#REF!</f>
        <v>#REF!</v>
      </c>
      <c r="I21" s="52" t="e">
        <f>#REF!</f>
        <v>#REF!</v>
      </c>
      <c r="J21" s="52" t="e">
        <f>#REF!</f>
        <v>#REF!</v>
      </c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 spans="1:24" ht="15.75" customHeight="1" outlineLevel="2">
      <c r="A22" s="54" t="s">
        <v>67</v>
      </c>
      <c r="B22" s="55" t="e">
        <f t="shared" ref="B22:J22" si="5">-B21/(B17+B18+B19+B20)</f>
        <v>#REF!</v>
      </c>
      <c r="C22" s="55" t="e">
        <f t="shared" si="5"/>
        <v>#REF!</v>
      </c>
      <c r="D22" s="55" t="e">
        <f t="shared" si="5"/>
        <v>#REF!</v>
      </c>
      <c r="E22" s="55" t="e">
        <f t="shared" si="5"/>
        <v>#REF!</v>
      </c>
      <c r="F22" s="55" t="e">
        <f t="shared" si="5"/>
        <v>#REF!</v>
      </c>
      <c r="G22" s="55" t="e">
        <f t="shared" si="5"/>
        <v>#REF!</v>
      </c>
      <c r="H22" s="55" t="e">
        <f t="shared" si="5"/>
        <v>#REF!</v>
      </c>
      <c r="I22" s="55" t="e">
        <f t="shared" si="5"/>
        <v>#REF!</v>
      </c>
      <c r="J22" s="55" t="e">
        <f t="shared" si="5"/>
        <v>#REF!</v>
      </c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 spans="1:24" ht="15.75" customHeight="1" outlineLevel="2">
      <c r="A23" s="51" t="s">
        <v>68</v>
      </c>
      <c r="B23" s="46"/>
      <c r="C23" s="52"/>
      <c r="D23" s="52"/>
      <c r="E23" s="52"/>
      <c r="F23" s="52"/>
      <c r="G23" s="52"/>
      <c r="H23" s="52"/>
      <c r="I23" s="52"/>
      <c r="J23" s="52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</row>
    <row r="24" spans="1:24" ht="15.75" customHeight="1" outlineLevel="1">
      <c r="A24" s="42" t="s">
        <v>69</v>
      </c>
      <c r="B24" s="49" t="e">
        <f t="shared" ref="B24:J24" si="6">B17+B18+B21+B23+B19+B20</f>
        <v>#REF!</v>
      </c>
      <c r="C24" s="49" t="e">
        <f t="shared" si="6"/>
        <v>#REF!</v>
      </c>
      <c r="D24" s="49" t="e">
        <f t="shared" si="6"/>
        <v>#REF!</v>
      </c>
      <c r="E24" s="49" t="e">
        <f t="shared" si="6"/>
        <v>#REF!</v>
      </c>
      <c r="F24" s="49" t="e">
        <f t="shared" si="6"/>
        <v>#REF!</v>
      </c>
      <c r="G24" s="49" t="e">
        <f t="shared" si="6"/>
        <v>#REF!</v>
      </c>
      <c r="H24" s="49" t="e">
        <f t="shared" si="6"/>
        <v>#REF!</v>
      </c>
      <c r="I24" s="49" t="e">
        <f t="shared" si="6"/>
        <v>#REF!</v>
      </c>
      <c r="J24" s="49" t="e">
        <f t="shared" si="6"/>
        <v>#REF!</v>
      </c>
      <c r="K24" s="58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outlineLevel="1">
      <c r="A25" s="48" t="s">
        <v>63</v>
      </c>
      <c r="B25" s="51" t="e">
        <f>B24/#REF!-1</f>
        <v>#REF!</v>
      </c>
      <c r="C25" s="51" t="e">
        <f t="shared" ref="C25:J25" si="7">C24/B24-1</f>
        <v>#REF!</v>
      </c>
      <c r="D25" s="51" t="e">
        <f t="shared" si="7"/>
        <v>#REF!</v>
      </c>
      <c r="E25" s="51" t="e">
        <f t="shared" si="7"/>
        <v>#REF!</v>
      </c>
      <c r="F25" s="51" t="e">
        <f t="shared" si="7"/>
        <v>#REF!</v>
      </c>
      <c r="G25" s="51" t="e">
        <f t="shared" si="7"/>
        <v>#REF!</v>
      </c>
      <c r="H25" s="51" t="e">
        <f t="shared" si="7"/>
        <v>#REF!</v>
      </c>
      <c r="I25" s="51" t="e">
        <f t="shared" si="7"/>
        <v>#REF!</v>
      </c>
      <c r="J25" s="51" t="e">
        <f t="shared" si="7"/>
        <v>#REF!</v>
      </c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spans="1:24" ht="15.75" customHeight="1" outlineLevel="1">
      <c r="A26" s="56" t="s">
        <v>70</v>
      </c>
      <c r="B26" s="56" t="e">
        <f t="shared" ref="B26:J26" si="8">B24/B9</f>
        <v>#REF!</v>
      </c>
      <c r="C26" s="56" t="e">
        <f t="shared" si="8"/>
        <v>#REF!</v>
      </c>
      <c r="D26" s="56" t="e">
        <f t="shared" si="8"/>
        <v>#REF!</v>
      </c>
      <c r="E26" s="56" t="e">
        <f t="shared" si="8"/>
        <v>#REF!</v>
      </c>
      <c r="F26" s="56" t="e">
        <f t="shared" si="8"/>
        <v>#REF!</v>
      </c>
      <c r="G26" s="56" t="e">
        <f t="shared" si="8"/>
        <v>#REF!</v>
      </c>
      <c r="H26" s="56" t="e">
        <f t="shared" si="8"/>
        <v>#REF!</v>
      </c>
      <c r="I26" s="56" t="e">
        <f t="shared" si="8"/>
        <v>#REF!</v>
      </c>
      <c r="J26" s="56" t="e">
        <f t="shared" si="8"/>
        <v>#REF!</v>
      </c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</row>
    <row r="27" spans="1:24" ht="15.75" customHeight="1" outlineLevel="1"/>
    <row r="28" spans="1:24" ht="15.75" customHeight="1" outlineLevel="1">
      <c r="A28" s="42" t="s">
        <v>89</v>
      </c>
      <c r="B28" s="44"/>
      <c r="C28" s="44"/>
      <c r="D28" s="44"/>
      <c r="E28" s="44"/>
      <c r="F28" s="44"/>
      <c r="G28" s="44"/>
      <c r="H28" s="44"/>
      <c r="I28" s="44"/>
      <c r="J28" s="90"/>
    </row>
    <row r="29" spans="1:24" ht="15.75" customHeight="1" outlineLevel="2">
      <c r="A29" s="91" t="s">
        <v>90</v>
      </c>
      <c r="B29" s="92" t="e">
        <f>$B$6/B13</f>
        <v>#REF!</v>
      </c>
      <c r="C29" s="92" t="e">
        <f t="shared" ref="C29:J29" si="9">$B$6/C13</f>
        <v>#REF!</v>
      </c>
      <c r="D29" s="92" t="e">
        <f t="shared" si="9"/>
        <v>#REF!</v>
      </c>
      <c r="E29" s="92" t="e">
        <f t="shared" si="9"/>
        <v>#REF!</v>
      </c>
      <c r="F29" s="92" t="e">
        <f t="shared" si="9"/>
        <v>#REF!</v>
      </c>
      <c r="G29" s="92" t="e">
        <f t="shared" si="9"/>
        <v>#REF!</v>
      </c>
      <c r="H29" s="92" t="e">
        <f t="shared" si="9"/>
        <v>#REF!</v>
      </c>
      <c r="I29" s="92" t="e">
        <f t="shared" si="9"/>
        <v>#REF!</v>
      </c>
      <c r="J29" s="93" t="e">
        <f t="shared" si="9"/>
        <v>#REF!</v>
      </c>
    </row>
    <row r="30" spans="1:24" ht="15.75" customHeight="1" outlineLevel="2">
      <c r="A30" s="94" t="s">
        <v>91</v>
      </c>
      <c r="B30" s="95" t="e">
        <f t="shared" ref="B30:J30" si="10">$B$3/B24</f>
        <v>#REF!</v>
      </c>
      <c r="C30" s="95" t="e">
        <f t="shared" si="10"/>
        <v>#REF!</v>
      </c>
      <c r="D30" s="95" t="e">
        <f t="shared" si="10"/>
        <v>#REF!</v>
      </c>
      <c r="E30" s="95" t="e">
        <f t="shared" si="10"/>
        <v>#REF!</v>
      </c>
      <c r="F30" s="95" t="e">
        <f t="shared" si="10"/>
        <v>#REF!</v>
      </c>
      <c r="G30" s="95" t="e">
        <f t="shared" si="10"/>
        <v>#REF!</v>
      </c>
      <c r="H30" s="95" t="e">
        <f t="shared" si="10"/>
        <v>#REF!</v>
      </c>
      <c r="I30" s="95" t="e">
        <f t="shared" si="10"/>
        <v>#REF!</v>
      </c>
      <c r="J30" s="96" t="e">
        <f t="shared" si="10"/>
        <v>#REF!</v>
      </c>
    </row>
    <row r="31" spans="1:24" ht="15.75" customHeight="1" outlineLevel="2">
      <c r="A31" s="97" t="s">
        <v>92</v>
      </c>
      <c r="B31" s="57" t="e">
        <f t="shared" ref="B31:J31" si="11">B30/(B25*100)</f>
        <v>#REF!</v>
      </c>
      <c r="C31" s="57" t="e">
        <f t="shared" si="11"/>
        <v>#REF!</v>
      </c>
      <c r="D31" s="57" t="e">
        <f t="shared" si="11"/>
        <v>#REF!</v>
      </c>
      <c r="E31" s="57" t="e">
        <f t="shared" si="11"/>
        <v>#REF!</v>
      </c>
      <c r="F31" s="57" t="e">
        <f t="shared" si="11"/>
        <v>#REF!</v>
      </c>
      <c r="G31" s="57" t="e">
        <f t="shared" si="11"/>
        <v>#REF!</v>
      </c>
      <c r="H31" s="57" t="e">
        <f t="shared" si="11"/>
        <v>#REF!</v>
      </c>
      <c r="I31" s="57" t="e">
        <f t="shared" si="11"/>
        <v>#REF!</v>
      </c>
      <c r="J31" s="98" t="e">
        <f t="shared" si="11"/>
        <v>#REF!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outlineLevel="2">
      <c r="A32" s="94" t="s">
        <v>93</v>
      </c>
      <c r="B32" s="95" t="e">
        <f>#REF!/'Financials &amp; Valuation'!$B3</f>
        <v>#REF!</v>
      </c>
      <c r="C32" s="95" t="e">
        <f>#REF!/'Financials &amp; Valuation'!$B3</f>
        <v>#REF!</v>
      </c>
      <c r="D32" s="95" t="e">
        <f>#REF!/'Financials &amp; Valuation'!$B3</f>
        <v>#REF!</v>
      </c>
      <c r="E32" s="95" t="e">
        <f>#REF!/'Financials &amp; Valuation'!$B3</f>
        <v>#REF!</v>
      </c>
      <c r="F32" s="95" t="e">
        <f>#REF!/'Financials &amp; Valuation'!$B3</f>
        <v>#REF!</v>
      </c>
      <c r="G32" s="95" t="e">
        <f>#REF!/'Financials &amp; Valuation'!$B3</f>
        <v>#REF!</v>
      </c>
      <c r="H32" s="95" t="e">
        <f>#REF!/'Financials &amp; Valuation'!$B3</f>
        <v>#REF!</v>
      </c>
      <c r="I32" s="95" t="e">
        <f>#REF!/'Financials &amp; Valuation'!$B3</f>
        <v>#REF!</v>
      </c>
      <c r="J32" s="96" t="e">
        <f>#REF!/'Financials &amp; Valuation'!$B3</f>
        <v>#REF!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outlineLevel="2">
      <c r="A33" s="97" t="s">
        <v>94</v>
      </c>
      <c r="B33" s="57" t="e">
        <f>B24/AVERAGE(#REF!)</f>
        <v>#REF!</v>
      </c>
      <c r="C33" s="57" t="e">
        <f>C24/AVERAGE(#REF!)</f>
        <v>#REF!</v>
      </c>
      <c r="D33" s="57" t="e">
        <f>D24/AVERAGE(#REF!)</f>
        <v>#REF!</v>
      </c>
      <c r="E33" s="57" t="e">
        <f>E24/AVERAGE(#REF!)</f>
        <v>#REF!</v>
      </c>
      <c r="F33" s="57" t="e">
        <f>F24/AVERAGE(#REF!)</f>
        <v>#REF!</v>
      </c>
      <c r="G33" s="57" t="e">
        <f>G24/AVERAGE(#REF!)</f>
        <v>#REF!</v>
      </c>
      <c r="H33" s="57" t="e">
        <f>H24/AVERAGE(#REF!)</f>
        <v>#REF!</v>
      </c>
      <c r="I33" s="57" t="e">
        <f>I24/AVERAGE(#REF!)</f>
        <v>#REF!</v>
      </c>
      <c r="J33" s="98" t="e">
        <f>J24/AVERAGE(#REF!)</f>
        <v>#REF!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outlineLevel="2">
      <c r="A34" s="99" t="s">
        <v>72</v>
      </c>
      <c r="B34" s="100" t="e">
        <f>#REF!/'Financials &amp; Valuation'!B13</f>
        <v>#REF!</v>
      </c>
      <c r="C34" s="100" t="e">
        <f>#REF!/'Financials &amp; Valuation'!C13</f>
        <v>#REF!</v>
      </c>
      <c r="D34" s="100" t="e">
        <f>#REF!/'Financials &amp; Valuation'!D13</f>
        <v>#REF!</v>
      </c>
      <c r="E34" s="100" t="e">
        <f>#REF!/'Financials &amp; Valuation'!E13</f>
        <v>#REF!</v>
      </c>
      <c r="F34" s="100" t="e">
        <f>#REF!/'Financials &amp; Valuation'!F13</f>
        <v>#REF!</v>
      </c>
      <c r="G34" s="100" t="e">
        <f>#REF!/'Financials &amp; Valuation'!G13</f>
        <v>#REF!</v>
      </c>
      <c r="H34" s="100" t="e">
        <f>#REF!/'Financials &amp; Valuation'!H13</f>
        <v>#REF!</v>
      </c>
      <c r="I34" s="100" t="e">
        <f>#REF!/'Financials &amp; Valuation'!I13</f>
        <v>#REF!</v>
      </c>
      <c r="J34" s="101" t="e">
        <f>#REF!/'Financials &amp; Valuation'!J13</f>
        <v>#REF!</v>
      </c>
    </row>
    <row r="35" spans="1:24" ht="15.75" customHeight="1" outlineLevel="2">
      <c r="A35" s="102" t="s">
        <v>95</v>
      </c>
      <c r="B35" s="103">
        <v>0.2</v>
      </c>
      <c r="C35" s="103">
        <v>0.2</v>
      </c>
      <c r="D35" s="103">
        <v>0.2</v>
      </c>
      <c r="E35" s="103">
        <v>0.2</v>
      </c>
      <c r="F35" s="103">
        <v>0.2</v>
      </c>
      <c r="G35" s="103">
        <v>0.2</v>
      </c>
      <c r="H35" s="103">
        <v>0.2</v>
      </c>
      <c r="I35" s="103">
        <v>0.2</v>
      </c>
      <c r="J35" s="104">
        <v>0.2</v>
      </c>
    </row>
    <row r="36" spans="1:24" ht="15.75" customHeight="1" outlineLevel="2">
      <c r="A36" s="105" t="s">
        <v>96</v>
      </c>
      <c r="B36" s="47" t="e">
        <f t="shared" ref="B36:J36" si="12">B24*B35</f>
        <v>#REF!</v>
      </c>
      <c r="C36" s="47" t="e">
        <f t="shared" si="12"/>
        <v>#REF!</v>
      </c>
      <c r="D36" s="47" t="e">
        <f t="shared" si="12"/>
        <v>#REF!</v>
      </c>
      <c r="E36" s="47" t="e">
        <f t="shared" si="12"/>
        <v>#REF!</v>
      </c>
      <c r="F36" s="47" t="e">
        <f t="shared" si="12"/>
        <v>#REF!</v>
      </c>
      <c r="G36" s="47" t="e">
        <f t="shared" si="12"/>
        <v>#REF!</v>
      </c>
      <c r="H36" s="47" t="e">
        <f t="shared" si="12"/>
        <v>#REF!</v>
      </c>
      <c r="I36" s="47" t="e">
        <f t="shared" si="12"/>
        <v>#REF!</v>
      </c>
      <c r="J36" s="106" t="e">
        <f t="shared" si="12"/>
        <v>#REF!</v>
      </c>
    </row>
    <row r="37" spans="1:24" ht="15.75" customHeight="1" outlineLevel="2">
      <c r="A37" s="99" t="s">
        <v>97</v>
      </c>
      <c r="B37" s="100" t="e">
        <f>B36/SUMMARY!C3/SUMMARY!C4</f>
        <v>#REF!</v>
      </c>
      <c r="C37" s="100" t="e">
        <f>C36/SUMMARY!D3/SUMMARY!D4</f>
        <v>#REF!</v>
      </c>
      <c r="D37" s="100" t="e">
        <f>D36/SUMMARY!E3/SUMMARY!E4</f>
        <v>#REF!</v>
      </c>
      <c r="E37" s="100" t="e">
        <f>E36/SUMMARY!$F$3/SUMMARY!$F$4</f>
        <v>#REF!</v>
      </c>
      <c r="F37" s="100" t="e">
        <f>F36/SUMMARY!$F$3/SUMMARY!$F$4</f>
        <v>#REF!</v>
      </c>
      <c r="G37" s="100" t="e">
        <f>G36/SUMMARY!$F$3/SUMMARY!$F$4</f>
        <v>#REF!</v>
      </c>
      <c r="H37" s="100" t="e">
        <f>H36/SUMMARY!$F$3/SUMMARY!$F$4</f>
        <v>#REF!</v>
      </c>
      <c r="I37" s="100" t="e">
        <f>I36/SUMMARY!$F$3/SUMMARY!$F$4</f>
        <v>#REF!</v>
      </c>
      <c r="J37" s="100" t="e">
        <f>J36/SUMMARY!$F$3/SUMMARY!$F$4</f>
        <v>#REF!</v>
      </c>
    </row>
    <row r="38" spans="1:24" ht="15.75" customHeight="1" outlineLevel="1">
      <c r="A38" s="83"/>
      <c r="C38" s="57"/>
      <c r="D38" s="57"/>
      <c r="E38" s="57"/>
      <c r="F38" s="57"/>
    </row>
    <row r="39" spans="1:24" ht="15.75" customHeight="1">
      <c r="A39" s="2" t="s">
        <v>98</v>
      </c>
      <c r="B39" s="7" t="e">
        <f t="shared" ref="B39:J39" si="13">B8</f>
        <v>#REF!</v>
      </c>
      <c r="C39" s="7" t="e">
        <f t="shared" si="13"/>
        <v>#REF!</v>
      </c>
      <c r="D39" s="7" t="e">
        <f t="shared" si="13"/>
        <v>#REF!</v>
      </c>
      <c r="E39" s="7" t="e">
        <f t="shared" si="13"/>
        <v>#REF!</v>
      </c>
      <c r="F39" s="7" t="e">
        <f t="shared" si="13"/>
        <v>#REF!</v>
      </c>
      <c r="G39" s="7" t="e">
        <f t="shared" si="13"/>
        <v>#REF!</v>
      </c>
      <c r="H39" s="7" t="e">
        <f t="shared" si="13"/>
        <v>#REF!</v>
      </c>
      <c r="I39" s="7" t="e">
        <f t="shared" si="13"/>
        <v>#REF!</v>
      </c>
      <c r="J39" s="7" t="e">
        <f t="shared" si="13"/>
        <v>#REF!</v>
      </c>
      <c r="K39" s="3"/>
    </row>
    <row r="40" spans="1:24" ht="15.75" customHeight="1">
      <c r="A40" s="83" t="s">
        <v>99</v>
      </c>
      <c r="B40" s="107" t="e">
        <f>#REF!</f>
        <v>#REF!</v>
      </c>
      <c r="C40" s="107" t="e">
        <f>#REF!</f>
        <v>#REF!</v>
      </c>
      <c r="D40" s="107" t="e">
        <f>#REF!</f>
        <v>#REF!</v>
      </c>
      <c r="E40" s="107" t="e">
        <f>#REF!</f>
        <v>#REF!</v>
      </c>
      <c r="F40" s="107" t="e">
        <f>#REF!</f>
        <v>#REF!</v>
      </c>
      <c r="G40" s="107" t="e">
        <f>#REF!</f>
        <v>#REF!</v>
      </c>
      <c r="H40" s="107" t="e">
        <f>#REF!</f>
        <v>#REF!</v>
      </c>
      <c r="I40" s="107" t="e">
        <f>#REF!</f>
        <v>#REF!</v>
      </c>
      <c r="J40" s="107" t="e">
        <f>#REF!</f>
        <v>#REF!</v>
      </c>
      <c r="K40" s="108"/>
    </row>
    <row r="41" spans="1:24" ht="15.75" customHeight="1">
      <c r="A41" s="83" t="s">
        <v>100</v>
      </c>
      <c r="B41" s="107" t="e">
        <f>#REF!</f>
        <v>#REF!</v>
      </c>
      <c r="C41" s="107" t="e">
        <f>#REF!</f>
        <v>#REF!</v>
      </c>
      <c r="D41" s="107" t="e">
        <f>#REF!</f>
        <v>#REF!</v>
      </c>
      <c r="E41" s="107" t="e">
        <f>#REF!</f>
        <v>#REF!</v>
      </c>
      <c r="F41" s="107" t="e">
        <f>#REF!</f>
        <v>#REF!</v>
      </c>
      <c r="G41" s="107" t="e">
        <f>#REF!</f>
        <v>#REF!</v>
      </c>
      <c r="H41" s="107" t="e">
        <f>#REF!</f>
        <v>#REF!</v>
      </c>
      <c r="I41" s="107" t="e">
        <f>#REF!</f>
        <v>#REF!</v>
      </c>
      <c r="J41" s="107" t="e">
        <f>#REF!</f>
        <v>#REF!</v>
      </c>
      <c r="K41" s="46"/>
    </row>
    <row r="42" spans="1:24" ht="15.75" customHeight="1">
      <c r="A42" s="109" t="s">
        <v>77</v>
      </c>
      <c r="B42" s="110" t="e">
        <f t="shared" ref="B42:J42" si="14">SUM(B40:B41)</f>
        <v>#REF!</v>
      </c>
      <c r="C42" s="110" t="e">
        <f t="shared" si="14"/>
        <v>#REF!</v>
      </c>
      <c r="D42" s="110" t="e">
        <f t="shared" si="14"/>
        <v>#REF!</v>
      </c>
      <c r="E42" s="110" t="e">
        <f t="shared" si="14"/>
        <v>#REF!</v>
      </c>
      <c r="F42" s="110" t="e">
        <f t="shared" si="14"/>
        <v>#REF!</v>
      </c>
      <c r="G42" s="110" t="e">
        <f t="shared" si="14"/>
        <v>#REF!</v>
      </c>
      <c r="H42" s="110" t="e">
        <f t="shared" si="14"/>
        <v>#REF!</v>
      </c>
      <c r="I42" s="110" t="e">
        <f t="shared" si="14"/>
        <v>#REF!</v>
      </c>
      <c r="J42" s="111" t="e">
        <f t="shared" si="14"/>
        <v>#REF!</v>
      </c>
      <c r="K42" s="46"/>
    </row>
    <row r="43" spans="1:24" ht="15.75" customHeight="1">
      <c r="A43" s="109" t="s">
        <v>73</v>
      </c>
      <c r="B43" s="110" t="e">
        <f>'Financials &amp; Valuation'!B16</f>
        <v>#REF!</v>
      </c>
      <c r="C43" s="110" t="e">
        <f>'Financials &amp; Valuation'!C16</f>
        <v>#REF!</v>
      </c>
      <c r="D43" s="110" t="e">
        <f>'Financials &amp; Valuation'!D16</f>
        <v>#REF!</v>
      </c>
      <c r="E43" s="110" t="e">
        <f>'Financials &amp; Valuation'!E16</f>
        <v>#REF!</v>
      </c>
      <c r="F43" s="110" t="e">
        <f>'Financials &amp; Valuation'!F16</f>
        <v>#REF!</v>
      </c>
      <c r="G43" s="110" t="e">
        <f>'Financials &amp; Valuation'!G16</f>
        <v>#REF!</v>
      </c>
      <c r="H43" s="110" t="e">
        <f>'Financials &amp; Valuation'!H16</f>
        <v>#REF!</v>
      </c>
      <c r="I43" s="110" t="e">
        <f>'Financials &amp; Valuation'!I16</f>
        <v>#REF!</v>
      </c>
      <c r="J43" s="111" t="e">
        <f>'Financials &amp; Valuation'!J16</f>
        <v>#REF!</v>
      </c>
      <c r="K43" s="46"/>
    </row>
    <row r="44" spans="1:24" ht="15.75" customHeight="1">
      <c r="A44" s="83" t="s">
        <v>101</v>
      </c>
      <c r="B44" s="112" t="e">
        <f>#REF!-B42+B43</f>
        <v>#REF!</v>
      </c>
      <c r="C44" s="112" t="e">
        <f t="shared" ref="C44:J44" si="15">B44-C42+C43</f>
        <v>#REF!</v>
      </c>
      <c r="D44" s="112" t="e">
        <f t="shared" si="15"/>
        <v>#REF!</v>
      </c>
      <c r="E44" s="112" t="e">
        <f t="shared" si="15"/>
        <v>#REF!</v>
      </c>
      <c r="F44" s="112" t="e">
        <f t="shared" si="15"/>
        <v>#REF!</v>
      </c>
      <c r="G44" s="112" t="e">
        <f t="shared" si="15"/>
        <v>#REF!</v>
      </c>
      <c r="H44" s="112" t="e">
        <f t="shared" si="15"/>
        <v>#REF!</v>
      </c>
      <c r="I44" s="112" t="e">
        <f t="shared" si="15"/>
        <v>#REF!</v>
      </c>
      <c r="J44" s="112" t="e">
        <f t="shared" si="15"/>
        <v>#REF!</v>
      </c>
    </row>
    <row r="45" spans="1:24" ht="15.75" customHeight="1">
      <c r="A45" s="113" t="s">
        <v>102</v>
      </c>
      <c r="B45" s="114" t="e">
        <f>'Financials &amp; Valuation'!B9</f>
        <v>#REF!</v>
      </c>
      <c r="C45" s="114" t="e">
        <f>'Financials &amp; Valuation'!C9</f>
        <v>#REF!</v>
      </c>
      <c r="D45" s="114" t="e">
        <f>'Financials &amp; Valuation'!D9</f>
        <v>#REF!</v>
      </c>
      <c r="E45" s="114" t="e">
        <f>'Financials &amp; Valuation'!E9</f>
        <v>#REF!</v>
      </c>
      <c r="F45" s="114" t="e">
        <f>'Financials &amp; Valuation'!F9</f>
        <v>#REF!</v>
      </c>
      <c r="G45" s="114" t="e">
        <f>'Financials &amp; Valuation'!G9</f>
        <v>#REF!</v>
      </c>
      <c r="H45" s="114" t="e">
        <f>'Financials &amp; Valuation'!H9</f>
        <v>#REF!</v>
      </c>
      <c r="I45" s="114" t="e">
        <f>'Financials &amp; Valuation'!I9</f>
        <v>#REF!</v>
      </c>
      <c r="J45" s="114" t="e">
        <f>'Financials &amp; Valuation'!J9</f>
        <v>#REF!</v>
      </c>
      <c r="K45" s="1"/>
    </row>
    <row r="46" spans="1:24" ht="15.75" customHeight="1">
      <c r="A46" s="83" t="s">
        <v>17</v>
      </c>
      <c r="B46" s="112" t="e">
        <f>'Financials &amp; Valuation'!B13</f>
        <v>#REF!</v>
      </c>
      <c r="C46" s="112" t="e">
        <f>'Financials &amp; Valuation'!C13</f>
        <v>#REF!</v>
      </c>
      <c r="D46" s="112" t="e">
        <f>'Financials &amp; Valuation'!D13</f>
        <v>#REF!</v>
      </c>
      <c r="E46" s="112" t="e">
        <f>'Financials &amp; Valuation'!E13</f>
        <v>#REF!</v>
      </c>
      <c r="F46" s="112" t="e">
        <f>'Financials &amp; Valuation'!F13</f>
        <v>#REF!</v>
      </c>
      <c r="G46" s="112" t="e">
        <f>'Financials &amp; Valuation'!G13</f>
        <v>#REF!</v>
      </c>
      <c r="H46" s="112" t="e">
        <f>'Financials &amp; Valuation'!H13</f>
        <v>#REF!</v>
      </c>
      <c r="I46" s="112" t="e">
        <f>'Financials &amp; Valuation'!I13</f>
        <v>#REF!</v>
      </c>
      <c r="J46" s="112" t="e">
        <f>'Financials &amp; Valuation'!J13</f>
        <v>#REF!</v>
      </c>
      <c r="K46" s="1"/>
    </row>
    <row r="47" spans="1:24" ht="15.75" customHeight="1">
      <c r="A47" s="115" t="s">
        <v>18</v>
      </c>
      <c r="B47" s="116" t="e">
        <f t="shared" ref="B47:J47" si="16">B46/B45</f>
        <v>#REF!</v>
      </c>
      <c r="C47" s="116" t="e">
        <f t="shared" si="16"/>
        <v>#REF!</v>
      </c>
      <c r="D47" s="116" t="e">
        <f t="shared" si="16"/>
        <v>#REF!</v>
      </c>
      <c r="E47" s="116" t="e">
        <f t="shared" si="16"/>
        <v>#REF!</v>
      </c>
      <c r="F47" s="116" t="e">
        <f t="shared" si="16"/>
        <v>#REF!</v>
      </c>
      <c r="G47" s="116" t="e">
        <f t="shared" si="16"/>
        <v>#REF!</v>
      </c>
      <c r="H47" s="116" t="e">
        <f t="shared" si="16"/>
        <v>#REF!</v>
      </c>
      <c r="I47" s="116" t="e">
        <f t="shared" si="16"/>
        <v>#REF!</v>
      </c>
      <c r="J47" s="116" t="e">
        <f t="shared" si="16"/>
        <v>#REF!</v>
      </c>
      <c r="K47" s="1"/>
    </row>
    <row r="48" spans="1:24" ht="15.75" customHeight="1">
      <c r="A48" s="83" t="s">
        <v>87</v>
      </c>
      <c r="B48" s="112" t="e">
        <f>'Financials &amp; Valuation'!B46+'Financials &amp; Valuation'!B16</f>
        <v>#REF!</v>
      </c>
      <c r="C48" s="112" t="e">
        <f>'Financials &amp; Valuation'!C46+'Financials &amp; Valuation'!C16</f>
        <v>#REF!</v>
      </c>
      <c r="D48" s="112" t="e">
        <f>'Financials &amp; Valuation'!D46+'Financials &amp; Valuation'!D16</f>
        <v>#REF!</v>
      </c>
      <c r="E48" s="112" t="e">
        <f>'Financials &amp; Valuation'!E46+'Financials &amp; Valuation'!E16</f>
        <v>#REF!</v>
      </c>
      <c r="F48" s="112" t="e">
        <f>'Financials &amp; Valuation'!F46+'Financials &amp; Valuation'!F16</f>
        <v>#REF!</v>
      </c>
      <c r="G48" s="112" t="e">
        <f>'Financials &amp; Valuation'!G46+'Financials &amp; Valuation'!G16</f>
        <v>#REF!</v>
      </c>
      <c r="H48" s="112" t="e">
        <f>'Financials &amp; Valuation'!H46+'Financials &amp; Valuation'!H16</f>
        <v>#REF!</v>
      </c>
      <c r="I48" s="112" t="e">
        <f>'Financials &amp; Valuation'!I46+'Financials &amp; Valuation'!I16</f>
        <v>#REF!</v>
      </c>
      <c r="J48" s="112" t="e">
        <f>'Financials &amp; Valuation'!J46+'Financials &amp; Valuation'!J16</f>
        <v>#REF!</v>
      </c>
      <c r="K48" s="1"/>
    </row>
    <row r="49" spans="1:26" ht="15.75" customHeight="1">
      <c r="A49" s="117" t="s">
        <v>103</v>
      </c>
      <c r="B49" s="107">
        <f>'Financials &amp; Valuation'!B21</f>
        <v>0</v>
      </c>
      <c r="C49" s="107">
        <f>'Financials &amp; Valuation'!C21</f>
        <v>0</v>
      </c>
      <c r="D49" s="107" t="e">
        <f>'Financials &amp; Valuation'!D21</f>
        <v>#REF!</v>
      </c>
      <c r="E49" s="107" t="e">
        <f>'Financials &amp; Valuation'!E21</f>
        <v>#REF!</v>
      </c>
      <c r="F49" s="107" t="e">
        <f>'Financials &amp; Valuation'!F21</f>
        <v>#REF!</v>
      </c>
      <c r="G49" s="107" t="e">
        <f>'Financials &amp; Valuation'!G21</f>
        <v>#REF!</v>
      </c>
      <c r="H49" s="107" t="e">
        <f>'Financials &amp; Valuation'!H21</f>
        <v>#REF!</v>
      </c>
      <c r="I49" s="107" t="e">
        <f>'Financials &amp; Valuation'!I21</f>
        <v>#REF!</v>
      </c>
      <c r="J49" s="107" t="e">
        <f>'Financials &amp; Valuation'!J21</f>
        <v>#REF!</v>
      </c>
      <c r="K49" s="1"/>
    </row>
    <row r="50" spans="1:26" ht="15.75" customHeight="1">
      <c r="A50" s="83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42" t="s">
        <v>104</v>
      </c>
      <c r="B51" s="45"/>
      <c r="C51" s="44"/>
      <c r="D51" s="44"/>
      <c r="E51" s="44"/>
      <c r="F51" s="44"/>
      <c r="G51" s="44"/>
      <c r="H51" s="44"/>
      <c r="I51" s="44"/>
      <c r="J51" s="90"/>
      <c r="K51" s="1"/>
    </row>
    <row r="52" spans="1:26" ht="15.75" customHeight="1">
      <c r="A52" s="83" t="s">
        <v>17</v>
      </c>
      <c r="B52" s="118" t="e">
        <f t="shared" ref="B52:J52" si="17">B46</f>
        <v>#REF!</v>
      </c>
      <c r="C52" s="118" t="e">
        <f t="shared" si="17"/>
        <v>#REF!</v>
      </c>
      <c r="D52" s="118" t="e">
        <f t="shared" si="17"/>
        <v>#REF!</v>
      </c>
      <c r="E52" s="118" t="e">
        <f t="shared" si="17"/>
        <v>#REF!</v>
      </c>
      <c r="F52" s="118" t="e">
        <f t="shared" si="17"/>
        <v>#REF!</v>
      </c>
      <c r="G52" s="118" t="e">
        <f t="shared" si="17"/>
        <v>#REF!</v>
      </c>
      <c r="H52" s="118" t="e">
        <f t="shared" si="17"/>
        <v>#REF!</v>
      </c>
      <c r="I52" s="118" t="e">
        <f t="shared" si="17"/>
        <v>#REF!</v>
      </c>
      <c r="J52" s="118" t="e">
        <f t="shared" si="17"/>
        <v>#REF!</v>
      </c>
      <c r="K52" s="1"/>
    </row>
    <row r="53" spans="1:26" ht="15.75" customHeight="1">
      <c r="A53" s="83" t="s">
        <v>105</v>
      </c>
      <c r="B53" s="61">
        <f t="shared" ref="B53:J53" si="18">B49</f>
        <v>0</v>
      </c>
      <c r="C53" s="61">
        <f t="shared" si="18"/>
        <v>0</v>
      </c>
      <c r="D53" s="61" t="e">
        <f t="shared" si="18"/>
        <v>#REF!</v>
      </c>
      <c r="E53" s="61" t="e">
        <f t="shared" si="18"/>
        <v>#REF!</v>
      </c>
      <c r="F53" s="61" t="e">
        <f t="shared" si="18"/>
        <v>#REF!</v>
      </c>
      <c r="G53" s="61" t="e">
        <f t="shared" si="18"/>
        <v>#REF!</v>
      </c>
      <c r="H53" s="61" t="e">
        <f t="shared" si="18"/>
        <v>#REF!</v>
      </c>
      <c r="I53" s="61" t="e">
        <f t="shared" si="18"/>
        <v>#REF!</v>
      </c>
      <c r="J53" s="61" t="e">
        <f t="shared" si="18"/>
        <v>#REF!</v>
      </c>
      <c r="K53" s="1"/>
    </row>
    <row r="54" spans="1:26" ht="15.75" customHeight="1">
      <c r="A54" s="83" t="s">
        <v>106</v>
      </c>
      <c r="B54" s="107" t="e">
        <f>#REF!</f>
        <v>#REF!</v>
      </c>
      <c r="C54" s="107" t="e">
        <f>#REF!</f>
        <v>#REF!</v>
      </c>
      <c r="D54" s="107" t="e">
        <f>#REF!</f>
        <v>#REF!</v>
      </c>
      <c r="E54" s="107" t="e">
        <f>#REF!</f>
        <v>#REF!</v>
      </c>
      <c r="F54" s="107" t="e">
        <f>#REF!</f>
        <v>#REF!</v>
      </c>
      <c r="G54" s="107" t="e">
        <f>#REF!</f>
        <v>#REF!</v>
      </c>
      <c r="H54" s="107" t="e">
        <f>#REF!</f>
        <v>#REF!</v>
      </c>
      <c r="I54" s="107" t="e">
        <f>#REF!</f>
        <v>#REF!</v>
      </c>
      <c r="J54" s="107" t="e">
        <f>#REF!</f>
        <v>#REF!</v>
      </c>
      <c r="K54" s="1"/>
    </row>
    <row r="55" spans="1:26" ht="15.75" customHeight="1">
      <c r="A55" s="83" t="s">
        <v>47</v>
      </c>
      <c r="B55" s="46" t="e">
        <f t="shared" ref="B55:J55" si="19">B42</f>
        <v>#REF!</v>
      </c>
      <c r="C55" s="46" t="e">
        <f t="shared" si="19"/>
        <v>#REF!</v>
      </c>
      <c r="D55" s="46" t="e">
        <f t="shared" si="19"/>
        <v>#REF!</v>
      </c>
      <c r="E55" s="46" t="e">
        <f t="shared" si="19"/>
        <v>#REF!</v>
      </c>
      <c r="F55" s="46" t="e">
        <f t="shared" si="19"/>
        <v>#REF!</v>
      </c>
      <c r="G55" s="46" t="e">
        <f t="shared" si="19"/>
        <v>#REF!</v>
      </c>
      <c r="H55" s="46" t="e">
        <f t="shared" si="19"/>
        <v>#REF!</v>
      </c>
      <c r="I55" s="46" t="e">
        <f t="shared" si="19"/>
        <v>#REF!</v>
      </c>
      <c r="J55" s="46" t="e">
        <f t="shared" si="19"/>
        <v>#REF!</v>
      </c>
      <c r="K55" s="1"/>
    </row>
    <row r="56" spans="1:26" ht="15.75" customHeight="1">
      <c r="A56" s="42" t="s">
        <v>78</v>
      </c>
      <c r="B56" s="45" t="e">
        <f t="shared" ref="B56:J56" si="20">SUM(B52:B55)</f>
        <v>#REF!</v>
      </c>
      <c r="C56" s="43" t="e">
        <f t="shared" si="20"/>
        <v>#REF!</v>
      </c>
      <c r="D56" s="43" t="e">
        <f t="shared" si="20"/>
        <v>#REF!</v>
      </c>
      <c r="E56" s="44" t="e">
        <f t="shared" si="20"/>
        <v>#REF!</v>
      </c>
      <c r="F56" s="44" t="e">
        <f t="shared" si="20"/>
        <v>#REF!</v>
      </c>
      <c r="G56" s="44" t="e">
        <f t="shared" si="20"/>
        <v>#REF!</v>
      </c>
      <c r="H56" s="44" t="e">
        <f t="shared" si="20"/>
        <v>#REF!</v>
      </c>
      <c r="I56" s="44" t="e">
        <f t="shared" si="20"/>
        <v>#REF!</v>
      </c>
      <c r="J56" s="90" t="e">
        <f t="shared" si="20"/>
        <v>#REF!</v>
      </c>
      <c r="K56" s="1"/>
    </row>
    <row r="57" spans="1:26" ht="15.75" customHeight="1">
      <c r="M57" s="1"/>
    </row>
    <row r="58" spans="1:26" ht="15.75" customHeight="1">
      <c r="A58" s="42" t="s">
        <v>107</v>
      </c>
      <c r="B58" s="90"/>
      <c r="C58" s="113"/>
      <c r="D58" s="59"/>
      <c r="E58" s="59"/>
      <c r="F58" s="59"/>
      <c r="G58" s="59"/>
      <c r="H58" s="59"/>
      <c r="I58" s="59"/>
      <c r="J58" s="59"/>
      <c r="K58" s="59"/>
      <c r="L58" s="59"/>
      <c r="M58" s="1"/>
    </row>
    <row r="59" spans="1:26" ht="15.75" customHeight="1">
      <c r="A59" s="119" t="s">
        <v>108</v>
      </c>
      <c r="B59" s="120">
        <f>'Financials &amp; Valuation'!B1</f>
        <v>0</v>
      </c>
      <c r="C59" s="83"/>
    </row>
    <row r="60" spans="1:26" ht="15.75" customHeight="1">
      <c r="A60" s="121" t="s">
        <v>109</v>
      </c>
      <c r="B60" s="122" t="e">
        <f>'Financials &amp; Valuation'!B4</f>
        <v>#REF!</v>
      </c>
      <c r="C60" s="83"/>
    </row>
    <row r="61" spans="1:26" ht="15.75" customHeight="1"/>
    <row r="62" spans="1:26" ht="15.75" customHeight="1">
      <c r="A62" s="123"/>
      <c r="B62" s="60" t="s">
        <v>110</v>
      </c>
      <c r="C62" s="60"/>
      <c r="D62" s="60"/>
      <c r="E62" s="124"/>
      <c r="G62" s="123" t="s">
        <v>111</v>
      </c>
      <c r="H62" s="63">
        <v>2019</v>
      </c>
      <c r="I62" s="63">
        <v>1</v>
      </c>
      <c r="J62" s="63">
        <v>2</v>
      </c>
      <c r="K62" s="63">
        <v>3</v>
      </c>
      <c r="L62" s="63">
        <v>4</v>
      </c>
      <c r="M62" s="125">
        <v>5</v>
      </c>
    </row>
    <row r="63" spans="1:26" ht="15.75" customHeight="1">
      <c r="A63" s="4" t="s">
        <v>112</v>
      </c>
      <c r="B63" s="83">
        <v>0.01</v>
      </c>
      <c r="C63" s="83">
        <v>0.02</v>
      </c>
      <c r="D63" s="83">
        <v>0.03</v>
      </c>
      <c r="E63" s="83">
        <v>0.04</v>
      </c>
      <c r="G63" s="126" t="s">
        <v>17</v>
      </c>
      <c r="H63" s="127" t="e">
        <f t="shared" ref="H63:M63" si="21">C46</f>
        <v>#REF!</v>
      </c>
      <c r="I63" s="127" t="e">
        <f t="shared" si="21"/>
        <v>#REF!</v>
      </c>
      <c r="J63" s="127" t="e">
        <f t="shared" si="21"/>
        <v>#REF!</v>
      </c>
      <c r="K63" s="127" t="e">
        <f t="shared" si="21"/>
        <v>#REF!</v>
      </c>
      <c r="L63" s="127" t="e">
        <f t="shared" si="21"/>
        <v>#REF!</v>
      </c>
      <c r="M63" s="128" t="e">
        <f t="shared" si="21"/>
        <v>#REF!</v>
      </c>
    </row>
    <row r="64" spans="1:26" ht="15.75" customHeight="1">
      <c r="A64" s="83">
        <v>0.05</v>
      </c>
      <c r="B64" s="129" t="e">
        <f t="shared" ref="B64:E72" si="22">(NPV($A64,$C$56:$J$56,$J$56*(1+B$63)/($A64-B$63))-$B$60)*1000000/$B$59</f>
        <v>#REF!</v>
      </c>
      <c r="C64" s="129" t="e">
        <f t="shared" si="22"/>
        <v>#REF!</v>
      </c>
      <c r="D64" s="129" t="e">
        <f t="shared" si="22"/>
        <v>#REF!</v>
      </c>
      <c r="E64" s="129" t="e">
        <f t="shared" si="22"/>
        <v>#REF!</v>
      </c>
      <c r="G64" s="97" t="s">
        <v>63</v>
      </c>
      <c r="H64" s="1"/>
      <c r="I64" s="78" t="e">
        <f>I63/H63-1</f>
        <v>#REF!</v>
      </c>
      <c r="J64" s="78" t="e">
        <f>J63/I63-1</f>
        <v>#REF!</v>
      </c>
      <c r="K64" s="78" t="e">
        <f>K63/J63-1</f>
        <v>#REF!</v>
      </c>
      <c r="L64" s="78" t="e">
        <f>L63/K63-1</f>
        <v>#REF!</v>
      </c>
      <c r="M64" s="130" t="e">
        <f>M63/L63-1</f>
        <v>#REF!</v>
      </c>
    </row>
    <row r="65" spans="1:13" ht="15.75" customHeight="1">
      <c r="A65" s="83">
        <v>0.06</v>
      </c>
      <c r="B65" s="129" t="e">
        <f t="shared" si="22"/>
        <v>#REF!</v>
      </c>
      <c r="C65" s="129" t="e">
        <f t="shared" si="22"/>
        <v>#REF!</v>
      </c>
      <c r="D65" s="129" t="e">
        <f t="shared" si="22"/>
        <v>#REF!</v>
      </c>
      <c r="E65" s="129" t="e">
        <f t="shared" si="22"/>
        <v>#REF!</v>
      </c>
      <c r="G65" s="126" t="s">
        <v>55</v>
      </c>
      <c r="H65" s="131">
        <v>17</v>
      </c>
      <c r="I65" s="132">
        <f>H65*(1+I66)</f>
        <v>20.399999999999999</v>
      </c>
      <c r="J65" s="132">
        <f>I65*(1+J66)</f>
        <v>24.479999999999997</v>
      </c>
      <c r="K65" s="132">
        <f>J65*(1+K66)</f>
        <v>29.375999999999994</v>
      </c>
      <c r="L65" s="132">
        <f>K65*(1+L66)</f>
        <v>35.25119999999999</v>
      </c>
      <c r="M65" s="133">
        <f>L65*(1+M66)</f>
        <v>42.301439999999985</v>
      </c>
    </row>
    <row r="66" spans="1:13" ht="15.75" customHeight="1">
      <c r="A66" s="83">
        <v>7.0000000000000007E-2</v>
      </c>
      <c r="B66" s="129" t="e">
        <f t="shared" si="22"/>
        <v>#REF!</v>
      </c>
      <c r="C66" s="129" t="e">
        <f t="shared" si="22"/>
        <v>#REF!</v>
      </c>
      <c r="D66" s="129" t="e">
        <f t="shared" si="22"/>
        <v>#REF!</v>
      </c>
      <c r="E66" s="129" t="e">
        <f t="shared" si="22"/>
        <v>#REF!</v>
      </c>
      <c r="G66" s="97" t="s">
        <v>63</v>
      </c>
      <c r="H66" s="1"/>
      <c r="I66" s="134">
        <v>0.2</v>
      </c>
      <c r="J66" s="134">
        <v>0.2</v>
      </c>
      <c r="K66" s="134">
        <v>0.2</v>
      </c>
      <c r="L66" s="134">
        <v>0.2</v>
      </c>
      <c r="M66" s="135">
        <v>0.2</v>
      </c>
    </row>
    <row r="67" spans="1:13" ht="15.75" customHeight="1">
      <c r="A67" s="83">
        <v>0.08</v>
      </c>
      <c r="B67" s="129" t="e">
        <f t="shared" si="22"/>
        <v>#REF!</v>
      </c>
      <c r="C67" s="129" t="e">
        <f t="shared" si="22"/>
        <v>#REF!</v>
      </c>
      <c r="D67" s="129" t="e">
        <f t="shared" si="22"/>
        <v>#REF!</v>
      </c>
      <c r="E67" s="129" t="e">
        <f t="shared" si="22"/>
        <v>#REF!</v>
      </c>
      <c r="G67" s="136" t="s">
        <v>113</v>
      </c>
      <c r="H67" s="137"/>
      <c r="I67" s="138">
        <f>I65/($H$68^I62)</f>
        <v>18.888888888888886</v>
      </c>
      <c r="J67" s="138">
        <f>J65/($H$68^J62)</f>
        <v>20.987654320987648</v>
      </c>
      <c r="K67" s="138">
        <f>K65/($H$68^K62)</f>
        <v>23.319615912208498</v>
      </c>
      <c r="L67" s="138">
        <f>L65/($H$68^L62)</f>
        <v>25.910684346898325</v>
      </c>
      <c r="M67" s="139">
        <f>M65/($H$68^M62)</f>
        <v>28.78964927433147</v>
      </c>
    </row>
    <row r="68" spans="1:13" ht="15.75" customHeight="1">
      <c r="A68" s="83">
        <v>0.09</v>
      </c>
      <c r="B68" s="129" t="e">
        <f t="shared" si="22"/>
        <v>#REF!</v>
      </c>
      <c r="C68" s="129" t="e">
        <f t="shared" si="22"/>
        <v>#REF!</v>
      </c>
      <c r="D68" s="129" t="e">
        <f t="shared" si="22"/>
        <v>#REF!</v>
      </c>
      <c r="E68" s="129" t="e">
        <f t="shared" si="22"/>
        <v>#REF!</v>
      </c>
      <c r="G68" s="136" t="s">
        <v>112</v>
      </c>
      <c r="H68" s="140">
        <v>1.08</v>
      </c>
      <c r="I68" s="1"/>
      <c r="J68" s="1"/>
      <c r="K68" s="1"/>
      <c r="L68" s="1"/>
      <c r="M68" s="1"/>
    </row>
    <row r="69" spans="1:13" ht="15.75" customHeight="1">
      <c r="A69" s="83">
        <v>0.1</v>
      </c>
      <c r="B69" s="129" t="e">
        <f t="shared" si="22"/>
        <v>#REF!</v>
      </c>
      <c r="C69" s="141" t="e">
        <f t="shared" si="22"/>
        <v>#REF!</v>
      </c>
      <c r="D69" s="129" t="e">
        <f t="shared" si="22"/>
        <v>#REF!</v>
      </c>
      <c r="E69" s="129" t="e">
        <f t="shared" si="22"/>
        <v>#REF!</v>
      </c>
      <c r="F69" s="142"/>
      <c r="G69" s="143" t="s">
        <v>114</v>
      </c>
      <c r="H69" s="144">
        <v>8</v>
      </c>
      <c r="I69" s="1"/>
      <c r="J69" s="1"/>
      <c r="K69" s="1"/>
      <c r="L69" s="1"/>
      <c r="M69" s="1"/>
    </row>
    <row r="70" spans="1:13" ht="15.75" customHeight="1">
      <c r="A70" s="83">
        <v>0.11</v>
      </c>
      <c r="B70" s="129" t="e">
        <f t="shared" si="22"/>
        <v>#REF!</v>
      </c>
      <c r="C70" s="129" t="e">
        <f t="shared" si="22"/>
        <v>#REF!</v>
      </c>
      <c r="D70" s="129" t="e">
        <f t="shared" si="22"/>
        <v>#REF!</v>
      </c>
      <c r="E70" s="129" t="e">
        <f t="shared" si="22"/>
        <v>#REF!</v>
      </c>
      <c r="G70" s="145" t="s">
        <v>115</v>
      </c>
      <c r="H70" s="146" t="e">
        <f>M63*H69</f>
        <v>#REF!</v>
      </c>
      <c r="I70" s="1"/>
      <c r="J70" s="1"/>
      <c r="K70" s="1"/>
      <c r="L70" s="1"/>
      <c r="M70" s="1"/>
    </row>
    <row r="71" spans="1:13" ht="15.75" customHeight="1">
      <c r="A71" s="83">
        <v>0.12</v>
      </c>
      <c r="B71" s="129" t="e">
        <f t="shared" si="22"/>
        <v>#REF!</v>
      </c>
      <c r="C71" s="129" t="e">
        <f t="shared" si="22"/>
        <v>#REF!</v>
      </c>
      <c r="D71" s="129" t="e">
        <f t="shared" si="22"/>
        <v>#REF!</v>
      </c>
      <c r="E71" s="129" t="e">
        <f t="shared" si="22"/>
        <v>#REF!</v>
      </c>
      <c r="G71" s="147" t="s">
        <v>116</v>
      </c>
      <c r="H71" s="148" t="e">
        <f>H70/(H68^5)</f>
        <v>#REF!</v>
      </c>
      <c r="I71" s="1"/>
      <c r="J71" s="1"/>
      <c r="K71" s="1"/>
      <c r="L71" s="1"/>
      <c r="M71" s="1"/>
    </row>
    <row r="72" spans="1:13" ht="15.75" customHeight="1">
      <c r="A72" s="83">
        <v>0.15</v>
      </c>
      <c r="B72" s="129" t="e">
        <f t="shared" si="22"/>
        <v>#REF!</v>
      </c>
      <c r="C72" s="129" t="e">
        <f t="shared" si="22"/>
        <v>#REF!</v>
      </c>
      <c r="D72" s="129" t="e">
        <f t="shared" si="22"/>
        <v>#REF!</v>
      </c>
      <c r="E72" s="129" t="e">
        <f t="shared" si="22"/>
        <v>#REF!</v>
      </c>
      <c r="G72" s="147" t="s">
        <v>117</v>
      </c>
      <c r="H72" s="148">
        <f>SUM(I67:M67)</f>
        <v>117.89649274331482</v>
      </c>
      <c r="I72" s="1"/>
      <c r="J72" s="1"/>
      <c r="K72" s="1"/>
      <c r="L72" s="1"/>
      <c r="M72" s="1"/>
    </row>
    <row r="73" spans="1:13" ht="15.75" customHeight="1">
      <c r="G73" s="147" t="s">
        <v>118</v>
      </c>
      <c r="H73" s="148" t="e">
        <f>H71+H72</f>
        <v>#REF!</v>
      </c>
      <c r="I73" s="1"/>
      <c r="J73" s="1"/>
      <c r="K73" s="1"/>
      <c r="L73" s="1"/>
      <c r="M73" s="1"/>
    </row>
    <row r="74" spans="1:13" ht="15.75" customHeight="1">
      <c r="A74" s="68" t="s">
        <v>119</v>
      </c>
      <c r="B74" s="141" t="e">
        <f>C69</f>
        <v>#REF!</v>
      </c>
      <c r="G74" s="149" t="s">
        <v>120</v>
      </c>
      <c r="H74" s="150">
        <v>20000</v>
      </c>
      <c r="I74" s="1"/>
      <c r="J74" s="1"/>
      <c r="K74" s="1"/>
      <c r="L74" s="1"/>
      <c r="M74" s="1"/>
    </row>
    <row r="75" spans="1:13" ht="15.75" customHeight="1">
      <c r="A75" s="70" t="s">
        <v>121</v>
      </c>
      <c r="B75" s="151"/>
      <c r="G75" s="147" t="s">
        <v>122</v>
      </c>
      <c r="H75" s="148" t="e">
        <f>H73+H74</f>
        <v>#REF!</v>
      </c>
      <c r="I75" s="1"/>
      <c r="J75" s="1"/>
      <c r="K75" s="1"/>
      <c r="L75" s="1"/>
      <c r="M75" s="1"/>
    </row>
    <row r="76" spans="1:13" ht="15.75" customHeight="1">
      <c r="A76" s="62" t="s">
        <v>123</v>
      </c>
      <c r="B76" s="152" t="e">
        <f>B74/B75-1</f>
        <v>#REF!</v>
      </c>
      <c r="G76" s="147" t="s">
        <v>124</v>
      </c>
      <c r="H76" s="153">
        <v>52</v>
      </c>
      <c r="I76" s="1"/>
      <c r="J76" s="1"/>
      <c r="K76" s="1"/>
      <c r="L76" s="1"/>
      <c r="M76" s="1"/>
    </row>
    <row r="77" spans="1:13" ht="15.75" customHeight="1">
      <c r="G77" s="154" t="s">
        <v>125</v>
      </c>
      <c r="H77" s="155" t="e">
        <f>H75/H76</f>
        <v>#REF!</v>
      </c>
      <c r="I77" s="1"/>
      <c r="J77" s="1"/>
      <c r="K77" s="1"/>
      <c r="L77" s="1"/>
      <c r="M77" s="1"/>
    </row>
    <row r="78" spans="1:13" ht="15.75" customHeight="1"/>
    <row r="79" spans="1:13" ht="15.75" customHeight="1"/>
    <row r="80" spans="1:13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1:A1000"/>
  <sheetViews>
    <sheetView workbookViewId="0"/>
  </sheetViews>
  <sheetFormatPr baseColWidth="10" defaultColWidth="12.6640625" defaultRowHeight="15" customHeight="1"/>
  <cols>
    <col min="1" max="26" width="7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D50D-F754-C44F-B641-7444DD433E26}">
  <dimension ref="B3:AP94"/>
  <sheetViews>
    <sheetView zoomScale="120" zoomScaleNormal="120" workbookViewId="0">
      <pane xSplit="2" ySplit="6" topLeftCell="O7" activePane="bottomRight" state="frozen"/>
      <selection pane="topRight" activeCell="C1" sqref="C1"/>
      <selection pane="bottomLeft" activeCell="A18" sqref="A18"/>
      <selection pane="bottomRight" activeCell="W7" sqref="W7"/>
    </sheetView>
  </sheetViews>
  <sheetFormatPr baseColWidth="10" defaultRowHeight="14" outlineLevelRow="1"/>
  <cols>
    <col min="1" max="1" width="3.83203125" customWidth="1"/>
    <col min="2" max="2" width="62.1640625" bestFit="1" customWidth="1"/>
    <col min="3" max="3" width="12" customWidth="1"/>
    <col min="4" max="4" width="12.83203125" customWidth="1"/>
    <col min="5" max="5" width="13.6640625" bestFit="1" customWidth="1"/>
    <col min="6" max="10" width="11.5" bestFit="1" customWidth="1"/>
    <col min="11" max="11" width="5.33203125" customWidth="1"/>
    <col min="12" max="12" width="20.6640625" bestFit="1" customWidth="1"/>
    <col min="24" max="25" width="11.1640625" bestFit="1" customWidth="1"/>
    <col min="29" max="29" width="11.1640625" bestFit="1" customWidth="1"/>
    <col min="33" max="33" width="11.1640625" bestFit="1" customWidth="1"/>
    <col min="37" max="37" width="11.1640625" bestFit="1" customWidth="1"/>
    <col min="41" max="41" width="2.33203125" customWidth="1"/>
  </cols>
  <sheetData>
    <row r="3" spans="2:41">
      <c r="B3" s="322" t="s">
        <v>167</v>
      </c>
    </row>
    <row r="4" spans="2:41" ht="15">
      <c r="B4" s="323" t="s">
        <v>391</v>
      </c>
      <c r="C4" s="205"/>
      <c r="D4" s="205"/>
      <c r="E4" s="205"/>
      <c r="F4" s="205"/>
      <c r="G4" s="205"/>
      <c r="H4" s="205"/>
      <c r="I4" s="205"/>
      <c r="J4" s="205"/>
      <c r="M4" s="156"/>
    </row>
    <row r="5" spans="2:41">
      <c r="B5" s="204" t="s">
        <v>168</v>
      </c>
      <c r="C5" s="206">
        <f>D5-1</f>
        <v>2018</v>
      </c>
      <c r="D5" s="206">
        <f>E5-1</f>
        <v>2019</v>
      </c>
      <c r="E5" s="206">
        <f>YEAR(SUMMARY!B7)</f>
        <v>2020</v>
      </c>
      <c r="F5" s="209">
        <f>E5+1</f>
        <v>2021</v>
      </c>
      <c r="G5" s="209">
        <f>F5+1</f>
        <v>2022</v>
      </c>
      <c r="H5" s="209">
        <f>G5+1</f>
        <v>2023</v>
      </c>
      <c r="I5" s="209">
        <f>H5+1</f>
        <v>2024</v>
      </c>
      <c r="J5" s="209">
        <f>I5+1</f>
        <v>2025</v>
      </c>
      <c r="L5" s="160" t="s">
        <v>273</v>
      </c>
      <c r="M5" s="300" t="s">
        <v>275</v>
      </c>
      <c r="N5" s="300" t="s">
        <v>276</v>
      </c>
      <c r="O5" s="300" t="s">
        <v>277</v>
      </c>
      <c r="P5" s="300" t="s">
        <v>278</v>
      </c>
      <c r="Q5" s="300" t="s">
        <v>279</v>
      </c>
      <c r="R5" s="300" t="s">
        <v>280</v>
      </c>
      <c r="S5" s="300" t="s">
        <v>281</v>
      </c>
      <c r="T5" s="300" t="s">
        <v>282</v>
      </c>
      <c r="U5" s="300" t="s">
        <v>283</v>
      </c>
      <c r="V5" s="300" t="s">
        <v>284</v>
      </c>
      <c r="W5" s="300" t="s">
        <v>285</v>
      </c>
      <c r="X5" s="287" t="s">
        <v>286</v>
      </c>
      <c r="Y5" s="287" t="s">
        <v>287</v>
      </c>
      <c r="Z5" s="287" t="s">
        <v>288</v>
      </c>
      <c r="AA5" s="287" t="s">
        <v>289</v>
      </c>
      <c r="AB5" s="287" t="s">
        <v>290</v>
      </c>
      <c r="AC5" s="287" t="s">
        <v>291</v>
      </c>
      <c r="AD5" s="287" t="s">
        <v>292</v>
      </c>
      <c r="AE5" s="287" t="s">
        <v>293</v>
      </c>
      <c r="AF5" s="287" t="s">
        <v>294</v>
      </c>
      <c r="AG5" s="287" t="s">
        <v>295</v>
      </c>
      <c r="AH5" s="287" t="s">
        <v>296</v>
      </c>
      <c r="AI5" s="287" t="s">
        <v>297</v>
      </c>
      <c r="AJ5" s="287" t="s">
        <v>298</v>
      </c>
      <c r="AK5" s="287" t="s">
        <v>299</v>
      </c>
      <c r="AL5" s="287" t="s">
        <v>300</v>
      </c>
      <c r="AM5" s="287" t="s">
        <v>301</v>
      </c>
      <c r="AN5" s="287" t="s">
        <v>302</v>
      </c>
      <c r="AO5" s="339"/>
    </row>
    <row r="6" spans="2:41">
      <c r="B6" s="207" t="s">
        <v>169</v>
      </c>
      <c r="C6" s="208" t="e">
        <f>EOMONTH(D6,-12)</f>
        <v>#REF!</v>
      </c>
      <c r="D6" s="208" t="e">
        <f>EOMONTH(E6,-12)</f>
        <v>#REF!</v>
      </c>
      <c r="E6" s="208" t="e">
        <f>#REF!</f>
        <v>#REF!</v>
      </c>
      <c r="F6" s="208" t="e">
        <f>EOMONTH(E6,12)</f>
        <v>#REF!</v>
      </c>
      <c r="G6" s="208" t="e">
        <f>EOMONTH(F6,12)</f>
        <v>#REF!</v>
      </c>
      <c r="H6" s="208" t="e">
        <f>EOMONTH(G6,12)</f>
        <v>#REF!</v>
      </c>
      <c r="I6" s="208" t="e">
        <f>EOMONTH(H6,12)</f>
        <v>#REF!</v>
      </c>
      <c r="J6" s="208" t="e">
        <f>EOMONTH(I6,12)</f>
        <v>#REF!</v>
      </c>
      <c r="L6" s="299" t="s">
        <v>274</v>
      </c>
      <c r="M6" s="208">
        <f t="shared" ref="M6:U6" si="0">EOMONTH(N6,-3)</f>
        <v>43555</v>
      </c>
      <c r="N6" s="208">
        <f t="shared" si="0"/>
        <v>43646</v>
      </c>
      <c r="O6" s="208">
        <f t="shared" si="0"/>
        <v>43738</v>
      </c>
      <c r="P6" s="208">
        <f t="shared" si="0"/>
        <v>43830</v>
      </c>
      <c r="Q6" s="208">
        <f t="shared" si="0"/>
        <v>43921</v>
      </c>
      <c r="R6" s="208">
        <f t="shared" si="0"/>
        <v>44012</v>
      </c>
      <c r="S6" s="208">
        <f t="shared" si="0"/>
        <v>44104</v>
      </c>
      <c r="T6" s="208">
        <f t="shared" si="0"/>
        <v>44196</v>
      </c>
      <c r="U6" s="208">
        <f t="shared" si="0"/>
        <v>44286</v>
      </c>
      <c r="V6" s="208">
        <f>EOMONTH(W6,-3)</f>
        <v>44377</v>
      </c>
      <c r="W6" s="208">
        <f>SUMMARY!B8</f>
        <v>44469</v>
      </c>
      <c r="X6" s="208">
        <f>EOMONTH(W6,3)</f>
        <v>44561</v>
      </c>
      <c r="Y6" s="208">
        <f t="shared" ref="Y6:AN6" si="1">EOMONTH(X6,3)</f>
        <v>44651</v>
      </c>
      <c r="Z6" s="208">
        <f t="shared" si="1"/>
        <v>44742</v>
      </c>
      <c r="AA6" s="208">
        <f t="shared" si="1"/>
        <v>44834</v>
      </c>
      <c r="AB6" s="208">
        <f t="shared" si="1"/>
        <v>44926</v>
      </c>
      <c r="AC6" s="208">
        <f t="shared" si="1"/>
        <v>45016</v>
      </c>
      <c r="AD6" s="208">
        <f t="shared" si="1"/>
        <v>45107</v>
      </c>
      <c r="AE6" s="208">
        <f t="shared" si="1"/>
        <v>45199</v>
      </c>
      <c r="AF6" s="208">
        <f t="shared" si="1"/>
        <v>45291</v>
      </c>
      <c r="AG6" s="208">
        <f t="shared" si="1"/>
        <v>45382</v>
      </c>
      <c r="AH6" s="208">
        <f t="shared" si="1"/>
        <v>45473</v>
      </c>
      <c r="AI6" s="208">
        <f t="shared" si="1"/>
        <v>45565</v>
      </c>
      <c r="AJ6" s="208">
        <f t="shared" si="1"/>
        <v>45657</v>
      </c>
      <c r="AK6" s="208">
        <f t="shared" si="1"/>
        <v>45747</v>
      </c>
      <c r="AL6" s="208">
        <f t="shared" si="1"/>
        <v>45838</v>
      </c>
      <c r="AM6" s="208">
        <f t="shared" si="1"/>
        <v>45930</v>
      </c>
      <c r="AN6" s="208">
        <f t="shared" si="1"/>
        <v>46022</v>
      </c>
      <c r="AO6" s="340"/>
    </row>
    <row r="8" spans="2:41">
      <c r="B8" s="174" t="s">
        <v>304</v>
      </c>
    </row>
    <row r="9" spans="2:41" hidden="1" outlineLevel="1">
      <c r="B9" s="301" t="s">
        <v>126</v>
      </c>
      <c r="C9" s="297">
        <f>'Boungou '!E28</f>
        <v>0</v>
      </c>
      <c r="D9" s="168">
        <f ca="1">SUM(OFFSET($M9,,(COLUMNS($D9:D9)-1)*4,,4))</f>
        <v>0</v>
      </c>
      <c r="E9" s="168">
        <f ca="1">SUM(OFFSET($M9,,(COLUMNS($D9:E9)-1)*4,,4))</f>
        <v>187881</v>
      </c>
      <c r="F9" s="168">
        <f ca="1">SUM(OFFSET($M9,,(COLUMNS($D9:F9)-1)*4,,4))</f>
        <v>317386.8962978443</v>
      </c>
      <c r="G9" s="168">
        <f ca="1">SUM(OFFSET($M9,,(COLUMNS($D9:G9)-1)*4,,4))</f>
        <v>272894.81891105499</v>
      </c>
      <c r="H9" s="168">
        <f ca="1">SUM(OFFSET($M9,,(COLUMNS($D9:H9)-1)*4,,4))</f>
        <v>222938.23653286602</v>
      </c>
      <c r="I9" s="168">
        <f ca="1">SUM(OFFSET($M9,,(COLUMNS($D9:I9)-1)*4,,4))</f>
        <v>202237.06860428344</v>
      </c>
      <c r="J9" s="168">
        <f ca="1">SUM(OFFSET($M9,,(COLUMNS($D9:J9)-1)*4,,4))</f>
        <v>185043.43541187729</v>
      </c>
      <c r="M9" s="268">
        <v>0</v>
      </c>
      <c r="N9" s="268">
        <v>0</v>
      </c>
      <c r="O9" s="268">
        <v>0</v>
      </c>
      <c r="P9" s="268">
        <v>0</v>
      </c>
      <c r="Q9" s="268">
        <v>0</v>
      </c>
      <c r="R9" s="268">
        <v>0</v>
      </c>
      <c r="S9" s="268">
        <f>'Boungou '!S28</f>
        <v>66450</v>
      </c>
      <c r="T9" s="268">
        <f>'Boungou '!T28</f>
        <v>121431</v>
      </c>
      <c r="U9" s="268">
        <f>'Boungou '!U28</f>
        <v>102477</v>
      </c>
      <c r="V9" s="268">
        <f>'Boungou '!V28</f>
        <v>68375</v>
      </c>
      <c r="W9" s="268">
        <f>'Boungou '!W28</f>
        <v>73242</v>
      </c>
      <c r="X9" s="268">
        <f>'Boungou '!X28</f>
        <v>73292.896297844287</v>
      </c>
      <c r="Y9" s="268">
        <f ca="1">'Boungou '!Y28</f>
        <v>82148.954297747841</v>
      </c>
      <c r="Z9" s="268">
        <f ca="1">'Boungou '!Z28</f>
        <v>78542.414840773534</v>
      </c>
      <c r="AA9" s="268">
        <f ca="1">'Boungou '!AA28</f>
        <v>56101.72488626682</v>
      </c>
      <c r="AB9" s="268">
        <f ca="1">'Boungou '!AB28</f>
        <v>56101.72488626682</v>
      </c>
      <c r="AC9" s="268">
        <f ca="1">'Boungou '!AC28</f>
        <v>56422.640110169807</v>
      </c>
      <c r="AD9" s="268">
        <f ca="1">'Boungou '!AD28</f>
        <v>56422.640110169799</v>
      </c>
      <c r="AE9" s="268">
        <f ca="1">'Boungou '!AE28</f>
        <v>55046.47815626322</v>
      </c>
      <c r="AF9" s="268">
        <f ca="1">'Boungou '!AF28</f>
        <v>55046.478156263212</v>
      </c>
      <c r="AG9" s="268">
        <f ca="1">'Boungou '!AG28</f>
        <v>51215.881010175683</v>
      </c>
      <c r="AH9" s="268">
        <f ca="1">'Boungou '!AH28</f>
        <v>51215.881010175675</v>
      </c>
      <c r="AI9" s="268">
        <f ca="1">'Boungou '!AI28</f>
        <v>49902.653291966039</v>
      </c>
      <c r="AJ9" s="268">
        <f ca="1">'Boungou '!AJ28</f>
        <v>49902.653291966039</v>
      </c>
      <c r="AK9" s="268">
        <f ca="1">'Boungou '!AK28</f>
        <v>46260.858852969344</v>
      </c>
      <c r="AL9" s="268">
        <f ca="1">'Boungou '!AL28</f>
        <v>46260.858852969337</v>
      </c>
      <c r="AM9" s="268">
        <f ca="1">'Boungou '!AM28</f>
        <v>46260.858852969322</v>
      </c>
      <c r="AN9" s="268">
        <f ca="1">'Boungou '!AN28</f>
        <v>46260.858852969315</v>
      </c>
      <c r="AO9" s="268"/>
    </row>
    <row r="10" spans="2:41" hidden="1" outlineLevel="1">
      <c r="B10" s="301" t="s">
        <v>190</v>
      </c>
      <c r="C10" s="297">
        <f>'Hounde '!F28</f>
        <v>351129</v>
      </c>
      <c r="D10" s="168">
        <f ca="1">SUM(OFFSET($M10,,(COLUMNS($D10:D10)-1)*4,,4))</f>
        <v>316148</v>
      </c>
      <c r="E10" s="168">
        <f ca="1">SUM(OFFSET($M10,,(COLUMNS($D10:E10)-1)*4,,4))</f>
        <v>494045</v>
      </c>
      <c r="F10" s="168">
        <f ca="1">SUM(OFFSET($M10,,(COLUMNS($D10:F10)-1)*4,,4))</f>
        <v>529788.44495284802</v>
      </c>
      <c r="G10" s="168">
        <f ca="1">SUM(OFFSET($M10,,(COLUMNS($D10:G10)-1)*4,,4))</f>
        <v>622640.85567686777</v>
      </c>
      <c r="H10" s="168">
        <f ca="1">SUM(OFFSET($M10,,(COLUMNS($D10:H10)-1)*4,,4))</f>
        <v>603998.91389013536</v>
      </c>
      <c r="I10" s="168">
        <f ca="1">SUM(OFFSET($M10,,(COLUMNS($D10:I10)-1)*4,,4))</f>
        <v>560860.25045412907</v>
      </c>
      <c r="J10" s="168">
        <f ca="1">SUM(OFFSET($M10,,(COLUMNS($D10:J10)-1)*4,,4))</f>
        <v>526215.62788169144</v>
      </c>
      <c r="M10" s="268">
        <f>'Hounde '!T28</f>
        <v>77503</v>
      </c>
      <c r="N10" s="268">
        <f>'Hounde '!U28</f>
        <v>71013</v>
      </c>
      <c r="O10" s="268">
        <f>'Hounde '!V28</f>
        <v>86289</v>
      </c>
      <c r="P10" s="268">
        <f>'Hounde '!W28</f>
        <v>81343</v>
      </c>
      <c r="Q10" s="268">
        <f>'Hounde '!X28</f>
        <v>88836</v>
      </c>
      <c r="R10" s="268">
        <f>'Hounde '!Y28</f>
        <v>100189</v>
      </c>
      <c r="S10" s="268">
        <f>'Hounde '!Z28</f>
        <v>115721</v>
      </c>
      <c r="T10" s="268">
        <f>'Hounde '!AA28</f>
        <v>189299</v>
      </c>
      <c r="U10" s="268">
        <f>'Hounde '!AB28</f>
        <v>118521</v>
      </c>
      <c r="V10" s="268">
        <f>'Hounde '!AC28</f>
        <v>137549</v>
      </c>
      <c r="W10" s="268">
        <f>'Hounde '!AD28</f>
        <v>134401</v>
      </c>
      <c r="X10" s="268">
        <f>'Hounde '!AE28</f>
        <v>139317.44495284802</v>
      </c>
      <c r="Y10" s="268">
        <f ca="1">'Hounde '!AF28</f>
        <v>152863.9226512071</v>
      </c>
      <c r="Z10" s="268">
        <f ca="1">'Hounde '!AG28</f>
        <v>156592.3110085536</v>
      </c>
      <c r="AA10" s="268">
        <f ca="1">'Hounde '!AH28</f>
        <v>156592.31100855354</v>
      </c>
      <c r="AB10" s="268">
        <f ca="1">'Hounde '!AI28</f>
        <v>156592.3110085536</v>
      </c>
      <c r="AC10" s="268">
        <f ca="1">'Hounde '!AJ28</f>
        <v>152863.9226512071</v>
      </c>
      <c r="AD10" s="268">
        <f ca="1">'Hounde '!AK28</f>
        <v>152863.9226512071</v>
      </c>
      <c r="AE10" s="268">
        <f ca="1">'Hounde '!AL28</f>
        <v>149135.53429386058</v>
      </c>
      <c r="AF10" s="268">
        <f ca="1">'Hounde '!AM28</f>
        <v>149135.53429386058</v>
      </c>
      <c r="AG10" s="268">
        <f ca="1">'Hounde '!AN28</f>
        <v>142036.03745266906</v>
      </c>
      <c r="AH10" s="268">
        <f ca="1">'Hounde '!AO28</f>
        <v>142036.03745266906</v>
      </c>
      <c r="AI10" s="268">
        <f ca="1">'Hounde '!AP28</f>
        <v>138394.08777439548</v>
      </c>
      <c r="AJ10" s="268">
        <f ca="1">'Hounde '!AQ28</f>
        <v>138394.08777439548</v>
      </c>
      <c r="AK10" s="268">
        <f ca="1">'Hounde '!AR28</f>
        <v>131553.90697042286</v>
      </c>
      <c r="AL10" s="268">
        <f ca="1">'Hounde '!AS28</f>
        <v>131553.90697042289</v>
      </c>
      <c r="AM10" s="268">
        <f ca="1">'Hounde '!AT28</f>
        <v>131553.90697042286</v>
      </c>
      <c r="AN10" s="268">
        <f ca="1">'Hounde '!AU28</f>
        <v>131553.90697042283</v>
      </c>
      <c r="AO10" s="268"/>
    </row>
    <row r="11" spans="2:41" hidden="1" outlineLevel="1">
      <c r="B11" s="301" t="s">
        <v>252</v>
      </c>
      <c r="C11" s="297">
        <f>'Karma '!F28</f>
        <v>113061</v>
      </c>
      <c r="D11" s="168">
        <f ca="1">SUM(OFFSET($M11,,(COLUMNS($D11:D11)-1)*4,,4))</f>
        <v>111185</v>
      </c>
      <c r="E11" s="168">
        <f ca="1">SUM(OFFSET($M11,,(COLUMNS($D11:E11)-1)*4,,4))</f>
        <v>145211</v>
      </c>
      <c r="F11" s="168">
        <f ca="1">SUM(OFFSET($M11,,(COLUMNS($D11:F11)-1)*4,,4))</f>
        <v>156315.74492867006</v>
      </c>
      <c r="G11" s="168">
        <f ca="1">SUM(OFFSET($M11,,(COLUMNS($D11:G11)-1)*4,,4))</f>
        <v>195851.7606092919</v>
      </c>
      <c r="H11" s="168">
        <f ca="1">SUM(OFFSET($M11,,(COLUMNS($D11:H11)-1)*4,,4))</f>
        <v>189987.93544134882</v>
      </c>
      <c r="I11" s="168">
        <f ca="1">SUM(OFFSET($M11,,(COLUMNS($D11:I11)-1)*4,,4))</f>
        <v>0</v>
      </c>
      <c r="J11" s="168">
        <f ca="1">SUM(OFFSET($M11,,(COLUMNS($D11:J11)-1)*4,,4))</f>
        <v>0</v>
      </c>
      <c r="M11" s="268">
        <f>'Karma '!N28</f>
        <v>24273</v>
      </c>
      <c r="N11" s="268">
        <f>'Karma '!O28</f>
        <v>21042</v>
      </c>
      <c r="O11" s="268">
        <f>'Karma '!P28</f>
        <v>31329</v>
      </c>
      <c r="P11" s="268">
        <f>'Karma '!Q28</f>
        <v>34541</v>
      </c>
      <c r="Q11" s="268">
        <f>'Karma '!R28</f>
        <v>36762</v>
      </c>
      <c r="R11" s="268">
        <f>'Karma '!S28</f>
        <v>29973</v>
      </c>
      <c r="S11" s="268">
        <f>'Karma '!T28</f>
        <v>35844</v>
      </c>
      <c r="T11" s="268">
        <f>'Karma '!U28</f>
        <v>42632</v>
      </c>
      <c r="U11" s="268">
        <f>'Karma '!V28</f>
        <v>34800</v>
      </c>
      <c r="V11" s="268">
        <f>'Karma '!W28</f>
        <v>44283</v>
      </c>
      <c r="W11" s="268">
        <f>'Karma '!X28</f>
        <v>34333</v>
      </c>
      <c r="X11" s="268">
        <f>'Karma '!Y28</f>
        <v>42899.74492867005</v>
      </c>
      <c r="Y11" s="268">
        <f ca="1">'Karma '!Z28</f>
        <v>48083.366377131541</v>
      </c>
      <c r="Z11" s="268">
        <f ca="1">'Karma '!AA28</f>
        <v>49256.131410720118</v>
      </c>
      <c r="AA11" s="268">
        <f ca="1">'Karma '!AB28</f>
        <v>49256.131410720103</v>
      </c>
      <c r="AB11" s="268">
        <f ca="1">'Karma '!AC28</f>
        <v>49256.131410720103</v>
      </c>
      <c r="AC11" s="268">
        <f ca="1">'Karma '!AD28</f>
        <v>48083.366377131526</v>
      </c>
      <c r="AD11" s="268">
        <f ca="1">'Karma '!AE28</f>
        <v>48083.366377131519</v>
      </c>
      <c r="AE11" s="268">
        <f ca="1">'Karma '!AF28</f>
        <v>46910.601343542919</v>
      </c>
      <c r="AF11" s="268">
        <f ca="1">'Karma '!AG28</f>
        <v>46910.601343542861</v>
      </c>
      <c r="AG11" s="268">
        <v>0</v>
      </c>
      <c r="AH11" s="268">
        <v>0</v>
      </c>
      <c r="AI11" s="268">
        <v>0</v>
      </c>
      <c r="AJ11" s="268">
        <v>0</v>
      </c>
      <c r="AK11" s="268">
        <v>0</v>
      </c>
      <c r="AL11" s="268">
        <v>0</v>
      </c>
      <c r="AM11" s="268">
        <v>0</v>
      </c>
      <c r="AN11" s="268">
        <v>0</v>
      </c>
      <c r="AO11" s="268"/>
    </row>
    <row r="12" spans="2:41" hidden="1" outlineLevel="1">
      <c r="B12" s="301" t="s">
        <v>271</v>
      </c>
      <c r="C12" s="297">
        <v>0</v>
      </c>
      <c r="D12" s="168">
        <f ca="1">SUM(OFFSET($M12,,(COLUMNS($D12:D12)-1)*4,,4))</f>
        <v>262029</v>
      </c>
      <c r="E12" s="168">
        <f ca="1">SUM(OFFSET($M12,,(COLUMNS($D12:E12)-1)*4,,4))</f>
        <v>363930</v>
      </c>
      <c r="F12" s="168">
        <f ca="1">SUM(OFFSET($M12,,(COLUMNS($D12:F12)-1)*4,,4))</f>
        <v>478961.19123467029</v>
      </c>
      <c r="G12" s="168">
        <f ca="1">SUM(OFFSET($M12,,(COLUMNS($D12:G12)-1)*4,,4))</f>
        <v>382288.43455959368</v>
      </c>
      <c r="H12" s="168">
        <f ca="1">SUM(OFFSET($M12,,(COLUMNS($D12:H12)-1)*4,,4))</f>
        <v>370842.6730458333</v>
      </c>
      <c r="I12" s="168">
        <f ca="1">SUM(OFFSET($M12,,(COLUMNS($D12:I12)-1)*4,,4))</f>
        <v>348465.71451287949</v>
      </c>
      <c r="J12" s="168">
        <f ca="1">SUM(OFFSET($M12,,(COLUMNS($D12:J12)-1)*4,,4))</f>
        <v>330983.71565900918</v>
      </c>
      <c r="M12" s="268">
        <v>0</v>
      </c>
      <c r="N12" s="268">
        <f>'Ity '!T28</f>
        <v>82208</v>
      </c>
      <c r="O12" s="268">
        <f>'Ity '!U28</f>
        <v>96299</v>
      </c>
      <c r="P12" s="268">
        <f>'Ity '!V28</f>
        <v>83522</v>
      </c>
      <c r="Q12" s="268">
        <f>'Ity '!W28</f>
        <v>100723</v>
      </c>
      <c r="R12" s="268">
        <f>'Ity '!X28</f>
        <v>79419</v>
      </c>
      <c r="S12" s="268">
        <f>'Ity '!Y28</f>
        <v>88755</v>
      </c>
      <c r="T12" s="268">
        <f>'Ity '!Z28</f>
        <v>95033</v>
      </c>
      <c r="U12" s="268">
        <f>'Ity '!AA28</f>
        <v>132156</v>
      </c>
      <c r="V12" s="268">
        <f>'Ity '!AB28</f>
        <v>150337</v>
      </c>
      <c r="W12" s="268">
        <f>'Ity '!AC28</f>
        <v>112731</v>
      </c>
      <c r="X12" s="268">
        <f>'Ity '!AD28</f>
        <v>83737.191234670303</v>
      </c>
      <c r="Y12" s="268">
        <f ca="1">'Ity '!AE28</f>
        <v>93855.244412834392</v>
      </c>
      <c r="Z12" s="268">
        <f ca="1">'Ity '!AF28</f>
        <v>96144.396715586423</v>
      </c>
      <c r="AA12" s="268">
        <f ca="1">'Ity '!AG28</f>
        <v>96144.396715586423</v>
      </c>
      <c r="AB12" s="268">
        <f ca="1">'Ity '!AH28</f>
        <v>96144.396715586423</v>
      </c>
      <c r="AC12" s="268">
        <f ca="1">'Ity '!AI28</f>
        <v>93855.244412834363</v>
      </c>
      <c r="AD12" s="268">
        <f ca="1">'Ity '!AJ28</f>
        <v>93855.244412834363</v>
      </c>
      <c r="AE12" s="268">
        <f ca="1">'Ity '!AK28</f>
        <v>91566.092110082303</v>
      </c>
      <c r="AF12" s="268">
        <f ca="1">'Ity '!AL28</f>
        <v>91566.092110082274</v>
      </c>
      <c r="AG12" s="268">
        <f ca="1">'Ity '!AM28</f>
        <v>88247.81081819674</v>
      </c>
      <c r="AH12" s="268">
        <f ca="1">'Ity '!AN28</f>
        <v>88247.81081819674</v>
      </c>
      <c r="AI12" s="268">
        <f ca="1">'Ity '!AO28</f>
        <v>85985.046438242978</v>
      </c>
      <c r="AJ12" s="268">
        <f ca="1">'Ity '!AP28</f>
        <v>85985.046438242978</v>
      </c>
      <c r="AK12" s="268">
        <f ca="1">'Ity '!AQ28</f>
        <v>82745.928914752294</v>
      </c>
      <c r="AL12" s="268">
        <f ca="1">'Ity '!AR28</f>
        <v>82745.928914752294</v>
      </c>
      <c r="AM12" s="268">
        <f ca="1">'Ity '!AS28</f>
        <v>82745.928914752294</v>
      </c>
      <c r="AN12" s="268">
        <f ca="1">'Ity '!AT28</f>
        <v>82745.92891475228</v>
      </c>
      <c r="AO12" s="268"/>
    </row>
    <row r="13" spans="2:41" hidden="1" outlineLevel="1">
      <c r="B13" s="301" t="s">
        <v>267</v>
      </c>
      <c r="C13" s="297">
        <v>0</v>
      </c>
      <c r="D13" s="168">
        <f ca="1">SUM(OFFSET($M13,,(COLUMNS($D13:D13)-1)*4,,4))</f>
        <v>0</v>
      </c>
      <c r="E13" s="168">
        <f ca="1">SUM(OFFSET($M13,,(COLUMNS($D13:E13)-1)*4,,4))</f>
        <v>233045</v>
      </c>
      <c r="F13" s="168">
        <f ca="1">SUM(OFFSET($M13,,(COLUMNS($D13:F13)-1)*4,,4))</f>
        <v>385057.41534821916</v>
      </c>
      <c r="G13" s="168">
        <f ca="1">SUM(OFFSET($M13,,(COLUMNS($D13:G13)-1)*4,,4))</f>
        <v>460566.71304408414</v>
      </c>
      <c r="H13" s="168">
        <f ca="1">SUM(OFFSET($M13,,(COLUMNS($D13:H13)-1)*4,,4))</f>
        <v>446777.29049785412</v>
      </c>
      <c r="I13" s="168">
        <f ca="1">SUM(OFFSET($M13,,(COLUMNS($D13:I13)-1)*4,,4))</f>
        <v>392416.55553233559</v>
      </c>
      <c r="J13" s="168">
        <f ca="1">SUM(OFFSET($M13,,(COLUMNS($D13:J13)-1)*4,,4))</f>
        <v>346088.29027815728</v>
      </c>
      <c r="M13" s="268">
        <v>0</v>
      </c>
      <c r="N13" s="268">
        <v>0</v>
      </c>
      <c r="O13" s="268">
        <v>0</v>
      </c>
      <c r="P13" s="268">
        <v>0</v>
      </c>
      <c r="Q13" s="268">
        <v>0</v>
      </c>
      <c r="R13" s="268">
        <v>0</v>
      </c>
      <c r="S13" s="268">
        <f>'Mana '!T28</f>
        <v>128069</v>
      </c>
      <c r="T13" s="268">
        <f>'Mana '!U28</f>
        <v>104976</v>
      </c>
      <c r="U13" s="268">
        <f>'Mana '!V28</f>
        <v>107614</v>
      </c>
      <c r="V13" s="268">
        <f>'Mana '!W28</f>
        <v>89784</v>
      </c>
      <c r="W13" s="268">
        <f>'Mana '!X28</f>
        <v>86776</v>
      </c>
      <c r="X13" s="268">
        <f>'Mana '!Y28</f>
        <v>100883.41534821915</v>
      </c>
      <c r="Y13" s="268">
        <f ca="1">'Mana '!Z28</f>
        <v>113073.26487908652</v>
      </c>
      <c r="Z13" s="268">
        <f ca="1">'Mana '!AA28</f>
        <v>115831.14938833253</v>
      </c>
      <c r="AA13" s="268">
        <f ca="1">'Mana '!AB28</f>
        <v>115831.14938833253</v>
      </c>
      <c r="AB13" s="268">
        <f ca="1">'Mana '!AC28</f>
        <v>115831.14938833253</v>
      </c>
      <c r="AC13" s="268">
        <f ca="1">'Mana '!AD28</f>
        <v>113073.26487908652</v>
      </c>
      <c r="AD13" s="268">
        <f ca="1">'Mana '!AE28</f>
        <v>113073.26487908652</v>
      </c>
      <c r="AE13" s="268">
        <f ca="1">'Mana '!AF28</f>
        <v>110315.38036984051</v>
      </c>
      <c r="AF13" s="268">
        <f ca="1">'Mana '!AG28</f>
        <v>110315.38036984051</v>
      </c>
      <c r="AG13" s="268">
        <f ca="1">'Mana '!AH28</f>
        <v>99378.218608838244</v>
      </c>
      <c r="AH13" s="268">
        <f ca="1">'Mana '!AI28</f>
        <v>99378.21860883823</v>
      </c>
      <c r="AI13" s="268">
        <f ca="1">'Mana '!AJ28</f>
        <v>96830.059157329553</v>
      </c>
      <c r="AJ13" s="268">
        <f ca="1">'Mana '!AK28</f>
        <v>96830.059157329568</v>
      </c>
      <c r="AK13" s="268">
        <f ca="1">'Mana '!AL28</f>
        <v>86522.072569539334</v>
      </c>
      <c r="AL13" s="268">
        <f ca="1">'Mana '!AM28</f>
        <v>86522.072569539319</v>
      </c>
      <c r="AM13" s="268">
        <f ca="1">'Mana '!AN28</f>
        <v>86522.072569539319</v>
      </c>
      <c r="AN13" s="268">
        <f ca="1">'Mana '!AO28</f>
        <v>86522.072569539319</v>
      </c>
      <c r="AO13" s="268"/>
    </row>
    <row r="14" spans="2:41" hidden="1" outlineLevel="1">
      <c r="B14" s="301" t="s">
        <v>376</v>
      </c>
      <c r="C14" s="297">
        <v>0</v>
      </c>
      <c r="D14" s="168">
        <f ca="1">SUM(OFFSET($M14,,(COLUMNS($D14:D14)-1)*4,,4))</f>
        <v>0</v>
      </c>
      <c r="E14" s="168">
        <f ca="1">SUM(OFFSET($M14,,(COLUMNS($D14:E14)-1)*4,,4))</f>
        <v>0</v>
      </c>
      <c r="F14" s="168">
        <f ca="1">SUM(OFFSET($M14,,(COLUMNS($D14:F14)-1)*4,,4))</f>
        <v>585217.52487126319</v>
      </c>
      <c r="G14" s="168">
        <f ca="1">SUM(OFFSET($M14,,(COLUMNS($D14:G14)-1)*4,,4))</f>
        <v>969018.46123069385</v>
      </c>
      <c r="H14" s="168">
        <f ca="1">SUM(OFFSET($M14,,(COLUMNS($D14:H14)-1)*4,,4))</f>
        <v>940005.93245133187</v>
      </c>
      <c r="I14" s="168">
        <f ca="1">SUM(OFFSET($M14,,(COLUMNS($D14:I14)-1)*4,,4))</f>
        <v>893585.8864043525</v>
      </c>
      <c r="J14" s="168">
        <f ca="1">SUM(OFFSET($M14,,(COLUMNS($D14:J14)-1)*4,,4))</f>
        <v>858770.85186911805</v>
      </c>
      <c r="M14" s="268">
        <v>0</v>
      </c>
      <c r="N14" s="268">
        <v>0</v>
      </c>
      <c r="O14" s="268">
        <v>0</v>
      </c>
      <c r="P14" s="268">
        <v>0</v>
      </c>
      <c r="Q14" s="268">
        <v>0</v>
      </c>
      <c r="R14" s="268">
        <v>0</v>
      </c>
      <c r="S14" s="268">
        <v>0</v>
      </c>
      <c r="T14" s="268">
        <v>0</v>
      </c>
      <c r="U14" s="268">
        <f>Sabodala!U28</f>
        <v>87569</v>
      </c>
      <c r="V14" s="268">
        <f>Sabodala!V28</f>
        <v>176965</v>
      </c>
      <c r="W14" s="268">
        <f>Sabodala!W28</f>
        <v>187995</v>
      </c>
      <c r="X14" s="268">
        <f>Sabodala!X28</f>
        <v>132688.52487126316</v>
      </c>
      <c r="Y14" s="268">
        <f ca="1">Sabodala!Y28</f>
        <v>237902.73599076914</v>
      </c>
      <c r="Z14" s="268">
        <f ca="1">Sabodala!Z28</f>
        <v>243705.24174664158</v>
      </c>
      <c r="AA14" s="268">
        <f ca="1">Sabodala!AA28</f>
        <v>243705.24174664158</v>
      </c>
      <c r="AB14" s="268">
        <f ca="1">Sabodala!AB28</f>
        <v>243705.24174664158</v>
      </c>
      <c r="AC14" s="268">
        <f ca="1">Sabodala!AC28</f>
        <v>237902.73599076914</v>
      </c>
      <c r="AD14" s="268">
        <f ca="1">Sabodala!AD28</f>
        <v>237902.73599076914</v>
      </c>
      <c r="AE14" s="268">
        <f ca="1">Sabodala!AE28</f>
        <v>232100.23023489679</v>
      </c>
      <c r="AF14" s="268">
        <f ca="1">Sabodala!AF28</f>
        <v>232100.23023489674</v>
      </c>
      <c r="AG14" s="268">
        <f ca="1">Sabodala!AG28</f>
        <v>226297.72447902433</v>
      </c>
      <c r="AH14" s="268">
        <f ca="1">Sabodala!AH28</f>
        <v>226297.72447902439</v>
      </c>
      <c r="AI14" s="268">
        <f ca="1">Sabodala!AI28</f>
        <v>220495.21872315195</v>
      </c>
      <c r="AJ14" s="268">
        <f ca="1">Sabodala!AJ28</f>
        <v>220495.21872315189</v>
      </c>
      <c r="AK14" s="268">
        <f ca="1">Sabodala!AK28</f>
        <v>214692.71296727951</v>
      </c>
      <c r="AL14" s="268">
        <f ca="1">Sabodala!AL28</f>
        <v>214692.71296727951</v>
      </c>
      <c r="AM14" s="268">
        <f ca="1">Sabodala!AM28</f>
        <v>214692.71296727948</v>
      </c>
      <c r="AN14" s="268">
        <f ca="1">Sabodala!AN28</f>
        <v>214692.71296727951</v>
      </c>
      <c r="AO14" s="268"/>
    </row>
    <row r="15" spans="2:41" hidden="1" outlineLevel="1">
      <c r="B15" s="301" t="s">
        <v>385</v>
      </c>
      <c r="C15" s="297">
        <v>0</v>
      </c>
      <c r="D15" s="168">
        <f ca="1">SUM(OFFSET($M15,,(COLUMNS($D15:D15)-1)*4,,4))</f>
        <v>0</v>
      </c>
      <c r="E15" s="168">
        <f ca="1">SUM(OFFSET($M15,,(COLUMNS($D15:E15)-1)*4,,4))</f>
        <v>0</v>
      </c>
      <c r="F15" s="168">
        <f ca="1">SUM(OFFSET($M15,,(COLUMNS($D15:F15)-1)*4,,4))</f>
        <v>240091.98974890288</v>
      </c>
      <c r="G15" s="168">
        <f ca="1">SUM(OFFSET($M15,,(COLUMNS($D15:G15)-1)*4,,4))</f>
        <v>178573.48161380552</v>
      </c>
      <c r="H15" s="168">
        <f ca="1">SUM(OFFSET($M15,,(COLUMNS($D15:H15)-1)*4,,4))</f>
        <v>173226.97018824247</v>
      </c>
      <c r="I15" s="168">
        <f ca="1">SUM(OFFSET($M15,,(COLUMNS($D15:I15)-1)*4,,4))</f>
        <v>164672.55190734161</v>
      </c>
      <c r="J15" s="168">
        <f ca="1">SUM(OFFSET($M15,,(COLUMNS($D15:J15)-1)*4,,4))</f>
        <v>158256.73819666594</v>
      </c>
      <c r="M15" s="268">
        <v>0</v>
      </c>
      <c r="N15" s="268">
        <v>0</v>
      </c>
      <c r="O15" s="268">
        <v>0</v>
      </c>
      <c r="P15" s="268">
        <v>0</v>
      </c>
      <c r="Q15" s="268">
        <v>0</v>
      </c>
      <c r="R15" s="268">
        <v>0</v>
      </c>
      <c r="S15" s="268">
        <v>0</v>
      </c>
      <c r="T15" s="268">
        <v>0</v>
      </c>
      <c r="U15" s="268">
        <f>Wahgnion!T28</f>
        <v>52655</v>
      </c>
      <c r="V15" s="268">
        <f>Wahgnion!U28</f>
        <v>86133</v>
      </c>
      <c r="W15" s="268">
        <f>Wahgnion!V28</f>
        <v>62221</v>
      </c>
      <c r="X15" s="268">
        <f>Wahgnion!W28</f>
        <v>39082.989748902874</v>
      </c>
      <c r="Y15" s="268">
        <f ca="1">Wahgnion!X28</f>
        <v>43841.393689616925</v>
      </c>
      <c r="Z15" s="268">
        <f ca="1">Wahgnion!Y28</f>
        <v>44910.695974729533</v>
      </c>
      <c r="AA15" s="268">
        <f ca="1">Wahgnion!Z28</f>
        <v>44910.695974729533</v>
      </c>
      <c r="AB15" s="268">
        <f ca="1">Wahgnion!AA28</f>
        <v>44910.695974729533</v>
      </c>
      <c r="AC15" s="268">
        <f ca="1">Wahgnion!AB28</f>
        <v>43841.393689616925</v>
      </c>
      <c r="AD15" s="268">
        <f ca="1">Wahgnion!AC28</f>
        <v>43841.393689616918</v>
      </c>
      <c r="AE15" s="268">
        <f ca="1">Wahgnion!AD28</f>
        <v>42772.091404504317</v>
      </c>
      <c r="AF15" s="268">
        <f ca="1">Wahgnion!AE28</f>
        <v>42772.091404504317</v>
      </c>
      <c r="AG15" s="268">
        <f ca="1">Wahgnion!AF28</f>
        <v>41702.789119391709</v>
      </c>
      <c r="AH15" s="268">
        <f ca="1">Wahgnion!AG28</f>
        <v>41702.789119391709</v>
      </c>
      <c r="AI15" s="268">
        <f ca="1">Wahgnion!AH28</f>
        <v>40633.486834279094</v>
      </c>
      <c r="AJ15" s="268">
        <f ca="1">Wahgnion!AI28</f>
        <v>40633.486834279094</v>
      </c>
      <c r="AK15" s="268">
        <f ca="1">Wahgnion!AJ28</f>
        <v>39564.184549166486</v>
      </c>
      <c r="AL15" s="268">
        <f ca="1">Wahgnion!AK28</f>
        <v>39564.184549166479</v>
      </c>
      <c r="AM15" s="268">
        <f ca="1">Wahgnion!AL28</f>
        <v>39564.184549166486</v>
      </c>
      <c r="AN15" s="268">
        <f ca="1">Wahgnion!AM28</f>
        <v>39564.184549166486</v>
      </c>
      <c r="AO15" s="268"/>
    </row>
    <row r="16" spans="2:41" hidden="1" outlineLevel="1">
      <c r="B16" s="301" t="s">
        <v>272</v>
      </c>
      <c r="C16" s="297">
        <v>107511</v>
      </c>
      <c r="D16" s="168">
        <f ca="1">SUM(OFFSET($M16,,(COLUMNS($D16:D16)-1)*4,,4))</f>
        <v>5486</v>
      </c>
      <c r="E16" s="168">
        <f ca="1">SUM(OFFSET($M16,,(COLUMNS($D16:E16)-1)*4,,4))</f>
        <v>0</v>
      </c>
      <c r="F16" s="168">
        <f ca="1">SUM(OFFSET($M16,,(COLUMNS($D16:F16)-1)*4,,4))</f>
        <v>0</v>
      </c>
      <c r="G16" s="168">
        <f ca="1">SUM(OFFSET($M16,,(COLUMNS($D16:G16)-1)*4,,4))</f>
        <v>0</v>
      </c>
      <c r="H16" s="168">
        <f ca="1">SUM(OFFSET($M16,,(COLUMNS($D16:H16)-1)*4,,4))</f>
        <v>0</v>
      </c>
      <c r="I16" s="168">
        <f ca="1">SUM(OFFSET($M16,,(COLUMNS($D16:I16)-1)*4,,4))</f>
        <v>0</v>
      </c>
      <c r="J16" s="168">
        <f ca="1">SUM(OFFSET($M16,,(COLUMNS($D16:J16)-1)*4,,4))</f>
        <v>0</v>
      </c>
      <c r="M16" s="268">
        <v>5486</v>
      </c>
      <c r="N16" s="268">
        <v>0</v>
      </c>
      <c r="O16" s="268">
        <v>0</v>
      </c>
      <c r="P16" s="268">
        <v>0</v>
      </c>
      <c r="Q16" s="268">
        <v>0</v>
      </c>
      <c r="R16" s="268">
        <v>0</v>
      </c>
      <c r="S16" s="268">
        <v>0</v>
      </c>
      <c r="T16" s="268">
        <v>0</v>
      </c>
      <c r="U16" s="268">
        <v>0</v>
      </c>
      <c r="V16" s="268">
        <v>0</v>
      </c>
      <c r="W16" s="268">
        <v>0</v>
      </c>
      <c r="X16" s="268">
        <v>0</v>
      </c>
      <c r="Y16" s="268">
        <v>0</v>
      </c>
      <c r="Z16" s="268">
        <v>0</v>
      </c>
      <c r="AA16" s="268">
        <v>0</v>
      </c>
      <c r="AB16" s="268">
        <v>0</v>
      </c>
      <c r="AC16" s="268">
        <v>0</v>
      </c>
      <c r="AD16" s="268">
        <v>0</v>
      </c>
      <c r="AE16" s="268">
        <v>0</v>
      </c>
      <c r="AF16" s="268">
        <v>0</v>
      </c>
      <c r="AG16" s="268">
        <v>0</v>
      </c>
      <c r="AH16" s="268">
        <v>0</v>
      </c>
      <c r="AI16" s="268">
        <v>0</v>
      </c>
      <c r="AJ16" s="268">
        <v>0</v>
      </c>
      <c r="AK16" s="268">
        <v>0</v>
      </c>
      <c r="AL16" s="268">
        <v>0</v>
      </c>
      <c r="AM16" s="268">
        <v>0</v>
      </c>
      <c r="AN16" s="268">
        <v>0</v>
      </c>
      <c r="AO16" s="268"/>
    </row>
    <row r="17" spans="2:41" hidden="1" outlineLevel="1">
      <c r="B17" s="302" t="s">
        <v>269</v>
      </c>
      <c r="C17" s="297">
        <v>180256</v>
      </c>
      <c r="D17" s="168">
        <f ca="1">SUM(OFFSET($M17,,(COLUMNS($D17:D17)-1)*4,,4))</f>
        <v>191523</v>
      </c>
      <c r="E17" s="168">
        <f ca="1">SUM(OFFSET($M17,,(COLUMNS($D17:E17)-1)*4,,4))</f>
        <v>0</v>
      </c>
      <c r="F17" s="168">
        <f ca="1">SUM(OFFSET($M17,,(COLUMNS($D17:F17)-1)*4,,4))</f>
        <v>0</v>
      </c>
      <c r="G17" s="168">
        <f ca="1">SUM(OFFSET($M17,,(COLUMNS($D17:G17)-1)*4,,4))</f>
        <v>0</v>
      </c>
      <c r="H17" s="168">
        <f ca="1">SUM(OFFSET($M17,,(COLUMNS($D17:H17)-1)*4,,4))</f>
        <v>0</v>
      </c>
      <c r="I17" s="168">
        <f ca="1">SUM(OFFSET($M17,,(COLUMNS($D17:I17)-1)*4,,4))</f>
        <v>0</v>
      </c>
      <c r="J17" s="168">
        <f ca="1">SUM(OFFSET($M17,,(COLUMNS($D17:J17)-1)*4,,4))</f>
        <v>0</v>
      </c>
      <c r="M17" s="268">
        <v>44048</v>
      </c>
      <c r="N17" s="268">
        <v>45108</v>
      </c>
      <c r="O17" s="268">
        <v>53375</v>
      </c>
      <c r="P17" s="268">
        <v>48992</v>
      </c>
      <c r="Q17" s="268"/>
      <c r="R17" s="268"/>
      <c r="S17" s="268"/>
      <c r="T17" s="268"/>
      <c r="U17" s="268">
        <v>0</v>
      </c>
      <c r="V17" s="268">
        <v>0</v>
      </c>
      <c r="W17" s="268">
        <v>0</v>
      </c>
      <c r="X17" s="268">
        <v>0</v>
      </c>
      <c r="Y17" s="268">
        <v>0</v>
      </c>
      <c r="Z17" s="268">
        <v>0</v>
      </c>
      <c r="AA17" s="268">
        <v>0</v>
      </c>
      <c r="AB17" s="268">
        <v>0</v>
      </c>
      <c r="AC17" s="268">
        <v>0</v>
      </c>
      <c r="AD17" s="268">
        <v>0</v>
      </c>
      <c r="AE17" s="268">
        <v>0</v>
      </c>
      <c r="AF17" s="268">
        <v>0</v>
      </c>
      <c r="AG17" s="268">
        <v>0</v>
      </c>
      <c r="AH17" s="268">
        <v>0</v>
      </c>
      <c r="AI17" s="268">
        <v>0</v>
      </c>
      <c r="AJ17" s="268">
        <v>0</v>
      </c>
      <c r="AK17" s="268">
        <v>0</v>
      </c>
      <c r="AL17" s="268">
        <v>0</v>
      </c>
      <c r="AM17" s="268">
        <v>0</v>
      </c>
      <c r="AN17" s="268">
        <v>0</v>
      </c>
      <c r="AO17" s="268"/>
    </row>
    <row r="18" spans="2:41" hidden="1" outlineLevel="1">
      <c r="B18" s="301" t="s">
        <v>270</v>
      </c>
      <c r="C18" s="297">
        <v>0</v>
      </c>
      <c r="D18" s="297">
        <v>0</v>
      </c>
      <c r="E18" s="297">
        <v>0</v>
      </c>
      <c r="F18" s="297">
        <v>0</v>
      </c>
      <c r="G18" s="297">
        <v>0</v>
      </c>
      <c r="H18" s="297">
        <v>0</v>
      </c>
      <c r="I18" s="297">
        <v>0</v>
      </c>
      <c r="J18" s="297">
        <v>0</v>
      </c>
      <c r="M18" s="268"/>
      <c r="N18" s="268">
        <v>0</v>
      </c>
      <c r="O18" s="268">
        <v>0</v>
      </c>
      <c r="P18" s="268">
        <v>0</v>
      </c>
      <c r="Q18" s="268">
        <v>0</v>
      </c>
      <c r="R18" s="268">
        <v>0</v>
      </c>
      <c r="S18" s="268">
        <v>0</v>
      </c>
      <c r="T18" s="268">
        <v>0</v>
      </c>
      <c r="U18" s="268">
        <v>0</v>
      </c>
      <c r="V18" s="268">
        <v>0</v>
      </c>
      <c r="W18" s="268">
        <v>0</v>
      </c>
      <c r="X18" s="268">
        <v>0</v>
      </c>
      <c r="Y18" s="268">
        <v>0</v>
      </c>
      <c r="Z18" s="268">
        <v>0</v>
      </c>
      <c r="AA18" s="268">
        <v>0</v>
      </c>
      <c r="AB18" s="268">
        <v>0</v>
      </c>
      <c r="AC18" s="268">
        <v>0</v>
      </c>
      <c r="AD18" s="268">
        <v>0</v>
      </c>
      <c r="AE18" s="268">
        <v>0</v>
      </c>
      <c r="AF18" s="268">
        <v>0</v>
      </c>
      <c r="AG18" s="268">
        <v>0</v>
      </c>
      <c r="AH18" s="268">
        <v>0</v>
      </c>
      <c r="AI18" s="268">
        <v>0</v>
      </c>
      <c r="AJ18" s="268">
        <v>0</v>
      </c>
      <c r="AK18" s="268">
        <v>0</v>
      </c>
      <c r="AL18" s="268">
        <v>0</v>
      </c>
      <c r="AM18" s="268">
        <v>0</v>
      </c>
      <c r="AN18" s="268">
        <v>0</v>
      </c>
      <c r="AO18" s="268"/>
    </row>
    <row r="19" spans="2:41" collapsed="1">
      <c r="B19" s="192" t="s">
        <v>312</v>
      </c>
      <c r="C19" s="307">
        <f t="shared" ref="C19:J19" si="2">SUM(C9:C18)</f>
        <v>751957</v>
      </c>
      <c r="D19" s="307">
        <f ca="1">SUM(D9:D18)</f>
        <v>886371</v>
      </c>
      <c r="E19" s="307">
        <f ca="1">SUM(E9:E18)</f>
        <v>1424112</v>
      </c>
      <c r="F19" s="307">
        <f t="shared" ca="1" si="2"/>
        <v>2692819.2073824182</v>
      </c>
      <c r="G19" s="307">
        <f t="shared" ca="1" si="2"/>
        <v>3081834.525645392</v>
      </c>
      <c r="H19" s="307">
        <f t="shared" ca="1" si="2"/>
        <v>2947777.9520476121</v>
      </c>
      <c r="I19" s="307">
        <f t="shared" ca="1" si="2"/>
        <v>2562238.0274153217</v>
      </c>
      <c r="J19" s="307">
        <f t="shared" ca="1" si="2"/>
        <v>2405358.6592965191</v>
      </c>
      <c r="M19" s="307">
        <f>SUM(M9:M18)</f>
        <v>151310</v>
      </c>
      <c r="N19" s="307">
        <f>SUM(N9:N18)</f>
        <v>219371</v>
      </c>
      <c r="O19" s="307">
        <f t="shared" ref="O19:Q19" si="3">SUM(O9:O18)</f>
        <v>267292</v>
      </c>
      <c r="P19" s="307">
        <f t="shared" si="3"/>
        <v>248398</v>
      </c>
      <c r="Q19" s="307">
        <f t="shared" si="3"/>
        <v>226321</v>
      </c>
      <c r="R19" s="307">
        <f t="shared" ref="R19:AN19" si="4">SUM(R9:R18)</f>
        <v>209581</v>
      </c>
      <c r="S19" s="307">
        <f t="shared" si="4"/>
        <v>434839</v>
      </c>
      <c r="T19" s="307">
        <f t="shared" si="4"/>
        <v>553371</v>
      </c>
      <c r="U19" s="307">
        <f t="shared" si="4"/>
        <v>635792</v>
      </c>
      <c r="V19" s="307">
        <f t="shared" si="4"/>
        <v>753426</v>
      </c>
      <c r="W19" s="307">
        <f t="shared" si="4"/>
        <v>691699</v>
      </c>
      <c r="X19" s="307">
        <f t="shared" si="4"/>
        <v>611902.20738241787</v>
      </c>
      <c r="Y19" s="307">
        <f t="shared" ca="1" si="4"/>
        <v>771768.88229839352</v>
      </c>
      <c r="Z19" s="307">
        <f t="shared" ca="1" si="4"/>
        <v>784982.34108533722</v>
      </c>
      <c r="AA19" s="307">
        <f t="shared" ca="1" si="4"/>
        <v>762541.65113083052</v>
      </c>
      <c r="AB19" s="307">
        <f t="shared" ca="1" si="4"/>
        <v>762541.65113083052</v>
      </c>
      <c r="AC19" s="307">
        <f t="shared" ca="1" si="4"/>
        <v>746042.56811081537</v>
      </c>
      <c r="AD19" s="307">
        <f t="shared" ca="1" si="4"/>
        <v>746042.56811081537</v>
      </c>
      <c r="AE19" s="307">
        <f t="shared" ca="1" si="4"/>
        <v>727846.40791299054</v>
      </c>
      <c r="AF19" s="307">
        <f t="shared" ca="1" si="4"/>
        <v>727846.40791299054</v>
      </c>
      <c r="AG19" s="307">
        <f t="shared" ca="1" si="4"/>
        <v>648878.4614882957</v>
      </c>
      <c r="AH19" s="307">
        <f t="shared" ca="1" si="4"/>
        <v>648878.46148829581</v>
      </c>
      <c r="AI19" s="307">
        <f t="shared" ca="1" si="4"/>
        <v>632240.55221936514</v>
      </c>
      <c r="AJ19" s="307">
        <f t="shared" ca="1" si="4"/>
        <v>632240.55221936514</v>
      </c>
      <c r="AK19" s="307">
        <f t="shared" ca="1" si="4"/>
        <v>601339.66482412978</v>
      </c>
      <c r="AL19" s="307">
        <f t="shared" ca="1" si="4"/>
        <v>601339.66482412978</v>
      </c>
      <c r="AM19" s="307">
        <f t="shared" ca="1" si="4"/>
        <v>601339.66482412978</v>
      </c>
      <c r="AN19" s="307">
        <f t="shared" ca="1" si="4"/>
        <v>601339.66482412966</v>
      </c>
      <c r="AO19" s="307"/>
    </row>
    <row r="20" spans="2:41">
      <c r="B20" s="243" t="s">
        <v>303</v>
      </c>
      <c r="C20" s="268"/>
      <c r="D20" s="268"/>
      <c r="E20" s="268"/>
      <c r="F20" s="268"/>
      <c r="G20" s="268"/>
      <c r="H20" s="268"/>
      <c r="I20" s="268"/>
      <c r="J20" s="268"/>
    </row>
    <row r="21" spans="2:41" hidden="1" outlineLevel="1">
      <c r="B21" s="301" t="s">
        <v>126</v>
      </c>
      <c r="C21" s="305">
        <v>0</v>
      </c>
      <c r="D21" s="168">
        <f ca="1">SUM(OFFSET($M21,,(COLUMNS($D21:D21)-1)*4,,4))</f>
        <v>0</v>
      </c>
      <c r="E21" s="168">
        <f ca="1">SUM(OFFSET($M21,,(COLUMNS($D21:E21)-1)*4,,4))</f>
        <v>-89086</v>
      </c>
      <c r="F21" s="168">
        <f ca="1">SUM(OFFSET($M21,,(COLUMNS($D21:F21)-1)*4,,4))</f>
        <v>-108118.8</v>
      </c>
      <c r="G21" s="168">
        <f ca="1">SUM(OFFSET($M21,,(COLUMNS($D21:G21)-1)*4,,4))</f>
        <v>-112162.43657142863</v>
      </c>
      <c r="H21" s="168">
        <f ca="1">SUM(OFFSET($M21,,(COLUMNS($D21:H21)-1)*4,,4))</f>
        <v>-95386.1562881633</v>
      </c>
      <c r="I21" s="168">
        <f ca="1">SUM(OFFSET($M21,,(COLUMNS($D21:I21)-1)*4,,4))</f>
        <v>-86528.972926114991</v>
      </c>
      <c r="J21" s="168">
        <f ca="1">SUM(OFFSET($M21,,(COLUMNS($D21:J21)-1)*4,,4))</f>
        <v>-79172.520267486267</v>
      </c>
      <c r="M21" s="268">
        <v>0</v>
      </c>
      <c r="N21" s="268">
        <v>0</v>
      </c>
      <c r="O21" s="268">
        <v>0</v>
      </c>
      <c r="P21" s="268">
        <v>0</v>
      </c>
      <c r="Q21" s="268">
        <v>0</v>
      </c>
      <c r="R21" s="268">
        <v>0</v>
      </c>
      <c r="S21" s="268">
        <f>'Boungou '!S29</f>
        <v>-51498</v>
      </c>
      <c r="T21" s="268">
        <f>'Boungou '!T29</f>
        <v>-37588</v>
      </c>
      <c r="U21" s="268">
        <f>'Boungou '!U29</f>
        <v>-31518</v>
      </c>
      <c r="V21" s="268">
        <f>'Boungou '!V29</f>
        <v>-23580</v>
      </c>
      <c r="W21" s="268">
        <f>'Boungou '!W29</f>
        <v>-25248</v>
      </c>
      <c r="X21" s="268">
        <f>'Boungou '!X29</f>
        <v>-27772.800000000003</v>
      </c>
      <c r="Y21" s="268">
        <f>'Boungou '!Y29</f>
        <v>-30550.080000000005</v>
      </c>
      <c r="Z21" s="268">
        <f>'Boungou '!Z29</f>
        <v>-33605.088000000011</v>
      </c>
      <c r="AA21" s="268">
        <f ca="1">'Boungou '!AA29</f>
        <v>-24003.634285714299</v>
      </c>
      <c r="AB21" s="268">
        <f ca="1">'Boungou '!AB29</f>
        <v>-24003.634285714299</v>
      </c>
      <c r="AC21" s="268">
        <f ca="1">'Boungou '!AC29</f>
        <v>-24140.940788979602</v>
      </c>
      <c r="AD21" s="268">
        <f ca="1">'Boungou '!AD29</f>
        <v>-24140.940788979598</v>
      </c>
      <c r="AE21" s="268">
        <f ca="1">'Boungou '!AE29</f>
        <v>-23552.137355102048</v>
      </c>
      <c r="AF21" s="268">
        <f ca="1">'Boungou '!AF29</f>
        <v>-23552.137355102044</v>
      </c>
      <c r="AG21" s="268">
        <f ca="1">'Boungou '!AG29</f>
        <v>-21913.181455314836</v>
      </c>
      <c r="AH21" s="268">
        <f ca="1">'Boungou '!AH29</f>
        <v>-21913.181455314836</v>
      </c>
      <c r="AI21" s="268">
        <f ca="1">'Boungou '!AI29</f>
        <v>-21351.30500774266</v>
      </c>
      <c r="AJ21" s="268">
        <f ca="1">'Boungou '!AJ29</f>
        <v>-21351.30500774266</v>
      </c>
      <c r="AK21" s="268">
        <f ca="1">'Boungou '!AK29</f>
        <v>-19793.130066871574</v>
      </c>
      <c r="AL21" s="268">
        <f ca="1">'Boungou '!AL29</f>
        <v>-19793.13006687157</v>
      </c>
      <c r="AM21" s="268">
        <f ca="1">'Boungou '!AM29</f>
        <v>-19793.130066871563</v>
      </c>
      <c r="AN21" s="268">
        <f ca="1">'Boungou '!AN29</f>
        <v>-19793.130066871559</v>
      </c>
      <c r="AO21" s="268"/>
    </row>
    <row r="22" spans="2:41" hidden="1" outlineLevel="1">
      <c r="B22" s="301" t="s">
        <v>190</v>
      </c>
      <c r="C22" s="305">
        <v>-127974</v>
      </c>
      <c r="D22" s="168">
        <f ca="1">SUM(OFFSET($M22,,(COLUMNS($D22:D22)-1)*4,,4))</f>
        <v>-158938</v>
      </c>
      <c r="E22" s="168">
        <f ca="1">SUM(OFFSET($M22,,(COLUMNS($D22:E22)-1)*4,,4))</f>
        <v>-156608</v>
      </c>
      <c r="F22" s="168">
        <f ca="1">SUM(OFFSET($M22,,(COLUMNS($D22:F22)-1)*4,,4))</f>
        <v>-164281.79999999999</v>
      </c>
      <c r="G22" s="168">
        <f ca="1">SUM(OFFSET($M22,,(COLUMNS($D22:G22)-1)*4,,4))</f>
        <v>-192991.63560975611</v>
      </c>
      <c r="H22" s="168">
        <f ca="1">SUM(OFFSET($M22,,(COLUMNS($D22:H22)-1)*4,,4))</f>
        <v>-187213.4429268293</v>
      </c>
      <c r="I22" s="168">
        <f ca="1">SUM(OFFSET($M22,,(COLUMNS($D22:I22)-1)*4,,4))</f>
        <v>-173842.32996720323</v>
      </c>
      <c r="J22" s="168">
        <f ca="1">SUM(OFFSET($M22,,(COLUMNS($D22:J22)-1)*4,,4))</f>
        <v>-163104.00093791238</v>
      </c>
      <c r="M22" s="268">
        <f>'Hounde '!T29</f>
        <v>-38007</v>
      </c>
      <c r="N22" s="268">
        <f>'Hounde '!U29</f>
        <v>-33688</v>
      </c>
      <c r="O22" s="268">
        <f>'Hounde '!V29</f>
        <v>-41517</v>
      </c>
      <c r="P22" s="268">
        <f>'Hounde '!W29</f>
        <v>-45726</v>
      </c>
      <c r="Q22" s="268">
        <f>'Hounde '!X29</f>
        <v>-42103</v>
      </c>
      <c r="R22" s="268">
        <f>'Hounde '!Y29</f>
        <v>-36304</v>
      </c>
      <c r="S22" s="268">
        <f>'Hounde '!Z29</f>
        <v>-37353</v>
      </c>
      <c r="T22" s="268">
        <f>'Hounde '!AA29</f>
        <v>-40848</v>
      </c>
      <c r="U22" s="268">
        <f>'Hounde '!AB29</f>
        <v>-40494</v>
      </c>
      <c r="V22" s="268">
        <f>'Hounde '!AC29</f>
        <v>-41556</v>
      </c>
      <c r="W22" s="268">
        <f>'Hounde '!AD29</f>
        <v>-39158</v>
      </c>
      <c r="X22" s="268">
        <f>'Hounde '!AE29</f>
        <v>-43073.8</v>
      </c>
      <c r="Y22" s="268">
        <f>'Hounde '!AF29</f>
        <v>-47381.180000000008</v>
      </c>
      <c r="Z22" s="268">
        <f ca="1">'Hounde '!AG29</f>
        <v>-48536.818536585371</v>
      </c>
      <c r="AA22" s="268">
        <f ca="1">'Hounde '!AH29</f>
        <v>-48536.818536585357</v>
      </c>
      <c r="AB22" s="268">
        <f ca="1">'Hounde '!AI29</f>
        <v>-48536.818536585371</v>
      </c>
      <c r="AC22" s="268">
        <f ca="1">'Hounde '!AJ29</f>
        <v>-47381.180000000008</v>
      </c>
      <c r="AD22" s="268">
        <f ca="1">'Hounde '!AK29</f>
        <v>-47381.180000000008</v>
      </c>
      <c r="AE22" s="268">
        <f ca="1">'Hounde '!AL29</f>
        <v>-46225.541463414644</v>
      </c>
      <c r="AF22" s="268">
        <f ca="1">'Hounde '!AM29</f>
        <v>-46225.541463414644</v>
      </c>
      <c r="AG22" s="268">
        <f ca="1">'Hounde '!AN29</f>
        <v>-44025.005641044976</v>
      </c>
      <c r="AH22" s="268">
        <f ca="1">'Hounde '!AO29</f>
        <v>-44025.005641044976</v>
      </c>
      <c r="AI22" s="268">
        <f ca="1">'Hounde '!AP29</f>
        <v>-42896.159342556639</v>
      </c>
      <c r="AJ22" s="268">
        <f ca="1">'Hounde '!AQ29</f>
        <v>-42896.159342556639</v>
      </c>
      <c r="AK22" s="268">
        <f ca="1">'Hounde '!AR29</f>
        <v>-40776.000234478088</v>
      </c>
      <c r="AL22" s="268">
        <f ca="1">'Hounde '!AS29</f>
        <v>-40776.000234478102</v>
      </c>
      <c r="AM22" s="268">
        <f ca="1">'Hounde '!AT29</f>
        <v>-40776.000234478088</v>
      </c>
      <c r="AN22" s="268">
        <f ca="1">'Hounde '!AU29</f>
        <v>-40776.000234478081</v>
      </c>
      <c r="AO22" s="268"/>
    </row>
    <row r="23" spans="2:41" hidden="1" outlineLevel="1">
      <c r="B23" s="301" t="s">
        <v>252</v>
      </c>
      <c r="C23" s="305">
        <v>-102956</v>
      </c>
      <c r="D23" s="168">
        <f ca="1">SUM(OFFSET($M23,,(COLUMNS($D23:D23)-1)*4,,4))</f>
        <v>-79694</v>
      </c>
      <c r="E23" s="168">
        <f ca="1">SUM(OFFSET($M23,,(COLUMNS($D23:E23)-1)*4,,4))</f>
        <v>-100381</v>
      </c>
      <c r="F23" s="168">
        <f ca="1">SUM(OFFSET($M23,,(COLUMNS($D23:F23)-1)*4,,4))</f>
        <v>-102759.4</v>
      </c>
      <c r="G23" s="168">
        <f ca="1">SUM(OFFSET($M23,,(COLUMNS($D23:G23)-1)*4,,4))</f>
        <v>-106935.69710224165</v>
      </c>
      <c r="H23" s="168">
        <f ca="1">SUM(OFFSET($M23,,(COLUMNS($D23:H23)-1)*4,,4))</f>
        <v>-103734.02952433012</v>
      </c>
      <c r="I23" s="168">
        <f ca="1">SUM(OFFSET($M23,,(COLUMNS($D23:I23)-1)*4,,4))</f>
        <v>0</v>
      </c>
      <c r="J23" s="168">
        <f ca="1">SUM(OFFSET($M23,,(COLUMNS($D23:J23)-1)*4,,4))</f>
        <v>0</v>
      </c>
      <c r="M23" s="268">
        <f>'Karma '!N29</f>
        <v>-24412</v>
      </c>
      <c r="N23" s="268">
        <f>'Karma '!O29</f>
        <v>-16617</v>
      </c>
      <c r="O23" s="268">
        <f>'Karma '!P29</f>
        <v>-17407</v>
      </c>
      <c r="P23" s="268">
        <f>'Karma '!Q29</f>
        <v>-21258</v>
      </c>
      <c r="Q23" s="268">
        <f>'Karma '!R29</f>
        <v>-18759</v>
      </c>
      <c r="R23" s="268">
        <f>'Karma '!S29</f>
        <v>-15296</v>
      </c>
      <c r="S23" s="268">
        <f>'Karma '!T29</f>
        <v>-20077</v>
      </c>
      <c r="T23" s="268">
        <f>'Karma '!U29</f>
        <v>-46249</v>
      </c>
      <c r="U23" s="268">
        <f>'Karma '!V29</f>
        <v>-26172</v>
      </c>
      <c r="V23" s="268">
        <f>'Karma '!W29</f>
        <v>-27138</v>
      </c>
      <c r="W23" s="268">
        <f>'Karma '!X29</f>
        <v>-26026</v>
      </c>
      <c r="X23" s="268">
        <f>'Karma '!Y29</f>
        <v>-23423.4</v>
      </c>
      <c r="Y23" s="268">
        <f ca="1">'Karma '!Z29</f>
        <v>-26253.674138873699</v>
      </c>
      <c r="Z23" s="268">
        <f ca="1">'Karma '!AA29</f>
        <v>-26894.007654455985</v>
      </c>
      <c r="AA23" s="268">
        <f ca="1">'Karma '!AB29</f>
        <v>-26894.007654455978</v>
      </c>
      <c r="AB23" s="268">
        <f ca="1">'Karma '!AC29</f>
        <v>-26894.007654455978</v>
      </c>
      <c r="AC23" s="268">
        <f ca="1">'Karma '!AD29</f>
        <v>-26253.674138873692</v>
      </c>
      <c r="AD23" s="268">
        <f ca="1">'Karma '!AE29</f>
        <v>-26253.674138873688</v>
      </c>
      <c r="AE23" s="268">
        <f ca="1">'Karma '!AF29</f>
        <v>-25613.340623291388</v>
      </c>
      <c r="AF23" s="268">
        <f ca="1">'Karma '!AG29</f>
        <v>-25613.340623291355</v>
      </c>
      <c r="AG23" s="268">
        <v>0</v>
      </c>
      <c r="AH23" s="268">
        <v>0</v>
      </c>
      <c r="AI23" s="268">
        <v>0</v>
      </c>
      <c r="AJ23" s="268">
        <v>0</v>
      </c>
      <c r="AK23" s="268">
        <v>0</v>
      </c>
      <c r="AL23" s="268">
        <v>0</v>
      </c>
      <c r="AM23" s="268">
        <v>0</v>
      </c>
      <c r="AN23" s="268">
        <v>0</v>
      </c>
      <c r="AO23" s="268"/>
    </row>
    <row r="24" spans="2:41" hidden="1" outlineLevel="1">
      <c r="B24" s="301" t="s">
        <v>271</v>
      </c>
      <c r="C24" s="305">
        <v>0</v>
      </c>
      <c r="D24" s="168">
        <f ca="1">SUM(OFFSET($M24,,(COLUMNS($D24:D24)-1)*4,,4))</f>
        <v>-107185</v>
      </c>
      <c r="E24" s="168">
        <f ca="1">SUM(OFFSET($M24,,(COLUMNS($D24:E24)-1)*4,,4))</f>
        <v>-139314</v>
      </c>
      <c r="F24" s="168">
        <f ca="1">SUM(OFFSET($M24,,(COLUMNS($D24:F24)-1)*4,,4))</f>
        <v>-178575.45838275278</v>
      </c>
      <c r="G24" s="168">
        <f ca="1">SUM(OFFSET($M24,,(COLUMNS($D24:G24)-1)*4,,4))</f>
        <v>-142962.86538824649</v>
      </c>
      <c r="H24" s="168">
        <f ca="1">SUM(OFFSET($M24,,(COLUMNS($D24:H24)-1)*4,,4))</f>
        <v>-138682.54007722111</v>
      </c>
      <c r="I24" s="168">
        <f ca="1">SUM(OFFSET($M24,,(COLUMNS($D24:I24)-1)*4,,4))</f>
        <v>-130314.3190656949</v>
      </c>
      <c r="J24" s="168">
        <f ca="1">SUM(OFFSET($M24,,(COLUMNS($D24:J24)-1)*4,,4))</f>
        <v>-123776.64640044002</v>
      </c>
      <c r="M24" s="268">
        <v>0</v>
      </c>
      <c r="N24" s="268">
        <f>'Ity '!T29</f>
        <v>-30122</v>
      </c>
      <c r="O24" s="268">
        <f>'Ity '!U29</f>
        <v>-34963</v>
      </c>
      <c r="P24" s="268">
        <f>'Ity '!V29</f>
        <v>-42100</v>
      </c>
      <c r="Q24" s="268">
        <f>'Ity '!W29</f>
        <v>-35230</v>
      </c>
      <c r="R24" s="268">
        <f>'Ity '!X29</f>
        <v>-29702</v>
      </c>
      <c r="S24" s="268">
        <f>'Ity '!Y29</f>
        <v>-29331</v>
      </c>
      <c r="T24" s="268">
        <f>'Ity '!Z29</f>
        <v>-45051</v>
      </c>
      <c r="U24" s="268">
        <f>'Ity '!AA29</f>
        <v>-46084</v>
      </c>
      <c r="V24" s="268">
        <f>'Ity '!AB29</f>
        <v>-51756</v>
      </c>
      <c r="W24" s="268">
        <f>'Ity '!AC29</f>
        <v>-46325</v>
      </c>
      <c r="X24" s="268">
        <f>'Ity '!AD29</f>
        <v>-34410.458382752768</v>
      </c>
      <c r="Y24" s="268">
        <f>'Ity '!AE29</f>
        <v>-35098.667550407823</v>
      </c>
      <c r="Z24" s="268">
        <f ca="1">'Ity '!AF29</f>
        <v>-35954.732612612883</v>
      </c>
      <c r="AA24" s="268">
        <f ca="1">'Ity '!AG29</f>
        <v>-35954.732612612883</v>
      </c>
      <c r="AB24" s="268">
        <f ca="1">'Ity '!AH29</f>
        <v>-35954.732612612883</v>
      </c>
      <c r="AC24" s="268">
        <f ca="1">'Ity '!AI29</f>
        <v>-35098.667550407816</v>
      </c>
      <c r="AD24" s="268">
        <f ca="1">'Ity '!AJ29</f>
        <v>-35098.667550407816</v>
      </c>
      <c r="AE24" s="268">
        <f ca="1">'Ity '!AK29</f>
        <v>-34242.602488202749</v>
      </c>
      <c r="AF24" s="268">
        <f ca="1">'Ity '!AL29</f>
        <v>-34242.602488202741</v>
      </c>
      <c r="AG24" s="268">
        <f ca="1">'Ity '!AM29</f>
        <v>-33001.678204948708</v>
      </c>
      <c r="AH24" s="268">
        <f ca="1">'Ity '!AN29</f>
        <v>-33001.678204948708</v>
      </c>
      <c r="AI24" s="268">
        <f ca="1">'Ity '!AO29</f>
        <v>-32155.481327898739</v>
      </c>
      <c r="AJ24" s="268">
        <f ca="1">'Ity '!AP29</f>
        <v>-32155.481327898739</v>
      </c>
      <c r="AK24" s="268">
        <f ca="1">'Ity '!AQ29</f>
        <v>-30944.161600110005</v>
      </c>
      <c r="AL24" s="268">
        <f ca="1">'Ity '!AR29</f>
        <v>-30944.161600110005</v>
      </c>
      <c r="AM24" s="268">
        <f ca="1">'Ity '!AS29</f>
        <v>-30944.161600110005</v>
      </c>
      <c r="AN24" s="268">
        <f ca="1">'Ity '!AT29</f>
        <v>-30944.161600109997</v>
      </c>
      <c r="AO24" s="268"/>
    </row>
    <row r="25" spans="2:41" hidden="1" outlineLevel="1">
      <c r="B25" s="301" t="s">
        <v>267</v>
      </c>
      <c r="C25" s="305">
        <v>0</v>
      </c>
      <c r="D25" s="168">
        <f ca="1">SUM(OFFSET($M25,,(COLUMNS($D25:D25)-1)*4,,4))</f>
        <v>0</v>
      </c>
      <c r="E25" s="168">
        <f ca="1">SUM(OFFSET($M25,,(COLUMNS($D25:E25)-1)*4,,4))</f>
        <v>-81768</v>
      </c>
      <c r="F25" s="168">
        <f ca="1">SUM(OFFSET($M25,,(COLUMNS($D25:F25)-1)*4,,4))</f>
        <v>-179131.0799476426</v>
      </c>
      <c r="G25" s="168">
        <f ca="1">SUM(OFFSET($M25,,(COLUMNS($D25:G25)-1)*4,,4))</f>
        <v>-224614.90845424589</v>
      </c>
      <c r="H25" s="168">
        <f ca="1">SUM(OFFSET($M25,,(COLUMNS($D25:H25)-1)*4,,4))</f>
        <v>-217889.91119513672</v>
      </c>
      <c r="I25" s="168">
        <f ca="1">SUM(OFFSET($M25,,(COLUMNS($D25:I25)-1)*4,,4))</f>
        <v>-191378.59120181209</v>
      </c>
      <c r="J25" s="168">
        <f ca="1">SUM(OFFSET($M25,,(COLUMNS($D25:J25)-1)*4,,4))</f>
        <v>-168784.64603774797</v>
      </c>
      <c r="M25" s="268">
        <v>0</v>
      </c>
      <c r="N25" s="268">
        <v>0</v>
      </c>
      <c r="O25" s="268">
        <v>0</v>
      </c>
      <c r="P25" s="268">
        <v>0</v>
      </c>
      <c r="Q25" s="268">
        <v>0</v>
      </c>
      <c r="R25" s="268">
        <v>0</v>
      </c>
      <c r="S25" s="268">
        <f>'Mana '!T29</f>
        <v>-48239</v>
      </c>
      <c r="T25" s="268">
        <f>'Mana '!U29</f>
        <v>-33529</v>
      </c>
      <c r="U25" s="268">
        <f>'Mana '!V29</f>
        <v>-46764</v>
      </c>
      <c r="V25" s="268">
        <f>'Mana '!W29</f>
        <v>-40847</v>
      </c>
      <c r="W25" s="268">
        <f>'Mana '!X29</f>
        <v>-42320</v>
      </c>
      <c r="X25" s="268">
        <f>'Mana '!Y29</f>
        <v>-49200.079947642604</v>
      </c>
      <c r="Y25" s="268">
        <f ca="1">'Mana '!Z29</f>
        <v>-55144.977524695103</v>
      </c>
      <c r="Z25" s="268">
        <f ca="1">'Mana '!AA29</f>
        <v>-56489.976976516933</v>
      </c>
      <c r="AA25" s="268">
        <f ca="1">'Mana '!AB29</f>
        <v>-56489.976976516933</v>
      </c>
      <c r="AB25" s="268">
        <f ca="1">'Mana '!AC29</f>
        <v>-56489.976976516933</v>
      </c>
      <c r="AC25" s="268">
        <f ca="1">'Mana '!AD29</f>
        <v>-55144.977524695103</v>
      </c>
      <c r="AD25" s="268">
        <f ca="1">'Mana '!AE29</f>
        <v>-55144.977524695103</v>
      </c>
      <c r="AE25" s="268">
        <f ca="1">'Mana '!AF29</f>
        <v>-53799.978072873273</v>
      </c>
      <c r="AF25" s="268">
        <f ca="1">'Mana '!AG29</f>
        <v>-53799.978072873273</v>
      </c>
      <c r="AG25" s="268">
        <f ca="1">'Mana '!AH29</f>
        <v>-48466.006862796567</v>
      </c>
      <c r="AH25" s="268">
        <f ca="1">'Mana '!AI29</f>
        <v>-48466.006862796559</v>
      </c>
      <c r="AI25" s="268">
        <f ca="1">'Mana '!AJ29</f>
        <v>-47223.28873810947</v>
      </c>
      <c r="AJ25" s="268">
        <f ca="1">'Mana '!AK29</f>
        <v>-47223.288738109477</v>
      </c>
      <c r="AK25" s="268">
        <f ca="1">'Mana '!AL29</f>
        <v>-42196.161509436999</v>
      </c>
      <c r="AL25" s="268">
        <f ca="1">'Mana '!AM29</f>
        <v>-42196.161509436992</v>
      </c>
      <c r="AM25" s="268">
        <f ca="1">'Mana '!AN29</f>
        <v>-42196.161509436992</v>
      </c>
      <c r="AN25" s="268">
        <f ca="1">'Mana '!AO29</f>
        <v>-42196.161509436992</v>
      </c>
      <c r="AO25" s="268"/>
    </row>
    <row r="26" spans="2:41" hidden="1" outlineLevel="1">
      <c r="B26" s="301" t="s">
        <v>376</v>
      </c>
      <c r="C26" s="305">
        <v>0</v>
      </c>
      <c r="D26" s="168">
        <f ca="1">SUM(OFFSET($M26,,(COLUMNS($D26:D26)-1)*4,,4))</f>
        <v>0</v>
      </c>
      <c r="E26" s="168">
        <f ca="1">SUM(OFFSET($M26,,(COLUMNS($D26:E26)-1)*4,,4))</f>
        <v>0</v>
      </c>
      <c r="F26" s="168">
        <f ca="1">SUM(OFFSET($M26,,(COLUMNS($D26:F26)-1)*4,,4))</f>
        <v>-178649.83466534433</v>
      </c>
      <c r="G26" s="168">
        <f ca="1">SUM(OFFSET($M26,,(COLUMNS($D26:G26)-1)*4,,4))</f>
        <v>-254791.62508095655</v>
      </c>
      <c r="H26" s="168">
        <f ca="1">SUM(OFFSET($M26,,(COLUMNS($D26:H26)-1)*4,,4))</f>
        <v>-247163.13331206568</v>
      </c>
      <c r="I26" s="168">
        <f ca="1">SUM(OFFSET($M26,,(COLUMNS($D26:I26)-1)*4,,4))</f>
        <v>-234957.54648184025</v>
      </c>
      <c r="J26" s="168">
        <f ca="1">SUM(OFFSET($M26,,(COLUMNS($D26:J26)-1)*4,,4))</f>
        <v>-225803.35635917113</v>
      </c>
      <c r="M26" s="268">
        <v>0</v>
      </c>
      <c r="N26" s="268">
        <v>0</v>
      </c>
      <c r="O26" s="268">
        <v>0</v>
      </c>
      <c r="P26" s="268">
        <v>0</v>
      </c>
      <c r="Q26" s="268">
        <v>0</v>
      </c>
      <c r="R26" s="268">
        <v>0</v>
      </c>
      <c r="S26" s="268">
        <v>0</v>
      </c>
      <c r="T26" s="268">
        <v>0</v>
      </c>
      <c r="U26" s="268">
        <f>Sabodala!U29</f>
        <v>-37144</v>
      </c>
      <c r="V26" s="268">
        <f>Sabodala!V29</f>
        <v>-57186</v>
      </c>
      <c r="W26" s="268">
        <f>Sabodala!W29</f>
        <v>-49431</v>
      </c>
      <c r="X26" s="268">
        <f>Sabodala!X29</f>
        <v>-34888.834665344344</v>
      </c>
      <c r="Y26" s="268">
        <f ca="1">Sabodala!Y29</f>
        <v>-62553.632504905509</v>
      </c>
      <c r="Z26" s="268">
        <f ca="1">Sabodala!Z29</f>
        <v>-64079.330858683694</v>
      </c>
      <c r="AA26" s="268">
        <f ca="1">Sabodala!AA29</f>
        <v>-64079.330858683694</v>
      </c>
      <c r="AB26" s="268">
        <f ca="1">Sabodala!AB29</f>
        <v>-64079.330858683694</v>
      </c>
      <c r="AC26" s="268">
        <f ca="1">Sabodala!AC29</f>
        <v>-62553.632504905509</v>
      </c>
      <c r="AD26" s="268">
        <f ca="1">Sabodala!AD29</f>
        <v>-62553.632504905509</v>
      </c>
      <c r="AE26" s="268">
        <f ca="1">Sabodala!AE29</f>
        <v>-61027.934151127338</v>
      </c>
      <c r="AF26" s="268">
        <f ca="1">Sabodala!AF29</f>
        <v>-61027.934151127323</v>
      </c>
      <c r="AG26" s="268">
        <f ca="1">Sabodala!AG29</f>
        <v>-59502.235797349145</v>
      </c>
      <c r="AH26" s="268">
        <f ca="1">Sabodala!AH29</f>
        <v>-59502.23579734916</v>
      </c>
      <c r="AI26" s="268">
        <f ca="1">Sabodala!AI29</f>
        <v>-57976.537443570975</v>
      </c>
      <c r="AJ26" s="268">
        <f ca="1">Sabodala!AJ29</f>
        <v>-57976.53744357096</v>
      </c>
      <c r="AK26" s="268">
        <f ca="1">Sabodala!AK29</f>
        <v>-56450.839089792782</v>
      </c>
      <c r="AL26" s="268">
        <f ca="1">Sabodala!AL29</f>
        <v>-56450.839089792782</v>
      </c>
      <c r="AM26" s="268">
        <f ca="1">Sabodala!AM29</f>
        <v>-56450.839089792775</v>
      </c>
      <c r="AN26" s="268">
        <f ca="1">Sabodala!AN29</f>
        <v>-56450.839089792782</v>
      </c>
      <c r="AO26" s="268"/>
    </row>
    <row r="27" spans="2:41" hidden="1" outlineLevel="1">
      <c r="B27" s="301" t="s">
        <v>385</v>
      </c>
      <c r="C27" s="305">
        <v>0</v>
      </c>
      <c r="D27" s="168">
        <f ca="1">SUM(OFFSET($M27,,(COLUMNS($D27:D27)-1)*4,,4))</f>
        <v>0</v>
      </c>
      <c r="E27" s="168">
        <f ca="1">SUM(OFFSET($M27,,(COLUMNS($D27:E27)-1)*4,,4))</f>
        <v>0</v>
      </c>
      <c r="F27" s="168">
        <f ca="1">SUM(OFFSET($M27,,(COLUMNS($D27:F27)-1)*4,,4))</f>
        <v>-118437.12185680951</v>
      </c>
      <c r="G27" s="168">
        <f ca="1">SUM(OFFSET($M27,,(COLUMNS($D27:G27)-1)*4,,4))</f>
        <v>-92095.023408582405</v>
      </c>
      <c r="H27" s="168">
        <f ca="1">SUM(OFFSET($M27,,(COLUMNS($D27:H27)-1)*4,,4))</f>
        <v>-89337.687378385337</v>
      </c>
      <c r="I27" s="168">
        <f ca="1">SUM(OFFSET($M27,,(COLUMNS($D27:I27)-1)*4,,4))</f>
        <v>-84925.949730069988</v>
      </c>
      <c r="J27" s="168">
        <f ca="1">SUM(OFFSET($M27,,(COLUMNS($D27:J27)-1)*4,,4))</f>
        <v>-81617.146493833498</v>
      </c>
      <c r="M27" s="268">
        <v>0</v>
      </c>
      <c r="N27" s="268">
        <v>0</v>
      </c>
      <c r="O27" s="268">
        <v>0</v>
      </c>
      <c r="P27" s="268">
        <v>0</v>
      </c>
      <c r="Q27" s="268">
        <v>0</v>
      </c>
      <c r="R27" s="268">
        <v>0</v>
      </c>
      <c r="S27" s="268">
        <v>0</v>
      </c>
      <c r="T27" s="268">
        <v>0</v>
      </c>
      <c r="U27" s="268">
        <f>Wahgnion!T29</f>
        <v>-26240</v>
      </c>
      <c r="V27" s="268">
        <f>Wahgnion!U29</f>
        <v>-39952</v>
      </c>
      <c r="W27" s="268">
        <f>Wahgnion!V29</f>
        <v>-32089</v>
      </c>
      <c r="X27" s="268">
        <f>Wahgnion!W29</f>
        <v>-20156.121856809506</v>
      </c>
      <c r="Y27" s="268">
        <f ca="1">Wahgnion!X29</f>
        <v>-22610.155447616038</v>
      </c>
      <c r="Z27" s="268">
        <f ca="1">Wahgnion!Y29</f>
        <v>-23161.622653655453</v>
      </c>
      <c r="AA27" s="268">
        <f ca="1">Wahgnion!Z29</f>
        <v>-23161.622653655453</v>
      </c>
      <c r="AB27" s="268">
        <f ca="1">Wahgnion!AA29</f>
        <v>-23161.622653655453</v>
      </c>
      <c r="AC27" s="268">
        <f ca="1">Wahgnion!AB29</f>
        <v>-22610.155447616038</v>
      </c>
      <c r="AD27" s="268">
        <f ca="1">Wahgnion!AC29</f>
        <v>-22610.155447616035</v>
      </c>
      <c r="AE27" s="268">
        <f ca="1">Wahgnion!AD29</f>
        <v>-22058.688241576623</v>
      </c>
      <c r="AF27" s="268">
        <f ca="1">Wahgnion!AE29</f>
        <v>-22058.688241576623</v>
      </c>
      <c r="AG27" s="268">
        <f ca="1">Wahgnion!AF29</f>
        <v>-21507.221035537208</v>
      </c>
      <c r="AH27" s="268">
        <f ca="1">Wahgnion!AG29</f>
        <v>-21507.221035537208</v>
      </c>
      <c r="AI27" s="268">
        <f ca="1">Wahgnion!AH29</f>
        <v>-20955.753829497789</v>
      </c>
      <c r="AJ27" s="268">
        <f ca="1">Wahgnion!AI29</f>
        <v>-20955.753829497789</v>
      </c>
      <c r="AK27" s="268">
        <f ca="1">Wahgnion!AJ29</f>
        <v>-20404.286623458374</v>
      </c>
      <c r="AL27" s="268">
        <f ca="1">Wahgnion!AK29</f>
        <v>-20404.286623458371</v>
      </c>
      <c r="AM27" s="268">
        <f ca="1">Wahgnion!AL29</f>
        <v>-20404.286623458374</v>
      </c>
      <c r="AN27" s="268">
        <f ca="1">Wahgnion!AM29</f>
        <v>-20404.286623458374</v>
      </c>
      <c r="AO27" s="268"/>
    </row>
    <row r="28" spans="2:41" hidden="1" outlineLevel="1">
      <c r="B28" s="302" t="s">
        <v>269</v>
      </c>
      <c r="C28" s="305">
        <v>-97875</v>
      </c>
      <c r="D28" s="168">
        <f ca="1">SUM(OFFSET($M28,,(COLUMNS($D28:D28)-1)*4,,4))</f>
        <v>-83969</v>
      </c>
      <c r="E28" s="168">
        <f ca="1">SUM(OFFSET($M28,,(COLUMNS($D28:E28)-1)*4,,4))</f>
        <v>-110194</v>
      </c>
      <c r="F28" s="168">
        <f ca="1">SUM(OFFSET($M28,,(COLUMNS($D28:F28)-1)*4,,4))</f>
        <v>0</v>
      </c>
      <c r="G28" s="168">
        <f ca="1">SUM(OFFSET($M28,,(COLUMNS($D28:G28)-1)*4,,4))</f>
        <v>0</v>
      </c>
      <c r="H28" s="168">
        <f ca="1">SUM(OFFSET($M28,,(COLUMNS($D28:H28)-1)*4,,4))</f>
        <v>0</v>
      </c>
      <c r="I28" s="168">
        <f ca="1">SUM(OFFSET($M28,,(COLUMNS($D28:I28)-1)*4,,4))</f>
        <v>0</v>
      </c>
      <c r="J28" s="168">
        <f ca="1">SUM(OFFSET($M28,,(COLUMNS($D28:J28)-1)*4,,4))</f>
        <v>0</v>
      </c>
      <c r="M28" s="268">
        <v>-17435</v>
      </c>
      <c r="N28" s="268">
        <v>-22891</v>
      </c>
      <c r="O28" s="268">
        <v>-20712</v>
      </c>
      <c r="P28" s="268">
        <v>-22931</v>
      </c>
      <c r="Q28" s="268">
        <v>-43581</v>
      </c>
      <c r="R28" s="268">
        <v>-20080</v>
      </c>
      <c r="S28" s="268">
        <v>-22210</v>
      </c>
      <c r="T28" s="268">
        <v>-24323</v>
      </c>
      <c r="U28" s="268">
        <v>0</v>
      </c>
      <c r="V28" s="268">
        <v>0</v>
      </c>
      <c r="W28" s="268">
        <v>0</v>
      </c>
      <c r="X28" s="268">
        <v>0</v>
      </c>
      <c r="Y28" s="268">
        <v>0</v>
      </c>
      <c r="Z28" s="268">
        <v>0</v>
      </c>
      <c r="AA28" s="268">
        <v>0</v>
      </c>
      <c r="AB28" s="268">
        <v>0</v>
      </c>
      <c r="AC28" s="268">
        <v>0</v>
      </c>
      <c r="AD28" s="268">
        <v>0</v>
      </c>
      <c r="AE28" s="268">
        <v>0</v>
      </c>
      <c r="AF28" s="268">
        <v>0</v>
      </c>
      <c r="AG28" s="268">
        <v>0</v>
      </c>
      <c r="AH28" s="268">
        <v>0</v>
      </c>
      <c r="AI28" s="268">
        <v>0</v>
      </c>
      <c r="AJ28" s="268">
        <v>0</v>
      </c>
      <c r="AK28" s="268">
        <v>0</v>
      </c>
      <c r="AL28" s="268">
        <v>0</v>
      </c>
      <c r="AM28" s="268">
        <v>0</v>
      </c>
      <c r="AN28" s="268">
        <v>0</v>
      </c>
      <c r="AO28" s="268"/>
    </row>
    <row r="29" spans="2:41" hidden="1" outlineLevel="1">
      <c r="B29" s="301" t="s">
        <v>272</v>
      </c>
      <c r="C29" s="305">
        <v>-58051</v>
      </c>
      <c r="D29" s="305">
        <v>0</v>
      </c>
      <c r="E29" s="305">
        <v>0</v>
      </c>
      <c r="F29" s="305">
        <v>0</v>
      </c>
      <c r="G29" s="305">
        <v>0</v>
      </c>
      <c r="H29" s="305">
        <v>0</v>
      </c>
      <c r="I29" s="305">
        <v>0</v>
      </c>
      <c r="J29" s="305">
        <v>0</v>
      </c>
      <c r="M29" s="268"/>
      <c r="N29" s="268">
        <v>0</v>
      </c>
      <c r="O29" s="268">
        <v>0</v>
      </c>
      <c r="P29" s="268">
        <v>0</v>
      </c>
      <c r="Q29" s="268">
        <v>0</v>
      </c>
      <c r="R29" s="268">
        <v>0</v>
      </c>
      <c r="S29" s="268">
        <v>0</v>
      </c>
      <c r="T29" s="268">
        <v>0</v>
      </c>
      <c r="U29" s="268">
        <v>0</v>
      </c>
      <c r="V29" s="268">
        <v>0</v>
      </c>
      <c r="W29" s="268">
        <v>0</v>
      </c>
      <c r="X29" s="268">
        <v>0</v>
      </c>
      <c r="Y29" s="268">
        <v>0</v>
      </c>
      <c r="Z29" s="268">
        <v>0</v>
      </c>
      <c r="AA29" s="268">
        <v>0</v>
      </c>
      <c r="AB29" s="268">
        <v>0</v>
      </c>
      <c r="AC29" s="268">
        <v>0</v>
      </c>
      <c r="AD29" s="268">
        <v>0</v>
      </c>
      <c r="AE29" s="268">
        <v>0</v>
      </c>
      <c r="AF29" s="268">
        <v>0</v>
      </c>
      <c r="AG29" s="268">
        <v>0</v>
      </c>
      <c r="AH29" s="268">
        <v>0</v>
      </c>
      <c r="AI29" s="268">
        <v>0</v>
      </c>
      <c r="AJ29" s="268">
        <v>0</v>
      </c>
      <c r="AK29" s="268">
        <v>0</v>
      </c>
      <c r="AL29" s="268">
        <v>0</v>
      </c>
      <c r="AM29" s="268">
        <v>0</v>
      </c>
      <c r="AN29" s="268">
        <v>0</v>
      </c>
      <c r="AO29" s="268"/>
    </row>
    <row r="30" spans="2:41" hidden="1" outlineLevel="1">
      <c r="B30" s="301" t="s">
        <v>270</v>
      </c>
      <c r="C30" s="305">
        <v>0</v>
      </c>
      <c r="D30" s="305">
        <v>0</v>
      </c>
      <c r="E30" s="305">
        <v>0</v>
      </c>
      <c r="F30" s="305">
        <v>0</v>
      </c>
      <c r="G30" s="305">
        <v>0</v>
      </c>
      <c r="H30" s="305">
        <v>0</v>
      </c>
      <c r="I30" s="305">
        <v>0</v>
      </c>
      <c r="J30" s="305">
        <v>0</v>
      </c>
      <c r="M30" s="268">
        <v>0</v>
      </c>
      <c r="N30" s="268">
        <v>0</v>
      </c>
      <c r="O30" s="268">
        <v>0</v>
      </c>
      <c r="P30" s="268">
        <v>0</v>
      </c>
      <c r="Q30" s="268">
        <v>0</v>
      </c>
      <c r="R30" s="268">
        <v>0</v>
      </c>
      <c r="S30" s="268">
        <v>0</v>
      </c>
      <c r="T30" s="268">
        <v>0</v>
      </c>
      <c r="U30" s="268">
        <v>0</v>
      </c>
      <c r="V30" s="268">
        <v>0</v>
      </c>
      <c r="W30" s="268">
        <v>0</v>
      </c>
      <c r="X30" s="268">
        <v>0</v>
      </c>
      <c r="Y30" s="268">
        <v>0</v>
      </c>
      <c r="Z30" s="268">
        <v>0</v>
      </c>
      <c r="AA30" s="268">
        <v>0</v>
      </c>
      <c r="AB30" s="268">
        <v>0</v>
      </c>
      <c r="AC30" s="268">
        <v>0</v>
      </c>
      <c r="AD30" s="268">
        <v>0</v>
      </c>
      <c r="AE30" s="268">
        <v>0</v>
      </c>
      <c r="AF30" s="268">
        <v>0</v>
      </c>
      <c r="AG30" s="268">
        <v>0</v>
      </c>
      <c r="AH30" s="268">
        <v>0</v>
      </c>
      <c r="AI30" s="268">
        <v>0</v>
      </c>
      <c r="AJ30" s="268">
        <v>0</v>
      </c>
      <c r="AK30" s="268">
        <v>0</v>
      </c>
      <c r="AL30" s="268">
        <v>0</v>
      </c>
      <c r="AM30" s="268">
        <v>0</v>
      </c>
      <c r="AN30" s="268">
        <v>0</v>
      </c>
      <c r="AO30" s="268"/>
    </row>
    <row r="31" spans="2:41" collapsed="1">
      <c r="B31" s="243" t="s">
        <v>162</v>
      </c>
      <c r="C31" s="268">
        <f>SUM(C21:C30)</f>
        <v>-386856</v>
      </c>
      <c r="D31" s="268">
        <f ca="1">SUM(D21:D28)</f>
        <v>-429786</v>
      </c>
      <c r="E31" s="268">
        <f t="shared" ref="E31:J31" ca="1" si="5">SUM(E21:E29)</f>
        <v>-677351</v>
      </c>
      <c r="F31" s="268">
        <f t="shared" ca="1" si="5"/>
        <v>-1029953.4948525492</v>
      </c>
      <c r="G31" s="268">
        <f t="shared" ca="1" si="5"/>
        <v>-1126554.1916154576</v>
      </c>
      <c r="H31" s="268">
        <f t="shared" ca="1" si="5"/>
        <v>-1079406.9007021317</v>
      </c>
      <c r="I31" s="268">
        <f t="shared" ca="1" si="5"/>
        <v>-901947.70937273547</v>
      </c>
      <c r="J31" s="268">
        <f t="shared" ca="1" si="5"/>
        <v>-842258.3164965912</v>
      </c>
      <c r="M31" s="268">
        <f>SUM(M21:M30)</f>
        <v>-79854</v>
      </c>
      <c r="N31" s="268">
        <f t="shared" ref="N31:X31" si="6">SUM(N21:N30)</f>
        <v>-103318</v>
      </c>
      <c r="O31" s="268">
        <f t="shared" si="6"/>
        <v>-114599</v>
      </c>
      <c r="P31" s="268">
        <f t="shared" si="6"/>
        <v>-132015</v>
      </c>
      <c r="Q31" s="268">
        <f>SUM(Q21:Q30)</f>
        <v>-139673</v>
      </c>
      <c r="R31" s="268">
        <f>SUM(R21:R30)</f>
        <v>-101382</v>
      </c>
      <c r="S31" s="268">
        <f t="shared" si="6"/>
        <v>-208708</v>
      </c>
      <c r="T31" s="268">
        <f t="shared" si="6"/>
        <v>-227588</v>
      </c>
      <c r="U31" s="268">
        <f t="shared" si="6"/>
        <v>-254416</v>
      </c>
      <c r="V31" s="268">
        <f t="shared" si="6"/>
        <v>-282015</v>
      </c>
      <c r="W31" s="268">
        <f t="shared" si="6"/>
        <v>-260597</v>
      </c>
      <c r="X31" s="268">
        <f t="shared" si="6"/>
        <v>-232925.49485254919</v>
      </c>
      <c r="Y31" s="268">
        <f t="shared" ref="Y31:AN31" ca="1" si="7">SUM(Y21:Y30)</f>
        <v>-279592.36716649821</v>
      </c>
      <c r="Z31" s="268">
        <f t="shared" ca="1" si="7"/>
        <v>-288721.57729251037</v>
      </c>
      <c r="AA31" s="268">
        <f t="shared" ca="1" si="7"/>
        <v>-279120.12357822462</v>
      </c>
      <c r="AB31" s="268">
        <f t="shared" ca="1" si="7"/>
        <v>-279120.12357822462</v>
      </c>
      <c r="AC31" s="268">
        <f t="shared" ca="1" si="7"/>
        <v>-273183.22795547778</v>
      </c>
      <c r="AD31" s="268">
        <f t="shared" ca="1" si="7"/>
        <v>-273183.22795547772</v>
      </c>
      <c r="AE31" s="268">
        <f t="shared" ca="1" si="7"/>
        <v>-266520.22239558806</v>
      </c>
      <c r="AF31" s="268">
        <f t="shared" ca="1" si="7"/>
        <v>-266520.222395588</v>
      </c>
      <c r="AG31" s="268">
        <f t="shared" ca="1" si="7"/>
        <v>-228415.32899699145</v>
      </c>
      <c r="AH31" s="268">
        <f t="shared" ca="1" si="7"/>
        <v>-228415.32899699145</v>
      </c>
      <c r="AI31" s="268">
        <f t="shared" ca="1" si="7"/>
        <v>-222558.52568937626</v>
      </c>
      <c r="AJ31" s="268">
        <f t="shared" ca="1" si="7"/>
        <v>-222558.52568937629</v>
      </c>
      <c r="AK31" s="268">
        <f t="shared" ca="1" si="7"/>
        <v>-210564.57912414783</v>
      </c>
      <c r="AL31" s="268">
        <f t="shared" ca="1" si="7"/>
        <v>-210564.57912414783</v>
      </c>
      <c r="AM31" s="268">
        <f t="shared" ca="1" si="7"/>
        <v>-210564.5791241478</v>
      </c>
      <c r="AN31" s="268">
        <f t="shared" ca="1" si="7"/>
        <v>-210564.57912414777</v>
      </c>
      <c r="AO31" s="268"/>
    </row>
    <row r="32" spans="2:41">
      <c r="B32" s="243" t="s">
        <v>306</v>
      </c>
      <c r="C32" s="268">
        <v>-41068</v>
      </c>
      <c r="D32" s="268">
        <f ca="1">SUM(OFFSET($M32,,(COLUMNS($D32:D32)-1)*4,,4))</f>
        <v>-48139</v>
      </c>
      <c r="E32" s="268">
        <f ca="1">SUM(OFFSET($M32,,(COLUMNS($D32:E32)-1)*4,,4))</f>
        <v>-106208</v>
      </c>
      <c r="F32" s="268">
        <f ca="1">SUM(OFFSET($M32,,(COLUMNS($D32:F32)-1)*4,,4))</f>
        <v>-158670.87762989878</v>
      </c>
      <c r="G32" s="268">
        <f ca="1">SUM(OFFSET($M32,,(COLUMNS($D32:G32)-1)*4,,4))</f>
        <v>-126454.1046728279</v>
      </c>
      <c r="H32" s="268">
        <f ca="1">SUM(OFFSET($M32,,(COLUMNS($D32:H32)-1)*4,,4))</f>
        <v>-120543.42402769203</v>
      </c>
      <c r="I32" s="268">
        <f ca="1">SUM(OFFSET($M32,,(COLUMNS($D32:I32)-1)*4,,4))</f>
        <v>-91979.54949495176</v>
      </c>
      <c r="J32" s="268">
        <f ca="1">SUM(OFFSET($M32,,(COLUMNS($D32:J32)-1)*4,,4))</f>
        <v>-84357.211507415836</v>
      </c>
      <c r="M32" s="198">
        <v>-8989</v>
      </c>
      <c r="N32" s="198">
        <v>-11032</v>
      </c>
      <c r="O32" s="198">
        <v>-14480</v>
      </c>
      <c r="P32" s="198">
        <v>-13638</v>
      </c>
      <c r="Q32" s="198">
        <v>-17452</v>
      </c>
      <c r="R32" s="198">
        <v>-17771</v>
      </c>
      <c r="S32" s="198">
        <v>-32713</v>
      </c>
      <c r="T32" s="198">
        <v>-38272</v>
      </c>
      <c r="U32" s="198">
        <v>-44366</v>
      </c>
      <c r="V32" s="198">
        <v>-43908</v>
      </c>
      <c r="W32" s="198">
        <v>-42509</v>
      </c>
      <c r="X32" s="198">
        <f>'Karma '!Y33+'Hounde '!AE33+'Ity '!AD33+'Boungou '!X33+'Mana '!Y33</f>
        <v>-27887.87762989879</v>
      </c>
      <c r="Y32" s="198">
        <f ca="1">'Karma '!Z33+'Hounde '!AF33+'Ity '!AE33+'Boungou '!Y33+'Mana '!Z33</f>
        <v>-31780.575263936131</v>
      </c>
      <c r="Z32" s="198">
        <f ca="1">'Karma '!AA33+'Hounde '!AG33+'Ity '!AF33+'Boungou '!Z33+'Mana '!AA33</f>
        <v>-32383.363489307325</v>
      </c>
      <c r="AA32" s="198">
        <f ca="1">'Karma '!AB33+'Hounde '!AH33+'Ity '!AG33+'Boungou '!AA33+'Mana '!AB33</f>
        <v>-31145.082959792227</v>
      </c>
      <c r="AB32" s="198">
        <f ca="1">'Karma '!AC33+'Hounde '!AI33+'Ity '!AH33+'Boungou '!AB33+'Mana '!AC33</f>
        <v>-31145.082959792231</v>
      </c>
      <c r="AC32" s="198">
        <f ca="1">'Karma '!AD33+'Hounde '!AJ33+'Ity '!AI33+'Boungou '!AC33+'Mana '!AD33</f>
        <v>-30507.903611946756</v>
      </c>
      <c r="AD32" s="198">
        <f ca="1">'Karma '!AE33+'Hounde '!AK33+'Ity '!AJ33+'Boungou '!AD33+'Mana '!AE33</f>
        <v>-30507.903611946749</v>
      </c>
      <c r="AE32" s="198">
        <f ca="1">'Karma '!AF33+'Hounde '!AL33+'Ity '!AK33+'Boungou '!AE33+'Mana '!AF33</f>
        <v>-29763.808401899267</v>
      </c>
      <c r="AF32" s="198">
        <f ca="1">'Karma '!AG33+'Hounde '!AM33+'Ity '!AL33+'Boungou '!AF33+'Mana '!AG33</f>
        <v>-29763.808401899259</v>
      </c>
      <c r="AG32" s="198">
        <f ca="1">'Hounde '!AN33+'Ity '!AM33+'Boungou '!AG33+'Mana '!AH33</f>
        <v>-23437.937147536151</v>
      </c>
      <c r="AH32" s="198">
        <f ca="1">'Hounde '!AO33+'Ity '!AN33+'Boungou '!AH33+'Mana '!AI33</f>
        <v>-23437.937147536148</v>
      </c>
      <c r="AI32" s="198">
        <f ca="1">'Hounde '!AP33+'Ity '!AO33+'Boungou '!AI33+'Mana '!AJ33</f>
        <v>-22551.837599939732</v>
      </c>
      <c r="AJ32" s="198">
        <f ca="1">'Hounde '!AQ33+'Ity '!AP33+'Boungou '!AJ33+'Mana '!AK33</f>
        <v>-22551.837599939732</v>
      </c>
      <c r="AK32" s="198">
        <f ca="1">'Hounde '!AR33+'Ity '!AQ33+'Boungou '!AK33+'Mana '!AL33</f>
        <v>-21089.302876853963</v>
      </c>
      <c r="AL32" s="198">
        <f ca="1">'Hounde '!AS33+'Ity '!AR33+'Boungou '!AL33+'Mana '!AM33</f>
        <v>-21089.302876853963</v>
      </c>
      <c r="AM32" s="198">
        <f ca="1">'Hounde '!AT33+'Ity '!AS33+'Boungou '!AM33+'Mana '!AN33</f>
        <v>-21089.302876853959</v>
      </c>
      <c r="AN32" s="198">
        <f ca="1">'Hounde '!AU33+'Ity '!AT33+'Boungou '!AN33+'Mana '!AO33</f>
        <v>-21089.302876853959</v>
      </c>
      <c r="AO32" s="198"/>
    </row>
    <row r="33" spans="2:42">
      <c r="B33" s="243" t="s">
        <v>338</v>
      </c>
      <c r="C33" s="268">
        <f>'Balance Sheet'!C57</f>
        <v>-169069</v>
      </c>
      <c r="D33" s="268">
        <f>'Balance Sheet'!D57</f>
        <v>-197219</v>
      </c>
      <c r="E33" s="268">
        <f>'Balance Sheet'!E57</f>
        <v>-260562</v>
      </c>
      <c r="F33" s="268">
        <f>'Balance Sheet'!F57</f>
        <v>-553407.43318522058</v>
      </c>
      <c r="G33" s="268">
        <f>'Balance Sheet'!G57</f>
        <v>-578252.2457434875</v>
      </c>
      <c r="H33" s="268">
        <f>'Balance Sheet'!H57</f>
        <v>-540181.93935165543</v>
      </c>
      <c r="I33" s="268">
        <f>'Balance Sheet'!I57</f>
        <v>-491158.24083372962</v>
      </c>
      <c r="J33" s="268">
        <f>'Balance Sheet'!J57</f>
        <v>-480730.83331909461</v>
      </c>
      <c r="M33" s="198">
        <v>-36132</v>
      </c>
      <c r="N33" s="198">
        <v>-51970</v>
      </c>
      <c r="O33" s="198">
        <v>-54509</v>
      </c>
      <c r="P33" s="198">
        <v>-54608</v>
      </c>
      <c r="Q33" s="198">
        <v>-52529</v>
      </c>
      <c r="R33" s="198">
        <v>-43760</v>
      </c>
      <c r="S33" s="198">
        <v>-134795</v>
      </c>
      <c r="T33" s="198">
        <v>-91224</v>
      </c>
      <c r="U33" s="198">
        <v>-122611</v>
      </c>
      <c r="V33" s="198">
        <v>-158382</v>
      </c>
      <c r="W33" s="198">
        <v>-156614</v>
      </c>
      <c r="X33" s="198">
        <f>'Boungou '!U36+'Mana '!V36+'Ity '!AA36+'Karma '!V36+'Hounde '!AB36+Sabodala!U36+Wahgnion!T36</f>
        <v>-119654</v>
      </c>
      <c r="Y33" s="198">
        <f>'Boungou '!V36+'Mana '!W36+'Ity '!AB36+'Karma '!W36+'Hounde '!AC36+Sabodala!V36+Wahgnion!U36</f>
        <v>-155312</v>
      </c>
      <c r="Z33" s="198">
        <f>'Boungou '!W36+'Mana '!X36+'Ity '!AC36+'Karma '!X36+'Hounde '!AD36+Sabodala!W36+Wahgnion!V36</f>
        <v>-153126</v>
      </c>
      <c r="AA33" s="198">
        <f>'Boungou '!X36+'Mana '!Y36+'Ity '!AD36+'Karma '!Y36+'Hounde '!AE36+Sabodala!X36+Wahgnion!W36</f>
        <v>-125315.43318522058</v>
      </c>
      <c r="AB33" s="198">
        <f>'Boungou '!Y36+'Mana '!Z36+'Ity '!AE36+'Karma '!Z36+'Hounde '!AF36+Sabodala!Y36+Wahgnion!X36</f>
        <v>-144498.81255826689</v>
      </c>
      <c r="AC33" s="198">
        <f>'Boungou '!Z36+'Mana '!AA36+'Ity '!AF36+'Karma '!AA36+'Hounde '!AG36+Sabodala!Z36+Wahgnion!Y36</f>
        <v>-142762.33059750148</v>
      </c>
      <c r="AD33" s="198">
        <f>'Boungou '!AA36+'Mana '!AB36+'Ity '!AG36+'Karma '!AB36+'Hounde '!AH36+Sabodala!AA36+Wahgnion!Z36</f>
        <v>-132298.10765367415</v>
      </c>
      <c r="AE33" s="198">
        <f>'Boungou '!AB36+'Mana '!AC36+'Ity '!AH36+'Karma '!AC36+'Hounde '!AI36+Sabodala!AB36+Wahgnion!AA36</f>
        <v>-132298.10765367415</v>
      </c>
      <c r="AF33" s="198">
        <f>'Boungou '!AC36+'Mana '!AD36+'Ity '!AI36+'Karma '!AD36+'Hounde '!AJ36+Sabodala!AC36+Wahgnion!AB36</f>
        <v>-132823.39344680568</v>
      </c>
      <c r="AG33" s="198">
        <f>'Boungou '!AD36+'Mana '!AE36+'Ity '!AJ36+'Hounde '!AK36+Sabodala!AD36+Wahgnion!AC36</f>
        <v>-123441.27317809708</v>
      </c>
      <c r="AH33" s="198">
        <f>'Boungou '!AE36+'Mana '!AF36+'Ity '!AK36+'Hounde '!AL36+Sabodala!AE36+Wahgnion!AD36</f>
        <v>-123441.27317809709</v>
      </c>
      <c r="AI33" s="198">
        <f>'Boungou '!AF36+'Mana '!AG36+'Ity '!AL36+'Hounde '!AM36+Sabodala!AF36+Wahgnion!AE36</f>
        <v>-123441.27317809709</v>
      </c>
      <c r="AJ33" s="198">
        <f>'Boungou '!AG36+'Mana '!AH36+'Ity '!AM36+'Hounde '!AN36+Sabodala!AG36+Wahgnion!AF36</f>
        <v>-120834.42129943834</v>
      </c>
      <c r="AK33" s="198">
        <f>'Boungou '!AH36+'Mana '!AI36+'Ity '!AN36+'Hounde '!AO36+Sabodala!AH36+Wahgnion!AG36</f>
        <v>-120834.42129943834</v>
      </c>
      <c r="AL33" s="198">
        <f>'Boungou '!AI36+'Mana '!AJ36+'Ity '!AO36+'Hounde '!AP36+Sabodala!AI36+Wahgnion!AH36</f>
        <v>-120834.42129943833</v>
      </c>
      <c r="AM33" s="198">
        <f>'Boungou '!AJ36+'Mana '!AK36+'Ity '!AP36+'Hounde '!AQ36+Sabodala!AJ36+Wahgnion!AI36</f>
        <v>-120834.42129943831</v>
      </c>
      <c r="AN33" s="198">
        <f>'Boungou '!AK36+'Mana '!AL36+'Ity '!AQ36+'Hounde '!AR36+Sabodala!AK36+Wahgnion!AJ36</f>
        <v>-118227.56942077958</v>
      </c>
      <c r="AO33" s="198"/>
    </row>
    <row r="34" spans="2:42">
      <c r="B34" s="174" t="s">
        <v>305</v>
      </c>
      <c r="C34" s="268">
        <f t="shared" ref="C34:J34" si="8">SUM(C31:C33)</f>
        <v>-596993</v>
      </c>
      <c r="D34" s="268">
        <f t="shared" ca="1" si="8"/>
        <v>-675144</v>
      </c>
      <c r="E34" s="268">
        <f t="shared" ca="1" si="8"/>
        <v>-1044121</v>
      </c>
      <c r="F34" s="268">
        <f t="shared" ca="1" si="8"/>
        <v>-1742031.8056676686</v>
      </c>
      <c r="G34" s="268">
        <f t="shared" ca="1" si="8"/>
        <v>-1831260.5420317731</v>
      </c>
      <c r="H34" s="268">
        <f t="shared" ca="1" si="8"/>
        <v>-1740132.2640814791</v>
      </c>
      <c r="I34" s="268">
        <f t="shared" ca="1" si="8"/>
        <v>-1485085.4997014168</v>
      </c>
      <c r="J34" s="268">
        <f t="shared" ca="1" si="8"/>
        <v>-1407346.3613231017</v>
      </c>
      <c r="M34" s="268">
        <f>SUM(M31:M33)</f>
        <v>-124975</v>
      </c>
      <c r="N34" s="268">
        <f t="shared" ref="N34:P34" si="9">SUM(N31:N33)</f>
        <v>-166320</v>
      </c>
      <c r="O34" s="268">
        <f t="shared" si="9"/>
        <v>-183588</v>
      </c>
      <c r="P34" s="268">
        <f t="shared" si="9"/>
        <v>-200261</v>
      </c>
      <c r="Q34" s="268">
        <f t="shared" ref="Q34" si="10">SUM(Q31:Q33)</f>
        <v>-209654</v>
      </c>
      <c r="R34" s="268">
        <f t="shared" ref="R34" si="11">SUM(R31:R33)</f>
        <v>-162913</v>
      </c>
      <c r="S34" s="268">
        <f t="shared" ref="S34" si="12">SUM(S31:S33)</f>
        <v>-376216</v>
      </c>
      <c r="T34" s="268">
        <f t="shared" ref="T34" si="13">SUM(T31:T33)</f>
        <v>-357084</v>
      </c>
      <c r="U34" s="268">
        <f t="shared" ref="U34" si="14">SUM(U31:U33)</f>
        <v>-421393</v>
      </c>
      <c r="V34" s="268">
        <f t="shared" ref="V34" si="15">SUM(V31:V33)</f>
        <v>-484305</v>
      </c>
      <c r="W34" s="268">
        <f t="shared" ref="W34" si="16">SUM(W31:W33)</f>
        <v>-459720</v>
      </c>
      <c r="X34" s="268">
        <f t="shared" ref="X34" si="17">SUM(X31:X33)</f>
        <v>-380467.372482448</v>
      </c>
      <c r="Y34" s="268">
        <f t="shared" ref="Y34" ca="1" si="18">SUM(Y31:Y33)</f>
        <v>-466684.94243043434</v>
      </c>
      <c r="Z34" s="268">
        <f t="shared" ref="Z34" ca="1" si="19">SUM(Z31:Z33)</f>
        <v>-474230.94078181771</v>
      </c>
      <c r="AA34" s="268">
        <f t="shared" ref="AA34" ca="1" si="20">SUM(AA31:AA33)</f>
        <v>-435580.63972323743</v>
      </c>
      <c r="AB34" s="268">
        <f t="shared" ref="AB34" ca="1" si="21">SUM(AB31:AB33)</f>
        <v>-454764.01909628371</v>
      </c>
      <c r="AC34" s="268">
        <f t="shared" ref="AC34" ca="1" si="22">SUM(AC31:AC33)</f>
        <v>-446453.46216492599</v>
      </c>
      <c r="AD34" s="268">
        <f t="shared" ref="AD34" ca="1" si="23">SUM(AD31:AD33)</f>
        <v>-435989.2392210986</v>
      </c>
      <c r="AE34" s="268">
        <f t="shared" ref="AE34" ca="1" si="24">SUM(AE31:AE33)</f>
        <v>-428582.1384511615</v>
      </c>
      <c r="AF34" s="268">
        <f t="shared" ref="AF34" ca="1" si="25">SUM(AF31:AF33)</f>
        <v>-429107.4242442929</v>
      </c>
      <c r="AG34" s="268">
        <f t="shared" ref="AG34" ca="1" si="26">SUM(AG31:AG33)</f>
        <v>-375294.53932262468</v>
      </c>
      <c r="AH34" s="268">
        <f t="shared" ref="AH34" ca="1" si="27">SUM(AH31:AH33)</f>
        <v>-375294.53932262468</v>
      </c>
      <c r="AI34" s="268">
        <f t="shared" ref="AI34" ca="1" si="28">SUM(AI31:AI33)</f>
        <v>-368551.63646741305</v>
      </c>
      <c r="AJ34" s="268">
        <f t="shared" ref="AJ34" ca="1" si="29">SUM(AJ31:AJ33)</f>
        <v>-365944.78458875435</v>
      </c>
      <c r="AK34" s="268">
        <f t="shared" ref="AK34" ca="1" si="30">SUM(AK31:AK33)</f>
        <v>-352488.30330044014</v>
      </c>
      <c r="AL34" s="268">
        <f t="shared" ref="AL34" ca="1" si="31">SUM(AL31:AL33)</f>
        <v>-352488.30330044014</v>
      </c>
      <c r="AM34" s="268">
        <f t="shared" ref="AM34" ca="1" si="32">SUM(AM31:AM33)</f>
        <v>-352488.30330044008</v>
      </c>
      <c r="AN34" s="268">
        <f t="shared" ref="AN34" ca="1" si="33">SUM(AN31:AN33)</f>
        <v>-349881.45142178133</v>
      </c>
      <c r="AO34" s="268"/>
    </row>
    <row r="35" spans="2:42">
      <c r="B35" s="192" t="s">
        <v>339</v>
      </c>
      <c r="C35" s="307">
        <f t="shared" ref="C35:J35" si="34">C19+C34</f>
        <v>154964</v>
      </c>
      <c r="D35" s="307">
        <f t="shared" ca="1" si="34"/>
        <v>211227</v>
      </c>
      <c r="E35" s="307">
        <f t="shared" ca="1" si="34"/>
        <v>379991</v>
      </c>
      <c r="F35" s="307">
        <f t="shared" ca="1" si="34"/>
        <v>950787.40171474963</v>
      </c>
      <c r="G35" s="307">
        <f t="shared" ca="1" si="34"/>
        <v>1250573.9836136189</v>
      </c>
      <c r="H35" s="307">
        <f t="shared" ca="1" si="34"/>
        <v>1207645.687966133</v>
      </c>
      <c r="I35" s="307">
        <f t="shared" ca="1" si="34"/>
        <v>1077152.5277139049</v>
      </c>
      <c r="J35" s="307">
        <f t="shared" ca="1" si="34"/>
        <v>998012.29797341744</v>
      </c>
      <c r="M35" s="307">
        <f>M19+M34</f>
        <v>26335</v>
      </c>
      <c r="N35" s="307">
        <f>N19+N34</f>
        <v>53051</v>
      </c>
      <c r="O35" s="307">
        <f>O19+O34</f>
        <v>83704</v>
      </c>
      <c r="P35" s="307">
        <f>P19+P34</f>
        <v>48137</v>
      </c>
      <c r="Q35" s="307">
        <f t="shared" ref="Q35:AN35" si="35">Q19+Q34</f>
        <v>16667</v>
      </c>
      <c r="R35" s="307">
        <f t="shared" si="35"/>
        <v>46668</v>
      </c>
      <c r="S35" s="307">
        <f t="shared" si="35"/>
        <v>58623</v>
      </c>
      <c r="T35" s="307">
        <f t="shared" si="35"/>
        <v>196287</v>
      </c>
      <c r="U35" s="307">
        <f t="shared" si="35"/>
        <v>214399</v>
      </c>
      <c r="V35" s="307">
        <f t="shared" si="35"/>
        <v>269121</v>
      </c>
      <c r="W35" s="307">
        <f t="shared" si="35"/>
        <v>231979</v>
      </c>
      <c r="X35" s="307">
        <f t="shared" si="35"/>
        <v>231434.83489996986</v>
      </c>
      <c r="Y35" s="307">
        <f t="shared" ca="1" si="35"/>
        <v>305083.93986795918</v>
      </c>
      <c r="Z35" s="307">
        <f t="shared" ca="1" si="35"/>
        <v>310751.40030351951</v>
      </c>
      <c r="AA35" s="307">
        <f t="shared" ca="1" si="35"/>
        <v>326961.01140759309</v>
      </c>
      <c r="AB35" s="307">
        <f t="shared" ca="1" si="35"/>
        <v>307777.63203454681</v>
      </c>
      <c r="AC35" s="307">
        <f t="shared" ca="1" si="35"/>
        <v>299589.10594588937</v>
      </c>
      <c r="AD35" s="307">
        <f t="shared" ca="1" si="35"/>
        <v>310053.32888971677</v>
      </c>
      <c r="AE35" s="307">
        <f t="shared" ca="1" si="35"/>
        <v>299264.26946182904</v>
      </c>
      <c r="AF35" s="307">
        <f t="shared" ca="1" si="35"/>
        <v>298738.98366869765</v>
      </c>
      <c r="AG35" s="307">
        <f t="shared" ca="1" si="35"/>
        <v>273583.92216567101</v>
      </c>
      <c r="AH35" s="307">
        <f t="shared" ca="1" si="35"/>
        <v>273583.92216567113</v>
      </c>
      <c r="AI35" s="307">
        <f t="shared" ca="1" si="35"/>
        <v>263688.9157519521</v>
      </c>
      <c r="AJ35" s="307">
        <f t="shared" ca="1" si="35"/>
        <v>266295.76763061079</v>
      </c>
      <c r="AK35" s="307">
        <f t="shared" ca="1" si="35"/>
        <v>248851.36152368964</v>
      </c>
      <c r="AL35" s="307">
        <f t="shared" ca="1" si="35"/>
        <v>248851.36152368964</v>
      </c>
      <c r="AM35" s="307">
        <f t="shared" ca="1" si="35"/>
        <v>248851.3615236897</v>
      </c>
      <c r="AN35" s="307">
        <f t="shared" ca="1" si="35"/>
        <v>251458.21340234834</v>
      </c>
      <c r="AO35" s="307"/>
    </row>
    <row r="36" spans="2:42">
      <c r="B36" s="243" t="s">
        <v>340</v>
      </c>
      <c r="C36" s="268">
        <v>-26573</v>
      </c>
      <c r="D36" s="268">
        <f ca="1">SUM(OFFSET($M36,,(COLUMNS($D36:D36)-1)*4,,4))</f>
        <v>-20620</v>
      </c>
      <c r="E36" s="268">
        <f ca="1">SUM(OFFSET($M36,,(COLUMNS($D36:E36)-1)*4,,4))</f>
        <v>-23747</v>
      </c>
      <c r="F36" s="268">
        <f ca="1">SUM(OFFSET($M36,,(COLUMNS($D36:F36)-1)*4,,4))</f>
        <v>-51527.044147648354</v>
      </c>
      <c r="G36" s="268">
        <f ca="1">SUM(OFFSET($M36,,(COLUMNS($D36:G36)-1)*4,,4))</f>
        <v>-61636.690512907837</v>
      </c>
      <c r="H36" s="268">
        <f ca="1">SUM(OFFSET($M36,,(COLUMNS($D36:H36)-1)*4,,4))</f>
        <v>-58955.559040952241</v>
      </c>
      <c r="I36" s="268">
        <f ca="1">SUM(OFFSET($M36,,(COLUMNS($D36:I36)-1)*4,,4))</f>
        <v>-51244.760548306433</v>
      </c>
      <c r="J36" s="268">
        <f ca="1">SUM(OFFSET($M36,,(COLUMNS($D36:J36)-1)*4,,4))</f>
        <v>-48107.173185930384</v>
      </c>
      <c r="M36" s="268">
        <v>-6061</v>
      </c>
      <c r="N36" s="268">
        <v>-5143</v>
      </c>
      <c r="O36" s="268">
        <v>-6166</v>
      </c>
      <c r="P36" s="268">
        <v>-3250</v>
      </c>
      <c r="Q36" s="268">
        <v>-5231</v>
      </c>
      <c r="R36" s="268">
        <v>-5049</v>
      </c>
      <c r="S36" s="268">
        <v>-5101</v>
      </c>
      <c r="T36" s="268">
        <v>-8366</v>
      </c>
      <c r="U36" s="268">
        <v>-11409</v>
      </c>
      <c r="V36" s="268">
        <v>-15890</v>
      </c>
      <c r="W36" s="268">
        <v>-11990</v>
      </c>
      <c r="X36" s="268">
        <f>-X19*X63</f>
        <v>-12238.044147648357</v>
      </c>
      <c r="Y36" s="268">
        <f t="shared" ref="Y36:AN36" ca="1" si="36">-Y19*Y63</f>
        <v>-15435.37764596787</v>
      </c>
      <c r="Z36" s="268">
        <f t="shared" ca="1" si="36"/>
        <v>-15699.646821706745</v>
      </c>
      <c r="AA36" s="268">
        <f t="shared" ca="1" si="36"/>
        <v>-15250.833022616611</v>
      </c>
      <c r="AB36" s="268">
        <f t="shared" ca="1" si="36"/>
        <v>-15250.833022616611</v>
      </c>
      <c r="AC36" s="268">
        <f t="shared" ca="1" si="36"/>
        <v>-14920.851362216308</v>
      </c>
      <c r="AD36" s="268">
        <f t="shared" ca="1" si="36"/>
        <v>-14920.851362216308</v>
      </c>
      <c r="AE36" s="268">
        <f t="shared" ca="1" si="36"/>
        <v>-14556.928158259811</v>
      </c>
      <c r="AF36" s="268">
        <f t="shared" ca="1" si="36"/>
        <v>-14556.928158259811</v>
      </c>
      <c r="AG36" s="268">
        <f t="shared" ca="1" si="36"/>
        <v>-12977.569229765913</v>
      </c>
      <c r="AH36" s="268">
        <f t="shared" ca="1" si="36"/>
        <v>-12977.569229765917</v>
      </c>
      <c r="AI36" s="268">
        <f t="shared" ca="1" si="36"/>
        <v>-12644.811044387303</v>
      </c>
      <c r="AJ36" s="268">
        <f t="shared" ca="1" si="36"/>
        <v>-12644.811044387303</v>
      </c>
      <c r="AK36" s="268">
        <f t="shared" ca="1" si="36"/>
        <v>-12026.793296482596</v>
      </c>
      <c r="AL36" s="268">
        <f t="shared" ca="1" si="36"/>
        <v>-12026.793296482596</v>
      </c>
      <c r="AM36" s="268">
        <f t="shared" ca="1" si="36"/>
        <v>-12026.793296482596</v>
      </c>
      <c r="AN36" s="268">
        <f t="shared" ca="1" si="36"/>
        <v>-12026.793296482594</v>
      </c>
      <c r="AO36" s="268"/>
    </row>
    <row r="37" spans="2:42">
      <c r="B37" s="243" t="s">
        <v>344</v>
      </c>
      <c r="C37" s="268">
        <v>-23747</v>
      </c>
      <c r="D37" s="268">
        <f ca="1">SUM(OFFSET($M37,,(COLUMNS($D37:D37)-1)*4,,4))</f>
        <v>-21042</v>
      </c>
      <c r="E37" s="268">
        <f ca="1">SUM(OFFSET($M37,,(COLUMNS($D37:E37)-1)*4,,4))</f>
        <v>-18767</v>
      </c>
      <c r="F37" s="268">
        <f ca="1">SUM(OFFSET($M37,,(COLUMNS($D37:F37)-1)*4,,4))</f>
        <v>-33126.126589487678</v>
      </c>
      <c r="G37" s="268">
        <f ca="1">SUM(OFFSET($M37,,(COLUMNS($D37:G37)-1)*4,,4))</f>
        <v>-45169.246966923558</v>
      </c>
      <c r="H37" s="268">
        <f ca="1">SUM(OFFSET($M37,,(COLUMNS($D37:H37)-1)*4,,4))</f>
        <v>-50349.455099116618</v>
      </c>
      <c r="I37" s="268">
        <f ca="1">SUM(OFFSET($M37,,(COLUMNS($D37:I37)-1)*4,,4))</f>
        <v>-33418.506696373945</v>
      </c>
      <c r="J37" s="268">
        <f ca="1">SUM(OFFSET($M37,,(COLUMNS($D37:J37)-1)*4,,4))</f>
        <v>-22585.560445174186</v>
      </c>
      <c r="M37" s="268">
        <v>-2600</v>
      </c>
      <c r="N37" s="268">
        <v>-4385</v>
      </c>
      <c r="O37" s="268">
        <v>-5238</v>
      </c>
      <c r="P37" s="268">
        <v>-8819</v>
      </c>
      <c r="Q37" s="268">
        <v>-1623</v>
      </c>
      <c r="R37" s="268">
        <v>-4942</v>
      </c>
      <c r="S37" s="268">
        <v>-7117</v>
      </c>
      <c r="T37" s="268">
        <v>-5085</v>
      </c>
      <c r="U37" s="268">
        <v>-7955</v>
      </c>
      <c r="V37" s="268">
        <v>-9839</v>
      </c>
      <c r="W37" s="268">
        <v>-7281</v>
      </c>
      <c r="X37" s="268">
        <f>W37*(1+X60)</f>
        <v>-8051.126589487676</v>
      </c>
      <c r="Y37" s="268">
        <f t="shared" ref="Y37:AN37" ca="1" si="37">X37*(1+Y60)</f>
        <v>-9773.0216316213173</v>
      </c>
      <c r="Z37" s="268">
        <f t="shared" ca="1" si="37"/>
        <v>-10182.352878541149</v>
      </c>
      <c r="AA37" s="268">
        <f t="shared" ca="1" si="37"/>
        <v>-11225.212377637574</v>
      </c>
      <c r="AB37" s="268">
        <f t="shared" ca="1" si="37"/>
        <v>-13988.660079123521</v>
      </c>
      <c r="AC37" s="268">
        <f t="shared" ca="1" si="37"/>
        <v>-13522.358997915091</v>
      </c>
      <c r="AD37" s="268">
        <f t="shared" ca="1" si="37"/>
        <v>-12851.56990891372</v>
      </c>
      <c r="AE37" s="268">
        <f t="shared" ca="1" si="37"/>
        <v>-12266.830251664054</v>
      </c>
      <c r="AF37" s="268">
        <f t="shared" ca="1" si="37"/>
        <v>-11708.695940623751</v>
      </c>
      <c r="AG37" s="268">
        <f t="shared" ca="1" si="37"/>
        <v>-10183.762874583956</v>
      </c>
      <c r="AH37" s="268">
        <f t="shared" ca="1" si="37"/>
        <v>-8857.4361151468802</v>
      </c>
      <c r="AI37" s="268">
        <f t="shared" ca="1" si="37"/>
        <v>-7693.9725741665816</v>
      </c>
      <c r="AJ37" s="268">
        <f t="shared" ca="1" si="37"/>
        <v>-6683.3351324765254</v>
      </c>
      <c r="AK37" s="268">
        <f t="shared" ca="1" si="37"/>
        <v>-6193.6938070847918</v>
      </c>
      <c r="AL37" s="268">
        <f t="shared" ca="1" si="37"/>
        <v>-5739.9250846344175</v>
      </c>
      <c r="AM37" s="268">
        <f t="shared" ca="1" si="37"/>
        <v>-5459.385062209798</v>
      </c>
      <c r="AN37" s="268">
        <f t="shared" ca="1" si="37"/>
        <v>-5192.5564912451773</v>
      </c>
      <c r="AO37" s="268"/>
    </row>
    <row r="38" spans="2:42">
      <c r="B38" s="243" t="s">
        <v>369</v>
      </c>
      <c r="C38" s="268">
        <v>-7621</v>
      </c>
      <c r="D38" s="268">
        <f ca="1">SUM(OFFSET($M38,,(COLUMNS($D38:D38)-1)*4,,4))</f>
        <v>-9893</v>
      </c>
      <c r="E38" s="268">
        <f ca="1">SUM(OFFSET($M38,,(COLUMNS($D38:E38)-1)*4,,4))</f>
        <v>-4937</v>
      </c>
      <c r="F38" s="268">
        <f ca="1">SUM(OFFSET($M38,,(COLUMNS($D38:F38)-1)*4,,4))</f>
        <v>-26493.728695971433</v>
      </c>
      <c r="G38" s="268">
        <f ca="1">SUM(OFFSET($M38,,(COLUMNS($D38:G38)-1)*4,,4))</f>
        <v>-40063.84883339009</v>
      </c>
      <c r="H38" s="268">
        <f ca="1">SUM(OFFSET($M38,,(COLUMNS($D38:H38)-1)*4,,4))</f>
        <v>-38321.113376618952</v>
      </c>
      <c r="I38" s="268">
        <f ca="1">SUM(OFFSET($M38,,(COLUMNS($D38:I38)-1)*4,,4))</f>
        <v>-33309.094356399182</v>
      </c>
      <c r="J38" s="268">
        <f ca="1">SUM(OFFSET($M38,,(COLUMNS($D38:J38)-1)*4,,4))</f>
        <v>-31269.662570854744</v>
      </c>
      <c r="M38" s="268">
        <v>-4361</v>
      </c>
      <c r="N38" s="268">
        <v>-1674</v>
      </c>
      <c r="O38" s="268">
        <v>-3858</v>
      </c>
      <c r="P38" s="321">
        <v>0</v>
      </c>
      <c r="Q38" s="268">
        <v>-1333</v>
      </c>
      <c r="R38" s="268">
        <v>-1796</v>
      </c>
      <c r="S38" s="268">
        <v>-900</v>
      </c>
      <c r="T38" s="268">
        <v>-908</v>
      </c>
      <c r="U38" s="268">
        <v>-9810</v>
      </c>
      <c r="V38" s="268">
        <v>-5874</v>
      </c>
      <c r="W38" s="268">
        <v>-2855</v>
      </c>
      <c r="X38" s="268">
        <f>-X19*X64</f>
        <v>-7954.728695971432</v>
      </c>
      <c r="Y38" s="268">
        <f t="shared" ref="Y38:AM38" ca="1" si="38">-Y19*Y64</f>
        <v>-10032.995469879115</v>
      </c>
      <c r="Z38" s="268">
        <f t="shared" ca="1" si="38"/>
        <v>-10204.770434109383</v>
      </c>
      <c r="AA38" s="268">
        <f t="shared" ca="1" si="38"/>
        <v>-9913.0414647007965</v>
      </c>
      <c r="AB38" s="268">
        <f t="shared" ca="1" si="38"/>
        <v>-9913.0414647007965</v>
      </c>
      <c r="AC38" s="268">
        <f t="shared" ca="1" si="38"/>
        <v>-9698.5533854405985</v>
      </c>
      <c r="AD38" s="268">
        <f t="shared" ca="1" si="38"/>
        <v>-9698.5533854405985</v>
      </c>
      <c r="AE38" s="268">
        <f t="shared" ca="1" si="38"/>
        <v>-9462.0033028688758</v>
      </c>
      <c r="AF38" s="268">
        <f t="shared" ca="1" si="38"/>
        <v>-9462.0033028688758</v>
      </c>
      <c r="AG38" s="268">
        <f t="shared" ca="1" si="38"/>
        <v>-8435.4199993478433</v>
      </c>
      <c r="AH38" s="268">
        <f t="shared" ca="1" si="38"/>
        <v>-8435.4199993478451</v>
      </c>
      <c r="AI38" s="268">
        <f t="shared" ca="1" si="38"/>
        <v>-8219.1271788517461</v>
      </c>
      <c r="AJ38" s="268">
        <f t="shared" ca="1" si="38"/>
        <v>-8219.1271788517461</v>
      </c>
      <c r="AK38" s="268">
        <f t="shared" ca="1" si="38"/>
        <v>-7817.4156427136868</v>
      </c>
      <c r="AL38" s="268">
        <f t="shared" ca="1" si="38"/>
        <v>-7817.4156427136868</v>
      </c>
      <c r="AM38" s="268">
        <f t="shared" ca="1" si="38"/>
        <v>-7817.4156427136868</v>
      </c>
      <c r="AN38" s="268">
        <f ca="1">-AN19*AN64</f>
        <v>-7817.415642713685</v>
      </c>
      <c r="AO38" s="268"/>
    </row>
    <row r="39" spans="2:42">
      <c r="B39" s="192" t="s">
        <v>87</v>
      </c>
      <c r="C39" s="307">
        <f>C35+C36+C37+C38</f>
        <v>97023</v>
      </c>
      <c r="D39" s="307">
        <f ca="1">D35+D36+D37+D38</f>
        <v>159672</v>
      </c>
      <c r="E39" s="307">
        <f ca="1">E35+E36+E37+E38</f>
        <v>332540</v>
      </c>
      <c r="F39" s="307">
        <f t="shared" ref="F39:J39" ca="1" si="39">F35+F36+F37+F38</f>
        <v>839640.50228164217</v>
      </c>
      <c r="G39" s="307">
        <f t="shared" ca="1" si="39"/>
        <v>1103704.1973003973</v>
      </c>
      <c r="H39" s="307">
        <f t="shared" ca="1" si="39"/>
        <v>1060019.5604494452</v>
      </c>
      <c r="I39" s="307">
        <f t="shared" ca="1" si="39"/>
        <v>959180.16611282539</v>
      </c>
      <c r="J39" s="307">
        <f t="shared" ca="1" si="39"/>
        <v>896049.9017714581</v>
      </c>
      <c r="M39" s="307">
        <f>M35+SUM(M36:M38)</f>
        <v>13313</v>
      </c>
      <c r="N39" s="307">
        <f t="shared" ref="N39:V39" si="40">N35+SUM(N36:N38)</f>
        <v>41849</v>
      </c>
      <c r="O39" s="307">
        <f t="shared" si="40"/>
        <v>68442</v>
      </c>
      <c r="P39" s="307">
        <f t="shared" si="40"/>
        <v>36068</v>
      </c>
      <c r="Q39" s="307">
        <f t="shared" si="40"/>
        <v>8480</v>
      </c>
      <c r="R39" s="307">
        <f t="shared" si="40"/>
        <v>34881</v>
      </c>
      <c r="S39" s="307">
        <f t="shared" si="40"/>
        <v>45505</v>
      </c>
      <c r="T39" s="307">
        <f t="shared" si="40"/>
        <v>181928</v>
      </c>
      <c r="U39" s="307">
        <f t="shared" si="40"/>
        <v>185225</v>
      </c>
      <c r="V39" s="307">
        <f t="shared" si="40"/>
        <v>237518</v>
      </c>
      <c r="W39" s="307">
        <f>W35+SUM(W36:W38)</f>
        <v>209853</v>
      </c>
      <c r="X39" s="307">
        <f t="shared" ref="X39:AN39" si="41">X35+SUM(X36:X38)</f>
        <v>203190.9354668624</v>
      </c>
      <c r="Y39" s="307">
        <f t="shared" ca="1" si="41"/>
        <v>269842.54512049089</v>
      </c>
      <c r="Z39" s="307">
        <f t="shared" ca="1" si="41"/>
        <v>274664.63016916224</v>
      </c>
      <c r="AA39" s="307">
        <f t="shared" ca="1" si="41"/>
        <v>290571.92454263812</v>
      </c>
      <c r="AB39" s="307">
        <f t="shared" ca="1" si="41"/>
        <v>268625.0974681059</v>
      </c>
      <c r="AC39" s="307">
        <f t="shared" ca="1" si="41"/>
        <v>261447.34220031736</v>
      </c>
      <c r="AD39" s="307">
        <f t="shared" ca="1" si="41"/>
        <v>272582.35423314612</v>
      </c>
      <c r="AE39" s="307">
        <f t="shared" ca="1" si="41"/>
        <v>262978.5077490363</v>
      </c>
      <c r="AF39" s="307">
        <f t="shared" ca="1" si="41"/>
        <v>263011.35626694519</v>
      </c>
      <c r="AG39" s="307">
        <f t="shared" ca="1" si="41"/>
        <v>241987.1700619733</v>
      </c>
      <c r="AH39" s="307">
        <f t="shared" ca="1" si="41"/>
        <v>243313.49682141049</v>
      </c>
      <c r="AI39" s="307">
        <f t="shared" ca="1" si="41"/>
        <v>235131.00495454646</v>
      </c>
      <c r="AJ39" s="307">
        <f t="shared" ca="1" si="41"/>
        <v>238748.49427489523</v>
      </c>
      <c r="AK39" s="307">
        <f t="shared" ca="1" si="41"/>
        <v>222813.45877740858</v>
      </c>
      <c r="AL39" s="307">
        <f t="shared" ca="1" si="41"/>
        <v>223267.22749985894</v>
      </c>
      <c r="AM39" s="307">
        <f t="shared" ca="1" si="41"/>
        <v>223547.76752228363</v>
      </c>
      <c r="AN39" s="307">
        <f t="shared" ca="1" si="41"/>
        <v>226421.44797190689</v>
      </c>
      <c r="AO39" s="307"/>
    </row>
    <row r="40" spans="2:42">
      <c r="B40" s="304" t="s">
        <v>345</v>
      </c>
      <c r="C40" s="268">
        <v>-1558</v>
      </c>
      <c r="D40" s="268">
        <f ca="1">SUM(OFFSET($M40,,(COLUMNS($D40:D40)-1)*4,,4))</f>
        <v>-8515</v>
      </c>
      <c r="E40" s="268">
        <f ca="1">SUM(OFFSET($M40,,(COLUMNS($D40:E40)-1)*4,,4))</f>
        <v>9257</v>
      </c>
      <c r="F40" s="268">
        <f ca="1">SUM(OFFSET($M40,,(COLUMNS($D40:F40)-1)*4,,4))</f>
        <v>-20132</v>
      </c>
      <c r="G40" s="268">
        <f ca="1">SUM(OFFSET($M40,,(COLUMNS($D40:G40)-1)*4,,4))</f>
        <v>-13520</v>
      </c>
      <c r="H40" s="268">
        <f ca="1">SUM(OFFSET($M40,,(COLUMNS($D40:H40)-1)*4,,4))</f>
        <v>-13520</v>
      </c>
      <c r="I40" s="268">
        <f ca="1">SUM(OFFSET($M40,,(COLUMNS($D40:I40)-1)*4,,4))</f>
        <v>-13520</v>
      </c>
      <c r="J40" s="268">
        <f ca="1">SUM(OFFSET($M40,,(COLUMNS($D40:J40)-1)*4,,4))</f>
        <v>-13520</v>
      </c>
      <c r="M40" s="268">
        <v>-197</v>
      </c>
      <c r="N40" s="268">
        <v>4574</v>
      </c>
      <c r="O40" s="268">
        <v>-673</v>
      </c>
      <c r="P40" s="268">
        <v>-12219</v>
      </c>
      <c r="Q40" s="268">
        <v>1935</v>
      </c>
      <c r="R40" s="268">
        <v>-1791</v>
      </c>
      <c r="S40" s="268">
        <v>23089</v>
      </c>
      <c r="T40" s="268">
        <v>-13976</v>
      </c>
      <c r="U40" s="268">
        <v>-6290</v>
      </c>
      <c r="V40" s="268">
        <v>-7082</v>
      </c>
      <c r="W40" s="268">
        <v>-3380</v>
      </c>
      <c r="X40" s="268">
        <f>W40</f>
        <v>-3380</v>
      </c>
      <c r="Y40" s="268">
        <f t="shared" ref="Y40:AN40" si="42">X40</f>
        <v>-3380</v>
      </c>
      <c r="Z40" s="268">
        <f t="shared" si="42"/>
        <v>-3380</v>
      </c>
      <c r="AA40" s="268">
        <f t="shared" si="42"/>
        <v>-3380</v>
      </c>
      <c r="AB40" s="268">
        <f t="shared" si="42"/>
        <v>-3380</v>
      </c>
      <c r="AC40" s="268">
        <f t="shared" si="42"/>
        <v>-3380</v>
      </c>
      <c r="AD40" s="268">
        <f t="shared" si="42"/>
        <v>-3380</v>
      </c>
      <c r="AE40" s="268">
        <f t="shared" si="42"/>
        <v>-3380</v>
      </c>
      <c r="AF40" s="268">
        <f t="shared" si="42"/>
        <v>-3380</v>
      </c>
      <c r="AG40" s="268">
        <f t="shared" si="42"/>
        <v>-3380</v>
      </c>
      <c r="AH40" s="268">
        <f t="shared" si="42"/>
        <v>-3380</v>
      </c>
      <c r="AI40" s="268">
        <f t="shared" si="42"/>
        <v>-3380</v>
      </c>
      <c r="AJ40" s="268">
        <f t="shared" si="42"/>
        <v>-3380</v>
      </c>
      <c r="AK40" s="268">
        <f t="shared" si="42"/>
        <v>-3380</v>
      </c>
      <c r="AL40" s="268">
        <f t="shared" si="42"/>
        <v>-3380</v>
      </c>
      <c r="AM40" s="268">
        <f t="shared" si="42"/>
        <v>-3380</v>
      </c>
      <c r="AN40" s="268">
        <f t="shared" si="42"/>
        <v>-3380</v>
      </c>
      <c r="AO40" s="268"/>
      <c r="AP40" s="156"/>
    </row>
    <row r="41" spans="2:42">
      <c r="B41" s="243" t="s">
        <v>346</v>
      </c>
      <c r="C41" s="268">
        <v>8035</v>
      </c>
      <c r="D41" s="268">
        <f ca="1">SUM(OFFSET($M41,,(COLUMNS($D41:D41)-1)*4,,4))</f>
        <v>-57968</v>
      </c>
      <c r="E41" s="268">
        <f ca="1">SUM(OFFSET($M41,,(COLUMNS($D41:E41)-1)*4,,4))</f>
        <v>-77240</v>
      </c>
      <c r="F41" s="268">
        <f ca="1">SUM(OFFSET($M41,,(COLUMNS($D41:F41)-1)*4,,4))</f>
        <v>7258</v>
      </c>
      <c r="G41" s="268">
        <f ca="1">SUM(OFFSET($M41,,(COLUMNS($D41:G41)-1)*4,,4))</f>
        <v>0</v>
      </c>
      <c r="H41" s="268">
        <f ca="1">SUM(OFFSET($M41,,(COLUMNS($D41:H41)-1)*4,,4))</f>
        <v>0</v>
      </c>
      <c r="I41" s="268">
        <f ca="1">SUM(OFFSET($M41,,(COLUMNS($D41:I41)-1)*4,,4))</f>
        <v>0</v>
      </c>
      <c r="J41" s="268">
        <f ca="1">SUM(OFFSET($M41,,(COLUMNS($D41:J41)-1)*4,,4))</f>
        <v>0</v>
      </c>
      <c r="M41" s="268">
        <v>1123</v>
      </c>
      <c r="N41" s="268">
        <v>-11757</v>
      </c>
      <c r="O41" s="268">
        <v>-49528</v>
      </c>
      <c r="P41" s="268">
        <v>2194</v>
      </c>
      <c r="Q41" s="268">
        <v>-3492</v>
      </c>
      <c r="R41" s="268">
        <v>-71931</v>
      </c>
      <c r="S41" s="268">
        <v>-24268</v>
      </c>
      <c r="T41" s="268">
        <v>22451</v>
      </c>
      <c r="U41" s="268">
        <v>42077</v>
      </c>
      <c r="V41" s="268">
        <v>-14807</v>
      </c>
      <c r="W41" s="268">
        <v>-20012</v>
      </c>
      <c r="X41" s="268">
        <v>0</v>
      </c>
      <c r="Y41" s="268">
        <v>0</v>
      </c>
      <c r="Z41" s="268">
        <v>0</v>
      </c>
      <c r="AA41" s="268">
        <v>0</v>
      </c>
      <c r="AB41" s="268">
        <v>0</v>
      </c>
      <c r="AC41" s="268">
        <v>0</v>
      </c>
      <c r="AD41" s="268">
        <v>0</v>
      </c>
      <c r="AE41" s="268">
        <v>0</v>
      </c>
      <c r="AF41" s="268">
        <v>0</v>
      </c>
      <c r="AG41" s="268">
        <v>0</v>
      </c>
      <c r="AH41" s="268">
        <v>0</v>
      </c>
      <c r="AI41" s="268">
        <v>0</v>
      </c>
      <c r="AJ41" s="268">
        <v>0</v>
      </c>
      <c r="AK41" s="268">
        <v>0</v>
      </c>
      <c r="AL41" s="268">
        <v>0</v>
      </c>
      <c r="AM41" s="268">
        <v>0</v>
      </c>
      <c r="AN41" s="268">
        <v>0</v>
      </c>
    </row>
    <row r="42" spans="2:42">
      <c r="B42" s="243" t="s">
        <v>349</v>
      </c>
      <c r="C42" s="268">
        <v>-23671</v>
      </c>
      <c r="D42" s="268">
        <v>-43066</v>
      </c>
      <c r="E42" s="268">
        <v>-48832</v>
      </c>
      <c r="F42" s="268">
        <f ca="1">-F83</f>
        <v>-51334.787072365078</v>
      </c>
      <c r="G42" s="268">
        <f ca="1">-G83</f>
        <v>-51298.34457236508</v>
      </c>
      <c r="H42" s="268">
        <f ca="1">-H83</f>
        <v>-51298.34457236508</v>
      </c>
      <c r="I42" s="268">
        <f ca="1">-I83</f>
        <v>-51298.34457236508</v>
      </c>
      <c r="J42" s="268">
        <f ca="1">-J83</f>
        <v>-51298.34457236508</v>
      </c>
      <c r="M42" s="268">
        <v>-4919</v>
      </c>
      <c r="N42" s="268">
        <v>-12386</v>
      </c>
      <c r="O42" s="268">
        <v>-14170</v>
      </c>
      <c r="P42" s="268">
        <v>-11591</v>
      </c>
      <c r="Q42" s="268">
        <v>-11662</v>
      </c>
      <c r="R42" s="268">
        <v>-11982</v>
      </c>
      <c r="S42" s="268">
        <v>-12143</v>
      </c>
      <c r="T42" s="268">
        <v>-13299</v>
      </c>
      <c r="U42" s="268">
        <v>-12318</v>
      </c>
      <c r="V42" s="268">
        <v>-13694</v>
      </c>
      <c r="W42" s="268">
        <v>-14696</v>
      </c>
      <c r="X42" s="268">
        <f ca="1">$F$42/4</f>
        <v>-12833.696768091269</v>
      </c>
      <c r="Y42" s="268">
        <f ca="1">$G$42/4</f>
        <v>-12824.58614309127</v>
      </c>
      <c r="Z42" s="268">
        <f t="shared" ref="Z42:AB42" ca="1" si="43">$G$42/4</f>
        <v>-12824.58614309127</v>
      </c>
      <c r="AA42" s="268">
        <f t="shared" ca="1" si="43"/>
        <v>-12824.58614309127</v>
      </c>
      <c r="AB42" s="268">
        <f t="shared" ca="1" si="43"/>
        <v>-12824.58614309127</v>
      </c>
      <c r="AC42" s="268">
        <f ca="1">$H$42/4</f>
        <v>-12824.58614309127</v>
      </c>
      <c r="AD42" s="268">
        <f t="shared" ref="AD42:AF42" ca="1" si="44">$H$42/4</f>
        <v>-12824.58614309127</v>
      </c>
      <c r="AE42" s="268">
        <f t="shared" ca="1" si="44"/>
        <v>-12824.58614309127</v>
      </c>
      <c r="AF42" s="268">
        <f t="shared" ca="1" si="44"/>
        <v>-12824.58614309127</v>
      </c>
      <c r="AG42" s="268">
        <f ca="1">$I$42/4</f>
        <v>-12824.58614309127</v>
      </c>
      <c r="AH42" s="268">
        <f t="shared" ref="AH42:AJ42" ca="1" si="45">$I$42/4</f>
        <v>-12824.58614309127</v>
      </c>
      <c r="AI42" s="268">
        <f t="shared" ca="1" si="45"/>
        <v>-12824.58614309127</v>
      </c>
      <c r="AJ42" s="268">
        <f t="shared" ca="1" si="45"/>
        <v>-12824.58614309127</v>
      </c>
      <c r="AK42" s="268">
        <f ca="1">$J$42/4</f>
        <v>-12824.58614309127</v>
      </c>
      <c r="AL42" s="268">
        <f t="shared" ref="AL42:AN42" ca="1" si="46">$J$42/4</f>
        <v>-12824.58614309127</v>
      </c>
      <c r="AM42" s="268">
        <f t="shared" ca="1" si="46"/>
        <v>-12824.58614309127</v>
      </c>
      <c r="AN42" s="268">
        <f t="shared" ca="1" si="46"/>
        <v>-12824.58614309127</v>
      </c>
    </row>
    <row r="43" spans="2:42">
      <c r="B43" s="192" t="s">
        <v>365</v>
      </c>
      <c r="C43" s="307">
        <f t="shared" ref="C43:J43" si="47">C39+SUM(C40:C42)</f>
        <v>79829</v>
      </c>
      <c r="D43" s="307">
        <f t="shared" ca="1" si="47"/>
        <v>50123</v>
      </c>
      <c r="E43" s="307">
        <f t="shared" ca="1" si="47"/>
        <v>215725</v>
      </c>
      <c r="F43" s="307">
        <f t="shared" ca="1" si="47"/>
        <v>775431.71520927711</v>
      </c>
      <c r="G43" s="307">
        <f t="shared" ca="1" si="47"/>
        <v>1038885.8527280323</v>
      </c>
      <c r="H43" s="307">
        <f t="shared" ca="1" si="47"/>
        <v>995201.2158770801</v>
      </c>
      <c r="I43" s="307">
        <f t="shared" ca="1" si="47"/>
        <v>894361.82154046034</v>
      </c>
      <c r="J43" s="307">
        <f t="shared" ca="1" si="47"/>
        <v>831231.55719909305</v>
      </c>
      <c r="M43" s="307">
        <f>M39+SUM(M40:M42)</f>
        <v>9320</v>
      </c>
      <c r="N43" s="307">
        <f>N39+SUM(N40:N42)</f>
        <v>22280</v>
      </c>
      <c r="O43" s="307">
        <f t="shared" ref="O43:AN43" si="48">O39+SUM(O40:O42)</f>
        <v>4071</v>
      </c>
      <c r="P43" s="307">
        <f t="shared" si="48"/>
        <v>14452</v>
      </c>
      <c r="Q43" s="307">
        <f t="shared" si="48"/>
        <v>-4739</v>
      </c>
      <c r="R43" s="307">
        <f t="shared" si="48"/>
        <v>-50823</v>
      </c>
      <c r="S43" s="307">
        <f t="shared" si="48"/>
        <v>32183</v>
      </c>
      <c r="T43" s="307">
        <f t="shared" si="48"/>
        <v>177104</v>
      </c>
      <c r="U43" s="307">
        <f t="shared" si="48"/>
        <v>208694</v>
      </c>
      <c r="V43" s="307">
        <f t="shared" si="48"/>
        <v>201935</v>
      </c>
      <c r="W43" s="307">
        <f t="shared" si="48"/>
        <v>171765</v>
      </c>
      <c r="X43" s="307">
        <f t="shared" ca="1" si="48"/>
        <v>186977.23869877114</v>
      </c>
      <c r="Y43" s="307">
        <f t="shared" ca="1" si="48"/>
        <v>253637.95897739963</v>
      </c>
      <c r="Z43" s="307">
        <f t="shared" ca="1" si="48"/>
        <v>258460.04402607097</v>
      </c>
      <c r="AA43" s="307">
        <f t="shared" ca="1" si="48"/>
        <v>274367.33839954686</v>
      </c>
      <c r="AB43" s="307">
        <f t="shared" ca="1" si="48"/>
        <v>252420.51132501464</v>
      </c>
      <c r="AC43" s="307">
        <f t="shared" ca="1" si="48"/>
        <v>245242.7560572261</v>
      </c>
      <c r="AD43" s="307">
        <f t="shared" ca="1" si="48"/>
        <v>256377.76809005486</v>
      </c>
      <c r="AE43" s="307">
        <f t="shared" ca="1" si="48"/>
        <v>246773.92160594504</v>
      </c>
      <c r="AF43" s="307">
        <f t="shared" ca="1" si="48"/>
        <v>246806.77012385393</v>
      </c>
      <c r="AG43" s="307">
        <f t="shared" ca="1" si="48"/>
        <v>225782.58391888204</v>
      </c>
      <c r="AH43" s="307">
        <f t="shared" ca="1" si="48"/>
        <v>227108.91067831923</v>
      </c>
      <c r="AI43" s="307">
        <f t="shared" ca="1" si="48"/>
        <v>218926.41881145519</v>
      </c>
      <c r="AJ43" s="307">
        <f t="shared" ca="1" si="48"/>
        <v>222543.90813180397</v>
      </c>
      <c r="AK43" s="307">
        <f t="shared" ca="1" si="48"/>
        <v>206608.87263431732</v>
      </c>
      <c r="AL43" s="307">
        <f t="shared" ca="1" si="48"/>
        <v>207062.64135676768</v>
      </c>
      <c r="AM43" s="307">
        <f t="shared" ca="1" si="48"/>
        <v>207343.18137919236</v>
      </c>
      <c r="AN43" s="307">
        <f t="shared" ca="1" si="48"/>
        <v>210216.86182881563</v>
      </c>
    </row>
    <row r="44" spans="2:42">
      <c r="B44" s="243" t="s">
        <v>366</v>
      </c>
      <c r="C44" s="268">
        <f>-66522+5007</f>
        <v>-61515</v>
      </c>
      <c r="D44" s="268">
        <f ca="1">SUM(OFFSET($M44,,(COLUMNS($D44:D44)-1)*4,,4))</f>
        <v>-45385</v>
      </c>
      <c r="E44" s="268">
        <f ca="1">SUM(OFFSET($M44,,(COLUMNS($D44:E44)-1)*4,,4))</f>
        <v>-90950</v>
      </c>
      <c r="F44" s="268">
        <f ca="1">SUM(OFFSET($M44,,(COLUMNS($D44:F44)-1)*4,,4))</f>
        <v>-208560.53728770505</v>
      </c>
      <c r="G44" s="268">
        <f ca="1">SUM(OFFSET($M44,,(COLUMNS($D44:G44)-1)*4,,4))</f>
        <v>-249332.60465472768</v>
      </c>
      <c r="H44" s="268">
        <f ca="1">SUM(OFFSET($M44,,(COLUMNS($D44:H44)-1)*4,,4))</f>
        <v>-238848.29181049915</v>
      </c>
      <c r="I44" s="268">
        <f ca="1">SUM(OFFSET($M44,,(COLUMNS($D44:I44)-1)*4,,4))</f>
        <v>-214646.83716971052</v>
      </c>
      <c r="J44" s="268">
        <f ca="1">SUM(OFFSET($M44,,(COLUMNS($D44:J44)-1)*4,,4))</f>
        <v>-199495.57372778229</v>
      </c>
      <c r="M44" s="268">
        <v>-12254</v>
      </c>
      <c r="N44" s="268">
        <v>-15376</v>
      </c>
      <c r="O44" s="268">
        <v>-27616</v>
      </c>
      <c r="P44" s="268">
        <v>9861</v>
      </c>
      <c r="Q44" s="268">
        <v>-19913</v>
      </c>
      <c r="R44" s="268">
        <v>-10781</v>
      </c>
      <c r="S44" s="268">
        <v>-11884</v>
      </c>
      <c r="T44" s="268">
        <v>-48372</v>
      </c>
      <c r="U44" s="268">
        <v>-80836</v>
      </c>
      <c r="V44" s="268">
        <v>-42297</v>
      </c>
      <c r="W44" s="268">
        <v>-40553</v>
      </c>
      <c r="X44" s="268">
        <f ca="1">-X43*X65</f>
        <v>-44874.537287705069</v>
      </c>
      <c r="Y44" s="268">
        <f t="shared" ref="Y44:AN44" ca="1" si="49">-Y43*Y65</f>
        <v>-60873.110154575908</v>
      </c>
      <c r="Z44" s="268">
        <f t="shared" ca="1" si="49"/>
        <v>-62030.410566257029</v>
      </c>
      <c r="AA44" s="268">
        <f t="shared" ca="1" si="49"/>
        <v>-65848.161215891247</v>
      </c>
      <c r="AB44" s="268">
        <f t="shared" ca="1" si="49"/>
        <v>-60580.922718003509</v>
      </c>
      <c r="AC44" s="268">
        <f t="shared" ca="1" si="49"/>
        <v>-58858.26145373426</v>
      </c>
      <c r="AD44" s="268">
        <f t="shared" ca="1" si="49"/>
        <v>-61530.664341613163</v>
      </c>
      <c r="AE44" s="268">
        <f t="shared" ca="1" si="49"/>
        <v>-59225.741185426807</v>
      </c>
      <c r="AF44" s="268">
        <f t="shared" ca="1" si="49"/>
        <v>-59233.62482972494</v>
      </c>
      <c r="AG44" s="268">
        <f t="shared" ca="1" si="49"/>
        <v>-54187.820140531687</v>
      </c>
      <c r="AH44" s="268">
        <f t="shared" ca="1" si="49"/>
        <v>-54506.138562796616</v>
      </c>
      <c r="AI44" s="268">
        <f t="shared" ca="1" si="49"/>
        <v>-52542.340514749245</v>
      </c>
      <c r="AJ44" s="268">
        <f t="shared" ca="1" si="49"/>
        <v>-53410.537951632949</v>
      </c>
      <c r="AK44" s="268">
        <f t="shared" ca="1" si="49"/>
        <v>-49586.129432236157</v>
      </c>
      <c r="AL44" s="268">
        <f t="shared" ca="1" si="49"/>
        <v>-49695.033925624244</v>
      </c>
      <c r="AM44" s="268">
        <f t="shared" ca="1" si="49"/>
        <v>-49762.363531006165</v>
      </c>
      <c r="AN44" s="268">
        <f t="shared" ca="1" si="49"/>
        <v>-50452.046838915747</v>
      </c>
    </row>
    <row r="45" spans="2:42">
      <c r="B45" s="192" t="s">
        <v>371</v>
      </c>
      <c r="C45" s="307">
        <f t="shared" ref="C45:J45" si="50">C43+C44</f>
        <v>18314</v>
      </c>
      <c r="D45" s="307">
        <f t="shared" ca="1" si="50"/>
        <v>4738</v>
      </c>
      <c r="E45" s="307">
        <f t="shared" ca="1" si="50"/>
        <v>124775</v>
      </c>
      <c r="F45" s="307">
        <f t="shared" ca="1" si="50"/>
        <v>566871.177921572</v>
      </c>
      <c r="G45" s="307">
        <f t="shared" ca="1" si="50"/>
        <v>789553.24807330454</v>
      </c>
      <c r="H45" s="307">
        <f t="shared" ca="1" si="50"/>
        <v>756352.92406658095</v>
      </c>
      <c r="I45" s="307">
        <f t="shared" ca="1" si="50"/>
        <v>679714.98437074979</v>
      </c>
      <c r="J45" s="307">
        <f t="shared" ca="1" si="50"/>
        <v>631735.9834713107</v>
      </c>
      <c r="M45" s="307">
        <f>M43+M44</f>
        <v>-2934</v>
      </c>
      <c r="N45" s="307">
        <f t="shared" ref="N45:AN45" si="51">N43+N44</f>
        <v>6904</v>
      </c>
      <c r="O45" s="307">
        <f t="shared" si="51"/>
        <v>-23545</v>
      </c>
      <c r="P45" s="307">
        <f t="shared" si="51"/>
        <v>24313</v>
      </c>
      <c r="Q45" s="307">
        <f t="shared" si="51"/>
        <v>-24652</v>
      </c>
      <c r="R45" s="307">
        <f t="shared" si="51"/>
        <v>-61604</v>
      </c>
      <c r="S45" s="307">
        <f t="shared" si="51"/>
        <v>20299</v>
      </c>
      <c r="T45" s="307">
        <f t="shared" si="51"/>
        <v>128732</v>
      </c>
      <c r="U45" s="307">
        <f t="shared" si="51"/>
        <v>127858</v>
      </c>
      <c r="V45" s="307">
        <f t="shared" si="51"/>
        <v>159638</v>
      </c>
      <c r="W45" s="307">
        <f t="shared" si="51"/>
        <v>131212</v>
      </c>
      <c r="X45" s="307">
        <f t="shared" ca="1" si="51"/>
        <v>142102.70141106605</v>
      </c>
      <c r="Y45" s="307">
        <f t="shared" ca="1" si="51"/>
        <v>192764.84882282373</v>
      </c>
      <c r="Z45" s="307">
        <f t="shared" ca="1" si="51"/>
        <v>196429.63345981395</v>
      </c>
      <c r="AA45" s="307">
        <f t="shared" ca="1" si="51"/>
        <v>208519.17718365561</v>
      </c>
      <c r="AB45" s="307">
        <f t="shared" ca="1" si="51"/>
        <v>191839.58860701113</v>
      </c>
      <c r="AC45" s="307">
        <f t="shared" ca="1" si="51"/>
        <v>186384.49460349185</v>
      </c>
      <c r="AD45" s="307">
        <f t="shared" ca="1" si="51"/>
        <v>194847.1037484417</v>
      </c>
      <c r="AE45" s="307">
        <f t="shared" ca="1" si="51"/>
        <v>187548.18042051824</v>
      </c>
      <c r="AF45" s="307">
        <f t="shared" ca="1" si="51"/>
        <v>187573.14529412898</v>
      </c>
      <c r="AG45" s="307">
        <f t="shared" ca="1" si="51"/>
        <v>171594.76377835035</v>
      </c>
      <c r="AH45" s="307">
        <f t="shared" ca="1" si="51"/>
        <v>172602.77211552262</v>
      </c>
      <c r="AI45" s="307">
        <f t="shared" ca="1" si="51"/>
        <v>166384.07829670596</v>
      </c>
      <c r="AJ45" s="307">
        <f t="shared" ca="1" si="51"/>
        <v>169133.37018017101</v>
      </c>
      <c r="AK45" s="307">
        <f t="shared" ca="1" si="51"/>
        <v>157022.74320208115</v>
      </c>
      <c r="AL45" s="307">
        <f t="shared" ca="1" si="51"/>
        <v>157367.60743114343</v>
      </c>
      <c r="AM45" s="307">
        <f t="shared" ca="1" si="51"/>
        <v>157580.81784818618</v>
      </c>
      <c r="AN45" s="307">
        <f t="shared" ca="1" si="51"/>
        <v>159764.81498989987</v>
      </c>
    </row>
    <row r="46" spans="2:42">
      <c r="B46" s="243" t="s">
        <v>372</v>
      </c>
      <c r="C46" s="268">
        <v>-154795</v>
      </c>
      <c r="D46" s="268">
        <v>18814</v>
      </c>
      <c r="E46" s="268">
        <v>-21803</v>
      </c>
      <c r="F46" s="268">
        <v>0</v>
      </c>
      <c r="G46" s="268">
        <v>0</v>
      </c>
      <c r="H46" s="268">
        <v>0</v>
      </c>
      <c r="I46" s="268">
        <v>0</v>
      </c>
      <c r="J46" s="268">
        <v>0</v>
      </c>
      <c r="M46" s="321">
        <v>0</v>
      </c>
      <c r="N46" s="321">
        <v>0</v>
      </c>
      <c r="O46" s="321">
        <v>0</v>
      </c>
      <c r="P46" s="321">
        <v>-4394</v>
      </c>
      <c r="Q46" s="321">
        <v>0</v>
      </c>
      <c r="R46" s="321">
        <v>0</v>
      </c>
      <c r="S46" s="321">
        <v>0</v>
      </c>
      <c r="T46" s="321">
        <v>-44265</v>
      </c>
      <c r="U46" s="321">
        <v>-3702</v>
      </c>
      <c r="V46" s="321">
        <v>0</v>
      </c>
      <c r="W46" s="321">
        <v>0</v>
      </c>
      <c r="X46" s="321">
        <v>0</v>
      </c>
      <c r="Y46" s="321">
        <v>0</v>
      </c>
      <c r="Z46" s="321">
        <v>0</v>
      </c>
      <c r="AA46" s="321">
        <v>0</v>
      </c>
      <c r="AB46" s="321">
        <v>0</v>
      </c>
      <c r="AC46" s="321">
        <v>0</v>
      </c>
      <c r="AD46" s="321">
        <v>0</v>
      </c>
      <c r="AE46" s="321">
        <v>0</v>
      </c>
      <c r="AF46" s="321">
        <v>0</v>
      </c>
      <c r="AG46" s="321">
        <v>0</v>
      </c>
      <c r="AH46" s="321">
        <v>0</v>
      </c>
      <c r="AI46" s="321">
        <v>0</v>
      </c>
      <c r="AJ46" s="321">
        <v>0</v>
      </c>
      <c r="AK46" s="321">
        <v>0</v>
      </c>
      <c r="AL46" s="321">
        <v>0</v>
      </c>
      <c r="AM46" s="321">
        <v>0</v>
      </c>
      <c r="AN46" s="321">
        <v>0</v>
      </c>
    </row>
    <row r="47" spans="2:42">
      <c r="B47" s="192" t="s">
        <v>406</v>
      </c>
      <c r="C47" s="307">
        <f t="shared" ref="C47:J47" si="52">C45+C46</f>
        <v>-136481</v>
      </c>
      <c r="D47" s="307">
        <f t="shared" ca="1" si="52"/>
        <v>23552</v>
      </c>
      <c r="E47" s="307">
        <f t="shared" ca="1" si="52"/>
        <v>102972</v>
      </c>
      <c r="F47" s="307">
        <f t="shared" ca="1" si="52"/>
        <v>566871.177921572</v>
      </c>
      <c r="G47" s="307">
        <f t="shared" ca="1" si="52"/>
        <v>789553.24807330454</v>
      </c>
      <c r="H47" s="307">
        <f t="shared" ca="1" si="52"/>
        <v>756352.92406658095</v>
      </c>
      <c r="I47" s="307">
        <f t="shared" ca="1" si="52"/>
        <v>679714.98437074979</v>
      </c>
      <c r="J47" s="307">
        <f t="shared" ca="1" si="52"/>
        <v>631735.9834713107</v>
      </c>
      <c r="M47" s="307">
        <f>M45+M46</f>
        <v>-2934</v>
      </c>
      <c r="N47" s="307">
        <f t="shared" ref="N47:AN47" si="53">N45+N46</f>
        <v>6904</v>
      </c>
      <c r="O47" s="307">
        <f t="shared" si="53"/>
        <v>-23545</v>
      </c>
      <c r="P47" s="307">
        <f t="shared" si="53"/>
        <v>19919</v>
      </c>
      <c r="Q47" s="307">
        <f t="shared" si="53"/>
        <v>-24652</v>
      </c>
      <c r="R47" s="307">
        <f t="shared" si="53"/>
        <v>-61604</v>
      </c>
      <c r="S47" s="307">
        <f t="shared" si="53"/>
        <v>20299</v>
      </c>
      <c r="T47" s="307">
        <f t="shared" si="53"/>
        <v>84467</v>
      </c>
      <c r="U47" s="307">
        <f t="shared" si="53"/>
        <v>124156</v>
      </c>
      <c r="V47" s="307">
        <f t="shared" si="53"/>
        <v>159638</v>
      </c>
      <c r="W47" s="307">
        <f t="shared" si="53"/>
        <v>131212</v>
      </c>
      <c r="X47" s="307">
        <f t="shared" ca="1" si="53"/>
        <v>142102.70141106605</v>
      </c>
      <c r="Y47" s="307">
        <f t="shared" ca="1" si="53"/>
        <v>192764.84882282373</v>
      </c>
      <c r="Z47" s="307">
        <f t="shared" ca="1" si="53"/>
        <v>196429.63345981395</v>
      </c>
      <c r="AA47" s="307">
        <f t="shared" ca="1" si="53"/>
        <v>208519.17718365561</v>
      </c>
      <c r="AB47" s="307">
        <f t="shared" ca="1" si="53"/>
        <v>191839.58860701113</v>
      </c>
      <c r="AC47" s="307">
        <f t="shared" ca="1" si="53"/>
        <v>186384.49460349185</v>
      </c>
      <c r="AD47" s="307">
        <f t="shared" ca="1" si="53"/>
        <v>194847.1037484417</v>
      </c>
      <c r="AE47" s="307">
        <f t="shared" ca="1" si="53"/>
        <v>187548.18042051824</v>
      </c>
      <c r="AF47" s="307">
        <f t="shared" ca="1" si="53"/>
        <v>187573.14529412898</v>
      </c>
      <c r="AG47" s="307">
        <f t="shared" ca="1" si="53"/>
        <v>171594.76377835035</v>
      </c>
      <c r="AH47" s="307">
        <f t="shared" ca="1" si="53"/>
        <v>172602.77211552262</v>
      </c>
      <c r="AI47" s="307">
        <f t="shared" ca="1" si="53"/>
        <v>166384.07829670596</v>
      </c>
      <c r="AJ47" s="307">
        <f t="shared" ca="1" si="53"/>
        <v>169133.37018017101</v>
      </c>
      <c r="AK47" s="307">
        <f t="shared" ca="1" si="53"/>
        <v>157022.74320208115</v>
      </c>
      <c r="AL47" s="307">
        <f t="shared" ca="1" si="53"/>
        <v>157367.60743114343</v>
      </c>
      <c r="AM47" s="307">
        <f t="shared" ca="1" si="53"/>
        <v>157580.81784818618</v>
      </c>
      <c r="AN47" s="307">
        <f t="shared" ca="1" si="53"/>
        <v>159764.81498989987</v>
      </c>
    </row>
    <row r="48" spans="2:42">
      <c r="B48" s="243" t="s">
        <v>370</v>
      </c>
      <c r="C48" s="268">
        <v>0</v>
      </c>
      <c r="D48" s="268">
        <f>-4552-127380</f>
        <v>-131932</v>
      </c>
      <c r="E48" s="268">
        <f>-39845-64506</f>
        <v>-104351</v>
      </c>
      <c r="F48" s="268">
        <v>0</v>
      </c>
      <c r="G48" s="268">
        <v>0</v>
      </c>
      <c r="H48" s="268">
        <v>0</v>
      </c>
      <c r="I48" s="268">
        <v>0</v>
      </c>
      <c r="J48" s="268">
        <v>0</v>
      </c>
      <c r="M48" s="268">
        <v>0</v>
      </c>
      <c r="N48" s="268">
        <v>0</v>
      </c>
      <c r="O48" s="268">
        <v>0</v>
      </c>
      <c r="P48" s="321">
        <v>-131932</v>
      </c>
      <c r="Q48" s="321">
        <v>-68836</v>
      </c>
      <c r="R48" s="321">
        <v>-2589</v>
      </c>
      <c r="S48" s="321">
        <v>-19336</v>
      </c>
      <c r="T48" s="321">
        <v>-13590</v>
      </c>
      <c r="U48" s="321">
        <v>-12160</v>
      </c>
      <c r="V48" s="321">
        <v>-14544</v>
      </c>
      <c r="W48" s="321">
        <v>-1804</v>
      </c>
      <c r="X48" s="321">
        <v>0</v>
      </c>
      <c r="Y48" s="321">
        <v>0</v>
      </c>
      <c r="Z48" s="321">
        <v>0</v>
      </c>
      <c r="AA48" s="321">
        <v>0</v>
      </c>
      <c r="AB48" s="321">
        <v>0</v>
      </c>
      <c r="AC48" s="321">
        <v>0</v>
      </c>
      <c r="AD48" s="321">
        <v>0</v>
      </c>
      <c r="AE48" s="321">
        <v>0</v>
      </c>
      <c r="AF48" s="321">
        <v>0</v>
      </c>
      <c r="AG48" s="321">
        <v>0</v>
      </c>
      <c r="AH48" s="321">
        <v>0</v>
      </c>
      <c r="AI48" s="321">
        <v>0</v>
      </c>
      <c r="AJ48" s="321">
        <v>0</v>
      </c>
      <c r="AK48" s="321">
        <v>0</v>
      </c>
      <c r="AL48" s="321">
        <v>0</v>
      </c>
      <c r="AM48" s="321">
        <v>0</v>
      </c>
      <c r="AN48" s="321">
        <v>0</v>
      </c>
    </row>
    <row r="49" spans="2:41">
      <c r="B49" s="192" t="s">
        <v>404</v>
      </c>
      <c r="C49" s="307">
        <f t="shared" ref="C49:J49" si="54">C47+C48</f>
        <v>-136481</v>
      </c>
      <c r="D49" s="307">
        <f t="shared" ca="1" si="54"/>
        <v>-108380</v>
      </c>
      <c r="E49" s="307">
        <f t="shared" ca="1" si="54"/>
        <v>-1379</v>
      </c>
      <c r="F49" s="307">
        <f t="shared" ca="1" si="54"/>
        <v>566871.177921572</v>
      </c>
      <c r="G49" s="307">
        <f t="shared" ca="1" si="54"/>
        <v>789553.24807330454</v>
      </c>
      <c r="H49" s="307">
        <f t="shared" ca="1" si="54"/>
        <v>756352.92406658095</v>
      </c>
      <c r="I49" s="307">
        <f t="shared" ca="1" si="54"/>
        <v>679714.98437074979</v>
      </c>
      <c r="J49" s="307">
        <f t="shared" ca="1" si="54"/>
        <v>631735.9834713107</v>
      </c>
      <c r="M49" s="307">
        <f>M47+M48</f>
        <v>-2934</v>
      </c>
      <c r="N49" s="307">
        <f t="shared" ref="N49:AN49" si="55">N47+N48</f>
        <v>6904</v>
      </c>
      <c r="O49" s="307">
        <f t="shared" si="55"/>
        <v>-23545</v>
      </c>
      <c r="P49" s="307">
        <f t="shared" si="55"/>
        <v>-112013</v>
      </c>
      <c r="Q49" s="307">
        <f t="shared" si="55"/>
        <v>-93488</v>
      </c>
      <c r="R49" s="307">
        <f t="shared" si="55"/>
        <v>-64193</v>
      </c>
      <c r="S49" s="307">
        <f t="shared" si="55"/>
        <v>963</v>
      </c>
      <c r="T49" s="307">
        <f t="shared" si="55"/>
        <v>70877</v>
      </c>
      <c r="U49" s="307">
        <f t="shared" si="55"/>
        <v>111996</v>
      </c>
      <c r="V49" s="307">
        <f t="shared" si="55"/>
        <v>145094</v>
      </c>
      <c r="W49" s="307">
        <f t="shared" si="55"/>
        <v>129408</v>
      </c>
      <c r="X49" s="307">
        <f t="shared" ca="1" si="55"/>
        <v>142102.70141106605</v>
      </c>
      <c r="Y49" s="307">
        <f t="shared" ca="1" si="55"/>
        <v>192764.84882282373</v>
      </c>
      <c r="Z49" s="307">
        <f t="shared" ca="1" si="55"/>
        <v>196429.63345981395</v>
      </c>
      <c r="AA49" s="307">
        <f t="shared" ca="1" si="55"/>
        <v>208519.17718365561</v>
      </c>
      <c r="AB49" s="307">
        <f t="shared" ca="1" si="55"/>
        <v>191839.58860701113</v>
      </c>
      <c r="AC49" s="307">
        <f t="shared" ca="1" si="55"/>
        <v>186384.49460349185</v>
      </c>
      <c r="AD49" s="307">
        <f t="shared" ca="1" si="55"/>
        <v>194847.1037484417</v>
      </c>
      <c r="AE49" s="307">
        <f t="shared" ca="1" si="55"/>
        <v>187548.18042051824</v>
      </c>
      <c r="AF49" s="307">
        <f t="shared" ca="1" si="55"/>
        <v>187573.14529412898</v>
      </c>
      <c r="AG49" s="307">
        <f t="shared" ca="1" si="55"/>
        <v>171594.76377835035</v>
      </c>
      <c r="AH49" s="307">
        <f t="shared" ca="1" si="55"/>
        <v>172602.77211552262</v>
      </c>
      <c r="AI49" s="307">
        <f t="shared" ca="1" si="55"/>
        <v>166384.07829670596</v>
      </c>
      <c r="AJ49" s="307">
        <f t="shared" ca="1" si="55"/>
        <v>169133.37018017101</v>
      </c>
      <c r="AK49" s="307">
        <f t="shared" ca="1" si="55"/>
        <v>157022.74320208115</v>
      </c>
      <c r="AL49" s="307">
        <f t="shared" ca="1" si="55"/>
        <v>157367.60743114343</v>
      </c>
      <c r="AM49" s="307">
        <f t="shared" ca="1" si="55"/>
        <v>157580.81784818618</v>
      </c>
      <c r="AN49" s="307">
        <f t="shared" ca="1" si="55"/>
        <v>159764.81498989987</v>
      </c>
    </row>
    <row r="50" spans="2:41">
      <c r="B50" s="243" t="s">
        <v>407</v>
      </c>
      <c r="C50" s="268">
        <v>-7121</v>
      </c>
      <c r="D50" s="268">
        <f ca="1">SUM(OFFSET($M50,,(COLUMNS($D50:D50)-1)*4,,4))</f>
        <v>-22558</v>
      </c>
      <c r="E50" s="268">
        <f ca="1">SUM(OFFSET($M50,,(COLUMNS($D50:E50)-1)*4,,4))</f>
        <v>-45786</v>
      </c>
      <c r="F50" s="268">
        <f ca="1">SUM(OFFSET($M50,,(COLUMNS($D50:F50)-1)*4,,4))</f>
        <v>-85556.723869877111</v>
      </c>
      <c r="G50" s="268">
        <f ca="1">SUM(OFFSET($M50,,(COLUMNS($D50:G50)-1)*4,,4))</f>
        <v>-103888.58527280322</v>
      </c>
      <c r="H50" s="268">
        <f ca="1">SUM(OFFSET($M50,,(COLUMNS($D50:H50)-1)*4,,4))</f>
        <v>-99520.121587707996</v>
      </c>
      <c r="I50" s="268">
        <f ca="1">SUM(OFFSET($M50,,(COLUMNS($D50:I50)-1)*4,,4))</f>
        <v>-89436.182154046051</v>
      </c>
      <c r="J50" s="268">
        <f ca="1">SUM(OFFSET($M50,,(COLUMNS($D50:J50)-1)*4,,4))</f>
        <v>-83123.155719909308</v>
      </c>
      <c r="M50" s="268">
        <v>-3224</v>
      </c>
      <c r="N50" s="268">
        <v>-6193</v>
      </c>
      <c r="O50" s="268">
        <v>-8654</v>
      </c>
      <c r="P50" s="268">
        <v>-4487</v>
      </c>
      <c r="Q50" s="268">
        <v>-9465</v>
      </c>
      <c r="R50" s="268">
        <v>-14613</v>
      </c>
      <c r="S50" s="268">
        <v>-9038</v>
      </c>
      <c r="T50" s="268">
        <v>-12670</v>
      </c>
      <c r="U50" s="268">
        <v>-25733</v>
      </c>
      <c r="V50" s="268">
        <v>-22170</v>
      </c>
      <c r="W50" s="268">
        <v>-18956</v>
      </c>
      <c r="X50" s="268">
        <f ca="1">-X43*X66</f>
        <v>-18697.723869877114</v>
      </c>
      <c r="Y50" s="268">
        <f t="shared" ref="Y50:AN50" ca="1" si="56">-Y43*Y66</f>
        <v>-25363.795897739965</v>
      </c>
      <c r="Z50" s="268">
        <f t="shared" ca="1" si="56"/>
        <v>-25846.004402607097</v>
      </c>
      <c r="AA50" s="268">
        <f t="shared" ca="1" si="56"/>
        <v>-27436.733839954686</v>
      </c>
      <c r="AB50" s="268">
        <f t="shared" ca="1" si="56"/>
        <v>-25242.051132501467</v>
      </c>
      <c r="AC50" s="268">
        <f t="shared" ca="1" si="56"/>
        <v>-24524.275605722611</v>
      </c>
      <c r="AD50" s="268">
        <f t="shared" ca="1" si="56"/>
        <v>-25637.776809005489</v>
      </c>
      <c r="AE50" s="268">
        <f t="shared" ca="1" si="56"/>
        <v>-24677.392160594507</v>
      </c>
      <c r="AF50" s="268">
        <f t="shared" ca="1" si="56"/>
        <v>-24680.677012385393</v>
      </c>
      <c r="AG50" s="268">
        <f t="shared" ca="1" si="56"/>
        <v>-22578.258391888205</v>
      </c>
      <c r="AH50" s="268">
        <f t="shared" ca="1" si="56"/>
        <v>-22710.891067831923</v>
      </c>
      <c r="AI50" s="268">
        <f t="shared" ca="1" si="56"/>
        <v>-21892.641881145522</v>
      </c>
      <c r="AJ50" s="268">
        <f t="shared" ca="1" si="56"/>
        <v>-22254.390813180398</v>
      </c>
      <c r="AK50" s="268">
        <f t="shared" ca="1" si="56"/>
        <v>-20660.887263431734</v>
      </c>
      <c r="AL50" s="268">
        <f t="shared" ca="1" si="56"/>
        <v>-20706.264135676771</v>
      </c>
      <c r="AM50" s="268">
        <f t="shared" ca="1" si="56"/>
        <v>-20734.318137919239</v>
      </c>
      <c r="AN50" s="268">
        <f t="shared" ca="1" si="56"/>
        <v>-21021.686182881564</v>
      </c>
    </row>
    <row r="51" spans="2:41">
      <c r="B51" s="192" t="s">
        <v>408</v>
      </c>
      <c r="C51" s="307">
        <f>C49+C50</f>
        <v>-143602</v>
      </c>
      <c r="D51" s="307">
        <f t="shared" ref="D51:E51" ca="1" si="57">D49+D50</f>
        <v>-130938</v>
      </c>
      <c r="E51" s="307">
        <f t="shared" ca="1" si="57"/>
        <v>-47165</v>
      </c>
      <c r="F51" s="307">
        <f t="shared" ref="F51:J51" ca="1" si="58">F49+F50</f>
        <v>481314.45405169489</v>
      </c>
      <c r="G51" s="307">
        <f t="shared" ca="1" si="58"/>
        <v>685664.66280050133</v>
      </c>
      <c r="H51" s="307">
        <f t="shared" ca="1" si="58"/>
        <v>656832.80247887294</v>
      </c>
      <c r="I51" s="307">
        <f t="shared" ca="1" si="58"/>
        <v>590278.80221670377</v>
      </c>
      <c r="J51" s="307">
        <f t="shared" ca="1" si="58"/>
        <v>548612.82775140135</v>
      </c>
      <c r="M51" s="307">
        <f>M49+M50</f>
        <v>-6158</v>
      </c>
      <c r="N51" s="307">
        <f t="shared" ref="N51:V51" si="59">N49+N50</f>
        <v>711</v>
      </c>
      <c r="O51" s="307">
        <f t="shared" si="59"/>
        <v>-32199</v>
      </c>
      <c r="P51" s="307">
        <f t="shared" si="59"/>
        <v>-116500</v>
      </c>
      <c r="Q51" s="307">
        <f t="shared" si="59"/>
        <v>-102953</v>
      </c>
      <c r="R51" s="307">
        <f t="shared" si="59"/>
        <v>-78806</v>
      </c>
      <c r="S51" s="307">
        <f t="shared" si="59"/>
        <v>-8075</v>
      </c>
      <c r="T51" s="307">
        <f t="shared" si="59"/>
        <v>58207</v>
      </c>
      <c r="U51" s="307">
        <f t="shared" si="59"/>
        <v>86263</v>
      </c>
      <c r="V51" s="307">
        <f t="shared" si="59"/>
        <v>122924</v>
      </c>
      <c r="W51" s="307">
        <f>W49+W50</f>
        <v>110452</v>
      </c>
      <c r="X51" s="307">
        <f ca="1">X49+X50</f>
        <v>123404.97754118894</v>
      </c>
      <c r="Y51" s="307">
        <f t="shared" ref="Y51:AN51" ca="1" si="60">Y49+Y50</f>
        <v>167401.05292508376</v>
      </c>
      <c r="Z51" s="307">
        <f t="shared" ca="1" si="60"/>
        <v>170583.62905720685</v>
      </c>
      <c r="AA51" s="307">
        <f t="shared" ca="1" si="60"/>
        <v>181082.44334370093</v>
      </c>
      <c r="AB51" s="307">
        <f t="shared" ca="1" si="60"/>
        <v>166597.53747450968</v>
      </c>
      <c r="AC51" s="307">
        <f t="shared" ca="1" si="60"/>
        <v>161860.21899776923</v>
      </c>
      <c r="AD51" s="307">
        <f t="shared" ca="1" si="60"/>
        <v>169209.3269394362</v>
      </c>
      <c r="AE51" s="307">
        <f t="shared" ca="1" si="60"/>
        <v>162870.78825992375</v>
      </c>
      <c r="AF51" s="307">
        <f t="shared" ca="1" si="60"/>
        <v>162892.46828174358</v>
      </c>
      <c r="AG51" s="307">
        <f t="shared" ca="1" si="60"/>
        <v>149016.50538646214</v>
      </c>
      <c r="AH51" s="307">
        <f t="shared" ca="1" si="60"/>
        <v>149891.88104769069</v>
      </c>
      <c r="AI51" s="307">
        <f t="shared" ca="1" si="60"/>
        <v>144491.43641556043</v>
      </c>
      <c r="AJ51" s="307">
        <f t="shared" ca="1" si="60"/>
        <v>146878.97936699062</v>
      </c>
      <c r="AK51" s="307">
        <f t="shared" ca="1" si="60"/>
        <v>136361.85593864942</v>
      </c>
      <c r="AL51" s="307">
        <f t="shared" ca="1" si="60"/>
        <v>136661.34329546668</v>
      </c>
      <c r="AM51" s="307">
        <f t="shared" ca="1" si="60"/>
        <v>136846.49971026694</v>
      </c>
      <c r="AN51" s="307">
        <f t="shared" ca="1" si="60"/>
        <v>138743.12880701831</v>
      </c>
    </row>
    <row r="52" spans="2:41">
      <c r="B52" s="192" t="s">
        <v>409</v>
      </c>
      <c r="C52" s="307">
        <f>C45+C50</f>
        <v>11193</v>
      </c>
      <c r="D52" s="307">
        <f ca="1">D45+D50</f>
        <v>-17820</v>
      </c>
      <c r="E52" s="307">
        <f t="shared" ref="E52:F52" ca="1" si="61">E45+E50</f>
        <v>78989</v>
      </c>
      <c r="F52" s="307">
        <f t="shared" ca="1" si="61"/>
        <v>481314.45405169489</v>
      </c>
      <c r="G52" s="307">
        <f t="shared" ref="G52:J52" ca="1" si="62">G45+G50</f>
        <v>685664.66280050133</v>
      </c>
      <c r="H52" s="307">
        <f t="shared" ca="1" si="62"/>
        <v>656832.80247887294</v>
      </c>
      <c r="I52" s="307">
        <f t="shared" ca="1" si="62"/>
        <v>590278.80221670377</v>
      </c>
      <c r="J52" s="307">
        <f t="shared" ca="1" si="62"/>
        <v>548612.82775140135</v>
      </c>
      <c r="M52" s="307">
        <f>M45+M50</f>
        <v>-6158</v>
      </c>
      <c r="N52" s="307">
        <f t="shared" ref="N52:W52" si="63">N45+N50</f>
        <v>711</v>
      </c>
      <c r="O52" s="307">
        <f t="shared" si="63"/>
        <v>-32199</v>
      </c>
      <c r="P52" s="307">
        <f t="shared" si="63"/>
        <v>19826</v>
      </c>
      <c r="Q52" s="307">
        <f t="shared" si="63"/>
        <v>-34117</v>
      </c>
      <c r="R52" s="307">
        <f t="shared" si="63"/>
        <v>-76217</v>
      </c>
      <c r="S52" s="307">
        <f t="shared" si="63"/>
        <v>11261</v>
      </c>
      <c r="T52" s="307">
        <f t="shared" si="63"/>
        <v>116062</v>
      </c>
      <c r="U52" s="307">
        <f t="shared" si="63"/>
        <v>102125</v>
      </c>
      <c r="V52" s="307">
        <f t="shared" si="63"/>
        <v>137468</v>
      </c>
      <c r="W52" s="307">
        <f t="shared" si="63"/>
        <v>112256</v>
      </c>
      <c r="X52" s="307">
        <f t="shared" ref="X52:AN52" ca="1" si="64">X45+X50</f>
        <v>123404.97754118894</v>
      </c>
      <c r="Y52" s="307">
        <f t="shared" ca="1" si="64"/>
        <v>167401.05292508376</v>
      </c>
      <c r="Z52" s="307">
        <f t="shared" ca="1" si="64"/>
        <v>170583.62905720685</v>
      </c>
      <c r="AA52" s="307">
        <f t="shared" ca="1" si="64"/>
        <v>181082.44334370093</v>
      </c>
      <c r="AB52" s="307">
        <f t="shared" ca="1" si="64"/>
        <v>166597.53747450968</v>
      </c>
      <c r="AC52" s="307">
        <f t="shared" ca="1" si="64"/>
        <v>161860.21899776923</v>
      </c>
      <c r="AD52" s="307">
        <f t="shared" ca="1" si="64"/>
        <v>169209.3269394362</v>
      </c>
      <c r="AE52" s="307">
        <f t="shared" ca="1" si="64"/>
        <v>162870.78825992375</v>
      </c>
      <c r="AF52" s="307">
        <f t="shared" ca="1" si="64"/>
        <v>162892.46828174358</v>
      </c>
      <c r="AG52" s="307">
        <f t="shared" ca="1" si="64"/>
        <v>149016.50538646214</v>
      </c>
      <c r="AH52" s="307">
        <f t="shared" ca="1" si="64"/>
        <v>149891.88104769069</v>
      </c>
      <c r="AI52" s="307">
        <f t="shared" ca="1" si="64"/>
        <v>144491.43641556043</v>
      </c>
      <c r="AJ52" s="307">
        <f t="shared" ca="1" si="64"/>
        <v>146878.97936699062</v>
      </c>
      <c r="AK52" s="307">
        <f t="shared" ca="1" si="64"/>
        <v>136361.85593864942</v>
      </c>
      <c r="AL52" s="307">
        <f t="shared" ca="1" si="64"/>
        <v>136661.34329546668</v>
      </c>
      <c r="AM52" s="307">
        <f t="shared" ca="1" si="64"/>
        <v>136846.49971026694</v>
      </c>
      <c r="AN52" s="307">
        <f t="shared" ca="1" si="64"/>
        <v>138743.12880701831</v>
      </c>
    </row>
    <row r="53" spans="2:41">
      <c r="B53" s="192"/>
      <c r="C53" s="268"/>
      <c r="D53" s="268"/>
      <c r="E53" s="268"/>
      <c r="F53" s="268"/>
      <c r="G53" s="268"/>
      <c r="H53" s="268"/>
      <c r="I53" s="268"/>
      <c r="J53" s="268"/>
    </row>
    <row r="54" spans="2:41">
      <c r="B54" s="156" t="s">
        <v>367</v>
      </c>
      <c r="C54" s="268">
        <f>-C33</f>
        <v>169069</v>
      </c>
      <c r="D54" s="268">
        <f t="shared" ref="D54:E54" si="65">-D33</f>
        <v>197219</v>
      </c>
      <c r="E54" s="268">
        <f t="shared" si="65"/>
        <v>260562</v>
      </c>
      <c r="F54" s="268">
        <f>-F33</f>
        <v>553407.43318522058</v>
      </c>
      <c r="G54" s="268">
        <f>-G33</f>
        <v>578252.2457434875</v>
      </c>
      <c r="H54" s="268">
        <f t="shared" ref="H54:I54" si="66">-H33</f>
        <v>540181.93935165543</v>
      </c>
      <c r="I54" s="268">
        <f t="shared" si="66"/>
        <v>491158.24083372962</v>
      </c>
      <c r="J54" s="268">
        <f>-J33</f>
        <v>480730.83331909461</v>
      </c>
      <c r="M54" s="268">
        <f>-M33</f>
        <v>36132</v>
      </c>
      <c r="N54" s="268">
        <f t="shared" ref="N54:P54" si="67">-N33</f>
        <v>51970</v>
      </c>
      <c r="O54" s="268">
        <f t="shared" si="67"/>
        <v>54509</v>
      </c>
      <c r="P54" s="268">
        <f t="shared" si="67"/>
        <v>54608</v>
      </c>
      <c r="Q54" s="268">
        <f t="shared" ref="Q54:W54" si="68">-Q33</f>
        <v>52529</v>
      </c>
      <c r="R54" s="268">
        <f t="shared" si="68"/>
        <v>43760</v>
      </c>
      <c r="S54" s="268">
        <f t="shared" si="68"/>
        <v>134795</v>
      </c>
      <c r="T54" s="268">
        <f t="shared" si="68"/>
        <v>91224</v>
      </c>
      <c r="U54" s="268">
        <f t="shared" si="68"/>
        <v>122611</v>
      </c>
      <c r="V54" s="268">
        <f t="shared" si="68"/>
        <v>158382</v>
      </c>
      <c r="W54" s="268">
        <f t="shared" si="68"/>
        <v>156614</v>
      </c>
      <c r="X54" s="268">
        <f t="shared" ref="X54:AN54" si="69">-X33</f>
        <v>119654</v>
      </c>
      <c r="Y54" s="268">
        <f t="shared" si="69"/>
        <v>155312</v>
      </c>
      <c r="Z54" s="268">
        <f t="shared" si="69"/>
        <v>153126</v>
      </c>
      <c r="AA54" s="268">
        <f t="shared" si="69"/>
        <v>125315.43318522058</v>
      </c>
      <c r="AB54" s="268">
        <f t="shared" si="69"/>
        <v>144498.81255826689</v>
      </c>
      <c r="AC54" s="268">
        <f t="shared" si="69"/>
        <v>142762.33059750148</v>
      </c>
      <c r="AD54" s="268">
        <f t="shared" si="69"/>
        <v>132298.10765367415</v>
      </c>
      <c r="AE54" s="268">
        <f t="shared" si="69"/>
        <v>132298.10765367415</v>
      </c>
      <c r="AF54" s="268">
        <f t="shared" si="69"/>
        <v>132823.39344680568</v>
      </c>
      <c r="AG54" s="268">
        <f t="shared" si="69"/>
        <v>123441.27317809708</v>
      </c>
      <c r="AH54" s="268">
        <f t="shared" si="69"/>
        <v>123441.27317809709</v>
      </c>
      <c r="AI54" s="268">
        <f t="shared" si="69"/>
        <v>123441.27317809709</v>
      </c>
      <c r="AJ54" s="268">
        <f t="shared" si="69"/>
        <v>120834.42129943834</v>
      </c>
      <c r="AK54" s="268">
        <f t="shared" si="69"/>
        <v>120834.42129943834</v>
      </c>
      <c r="AL54" s="268">
        <f t="shared" si="69"/>
        <v>120834.42129943833</v>
      </c>
      <c r="AM54" s="268">
        <f t="shared" si="69"/>
        <v>120834.42129943831</v>
      </c>
      <c r="AN54" s="268">
        <f t="shared" si="69"/>
        <v>118227.56942077958</v>
      </c>
    </row>
    <row r="55" spans="2:41">
      <c r="B55" s="157" t="s">
        <v>17</v>
      </c>
      <c r="C55" s="307">
        <f>C39+C54</f>
        <v>266092</v>
      </c>
      <c r="D55" s="307">
        <f ca="1">D39+D54</f>
        <v>356891</v>
      </c>
      <c r="E55" s="307">
        <f t="shared" ref="E55:J55" ca="1" si="70">E39+E54</f>
        <v>593102</v>
      </c>
      <c r="F55" s="307">
        <f t="shared" ca="1" si="70"/>
        <v>1393047.9354668627</v>
      </c>
      <c r="G55" s="307">
        <f t="shared" ca="1" si="70"/>
        <v>1681956.4430438848</v>
      </c>
      <c r="H55" s="307">
        <f t="shared" ca="1" si="70"/>
        <v>1600201.4998011007</v>
      </c>
      <c r="I55" s="307">
        <f t="shared" ca="1" si="70"/>
        <v>1450338.406946555</v>
      </c>
      <c r="J55" s="307">
        <f t="shared" ca="1" si="70"/>
        <v>1376780.7350905528</v>
      </c>
      <c r="M55" s="307">
        <f>M39+M54</f>
        <v>49445</v>
      </c>
      <c r="N55" s="307">
        <f t="shared" ref="N55:P55" si="71">N39+N54</f>
        <v>93819</v>
      </c>
      <c r="O55" s="307">
        <f t="shared" si="71"/>
        <v>122951</v>
      </c>
      <c r="P55" s="307">
        <f t="shared" si="71"/>
        <v>90676</v>
      </c>
      <c r="Q55" s="307">
        <f t="shared" ref="Q55" si="72">Q39+Q54</f>
        <v>61009</v>
      </c>
      <c r="R55" s="307">
        <f t="shared" ref="R55" si="73">R39+R54</f>
        <v>78641</v>
      </c>
      <c r="S55" s="307">
        <f t="shared" ref="S55" si="74">S39+S54</f>
        <v>180300</v>
      </c>
      <c r="T55" s="307">
        <f t="shared" ref="T55" si="75">T39+T54</f>
        <v>273152</v>
      </c>
      <c r="U55" s="307">
        <f t="shared" ref="U55" si="76">U39+U54</f>
        <v>307836</v>
      </c>
      <c r="V55" s="307">
        <f t="shared" ref="V55" si="77">V39+V54</f>
        <v>395900</v>
      </c>
      <c r="W55" s="307">
        <f t="shared" ref="W55" si="78">W39+W54</f>
        <v>366467</v>
      </c>
      <c r="X55" s="307">
        <f t="shared" ref="X55" si="79">X39+X54</f>
        <v>322844.9354668624</v>
      </c>
      <c r="Y55" s="307">
        <f t="shared" ref="Y55" ca="1" si="80">Y39+Y54</f>
        <v>425154.54512049089</v>
      </c>
      <c r="Z55" s="307">
        <f t="shared" ref="Z55" ca="1" si="81">Z39+Z54</f>
        <v>427790.63016916224</v>
      </c>
      <c r="AA55" s="307">
        <f t="shared" ref="AA55" ca="1" si="82">AA39+AA54</f>
        <v>415887.3577278587</v>
      </c>
      <c r="AB55" s="307">
        <f t="shared" ref="AB55" ca="1" si="83">AB39+AB54</f>
        <v>413123.91002637276</v>
      </c>
      <c r="AC55" s="307">
        <f t="shared" ref="AC55" ca="1" si="84">AC39+AC54</f>
        <v>404209.67279781884</v>
      </c>
      <c r="AD55" s="307">
        <f t="shared" ref="AD55" ca="1" si="85">AD39+AD54</f>
        <v>404880.46188682027</v>
      </c>
      <c r="AE55" s="307">
        <f t="shared" ref="AE55" ca="1" si="86">AE39+AE54</f>
        <v>395276.61540271045</v>
      </c>
      <c r="AF55" s="307">
        <f t="shared" ref="AF55" ca="1" si="87">AF39+AF54</f>
        <v>395834.74971375091</v>
      </c>
      <c r="AG55" s="307">
        <f t="shared" ref="AG55" ca="1" si="88">AG39+AG54</f>
        <v>365428.44324007037</v>
      </c>
      <c r="AH55" s="307">
        <f t="shared" ref="AH55" ca="1" si="89">AH39+AH54</f>
        <v>366754.76999950758</v>
      </c>
      <c r="AI55" s="307">
        <f t="shared" ref="AI55" ca="1" si="90">AI39+AI54</f>
        <v>358572.27813264355</v>
      </c>
      <c r="AJ55" s="307">
        <f t="shared" ref="AJ55" ca="1" si="91">AJ39+AJ54</f>
        <v>359582.91557433357</v>
      </c>
      <c r="AK55" s="307">
        <f t="shared" ref="AK55" ca="1" si="92">AK39+AK54</f>
        <v>343647.88007684692</v>
      </c>
      <c r="AL55" s="307">
        <f t="shared" ref="AL55" ca="1" si="93">AL39+AL54</f>
        <v>344101.64879929728</v>
      </c>
      <c r="AM55" s="307">
        <f t="shared" ref="AM55" ca="1" si="94">AM39+AM54</f>
        <v>344382.18882172194</v>
      </c>
      <c r="AN55" s="307">
        <f t="shared" ref="AN55" ca="1" si="95">AN39+AN54</f>
        <v>344649.01739268645</v>
      </c>
    </row>
    <row r="56" spans="2:41">
      <c r="B56" s="174" t="s">
        <v>344</v>
      </c>
      <c r="C56" s="268">
        <f t="shared" ref="C56:J56" si="96">-C37</f>
        <v>23747</v>
      </c>
      <c r="D56" s="268">
        <f t="shared" ca="1" si="96"/>
        <v>21042</v>
      </c>
      <c r="E56" s="268">
        <f t="shared" ca="1" si="96"/>
        <v>18767</v>
      </c>
      <c r="F56" s="268">
        <f t="shared" ca="1" si="96"/>
        <v>33126.126589487678</v>
      </c>
      <c r="G56" s="268">
        <f t="shared" ca="1" si="96"/>
        <v>45169.246966923558</v>
      </c>
      <c r="H56" s="268">
        <f t="shared" ca="1" si="96"/>
        <v>50349.455099116618</v>
      </c>
      <c r="I56" s="268">
        <f t="shared" ca="1" si="96"/>
        <v>33418.506696373945</v>
      </c>
      <c r="J56" s="268">
        <f t="shared" ca="1" si="96"/>
        <v>22585.560445174186</v>
      </c>
      <c r="M56" s="168">
        <f>-M37</f>
        <v>2600</v>
      </c>
      <c r="N56" s="168">
        <f t="shared" ref="N56:W56" si="97">-N37</f>
        <v>4385</v>
      </c>
      <c r="O56" s="168">
        <f t="shared" si="97"/>
        <v>5238</v>
      </c>
      <c r="P56" s="168">
        <f t="shared" si="97"/>
        <v>8819</v>
      </c>
      <c r="Q56" s="168">
        <f t="shared" si="97"/>
        <v>1623</v>
      </c>
      <c r="R56" s="168">
        <f t="shared" si="97"/>
        <v>4942</v>
      </c>
      <c r="S56" s="168">
        <f t="shared" si="97"/>
        <v>7117</v>
      </c>
      <c r="T56" s="168">
        <f t="shared" si="97"/>
        <v>5085</v>
      </c>
      <c r="U56" s="168">
        <f t="shared" si="97"/>
        <v>7955</v>
      </c>
      <c r="V56" s="168">
        <f t="shared" si="97"/>
        <v>9839</v>
      </c>
      <c r="W56" s="168">
        <f t="shared" si="97"/>
        <v>7281</v>
      </c>
      <c r="X56" s="168">
        <f t="shared" ref="X56:AN56" si="98">-X37</f>
        <v>8051.126589487676</v>
      </c>
      <c r="Y56" s="168">
        <f t="shared" ca="1" si="98"/>
        <v>9773.0216316213173</v>
      </c>
      <c r="Z56" s="168">
        <f t="shared" ca="1" si="98"/>
        <v>10182.352878541149</v>
      </c>
      <c r="AA56" s="168">
        <f t="shared" ca="1" si="98"/>
        <v>11225.212377637574</v>
      </c>
      <c r="AB56" s="168">
        <f t="shared" ca="1" si="98"/>
        <v>13988.660079123521</v>
      </c>
      <c r="AC56" s="168">
        <f t="shared" ca="1" si="98"/>
        <v>13522.358997915091</v>
      </c>
      <c r="AD56" s="168">
        <f t="shared" ca="1" si="98"/>
        <v>12851.56990891372</v>
      </c>
      <c r="AE56" s="168">
        <f t="shared" ca="1" si="98"/>
        <v>12266.830251664054</v>
      </c>
      <c r="AF56" s="168">
        <f t="shared" ca="1" si="98"/>
        <v>11708.695940623751</v>
      </c>
      <c r="AG56" s="168">
        <f t="shared" ca="1" si="98"/>
        <v>10183.762874583956</v>
      </c>
      <c r="AH56" s="168">
        <f t="shared" ca="1" si="98"/>
        <v>8857.4361151468802</v>
      </c>
      <c r="AI56" s="168">
        <f t="shared" ca="1" si="98"/>
        <v>7693.9725741665816</v>
      </c>
      <c r="AJ56" s="168">
        <f t="shared" ca="1" si="98"/>
        <v>6683.3351324765254</v>
      </c>
      <c r="AK56" s="168">
        <f t="shared" ca="1" si="98"/>
        <v>6193.6938070847918</v>
      </c>
      <c r="AL56" s="168">
        <f t="shared" ca="1" si="98"/>
        <v>5739.9250846344175</v>
      </c>
      <c r="AM56" s="168">
        <f t="shared" ca="1" si="98"/>
        <v>5459.385062209798</v>
      </c>
      <c r="AN56" s="168">
        <f t="shared" ca="1" si="98"/>
        <v>5192.5564912451773</v>
      </c>
    </row>
    <row r="57" spans="2:41">
      <c r="B57" s="157" t="s">
        <v>368</v>
      </c>
      <c r="C57" s="307">
        <f t="shared" ref="C57:J57" si="99">SUM(C55:C56)</f>
        <v>289839</v>
      </c>
      <c r="D57" s="307">
        <f t="shared" ca="1" si="99"/>
        <v>377933</v>
      </c>
      <c r="E57" s="307">
        <f t="shared" ca="1" si="99"/>
        <v>611869</v>
      </c>
      <c r="F57" s="307">
        <f t="shared" ca="1" si="99"/>
        <v>1426174.0620563505</v>
      </c>
      <c r="G57" s="307">
        <f t="shared" ca="1" si="99"/>
        <v>1727125.6900108084</v>
      </c>
      <c r="H57" s="307">
        <f t="shared" ca="1" si="99"/>
        <v>1650550.9549002172</v>
      </c>
      <c r="I57" s="307">
        <f t="shared" ca="1" si="99"/>
        <v>1483756.9136429289</v>
      </c>
      <c r="J57" s="307">
        <f t="shared" ca="1" si="99"/>
        <v>1399366.2955357269</v>
      </c>
      <c r="M57" s="307">
        <f>M55+M56</f>
        <v>52045</v>
      </c>
      <c r="N57" s="307">
        <f t="shared" ref="N57:W57" si="100">N55+N56</f>
        <v>98204</v>
      </c>
      <c r="O57" s="307">
        <f t="shared" si="100"/>
        <v>128189</v>
      </c>
      <c r="P57" s="307">
        <f t="shared" si="100"/>
        <v>99495</v>
      </c>
      <c r="Q57" s="307">
        <f t="shared" si="100"/>
        <v>62632</v>
      </c>
      <c r="R57" s="307">
        <f t="shared" si="100"/>
        <v>83583</v>
      </c>
      <c r="S57" s="307">
        <f t="shared" si="100"/>
        <v>187417</v>
      </c>
      <c r="T57" s="307">
        <f t="shared" si="100"/>
        <v>278237</v>
      </c>
      <c r="U57" s="307">
        <f t="shared" si="100"/>
        <v>315791</v>
      </c>
      <c r="V57" s="307">
        <f t="shared" si="100"/>
        <v>405739</v>
      </c>
      <c r="W57" s="307">
        <f t="shared" si="100"/>
        <v>373748</v>
      </c>
      <c r="X57" s="307">
        <f t="shared" ref="X57" si="101">X55+X56</f>
        <v>330896.06205635006</v>
      </c>
      <c r="Y57" s="307">
        <f t="shared" ref="Y57" ca="1" si="102">Y55+Y56</f>
        <v>434927.56675211218</v>
      </c>
      <c r="Z57" s="307">
        <f t="shared" ref="Z57" ca="1" si="103">Z55+Z56</f>
        <v>437972.9830477034</v>
      </c>
      <c r="AA57" s="307">
        <f t="shared" ref="AA57" ca="1" si="104">AA55+AA56</f>
        <v>427112.57010549627</v>
      </c>
      <c r="AB57" s="307">
        <f t="shared" ref="AB57" ca="1" si="105">AB55+AB56</f>
        <v>427112.57010549627</v>
      </c>
      <c r="AC57" s="307">
        <f t="shared" ref="AC57" ca="1" si="106">AC55+AC56</f>
        <v>417732.03179573396</v>
      </c>
      <c r="AD57" s="307">
        <f t="shared" ref="AD57" ca="1" si="107">AD55+AD56</f>
        <v>417732.03179573396</v>
      </c>
      <c r="AE57" s="307">
        <f t="shared" ref="AE57" ca="1" si="108">AE55+AE56</f>
        <v>407543.44565437449</v>
      </c>
      <c r="AF57" s="307">
        <f t="shared" ref="AF57" ca="1" si="109">AF55+AF56</f>
        <v>407543.44565437466</v>
      </c>
      <c r="AG57" s="307">
        <f t="shared" ref="AG57" ca="1" si="110">AG55+AG56</f>
        <v>375612.20611465431</v>
      </c>
      <c r="AH57" s="307">
        <f t="shared" ref="AH57" ca="1" si="111">AH55+AH56</f>
        <v>375612.20611465449</v>
      </c>
      <c r="AI57" s="307">
        <f t="shared" ref="AI57" ca="1" si="112">AI55+AI56</f>
        <v>366266.25070681015</v>
      </c>
      <c r="AJ57" s="307">
        <f t="shared" ref="AJ57" ca="1" si="113">AJ55+AJ56</f>
        <v>366266.2507068101</v>
      </c>
      <c r="AK57" s="307">
        <f t="shared" ref="AK57" ca="1" si="114">AK55+AK56</f>
        <v>349841.57388393173</v>
      </c>
      <c r="AL57" s="307">
        <f t="shared" ref="AL57" ca="1" si="115">AL55+AL56</f>
        <v>349841.57388393168</v>
      </c>
      <c r="AM57" s="307">
        <f t="shared" ref="AM57" ca="1" si="116">AM55+AM56</f>
        <v>349841.57388393173</v>
      </c>
      <c r="AN57" s="307">
        <f t="shared" ref="AN57" ca="1" si="117">AN55+AN56</f>
        <v>349841.57388393162</v>
      </c>
    </row>
    <row r="58" spans="2:41">
      <c r="P58" s="168"/>
      <c r="Q58" s="168"/>
    </row>
    <row r="59" spans="2:41">
      <c r="B59" s="311" t="s">
        <v>412</v>
      </c>
      <c r="P59" s="168"/>
      <c r="Q59" s="168"/>
      <c r="R59" s="168"/>
      <c r="S59" s="168"/>
      <c r="T59" s="168"/>
      <c r="U59" s="168"/>
      <c r="V59" s="168"/>
      <c r="W59" s="168"/>
    </row>
    <row r="60" spans="2:41">
      <c r="B60" s="304" t="s">
        <v>341</v>
      </c>
      <c r="D60" s="259">
        <f t="shared" ref="D60:J60" ca="1" si="118">D19/C19-1</f>
        <v>0.17875224248195054</v>
      </c>
      <c r="E60" s="259">
        <f t="shared" ca="1" si="118"/>
        <v>0.60667711375936251</v>
      </c>
      <c r="F60" s="259">
        <f t="shared" ca="1" si="118"/>
        <v>0.89087600370084541</v>
      </c>
      <c r="G60" s="259">
        <f t="shared" ca="1" si="118"/>
        <v>0.14446395702930248</v>
      </c>
      <c r="H60" s="259">
        <f t="shared" ca="1" si="118"/>
        <v>-4.3498952485031994E-2</v>
      </c>
      <c r="I60" s="259">
        <f t="shared" ca="1" si="118"/>
        <v>-0.13079001570131266</v>
      </c>
      <c r="J60" s="259">
        <f t="shared" ca="1" si="118"/>
        <v>-6.1227476307911921E-2</v>
      </c>
      <c r="Q60" s="259">
        <f t="shared" ref="Q60:W60" si="119">Q19/M19-1</f>
        <v>0.49574383715550852</v>
      </c>
      <c r="R60" s="259">
        <f t="shared" si="119"/>
        <v>-4.4627594349298638E-2</v>
      </c>
      <c r="S60" s="259">
        <f t="shared" si="119"/>
        <v>0.62683133052990736</v>
      </c>
      <c r="T60" s="259">
        <f t="shared" si="119"/>
        <v>1.2277594827655616</v>
      </c>
      <c r="U60" s="259">
        <f t="shared" si="119"/>
        <v>1.8092488103180879</v>
      </c>
      <c r="V60" s="259">
        <f t="shared" si="119"/>
        <v>2.5949155696365604</v>
      </c>
      <c r="W60" s="259">
        <f t="shared" si="119"/>
        <v>0.59070138603023192</v>
      </c>
      <c r="X60" s="259">
        <f t="shared" ref="X60:AN60" si="120">X19/T19-1</f>
        <v>0.1057720903018371</v>
      </c>
      <c r="Y60" s="259">
        <f t="shared" ca="1" si="120"/>
        <v>0.2138700743299593</v>
      </c>
      <c r="Z60" s="259">
        <f t="shared" ca="1" si="120"/>
        <v>4.188379626577432E-2</v>
      </c>
      <c r="AA60" s="259">
        <f t="shared" ca="1" si="120"/>
        <v>0.102418322320591</v>
      </c>
      <c r="AB60" s="259">
        <f t="shared" ca="1" si="120"/>
        <v>0.24618221985636368</v>
      </c>
      <c r="AC60" s="259">
        <f t="shared" ca="1" si="120"/>
        <v>-3.3334220616621613E-2</v>
      </c>
      <c r="AD60" s="259">
        <f t="shared" ca="1" si="120"/>
        <v>-4.9605922243655454E-2</v>
      </c>
      <c r="AE60" s="259">
        <f t="shared" ca="1" si="120"/>
        <v>-4.5499472935527918E-2</v>
      </c>
      <c r="AF60" s="259">
        <f t="shared" ca="1" si="120"/>
        <v>-4.5499472935527918E-2</v>
      </c>
      <c r="AG60" s="259">
        <f t="shared" ca="1" si="120"/>
        <v>-0.13023936002548198</v>
      </c>
      <c r="AH60" s="259">
        <f t="shared" ca="1" si="120"/>
        <v>-0.13023936002548187</v>
      </c>
      <c r="AI60" s="259">
        <f t="shared" ca="1" si="120"/>
        <v>-0.13135443776903888</v>
      </c>
      <c r="AJ60" s="259">
        <f t="shared" ca="1" si="120"/>
        <v>-0.13135443776903888</v>
      </c>
      <c r="AK60" s="259">
        <f t="shared" ca="1" si="120"/>
        <v>-7.3263021483451429E-2</v>
      </c>
      <c r="AL60" s="259">
        <f t="shared" ca="1" si="120"/>
        <v>-7.326302148345154E-2</v>
      </c>
      <c r="AM60" s="259">
        <f t="shared" ca="1" si="120"/>
        <v>-4.8875206259331838E-2</v>
      </c>
      <c r="AN60" s="259">
        <f t="shared" ca="1" si="120"/>
        <v>-4.887520625933206E-2</v>
      </c>
      <c r="AO60" s="259"/>
    </row>
    <row r="61" spans="2:41">
      <c r="B61" s="304" t="s">
        <v>342</v>
      </c>
      <c r="C61" s="309">
        <f t="shared" ref="C61:J61" si="121">C35/C19</f>
        <v>0.20608093281929685</v>
      </c>
      <c r="D61" s="309">
        <f t="shared" ca="1" si="121"/>
        <v>0.23830540484740589</v>
      </c>
      <c r="E61" s="309">
        <f t="shared" ca="1" si="121"/>
        <v>0.26682662599570822</v>
      </c>
      <c r="F61" s="309">
        <f t="shared" ca="1" si="121"/>
        <v>0.35308252373874444</v>
      </c>
      <c r="G61" s="309">
        <f t="shared" ca="1" si="121"/>
        <v>0.40578881611163925</v>
      </c>
      <c r="H61" s="309">
        <f t="shared" ca="1" si="121"/>
        <v>0.40968000562161316</v>
      </c>
      <c r="I61" s="309">
        <f t="shared" ca="1" si="121"/>
        <v>0.42039518428367528</v>
      </c>
      <c r="J61" s="309">
        <f t="shared" ca="1" si="121"/>
        <v>0.41491205235284961</v>
      </c>
      <c r="M61" s="309">
        <f>M35/M19</f>
        <v>0.17404665917652501</v>
      </c>
      <c r="N61" s="309">
        <f>N35/N19</f>
        <v>0.24183232970629664</v>
      </c>
      <c r="O61" s="309">
        <f>O35/O19</f>
        <v>0.31315565000074824</v>
      </c>
      <c r="P61" s="309">
        <f>P35/P19</f>
        <v>0.1937898050708943</v>
      </c>
      <c r="Q61" s="309">
        <f t="shared" ref="Q61:W61" si="122">Q35/Q19</f>
        <v>7.3643188214968999E-2</v>
      </c>
      <c r="R61" s="309">
        <f t="shared" si="122"/>
        <v>0.22267285679522475</v>
      </c>
      <c r="S61" s="309">
        <f t="shared" si="122"/>
        <v>0.13481541444074704</v>
      </c>
      <c r="T61" s="309">
        <f>T35/T19</f>
        <v>0.35471139615194869</v>
      </c>
      <c r="U61" s="309">
        <f t="shared" si="122"/>
        <v>0.3372156302690188</v>
      </c>
      <c r="V61" s="309">
        <f t="shared" si="122"/>
        <v>0.35719632717745337</v>
      </c>
      <c r="W61" s="309">
        <f t="shared" si="122"/>
        <v>0.33537564749985183</v>
      </c>
      <c r="X61" s="309">
        <f t="shared" ref="X61:AN61" si="123">X35/X19</f>
        <v>0.3782219317200976</v>
      </c>
      <c r="Y61" s="309">
        <f t="shared" ca="1" si="123"/>
        <v>0.39530479508242572</v>
      </c>
      <c r="Z61" s="309">
        <f t="shared" ca="1" si="123"/>
        <v>0.3958705617171801</v>
      </c>
      <c r="AA61" s="309">
        <f t="shared" ca="1" si="123"/>
        <v>0.42877790468588561</v>
      </c>
      <c r="AB61" s="309">
        <f t="shared" ca="1" si="123"/>
        <v>0.40362074855599056</v>
      </c>
      <c r="AC61" s="309">
        <f t="shared" ca="1" si="123"/>
        <v>0.40157106142687171</v>
      </c>
      <c r="AD61" s="309">
        <f t="shared" ca="1" si="123"/>
        <v>0.41559736956412141</v>
      </c>
      <c r="AE61" s="309">
        <f t="shared" ca="1" si="123"/>
        <v>0.41116403984177413</v>
      </c>
      <c r="AF61" s="309">
        <f t="shared" ca="1" si="123"/>
        <v>0.41044234115999101</v>
      </c>
      <c r="AG61" s="309">
        <f t="shared" ca="1" si="123"/>
        <v>0.42162583350072541</v>
      </c>
      <c r="AH61" s="309">
        <f t="shared" ca="1" si="123"/>
        <v>0.42162583350072552</v>
      </c>
      <c r="AI61" s="309">
        <f t="shared" ca="1" si="123"/>
        <v>0.41707055143223615</v>
      </c>
      <c r="AJ61" s="309">
        <f t="shared" ca="1" si="123"/>
        <v>0.42119374768959073</v>
      </c>
      <c r="AK61" s="309">
        <f t="shared" ca="1" si="123"/>
        <v>0.41382828388090731</v>
      </c>
      <c r="AL61" s="309">
        <f t="shared" ca="1" si="123"/>
        <v>0.41382828388090731</v>
      </c>
      <c r="AM61" s="309">
        <f t="shared" ca="1" si="123"/>
        <v>0.41382828388090742</v>
      </c>
      <c r="AN61" s="309">
        <f t="shared" ca="1" si="123"/>
        <v>0.41816335776867614</v>
      </c>
      <c r="AO61" s="309"/>
    </row>
    <row r="62" spans="2:41">
      <c r="B62" s="243" t="s">
        <v>18</v>
      </c>
      <c r="C62" s="309">
        <f t="shared" ref="C62:J62" si="124">C55/C19</f>
        <v>0.35386597903869504</v>
      </c>
      <c r="D62" s="309">
        <f t="shared" ca="1" si="124"/>
        <v>0.40264291137683883</v>
      </c>
      <c r="E62" s="309">
        <f t="shared" ca="1" si="124"/>
        <v>0.41647145730111113</v>
      </c>
      <c r="F62" s="309">
        <f t="shared" ca="1" si="124"/>
        <v>0.5173195183871957</v>
      </c>
      <c r="G62" s="309">
        <f t="shared" ca="1" si="124"/>
        <v>0.54576468303133585</v>
      </c>
      <c r="H62" s="309">
        <f t="shared" ca="1" si="124"/>
        <v>0.54285008091927489</v>
      </c>
      <c r="I62" s="309">
        <f t="shared" ca="1" si="124"/>
        <v>0.56604358823352396</v>
      </c>
      <c r="J62" s="309">
        <f t="shared" ca="1" si="124"/>
        <v>0.57238064259955801</v>
      </c>
      <c r="M62" s="309">
        <f>M55/M19</f>
        <v>0.32677945938801134</v>
      </c>
      <c r="N62" s="309">
        <f t="shared" ref="N62:W62" si="125">N55/N19</f>
        <v>0.42767275528670606</v>
      </c>
      <c r="O62" s="309">
        <f t="shared" si="125"/>
        <v>0.45998757912694732</v>
      </c>
      <c r="P62" s="309">
        <f t="shared" si="125"/>
        <v>0.36504319680512726</v>
      </c>
      <c r="Q62" s="309">
        <f t="shared" si="125"/>
        <v>0.26956844481952624</v>
      </c>
      <c r="R62" s="309">
        <f t="shared" si="125"/>
        <v>0.37522962482286087</v>
      </c>
      <c r="S62" s="309">
        <f t="shared" si="125"/>
        <v>0.41463622168204783</v>
      </c>
      <c r="T62" s="309">
        <f t="shared" si="125"/>
        <v>0.49361459129589369</v>
      </c>
      <c r="U62" s="309">
        <f t="shared" si="125"/>
        <v>0.48417721518987344</v>
      </c>
      <c r="V62" s="309">
        <f t="shared" si="125"/>
        <v>0.52546633644180052</v>
      </c>
      <c r="W62" s="309">
        <f t="shared" si="125"/>
        <v>0.52980704034558379</v>
      </c>
      <c r="X62" s="309">
        <f t="shared" ref="X62:AN62" si="126">X55/X19</f>
        <v>0.52760871193441439</v>
      </c>
      <c r="Y62" s="309">
        <f t="shared" ca="1" si="126"/>
        <v>0.55088324350982432</v>
      </c>
      <c r="Z62" s="309">
        <f t="shared" ca="1" si="126"/>
        <v>0.5449684760776754</v>
      </c>
      <c r="AA62" s="309">
        <f t="shared" ca="1" si="126"/>
        <v>0.54539625096033506</v>
      </c>
      <c r="AB62" s="309">
        <f t="shared" ca="1" si="126"/>
        <v>0.54177225521218431</v>
      </c>
      <c r="AC62" s="309">
        <f t="shared" ca="1" si="126"/>
        <v>0.5418051061367567</v>
      </c>
      <c r="AD62" s="309">
        <f t="shared" ca="1" si="126"/>
        <v>0.54270423591523576</v>
      </c>
      <c r="AE62" s="309">
        <f t="shared" ca="1" si="126"/>
        <v>0.54307696116288762</v>
      </c>
      <c r="AF62" s="309">
        <f t="shared" ca="1" si="126"/>
        <v>0.5438437909568834</v>
      </c>
      <c r="AG62" s="309">
        <f t="shared" ca="1" si="126"/>
        <v>0.56316932203591397</v>
      </c>
      <c r="AH62" s="309">
        <f t="shared" ca="1" si="126"/>
        <v>0.5652133516010116</v>
      </c>
      <c r="AI62" s="309">
        <f t="shared" ca="1" si="126"/>
        <v>0.56714533238012177</v>
      </c>
      <c r="AJ62" s="309">
        <f t="shared" ca="1" si="126"/>
        <v>0.56874383383363081</v>
      </c>
      <c r="AK62" s="309">
        <f t="shared" ca="1" si="126"/>
        <v>0.57147050191234527</v>
      </c>
      <c r="AL62" s="309">
        <f t="shared" ca="1" si="126"/>
        <v>0.5722250982727618</v>
      </c>
      <c r="AM62" s="309">
        <f t="shared" ca="1" si="126"/>
        <v>0.57269162333145174</v>
      </c>
      <c r="AN62" s="309">
        <f t="shared" ca="1" si="126"/>
        <v>0.57313534688167289</v>
      </c>
      <c r="AO62" s="309"/>
    </row>
    <row r="63" spans="2:41">
      <c r="B63" s="243" t="s">
        <v>343</v>
      </c>
      <c r="C63" s="309">
        <f>-C36/C19</f>
        <v>3.5338456853250919E-2</v>
      </c>
      <c r="D63" s="309">
        <f ca="1">-D36/D19</f>
        <v>2.3263396478449768E-2</v>
      </c>
      <c r="E63" s="309">
        <f ca="1">-E36/E19</f>
        <v>1.6674952531823339E-2</v>
      </c>
      <c r="F63" s="309">
        <f t="shared" ref="F63:J63" ca="1" si="127">-F36/F19</f>
        <v>1.913498091754022E-2</v>
      </c>
      <c r="G63" s="309">
        <f t="shared" ca="1" si="127"/>
        <v>0.02</v>
      </c>
      <c r="H63" s="309">
        <f t="shared" ca="1" si="127"/>
        <v>0.02</v>
      </c>
      <c r="I63" s="309">
        <f t="shared" ca="1" si="127"/>
        <v>0.02</v>
      </c>
      <c r="J63" s="309">
        <f t="shared" ca="1" si="127"/>
        <v>0.02</v>
      </c>
      <c r="M63" s="309">
        <f>-M36/M19</f>
        <v>4.0056836957240105E-2</v>
      </c>
      <c r="N63" s="309">
        <f t="shared" ref="N63:W63" si="128">-N36/N19</f>
        <v>2.3444302118329222E-2</v>
      </c>
      <c r="O63" s="309">
        <f t="shared" si="128"/>
        <v>2.3068404591233556E-2</v>
      </c>
      <c r="P63" s="309">
        <f t="shared" si="128"/>
        <v>1.3083841254760505E-2</v>
      </c>
      <c r="Q63" s="309">
        <f t="shared" si="128"/>
        <v>2.3113188789374385E-2</v>
      </c>
      <c r="R63" s="309">
        <f t="shared" si="128"/>
        <v>2.4090924272715562E-2</v>
      </c>
      <c r="S63" s="309">
        <f t="shared" si="128"/>
        <v>1.1730778518026211E-2</v>
      </c>
      <c r="T63" s="309">
        <f t="shared" si="128"/>
        <v>1.5118247974686061E-2</v>
      </c>
      <c r="U63" s="309">
        <f t="shared" si="128"/>
        <v>1.7944547902458665E-2</v>
      </c>
      <c r="V63" s="309">
        <f t="shared" si="128"/>
        <v>2.1090326057237208E-2</v>
      </c>
      <c r="W63" s="309">
        <f t="shared" si="128"/>
        <v>1.7334129440696025E-2</v>
      </c>
      <c r="X63" s="241">
        <v>0.02</v>
      </c>
      <c r="Y63" s="241">
        <f>X63</f>
        <v>0.02</v>
      </c>
      <c r="Z63" s="241">
        <f t="shared" ref="Z63:AN63" si="129">Y63</f>
        <v>0.02</v>
      </c>
      <c r="AA63" s="241">
        <f t="shared" si="129"/>
        <v>0.02</v>
      </c>
      <c r="AB63" s="241">
        <f t="shared" si="129"/>
        <v>0.02</v>
      </c>
      <c r="AC63" s="241">
        <f t="shared" si="129"/>
        <v>0.02</v>
      </c>
      <c r="AD63" s="241">
        <f t="shared" si="129"/>
        <v>0.02</v>
      </c>
      <c r="AE63" s="241">
        <f t="shared" si="129"/>
        <v>0.02</v>
      </c>
      <c r="AF63" s="241">
        <f t="shared" si="129"/>
        <v>0.02</v>
      </c>
      <c r="AG63" s="241">
        <f t="shared" si="129"/>
        <v>0.02</v>
      </c>
      <c r="AH63" s="241">
        <f t="shared" si="129"/>
        <v>0.02</v>
      </c>
      <c r="AI63" s="241">
        <f t="shared" si="129"/>
        <v>0.02</v>
      </c>
      <c r="AJ63" s="241">
        <f t="shared" si="129"/>
        <v>0.02</v>
      </c>
      <c r="AK63" s="241">
        <f t="shared" si="129"/>
        <v>0.02</v>
      </c>
      <c r="AL63" s="241">
        <f t="shared" si="129"/>
        <v>0.02</v>
      </c>
      <c r="AM63" s="241">
        <f t="shared" si="129"/>
        <v>0.02</v>
      </c>
      <c r="AN63" s="241">
        <f t="shared" si="129"/>
        <v>0.02</v>
      </c>
      <c r="AO63" s="241"/>
    </row>
    <row r="64" spans="2:41">
      <c r="B64" s="243" t="s">
        <v>392</v>
      </c>
      <c r="C64" s="309">
        <f>-C38/C19</f>
        <v>1.0134888032161414E-2</v>
      </c>
      <c r="D64" s="309">
        <f t="shared" ref="D64:J64" ca="1" si="130">-D38/D19</f>
        <v>1.116124060918058E-2</v>
      </c>
      <c r="E64" s="309">
        <f t="shared" ca="1" si="130"/>
        <v>3.4667217185165213E-3</v>
      </c>
      <c r="F64" s="309">
        <f t="shared" ca="1" si="130"/>
        <v>9.838658541701701E-3</v>
      </c>
      <c r="G64" s="309">
        <f t="shared" ca="1" si="130"/>
        <v>1.2999999999999998E-2</v>
      </c>
      <c r="H64" s="309">
        <f t="shared" ca="1" si="130"/>
        <v>1.2999999999999998E-2</v>
      </c>
      <c r="I64" s="309">
        <f t="shared" ca="1" si="130"/>
        <v>1.2999999999999999E-2</v>
      </c>
      <c r="J64" s="309">
        <f t="shared" ca="1" si="130"/>
        <v>1.2999999999999998E-2</v>
      </c>
      <c r="M64" s="309">
        <f>-M37/M19</f>
        <v>1.7183266142356751E-2</v>
      </c>
      <c r="N64" s="309">
        <f t="shared" ref="N64:W64" si="131">-N37/N19</f>
        <v>1.9988968459823769E-2</v>
      </c>
      <c r="O64" s="309">
        <f t="shared" si="131"/>
        <v>1.9596546099396914E-2</v>
      </c>
      <c r="P64" s="309">
        <f t="shared" si="131"/>
        <v>3.5503506469456277E-2</v>
      </c>
      <c r="Q64" s="309">
        <f t="shared" si="131"/>
        <v>7.1712302437688061E-3</v>
      </c>
      <c r="R64" s="309">
        <f t="shared" si="131"/>
        <v>2.3580381809419747E-2</v>
      </c>
      <c r="S64" s="309">
        <f t="shared" si="131"/>
        <v>1.6366977203056764E-2</v>
      </c>
      <c r="T64" s="309">
        <f t="shared" si="131"/>
        <v>9.1891335107911337E-3</v>
      </c>
      <c r="U64" s="309">
        <f t="shared" si="131"/>
        <v>1.2511953594886377E-2</v>
      </c>
      <c r="V64" s="309">
        <f t="shared" si="131"/>
        <v>1.3059013094849395E-2</v>
      </c>
      <c r="W64" s="309">
        <f t="shared" si="131"/>
        <v>1.0526254917240014E-2</v>
      </c>
      <c r="X64" s="241">
        <v>1.2999999999999999E-2</v>
      </c>
      <c r="Y64" s="241">
        <f>X64</f>
        <v>1.2999999999999999E-2</v>
      </c>
      <c r="Z64" s="241">
        <f t="shared" ref="Z64:AN64" si="132">Y64</f>
        <v>1.2999999999999999E-2</v>
      </c>
      <c r="AA64" s="241">
        <f t="shared" si="132"/>
        <v>1.2999999999999999E-2</v>
      </c>
      <c r="AB64" s="241">
        <f t="shared" si="132"/>
        <v>1.2999999999999999E-2</v>
      </c>
      <c r="AC64" s="241">
        <f t="shared" si="132"/>
        <v>1.2999999999999999E-2</v>
      </c>
      <c r="AD64" s="241">
        <f t="shared" si="132"/>
        <v>1.2999999999999999E-2</v>
      </c>
      <c r="AE64" s="241">
        <f t="shared" si="132"/>
        <v>1.2999999999999999E-2</v>
      </c>
      <c r="AF64" s="241">
        <f t="shared" si="132"/>
        <v>1.2999999999999999E-2</v>
      </c>
      <c r="AG64" s="241">
        <f t="shared" si="132"/>
        <v>1.2999999999999999E-2</v>
      </c>
      <c r="AH64" s="241">
        <f t="shared" si="132"/>
        <v>1.2999999999999999E-2</v>
      </c>
      <c r="AI64" s="241">
        <f t="shared" si="132"/>
        <v>1.2999999999999999E-2</v>
      </c>
      <c r="AJ64" s="241">
        <f t="shared" si="132"/>
        <v>1.2999999999999999E-2</v>
      </c>
      <c r="AK64" s="241">
        <f t="shared" si="132"/>
        <v>1.2999999999999999E-2</v>
      </c>
      <c r="AL64" s="241">
        <f t="shared" si="132"/>
        <v>1.2999999999999999E-2</v>
      </c>
      <c r="AM64" s="241">
        <f t="shared" si="132"/>
        <v>1.2999999999999999E-2</v>
      </c>
      <c r="AN64" s="241">
        <f t="shared" si="132"/>
        <v>1.2999999999999999E-2</v>
      </c>
      <c r="AO64" s="241"/>
    </row>
    <row r="65" spans="2:40">
      <c r="B65" s="304" t="s">
        <v>67</v>
      </c>
      <c r="C65" s="309">
        <f>-(C44/C43)</f>
        <v>0.77058462463515764</v>
      </c>
      <c r="D65" s="309">
        <f ca="1">-(D44/D43)</f>
        <v>0.90547253755760826</v>
      </c>
      <c r="E65" s="309">
        <f ca="1">-(E44/E43)</f>
        <v>0.42160157608065824</v>
      </c>
      <c r="F65" s="309">
        <f t="shared" ref="F65:J65" ca="1" si="133">-(F44/F43)</f>
        <v>0.26896054571538613</v>
      </c>
      <c r="G65" s="309">
        <f t="shared" ca="1" si="133"/>
        <v>0.23999999999999994</v>
      </c>
      <c r="H65" s="309">
        <f t="shared" ca="1" si="133"/>
        <v>0.23999999999999994</v>
      </c>
      <c r="I65" s="309">
        <f t="shared" ca="1" si="133"/>
        <v>0.24000000000000005</v>
      </c>
      <c r="J65" s="309">
        <f t="shared" ca="1" si="133"/>
        <v>0.23999999999999996</v>
      </c>
      <c r="M65" s="338">
        <f>-M44/M43</f>
        <v>1.3148068669527897</v>
      </c>
      <c r="N65" s="338">
        <f t="shared" ref="N65:W65" si="134">-N44/N43</f>
        <v>0.69012567324955121</v>
      </c>
      <c r="O65" s="338">
        <f t="shared" si="134"/>
        <v>6.7835912552198474</v>
      </c>
      <c r="P65" s="338">
        <f t="shared" si="134"/>
        <v>-0.68232770550788813</v>
      </c>
      <c r="Q65" s="338">
        <f t="shared" si="134"/>
        <v>-4.2019413378349864</v>
      </c>
      <c r="R65" s="338">
        <f t="shared" si="134"/>
        <v>-0.21212836707789781</v>
      </c>
      <c r="S65" s="338">
        <f t="shared" si="134"/>
        <v>0.3692632756424199</v>
      </c>
      <c r="T65" s="338">
        <f t="shared" si="134"/>
        <v>0.27312765380793208</v>
      </c>
      <c r="U65" s="338">
        <f t="shared" si="134"/>
        <v>0.38734223312601224</v>
      </c>
      <c r="V65" s="338">
        <f t="shared" si="134"/>
        <v>0.20945848911778542</v>
      </c>
      <c r="W65" s="342">
        <f t="shared" si="134"/>
        <v>0.23609582860303321</v>
      </c>
      <c r="X65" s="187">
        <v>0.24</v>
      </c>
      <c r="Y65" s="341">
        <f>X65</f>
        <v>0.24</v>
      </c>
      <c r="Z65" s="341">
        <f t="shared" ref="Z65:AN65" si="135">Y65</f>
        <v>0.24</v>
      </c>
      <c r="AA65" s="341">
        <f t="shared" si="135"/>
        <v>0.24</v>
      </c>
      <c r="AB65" s="341">
        <f t="shared" si="135"/>
        <v>0.24</v>
      </c>
      <c r="AC65" s="341">
        <f t="shared" si="135"/>
        <v>0.24</v>
      </c>
      <c r="AD65" s="341">
        <f t="shared" si="135"/>
        <v>0.24</v>
      </c>
      <c r="AE65" s="341">
        <f t="shared" si="135"/>
        <v>0.24</v>
      </c>
      <c r="AF65" s="341">
        <f t="shared" si="135"/>
        <v>0.24</v>
      </c>
      <c r="AG65" s="341">
        <f t="shared" si="135"/>
        <v>0.24</v>
      </c>
      <c r="AH65" s="341">
        <f t="shared" si="135"/>
        <v>0.24</v>
      </c>
      <c r="AI65" s="341">
        <f t="shared" si="135"/>
        <v>0.24</v>
      </c>
      <c r="AJ65" s="341">
        <f t="shared" si="135"/>
        <v>0.24</v>
      </c>
      <c r="AK65" s="341">
        <f t="shared" si="135"/>
        <v>0.24</v>
      </c>
      <c r="AL65" s="341">
        <f t="shared" si="135"/>
        <v>0.24</v>
      </c>
      <c r="AM65" s="341">
        <f t="shared" si="135"/>
        <v>0.24</v>
      </c>
      <c r="AN65" s="341">
        <f t="shared" si="135"/>
        <v>0.24</v>
      </c>
    </row>
    <row r="66" spans="2:40">
      <c r="B66" s="243" t="s">
        <v>413</v>
      </c>
      <c r="C66" s="338">
        <f>-C50/C43</f>
        <v>8.9203171779679069E-2</v>
      </c>
      <c r="D66" s="338">
        <f t="shared" ref="D66:J66" ca="1" si="136">-D50/D43</f>
        <v>0.45005286993994775</v>
      </c>
      <c r="E66" s="338">
        <f t="shared" ca="1" si="136"/>
        <v>0.21224243828948894</v>
      </c>
      <c r="F66" s="338">
        <f t="shared" ca="1" si="136"/>
        <v>0.11033431079974163</v>
      </c>
      <c r="G66" s="338">
        <f t="shared" ca="1" si="136"/>
        <v>9.9999999999999992E-2</v>
      </c>
      <c r="H66" s="338">
        <f t="shared" ca="1" si="136"/>
        <v>9.9999999999999992E-2</v>
      </c>
      <c r="I66" s="338">
        <f t="shared" ca="1" si="136"/>
        <v>0.10000000000000002</v>
      </c>
      <c r="J66" s="338">
        <f t="shared" ca="1" si="136"/>
        <v>0.1</v>
      </c>
      <c r="M66" s="338">
        <f>-M50/M43</f>
        <v>0.3459227467811159</v>
      </c>
      <c r="N66" s="338">
        <f>-N50/N43</f>
        <v>0.27796229802513467</v>
      </c>
      <c r="O66" s="338">
        <f>-O50/O43</f>
        <v>2.1257676246622452</v>
      </c>
      <c r="P66" s="338">
        <f>-P50/P43</f>
        <v>0.31047605867699973</v>
      </c>
      <c r="Q66" s="338">
        <f t="shared" ref="Q66" si="137">-Q50/Q43</f>
        <v>-1.9972568052331716</v>
      </c>
      <c r="R66" s="338">
        <f>-R50/R43</f>
        <v>-0.28752730063160381</v>
      </c>
      <c r="S66" s="338">
        <f>-S50/S43</f>
        <v>0.28083149488860576</v>
      </c>
      <c r="T66" s="338">
        <f t="shared" ref="T66:V66" si="138">-T50/T43</f>
        <v>7.1539886168578912E-2</v>
      </c>
      <c r="U66" s="338">
        <f t="shared" si="138"/>
        <v>0.1233049344973981</v>
      </c>
      <c r="V66" s="338">
        <f t="shared" si="138"/>
        <v>0.10978780300591774</v>
      </c>
      <c r="W66" s="338">
        <f>-W50/W43</f>
        <v>0.11036008499985445</v>
      </c>
      <c r="X66" s="187">
        <v>0.1</v>
      </c>
      <c r="Y66" s="341">
        <f>X66</f>
        <v>0.1</v>
      </c>
      <c r="Z66" s="341">
        <f t="shared" ref="Z66:AN66" si="139">Y66</f>
        <v>0.1</v>
      </c>
      <c r="AA66" s="341">
        <f t="shared" si="139"/>
        <v>0.1</v>
      </c>
      <c r="AB66" s="341">
        <f t="shared" si="139"/>
        <v>0.1</v>
      </c>
      <c r="AC66" s="341">
        <f t="shared" si="139"/>
        <v>0.1</v>
      </c>
      <c r="AD66" s="341">
        <f t="shared" si="139"/>
        <v>0.1</v>
      </c>
      <c r="AE66" s="341">
        <f t="shared" si="139"/>
        <v>0.1</v>
      </c>
      <c r="AF66" s="341">
        <f t="shared" si="139"/>
        <v>0.1</v>
      </c>
      <c r="AG66" s="341">
        <f t="shared" si="139"/>
        <v>0.1</v>
      </c>
      <c r="AH66" s="341">
        <f t="shared" si="139"/>
        <v>0.1</v>
      </c>
      <c r="AI66" s="341">
        <f t="shared" si="139"/>
        <v>0.1</v>
      </c>
      <c r="AJ66" s="341">
        <f t="shared" si="139"/>
        <v>0.1</v>
      </c>
      <c r="AK66" s="341">
        <f t="shared" si="139"/>
        <v>0.1</v>
      </c>
      <c r="AL66" s="341">
        <f t="shared" si="139"/>
        <v>0.1</v>
      </c>
      <c r="AM66" s="341">
        <f t="shared" si="139"/>
        <v>0.1</v>
      </c>
      <c r="AN66" s="341">
        <f t="shared" si="139"/>
        <v>0.1</v>
      </c>
    </row>
    <row r="67" spans="2:40">
      <c r="B67" s="304"/>
      <c r="C67" s="309"/>
      <c r="D67" s="309"/>
      <c r="E67" s="309"/>
      <c r="F67" s="241"/>
      <c r="G67" s="241"/>
      <c r="H67" s="241"/>
      <c r="I67" s="241"/>
      <c r="J67" s="241"/>
      <c r="M67" s="168"/>
      <c r="N67" s="168"/>
      <c r="O67" s="168"/>
      <c r="P67" s="168"/>
      <c r="R67" s="168"/>
      <c r="S67" s="168"/>
      <c r="T67" s="168"/>
      <c r="U67" s="168"/>
      <c r="V67" s="168"/>
    </row>
    <row r="68" spans="2:40">
      <c r="B68" s="202" t="s">
        <v>387</v>
      </c>
      <c r="C68" s="324"/>
      <c r="D68" s="324"/>
      <c r="E68" s="324"/>
      <c r="F68" s="325"/>
      <c r="G68" s="325"/>
      <c r="H68" s="325"/>
      <c r="I68" s="325"/>
      <c r="J68" s="325"/>
      <c r="M68" s="245"/>
      <c r="N68" s="245"/>
      <c r="O68" s="245"/>
      <c r="P68" s="245"/>
      <c r="Q68" s="245"/>
      <c r="R68" s="245"/>
      <c r="S68" s="245"/>
      <c r="T68" s="245"/>
      <c r="U68" s="245"/>
      <c r="V68" s="245"/>
      <c r="W68" s="245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</row>
    <row r="69" spans="2:40">
      <c r="B69" s="304"/>
      <c r="C69" s="309"/>
      <c r="D69" s="309"/>
      <c r="E69" s="309"/>
      <c r="F69" s="241"/>
      <c r="G69" s="241"/>
      <c r="H69" s="241"/>
      <c r="I69" s="241"/>
      <c r="J69" s="241"/>
    </row>
    <row r="70" spans="2:40">
      <c r="B70" s="174" t="s">
        <v>408</v>
      </c>
      <c r="C70" s="268">
        <f>C51</f>
        <v>-143602</v>
      </c>
      <c r="D70" s="268">
        <f ca="1">D51</f>
        <v>-130938</v>
      </c>
      <c r="E70" s="268">
        <f ca="1">E51</f>
        <v>-47165</v>
      </c>
      <c r="F70" s="268">
        <f t="shared" ref="F70:J70" ca="1" si="140">F45</f>
        <v>566871.177921572</v>
      </c>
      <c r="G70" s="268">
        <f t="shared" ca="1" si="140"/>
        <v>789553.24807330454</v>
      </c>
      <c r="H70" s="268">
        <f t="shared" ca="1" si="140"/>
        <v>756352.92406658095</v>
      </c>
      <c r="I70" s="268">
        <f t="shared" ca="1" si="140"/>
        <v>679714.98437074979</v>
      </c>
      <c r="J70" s="268">
        <f t="shared" ca="1" si="140"/>
        <v>631735.9834713107</v>
      </c>
      <c r="M70" s="268">
        <f>M51</f>
        <v>-6158</v>
      </c>
      <c r="N70" s="268">
        <f t="shared" ref="N70:AN70" si="141">N51</f>
        <v>711</v>
      </c>
      <c r="O70" s="268">
        <f t="shared" si="141"/>
        <v>-32199</v>
      </c>
      <c r="P70" s="268">
        <f t="shared" si="141"/>
        <v>-116500</v>
      </c>
      <c r="Q70" s="268">
        <f t="shared" si="141"/>
        <v>-102953</v>
      </c>
      <c r="R70" s="268">
        <f t="shared" si="141"/>
        <v>-78806</v>
      </c>
      <c r="S70" s="268">
        <f t="shared" si="141"/>
        <v>-8075</v>
      </c>
      <c r="T70" s="268">
        <f t="shared" si="141"/>
        <v>58207</v>
      </c>
      <c r="U70" s="268">
        <f t="shared" si="141"/>
        <v>86263</v>
      </c>
      <c r="V70" s="268">
        <f t="shared" si="141"/>
        <v>122924</v>
      </c>
      <c r="W70" s="268">
        <f t="shared" si="141"/>
        <v>110452</v>
      </c>
      <c r="X70" s="268">
        <f t="shared" ca="1" si="141"/>
        <v>123404.97754118894</v>
      </c>
      <c r="Y70" s="268">
        <f t="shared" ca="1" si="141"/>
        <v>167401.05292508376</v>
      </c>
      <c r="Z70" s="268">
        <f t="shared" ca="1" si="141"/>
        <v>170583.62905720685</v>
      </c>
      <c r="AA70" s="268">
        <f t="shared" ca="1" si="141"/>
        <v>181082.44334370093</v>
      </c>
      <c r="AB70" s="268">
        <f t="shared" ca="1" si="141"/>
        <v>166597.53747450968</v>
      </c>
      <c r="AC70" s="268">
        <f t="shared" ca="1" si="141"/>
        <v>161860.21899776923</v>
      </c>
      <c r="AD70" s="268">
        <f t="shared" ca="1" si="141"/>
        <v>169209.3269394362</v>
      </c>
      <c r="AE70" s="268">
        <f t="shared" ca="1" si="141"/>
        <v>162870.78825992375</v>
      </c>
      <c r="AF70" s="268">
        <f t="shared" ca="1" si="141"/>
        <v>162892.46828174358</v>
      </c>
      <c r="AG70" s="268">
        <f t="shared" ca="1" si="141"/>
        <v>149016.50538646214</v>
      </c>
      <c r="AH70" s="268">
        <f t="shared" ca="1" si="141"/>
        <v>149891.88104769069</v>
      </c>
      <c r="AI70" s="268">
        <f t="shared" ca="1" si="141"/>
        <v>144491.43641556043</v>
      </c>
      <c r="AJ70" s="268">
        <f t="shared" ca="1" si="141"/>
        <v>146878.97936699062</v>
      </c>
      <c r="AK70" s="268">
        <f t="shared" ca="1" si="141"/>
        <v>136361.85593864942</v>
      </c>
      <c r="AL70" s="268">
        <f t="shared" ca="1" si="141"/>
        <v>136661.34329546668</v>
      </c>
      <c r="AM70" s="268">
        <f t="shared" ca="1" si="141"/>
        <v>136846.49971026694</v>
      </c>
      <c r="AN70" s="268">
        <f t="shared" ca="1" si="141"/>
        <v>138743.12880701831</v>
      </c>
    </row>
    <row r="71" spans="2:40">
      <c r="B71" s="178" t="s">
        <v>388</v>
      </c>
      <c r="C71" s="171">
        <v>107.74118199999999</v>
      </c>
      <c r="D71" s="171">
        <v>109.822221</v>
      </c>
      <c r="E71" s="171">
        <v>137.042765</v>
      </c>
      <c r="F71" s="303">
        <f>X71</f>
        <v>250</v>
      </c>
      <c r="G71" s="303">
        <f t="shared" ref="G71:J71" si="142">F71</f>
        <v>250</v>
      </c>
      <c r="H71" s="303">
        <f t="shared" si="142"/>
        <v>250</v>
      </c>
      <c r="I71" s="303">
        <f t="shared" si="142"/>
        <v>250</v>
      </c>
      <c r="J71" s="303">
        <f t="shared" si="142"/>
        <v>250</v>
      </c>
      <c r="M71">
        <v>109.547</v>
      </c>
      <c r="N71">
        <v>109.92</v>
      </c>
      <c r="O71">
        <v>109.926</v>
      </c>
      <c r="P71">
        <v>162.98599999999999</v>
      </c>
      <c r="Q71">
        <v>110.584</v>
      </c>
      <c r="R71" s="156">
        <v>110.99299999999999</v>
      </c>
      <c r="S71" s="156">
        <v>162.98599999999999</v>
      </c>
      <c r="T71" s="156">
        <v>163.03700000000001</v>
      </c>
      <c r="U71" s="156">
        <v>208.001</v>
      </c>
      <c r="V71" s="156">
        <v>251.78</v>
      </c>
      <c r="W71" s="343">
        <v>250</v>
      </c>
      <c r="X71" s="343">
        <f t="shared" ref="X71:AN71" si="143">W71</f>
        <v>250</v>
      </c>
      <c r="Y71" s="343">
        <f t="shared" si="143"/>
        <v>250</v>
      </c>
      <c r="Z71" s="343">
        <f t="shared" si="143"/>
        <v>250</v>
      </c>
      <c r="AA71" s="343">
        <f t="shared" si="143"/>
        <v>250</v>
      </c>
      <c r="AB71" s="343">
        <f t="shared" si="143"/>
        <v>250</v>
      </c>
      <c r="AC71" s="343">
        <f t="shared" si="143"/>
        <v>250</v>
      </c>
      <c r="AD71" s="343">
        <f t="shared" si="143"/>
        <v>250</v>
      </c>
      <c r="AE71" s="343">
        <f t="shared" si="143"/>
        <v>250</v>
      </c>
      <c r="AF71" s="343">
        <f t="shared" si="143"/>
        <v>250</v>
      </c>
      <c r="AG71" s="343">
        <f t="shared" si="143"/>
        <v>250</v>
      </c>
      <c r="AH71" s="343">
        <f t="shared" si="143"/>
        <v>250</v>
      </c>
      <c r="AI71" s="343">
        <f t="shared" si="143"/>
        <v>250</v>
      </c>
      <c r="AJ71" s="343">
        <f t="shared" si="143"/>
        <v>250</v>
      </c>
      <c r="AK71" s="343">
        <f t="shared" si="143"/>
        <v>250</v>
      </c>
      <c r="AL71" s="343">
        <f t="shared" si="143"/>
        <v>250</v>
      </c>
      <c r="AM71" s="343">
        <f t="shared" si="143"/>
        <v>250</v>
      </c>
      <c r="AN71" s="343">
        <f t="shared" si="143"/>
        <v>250</v>
      </c>
    </row>
    <row r="72" spans="2:40">
      <c r="B72" s="174" t="s">
        <v>405</v>
      </c>
      <c r="C72" s="345">
        <f>(C70/1000)/C71</f>
        <v>-1.3328422552483228</v>
      </c>
      <c r="D72" s="345">
        <f ca="1">(D70/1000)/D71</f>
        <v>-1.1922723726375921</v>
      </c>
      <c r="E72" s="345">
        <f ca="1">(E70/1000)/E71</f>
        <v>-0.34416264149369724</v>
      </c>
      <c r="F72" s="345">
        <f t="shared" ref="F72:J72" ca="1" si="144">(F70/1000)/F71</f>
        <v>2.2674847116862877</v>
      </c>
      <c r="G72" s="345">
        <f t="shared" ca="1" si="144"/>
        <v>3.1582129922932181</v>
      </c>
      <c r="H72" s="345">
        <f t="shared" ca="1" si="144"/>
        <v>3.0254116962663238</v>
      </c>
      <c r="I72" s="345">
        <f t="shared" ca="1" si="144"/>
        <v>2.7188599374829994</v>
      </c>
      <c r="J72" s="345">
        <f t="shared" ca="1" si="144"/>
        <v>2.5269439338852426</v>
      </c>
      <c r="M72" s="345">
        <f>(M70/1000)/M71</f>
        <v>-5.6213314832902775E-2</v>
      </c>
      <c r="N72" s="345">
        <f t="shared" ref="N72:V72" si="145">(N70/1000)/N71</f>
        <v>6.4683406113537111E-3</v>
      </c>
      <c r="O72" s="345">
        <f t="shared" si="145"/>
        <v>-0.29291523388461327</v>
      </c>
      <c r="P72" s="345">
        <f t="shared" si="145"/>
        <v>-0.71478531898445274</v>
      </c>
      <c r="Q72" s="345">
        <f t="shared" si="145"/>
        <v>-0.93099363379874123</v>
      </c>
      <c r="R72" s="345">
        <f t="shared" si="145"/>
        <v>-0.71000873928986519</v>
      </c>
      <c r="S72" s="345">
        <f t="shared" si="145"/>
        <v>-4.9544132624888028E-2</v>
      </c>
      <c r="T72" s="345">
        <f t="shared" si="145"/>
        <v>0.35701711881352083</v>
      </c>
      <c r="U72" s="345">
        <f t="shared" si="145"/>
        <v>0.41472396767323233</v>
      </c>
      <c r="V72" s="345">
        <f t="shared" si="145"/>
        <v>0.48821987449360554</v>
      </c>
      <c r="W72" s="345">
        <f t="shared" ref="W72" si="146">(W70/1000)/W71</f>
        <v>0.44180799999999998</v>
      </c>
      <c r="X72" s="345">
        <f t="shared" ref="X72" ca="1" si="147">(X70/1000)/X71</f>
        <v>0.49361991016475576</v>
      </c>
      <c r="Y72" s="345">
        <f t="shared" ref="Y72" ca="1" si="148">(Y70/1000)/Y71</f>
        <v>0.66960421170033502</v>
      </c>
      <c r="Z72" s="345">
        <f t="shared" ref="Z72" ca="1" si="149">(Z70/1000)/Z71</f>
        <v>0.68233451622882735</v>
      </c>
      <c r="AA72" s="345">
        <f t="shared" ref="AA72" ca="1" si="150">(AA70/1000)/AA71</f>
        <v>0.72432977337480375</v>
      </c>
      <c r="AB72" s="345">
        <f t="shared" ref="AB72" ca="1" si="151">(AB70/1000)/AB71</f>
        <v>0.66639014989803869</v>
      </c>
      <c r="AC72" s="345">
        <f t="shared" ref="AC72" ca="1" si="152">(AC70/1000)/AC71</f>
        <v>0.64744087599107691</v>
      </c>
      <c r="AD72" s="345">
        <f t="shared" ref="AD72" ca="1" si="153">(AD70/1000)/AD71</f>
        <v>0.67683730775774487</v>
      </c>
      <c r="AE72" s="345">
        <f t="shared" ref="AE72" ca="1" si="154">(AE70/1000)/AE71</f>
        <v>0.65148315303969506</v>
      </c>
      <c r="AF72" s="345">
        <f t="shared" ref="AF72" ca="1" si="155">(AF70/1000)/AF71</f>
        <v>0.65156987312697434</v>
      </c>
      <c r="AG72" s="345">
        <f t="shared" ref="AG72" ca="1" si="156">(AG70/1000)/AG71</f>
        <v>0.59606602154584853</v>
      </c>
      <c r="AH72" s="345">
        <f t="shared" ref="AH72" ca="1" si="157">(AH70/1000)/AH71</f>
        <v>0.59956752419076276</v>
      </c>
      <c r="AI72" s="345">
        <f t="shared" ref="AI72" ca="1" si="158">(AI70/1000)/AI71</f>
        <v>0.57796574566224168</v>
      </c>
      <c r="AJ72" s="345">
        <f t="shared" ref="AJ72" ca="1" si="159">(AJ70/1000)/AJ71</f>
        <v>0.5875159174679625</v>
      </c>
      <c r="AK72" s="345">
        <f t="shared" ref="AK72" ca="1" si="160">(AK70/1000)/AK71</f>
        <v>0.54544742375459776</v>
      </c>
      <c r="AL72" s="345">
        <f t="shared" ref="AL72" ca="1" si="161">(AL70/1000)/AL71</f>
        <v>0.54664537318186668</v>
      </c>
      <c r="AM72" s="345">
        <f t="shared" ref="AM72" ca="1" si="162">(AM70/1000)/AM71</f>
        <v>0.54738599884106787</v>
      </c>
      <c r="AN72" s="345">
        <f t="shared" ref="AN72" ca="1" si="163">(AN70/1000)/AN71</f>
        <v>0.55497251522807323</v>
      </c>
    </row>
    <row r="73" spans="2:40">
      <c r="B73" s="174"/>
      <c r="C73" s="171"/>
      <c r="D73" s="171"/>
      <c r="E73" s="171"/>
      <c r="F73" s="241"/>
      <c r="G73" s="241"/>
      <c r="H73" s="241"/>
      <c r="I73" s="241"/>
      <c r="J73" s="241"/>
    </row>
    <row r="74" spans="2:40">
      <c r="B74" s="174" t="s">
        <v>409</v>
      </c>
      <c r="C74" s="268">
        <f>C52</f>
        <v>11193</v>
      </c>
      <c r="D74" s="268">
        <f t="shared" ref="D74:J74" ca="1" si="164">D52</f>
        <v>-17820</v>
      </c>
      <c r="E74" s="268">
        <f t="shared" ca="1" si="164"/>
        <v>78989</v>
      </c>
      <c r="F74" s="268">
        <f t="shared" ca="1" si="164"/>
        <v>481314.45405169489</v>
      </c>
      <c r="G74" s="268">
        <f t="shared" ca="1" si="164"/>
        <v>685664.66280050133</v>
      </c>
      <c r="H74" s="268">
        <f t="shared" ca="1" si="164"/>
        <v>656832.80247887294</v>
      </c>
      <c r="I74" s="268">
        <f t="shared" ca="1" si="164"/>
        <v>590278.80221670377</v>
      </c>
      <c r="J74" s="268">
        <f t="shared" ca="1" si="164"/>
        <v>548612.82775140135</v>
      </c>
      <c r="M74" s="268">
        <f>M52</f>
        <v>-6158</v>
      </c>
      <c r="N74" s="268">
        <f t="shared" ref="N74:AN74" si="165">N52</f>
        <v>711</v>
      </c>
      <c r="O74" s="268">
        <f t="shared" si="165"/>
        <v>-32199</v>
      </c>
      <c r="P74" s="268">
        <f t="shared" si="165"/>
        <v>19826</v>
      </c>
      <c r="Q74" s="268">
        <f t="shared" si="165"/>
        <v>-34117</v>
      </c>
      <c r="R74" s="268">
        <f t="shared" si="165"/>
        <v>-76217</v>
      </c>
      <c r="S74" s="268">
        <f t="shared" si="165"/>
        <v>11261</v>
      </c>
      <c r="T74" s="268">
        <f t="shared" si="165"/>
        <v>116062</v>
      </c>
      <c r="U74" s="268">
        <f t="shared" si="165"/>
        <v>102125</v>
      </c>
      <c r="V74" s="268">
        <f t="shared" si="165"/>
        <v>137468</v>
      </c>
      <c r="W74" s="268">
        <f t="shared" si="165"/>
        <v>112256</v>
      </c>
      <c r="X74" s="268">
        <f t="shared" ca="1" si="165"/>
        <v>123404.97754118894</v>
      </c>
      <c r="Y74" s="268">
        <f t="shared" ca="1" si="165"/>
        <v>167401.05292508376</v>
      </c>
      <c r="Z74" s="268">
        <f t="shared" ca="1" si="165"/>
        <v>170583.62905720685</v>
      </c>
      <c r="AA74" s="268">
        <f t="shared" ca="1" si="165"/>
        <v>181082.44334370093</v>
      </c>
      <c r="AB74" s="268">
        <f t="shared" ca="1" si="165"/>
        <v>166597.53747450968</v>
      </c>
      <c r="AC74" s="268">
        <f t="shared" ca="1" si="165"/>
        <v>161860.21899776923</v>
      </c>
      <c r="AD74" s="268">
        <f t="shared" ca="1" si="165"/>
        <v>169209.3269394362</v>
      </c>
      <c r="AE74" s="268">
        <f t="shared" ca="1" si="165"/>
        <v>162870.78825992375</v>
      </c>
      <c r="AF74" s="268">
        <f t="shared" ca="1" si="165"/>
        <v>162892.46828174358</v>
      </c>
      <c r="AG74" s="268">
        <f t="shared" ca="1" si="165"/>
        <v>149016.50538646214</v>
      </c>
      <c r="AH74" s="268">
        <f t="shared" ca="1" si="165"/>
        <v>149891.88104769069</v>
      </c>
      <c r="AI74" s="268">
        <f t="shared" ca="1" si="165"/>
        <v>144491.43641556043</v>
      </c>
      <c r="AJ74" s="268">
        <f t="shared" ca="1" si="165"/>
        <v>146878.97936699062</v>
      </c>
      <c r="AK74" s="268">
        <f t="shared" ca="1" si="165"/>
        <v>136361.85593864942</v>
      </c>
      <c r="AL74" s="268">
        <f t="shared" ca="1" si="165"/>
        <v>136661.34329546668</v>
      </c>
      <c r="AM74" s="268">
        <f t="shared" ca="1" si="165"/>
        <v>136846.49971026694</v>
      </c>
      <c r="AN74" s="268">
        <f t="shared" ca="1" si="165"/>
        <v>138743.12880701831</v>
      </c>
    </row>
    <row r="75" spans="2:40">
      <c r="B75" s="178" t="s">
        <v>388</v>
      </c>
      <c r="C75" s="171">
        <v>107.74118199999999</v>
      </c>
      <c r="D75" s="171">
        <v>109.822221</v>
      </c>
      <c r="E75" s="171">
        <v>137.042765</v>
      </c>
      <c r="F75" s="303">
        <f>X75</f>
        <v>250</v>
      </c>
      <c r="G75" s="303">
        <f t="shared" ref="G75:J75" si="166">Y75</f>
        <v>250</v>
      </c>
      <c r="H75" s="303">
        <f t="shared" si="166"/>
        <v>250</v>
      </c>
      <c r="I75" s="303">
        <f t="shared" si="166"/>
        <v>250</v>
      </c>
      <c r="J75" s="303">
        <f t="shared" si="166"/>
        <v>250</v>
      </c>
      <c r="M75">
        <v>109.547</v>
      </c>
      <c r="N75">
        <v>109.92</v>
      </c>
      <c r="O75">
        <v>109.926</v>
      </c>
      <c r="P75">
        <v>162.98599999999999</v>
      </c>
      <c r="Q75">
        <v>110.584</v>
      </c>
      <c r="R75" s="156">
        <v>110.99299999999999</v>
      </c>
      <c r="S75" s="156">
        <v>162.98599999999999</v>
      </c>
      <c r="T75" s="156">
        <v>163.03700000000001</v>
      </c>
      <c r="U75" s="156">
        <v>208.001</v>
      </c>
      <c r="V75" s="156">
        <v>251.78</v>
      </c>
      <c r="W75" s="343">
        <v>250</v>
      </c>
      <c r="X75" s="343">
        <f>W75</f>
        <v>250</v>
      </c>
      <c r="Y75" s="343">
        <f t="shared" ref="Y75:AN75" si="167">X75</f>
        <v>250</v>
      </c>
      <c r="Z75" s="343">
        <f t="shared" si="167"/>
        <v>250</v>
      </c>
      <c r="AA75" s="343">
        <f t="shared" si="167"/>
        <v>250</v>
      </c>
      <c r="AB75" s="343">
        <f t="shared" si="167"/>
        <v>250</v>
      </c>
      <c r="AC75" s="343">
        <f t="shared" si="167"/>
        <v>250</v>
      </c>
      <c r="AD75" s="343">
        <f t="shared" si="167"/>
        <v>250</v>
      </c>
      <c r="AE75" s="343">
        <f t="shared" si="167"/>
        <v>250</v>
      </c>
      <c r="AF75" s="343">
        <f t="shared" si="167"/>
        <v>250</v>
      </c>
      <c r="AG75" s="343">
        <f t="shared" si="167"/>
        <v>250</v>
      </c>
      <c r="AH75" s="343">
        <f t="shared" si="167"/>
        <v>250</v>
      </c>
      <c r="AI75" s="343">
        <f t="shared" si="167"/>
        <v>250</v>
      </c>
      <c r="AJ75" s="343">
        <f t="shared" si="167"/>
        <v>250</v>
      </c>
      <c r="AK75" s="343">
        <f t="shared" si="167"/>
        <v>250</v>
      </c>
      <c r="AL75" s="343">
        <f t="shared" si="167"/>
        <v>250</v>
      </c>
      <c r="AM75" s="343">
        <f t="shared" si="167"/>
        <v>250</v>
      </c>
      <c r="AN75" s="343">
        <f t="shared" si="167"/>
        <v>250</v>
      </c>
    </row>
    <row r="76" spans="2:40">
      <c r="B76" s="174" t="s">
        <v>414</v>
      </c>
      <c r="C76" s="346">
        <f>(C74/1000)/C75</f>
        <v>0.10388785227917771</v>
      </c>
      <c r="D76" s="346">
        <f t="shared" ref="D76:E76" ca="1" si="168">(D74/1000)/D75</f>
        <v>-0.16226224381311685</v>
      </c>
      <c r="E76" s="346">
        <f t="shared" ca="1" si="168"/>
        <v>0.57638212422231849</v>
      </c>
      <c r="F76" s="346">
        <f t="shared" ref="F76" ca="1" si="169">(F74/1000)/F75</f>
        <v>1.9252578162067795</v>
      </c>
      <c r="G76" s="346">
        <f t="shared" ref="G76" ca="1" si="170">(G74/1000)/G75</f>
        <v>2.7426586512020052</v>
      </c>
      <c r="H76" s="346">
        <f t="shared" ref="H76" ca="1" si="171">(H74/1000)/H75</f>
        <v>2.627331209915492</v>
      </c>
      <c r="I76" s="346">
        <f t="shared" ref="I76" ca="1" si="172">(I74/1000)/I75</f>
        <v>2.3611152088668148</v>
      </c>
      <c r="J76" s="346">
        <f t="shared" ref="J76" ca="1" si="173">(J74/1000)/J75</f>
        <v>2.1944513110056056</v>
      </c>
      <c r="M76" s="345">
        <f>(M74/1000)/M75</f>
        <v>-5.6213314832902775E-2</v>
      </c>
      <c r="N76" s="345">
        <f t="shared" ref="N76:X76" si="174">(N74/1000)/N75</f>
        <v>6.4683406113537111E-3</v>
      </c>
      <c r="O76" s="345">
        <f t="shared" si="174"/>
        <v>-0.29291523388461327</v>
      </c>
      <c r="P76" s="345">
        <f t="shared" si="174"/>
        <v>0.12164234964966317</v>
      </c>
      <c r="Q76" s="345">
        <f t="shared" si="174"/>
        <v>-0.30851660276351006</v>
      </c>
      <c r="R76" s="345">
        <f t="shared" si="174"/>
        <v>-0.68668294396943952</v>
      </c>
      <c r="S76" s="345">
        <f t="shared" si="174"/>
        <v>6.9091823837630226E-2</v>
      </c>
      <c r="T76" s="345">
        <f t="shared" si="174"/>
        <v>0.71187521850868207</v>
      </c>
      <c r="U76" s="345">
        <f t="shared" si="174"/>
        <v>0.49098321642684412</v>
      </c>
      <c r="V76" s="345">
        <f t="shared" si="174"/>
        <v>0.54598458972118513</v>
      </c>
      <c r="W76" s="345">
        <f t="shared" si="174"/>
        <v>0.44902399999999998</v>
      </c>
      <c r="X76" s="345">
        <f t="shared" ca="1" si="174"/>
        <v>0.49361991016475576</v>
      </c>
      <c r="Y76" s="345">
        <f t="shared" ref="Y76" ca="1" si="175">(Y74/1000)/Y75</f>
        <v>0.66960421170033502</v>
      </c>
      <c r="Z76" s="345">
        <f t="shared" ref="Z76" ca="1" si="176">(Z74/1000)/Z75</f>
        <v>0.68233451622882735</v>
      </c>
      <c r="AA76" s="345">
        <f t="shared" ref="AA76" ca="1" si="177">(AA74/1000)/AA75</f>
        <v>0.72432977337480375</v>
      </c>
      <c r="AB76" s="345">
        <f t="shared" ref="AB76" ca="1" si="178">(AB74/1000)/AB75</f>
        <v>0.66639014989803869</v>
      </c>
      <c r="AC76" s="345">
        <f t="shared" ref="AC76" ca="1" si="179">(AC74/1000)/AC75</f>
        <v>0.64744087599107691</v>
      </c>
      <c r="AD76" s="345">
        <f t="shared" ref="AD76" ca="1" si="180">(AD74/1000)/AD75</f>
        <v>0.67683730775774487</v>
      </c>
      <c r="AE76" s="345">
        <f t="shared" ref="AE76" ca="1" si="181">(AE74/1000)/AE75</f>
        <v>0.65148315303969506</v>
      </c>
      <c r="AF76" s="345">
        <f t="shared" ref="AF76" ca="1" si="182">(AF74/1000)/AF75</f>
        <v>0.65156987312697434</v>
      </c>
      <c r="AG76" s="345">
        <f t="shared" ref="AG76" ca="1" si="183">(AG74/1000)/AG75</f>
        <v>0.59606602154584853</v>
      </c>
      <c r="AH76" s="345">
        <f t="shared" ref="AH76:AI76" ca="1" si="184">(AH74/1000)/AH75</f>
        <v>0.59956752419076276</v>
      </c>
      <c r="AI76" s="345">
        <f t="shared" ca="1" si="184"/>
        <v>0.57796574566224168</v>
      </c>
      <c r="AJ76" s="345">
        <f t="shared" ref="AJ76" ca="1" si="185">(AJ74/1000)/AJ75</f>
        <v>0.5875159174679625</v>
      </c>
      <c r="AK76" s="345">
        <f t="shared" ref="AK76" ca="1" si="186">(AK74/1000)/AK75</f>
        <v>0.54544742375459776</v>
      </c>
      <c r="AL76" s="345">
        <f t="shared" ref="AL76" ca="1" si="187">(AL74/1000)/AL75</f>
        <v>0.54664537318186668</v>
      </c>
      <c r="AM76" s="345">
        <f t="shared" ref="AM76" ca="1" si="188">(AM74/1000)/AM75</f>
        <v>0.54738599884106787</v>
      </c>
      <c r="AN76" s="345">
        <f t="shared" ref="AN76" ca="1" si="189">(AN74/1000)/AN75</f>
        <v>0.55497251522807323</v>
      </c>
    </row>
    <row r="77" spans="2:40">
      <c r="B77" s="178"/>
      <c r="C77" s="309"/>
      <c r="D77" s="309"/>
      <c r="E77" s="309"/>
      <c r="F77" s="241"/>
      <c r="G77" s="241"/>
      <c r="H77" s="241"/>
      <c r="I77" s="241"/>
      <c r="J77" s="241"/>
    </row>
    <row r="78" spans="2:40">
      <c r="B78" s="178" t="s">
        <v>389</v>
      </c>
      <c r="C78" s="171">
        <v>108.08</v>
      </c>
      <c r="D78" s="171">
        <v>109.93</v>
      </c>
      <c r="E78" s="171">
        <v>137.04</v>
      </c>
      <c r="F78" s="318">
        <f>X78</f>
        <v>252.12480199999999</v>
      </c>
      <c r="G78" s="318">
        <f t="shared" ref="G78:J78" si="190">Y78</f>
        <v>252.12480199999999</v>
      </c>
      <c r="H78" s="318">
        <f t="shared" si="190"/>
        <v>252.12480199999999</v>
      </c>
      <c r="I78" s="318">
        <f t="shared" si="190"/>
        <v>252.12480199999999</v>
      </c>
      <c r="J78" s="318">
        <f t="shared" si="190"/>
        <v>252.12480199999999</v>
      </c>
      <c r="M78">
        <v>109.547</v>
      </c>
      <c r="N78">
        <v>109.92</v>
      </c>
      <c r="O78">
        <v>109.926</v>
      </c>
      <c r="P78">
        <v>162.98599999999999</v>
      </c>
      <c r="Q78">
        <v>110.584</v>
      </c>
      <c r="R78" s="156">
        <v>110.99299999999999</v>
      </c>
      <c r="S78" s="156">
        <v>162.98599999999999</v>
      </c>
      <c r="T78" s="156">
        <v>163.03700000000001</v>
      </c>
      <c r="U78" s="156">
        <v>209.214</v>
      </c>
      <c r="V78" s="156">
        <v>253.428</v>
      </c>
      <c r="W78" s="344">
        <v>252.12480199999999</v>
      </c>
      <c r="X78" s="343">
        <f>W78</f>
        <v>252.12480199999999</v>
      </c>
      <c r="Y78" s="343">
        <f t="shared" ref="Y78:AN78" si="191">X78</f>
        <v>252.12480199999999</v>
      </c>
      <c r="Z78" s="343">
        <f t="shared" si="191"/>
        <v>252.12480199999999</v>
      </c>
      <c r="AA78" s="343">
        <f t="shared" si="191"/>
        <v>252.12480199999999</v>
      </c>
      <c r="AB78" s="343">
        <f t="shared" si="191"/>
        <v>252.12480199999999</v>
      </c>
      <c r="AC78" s="343">
        <f t="shared" si="191"/>
        <v>252.12480199999999</v>
      </c>
      <c r="AD78" s="343">
        <f t="shared" si="191"/>
        <v>252.12480199999999</v>
      </c>
      <c r="AE78" s="343">
        <f t="shared" si="191"/>
        <v>252.12480199999999</v>
      </c>
      <c r="AF78" s="343">
        <f t="shared" si="191"/>
        <v>252.12480199999999</v>
      </c>
      <c r="AG78" s="343">
        <f t="shared" si="191"/>
        <v>252.12480199999999</v>
      </c>
      <c r="AH78" s="343">
        <f t="shared" si="191"/>
        <v>252.12480199999999</v>
      </c>
      <c r="AI78" s="343">
        <f t="shared" si="191"/>
        <v>252.12480199999999</v>
      </c>
      <c r="AJ78" s="343">
        <f t="shared" si="191"/>
        <v>252.12480199999999</v>
      </c>
      <c r="AK78" s="343">
        <f t="shared" si="191"/>
        <v>252.12480199999999</v>
      </c>
      <c r="AL78" s="343">
        <f t="shared" si="191"/>
        <v>252.12480199999999</v>
      </c>
      <c r="AM78" s="343">
        <f t="shared" si="191"/>
        <v>252.12480199999999</v>
      </c>
      <c r="AN78" s="343">
        <f t="shared" si="191"/>
        <v>252.12480199999999</v>
      </c>
    </row>
    <row r="79" spans="2:40">
      <c r="B79" s="178" t="s">
        <v>390</v>
      </c>
      <c r="C79" s="345">
        <f>(C70/1000)/C78</f>
        <v>-1.3286639526276833</v>
      </c>
      <c r="D79" s="345">
        <f t="shared" ref="D79:J79" ca="1" si="192">(D70/1000)/D78</f>
        <v>-1.1911034294551077</v>
      </c>
      <c r="E79" s="345">
        <f t="shared" ca="1" si="192"/>
        <v>-0.34416958552247523</v>
      </c>
      <c r="F79" s="345">
        <f t="shared" ca="1" si="192"/>
        <v>2.248375302329725</v>
      </c>
      <c r="G79" s="345">
        <f t="shared" ca="1" si="192"/>
        <v>3.1315968988775036</v>
      </c>
      <c r="H79" s="345">
        <f t="shared" ca="1" si="192"/>
        <v>2.9999147964291946</v>
      </c>
      <c r="I79" s="345">
        <f t="shared" ca="1" si="192"/>
        <v>2.6959465271915208</v>
      </c>
      <c r="J79" s="345">
        <f t="shared" ca="1" si="192"/>
        <v>2.50564791111392</v>
      </c>
      <c r="M79" s="345">
        <f>(M70/1000)/M78</f>
        <v>-5.6213314832902775E-2</v>
      </c>
      <c r="N79" s="345">
        <f t="shared" ref="N79:W79" si="193">(N70/1000)/N78</f>
        <v>6.4683406113537111E-3</v>
      </c>
      <c r="O79" s="345">
        <f t="shared" si="193"/>
        <v>-0.29291523388461327</v>
      </c>
      <c r="P79" s="345">
        <f t="shared" si="193"/>
        <v>-0.71478531898445274</v>
      </c>
      <c r="Q79" s="345">
        <f t="shared" si="193"/>
        <v>-0.93099363379874123</v>
      </c>
      <c r="R79" s="345">
        <f t="shared" si="193"/>
        <v>-0.71000873928986519</v>
      </c>
      <c r="S79" s="345">
        <f t="shared" si="193"/>
        <v>-4.9544132624888028E-2</v>
      </c>
      <c r="T79" s="345">
        <f t="shared" si="193"/>
        <v>0.35701711881352083</v>
      </c>
      <c r="U79" s="345">
        <f t="shared" si="193"/>
        <v>0.41231944324949577</v>
      </c>
      <c r="V79" s="345">
        <f t="shared" si="193"/>
        <v>0.48504506210837006</v>
      </c>
      <c r="W79" s="345">
        <f t="shared" si="193"/>
        <v>0.43808462762818551</v>
      </c>
      <c r="X79" s="345">
        <f t="shared" ref="X79" ca="1" si="194">(X70/1000)/X78</f>
        <v>0.4894598887625064</v>
      </c>
      <c r="Y79" s="345">
        <f t="shared" ref="Y79" ca="1" si="195">(Y70/1000)/Y78</f>
        <v>0.66396106847545988</v>
      </c>
      <c r="Z79" s="345">
        <f t="shared" ref="Z79" ca="1" si="196">(Z70/1000)/Z78</f>
        <v>0.67658408734102593</v>
      </c>
      <c r="AA79" s="345">
        <f t="shared" ref="AA79" ca="1" si="197">(AA70/1000)/AA78</f>
        <v>0.71822542608759665</v>
      </c>
      <c r="AB79" s="345">
        <f t="shared" ref="AB79" ca="1" si="198">(AB70/1000)/AB78</f>
        <v>0.66077409343690696</v>
      </c>
      <c r="AC79" s="345">
        <f t="shared" ref="AC79" ca="1" si="199">(AC70/1000)/AC78</f>
        <v>0.64198451605633489</v>
      </c>
      <c r="AD79" s="345">
        <f t="shared" ref="AD79" ca="1" si="200">(AD70/1000)/AD78</f>
        <v>0.67113320703544355</v>
      </c>
      <c r="AE79" s="345">
        <f t="shared" ref="AE79" ca="1" si="201">(AE70/1000)/AE78</f>
        <v>0.645992726490763</v>
      </c>
      <c r="AF79" s="345">
        <f t="shared" ref="AF79:AG79" ca="1" si="202">(AF70/1000)/AF78</f>
        <v>0.64607871573754805</v>
      </c>
      <c r="AG79" s="345">
        <f t="shared" ca="1" si="202"/>
        <v>0.59104262731939461</v>
      </c>
      <c r="AH79" s="345">
        <f t="shared" ref="AH79" ca="1" si="203">(AH70/1000)/AH78</f>
        <v>0.59451462076979922</v>
      </c>
      <c r="AI79" s="345">
        <f t="shared" ref="AI79" ca="1" si="204">(AI70/1000)/AI78</f>
        <v>0.5730948929632097</v>
      </c>
      <c r="AJ79" s="345">
        <f t="shared" ref="AJ79" ca="1" si="205">(AJ70/1000)/AJ78</f>
        <v>0.58256457992970734</v>
      </c>
      <c r="AK79" s="345">
        <f t="shared" ref="AK79" ca="1" si="206">(AK70/1000)/AK78</f>
        <v>0.54085062182279642</v>
      </c>
      <c r="AL79" s="345">
        <f t="shared" ref="AL79" ca="1" si="207">(AL70/1000)/AL78</f>
        <v>0.54203847543514061</v>
      </c>
      <c r="AM79" s="345">
        <f t="shared" ref="AM79" ca="1" si="208">(AM70/1000)/AM78</f>
        <v>0.54277285941216902</v>
      </c>
      <c r="AN79" s="345">
        <f t="shared" ref="AN79" ca="1" si="209">(AN70/1000)/AN78</f>
        <v>0.55029543982356133</v>
      </c>
    </row>
    <row r="81" spans="2:11">
      <c r="B81" s="202" t="s">
        <v>347</v>
      </c>
      <c r="C81" s="314"/>
      <c r="D81" s="314"/>
      <c r="E81" s="314"/>
      <c r="F81" s="316"/>
      <c r="G81" s="316"/>
      <c r="H81" s="316"/>
      <c r="I81" s="316"/>
      <c r="J81" s="316"/>
    </row>
    <row r="83" spans="2:11">
      <c r="B83" t="s">
        <v>348</v>
      </c>
      <c r="C83" s="297">
        <f>-C42</f>
        <v>23671</v>
      </c>
      <c r="D83" s="297">
        <f>-D42</f>
        <v>43066</v>
      </c>
      <c r="E83" s="297">
        <f>-E42</f>
        <v>48832</v>
      </c>
      <c r="F83" s="168">
        <f ca="1">F89+F94</f>
        <v>51334.787072365078</v>
      </c>
      <c r="G83" s="168">
        <f ca="1">G89+G94</f>
        <v>51298.34457236508</v>
      </c>
      <c r="H83" s="168">
        <f ca="1">H89+H94</f>
        <v>51298.34457236508</v>
      </c>
      <c r="I83" s="168">
        <f ca="1">I89+I94</f>
        <v>51298.34457236508</v>
      </c>
      <c r="J83" s="168">
        <f ca="1">J89+J94</f>
        <v>51298.34457236508</v>
      </c>
      <c r="K83" s="168"/>
    </row>
    <row r="86" spans="2:11">
      <c r="B86" s="310" t="s">
        <v>350</v>
      </c>
    </row>
    <row r="87" spans="2:11">
      <c r="B87" s="243" t="s">
        <v>351</v>
      </c>
      <c r="C87" s="312">
        <f>0.0295+0.0135</f>
        <v>4.2999999999999997E-2</v>
      </c>
      <c r="D87" s="312">
        <f t="shared" ref="D87:E87" si="210">0.0295+0.0135</f>
        <v>4.2999999999999997E-2</v>
      </c>
      <c r="E87" s="312">
        <f t="shared" si="210"/>
        <v>4.2999999999999997E-2</v>
      </c>
      <c r="F87" s="312">
        <f>E87</f>
        <v>4.2999999999999997E-2</v>
      </c>
      <c r="G87" s="312">
        <f t="shared" ref="G87:J87" si="211">F87</f>
        <v>4.2999999999999997E-2</v>
      </c>
      <c r="H87" s="312">
        <f t="shared" si="211"/>
        <v>4.2999999999999997E-2</v>
      </c>
      <c r="I87" s="312">
        <f t="shared" si="211"/>
        <v>4.2999999999999997E-2</v>
      </c>
      <c r="J87" s="312">
        <f t="shared" si="211"/>
        <v>4.2999999999999997E-2</v>
      </c>
    </row>
    <row r="88" spans="2:11">
      <c r="B88" s="304" t="s">
        <v>352</v>
      </c>
      <c r="C88" s="168">
        <f>'Balance Sheet'!C29</f>
        <v>223279</v>
      </c>
      <c r="D88" s="168">
        <f>'Balance Sheet'!D29</f>
        <v>304941</v>
      </c>
      <c r="E88" s="168">
        <f>'Balance Sheet'!E29</f>
        <v>301695</v>
      </c>
      <c r="F88" s="168">
        <f ca="1">'Balance Sheet'!F29</f>
        <v>300000</v>
      </c>
      <c r="G88" s="168">
        <f ca="1">'Balance Sheet'!G29</f>
        <v>300000</v>
      </c>
      <c r="H88" s="168">
        <f ca="1">'Balance Sheet'!H29</f>
        <v>300000</v>
      </c>
      <c r="I88" s="168">
        <f ca="1">'Balance Sheet'!I29</f>
        <v>300000</v>
      </c>
      <c r="J88" s="168">
        <f ca="1">'Balance Sheet'!J29</f>
        <v>300000</v>
      </c>
    </row>
    <row r="89" spans="2:11">
      <c r="B89" s="157" t="s">
        <v>353</v>
      </c>
      <c r="C89" s="297"/>
      <c r="D89" s="168">
        <f>D87*AVERAGE(C88:D88)</f>
        <v>11356.73</v>
      </c>
      <c r="E89" s="168">
        <f>E87*AVERAGE(D88:E88)</f>
        <v>13042.673999999999</v>
      </c>
      <c r="F89" s="168">
        <f ca="1">AVERAGE(E88:F88)*F87</f>
        <v>12936.442499999999</v>
      </c>
      <c r="G89" s="168">
        <f t="shared" ref="G89:J89" ca="1" si="212">AVERAGE(F88:G88)*G87</f>
        <v>12899.999999999998</v>
      </c>
      <c r="H89" s="168">
        <f t="shared" ca="1" si="212"/>
        <v>12899.999999999998</v>
      </c>
      <c r="I89" s="168">
        <f t="shared" ca="1" si="212"/>
        <v>12899.999999999998</v>
      </c>
      <c r="J89" s="168">
        <f t="shared" ca="1" si="212"/>
        <v>12899.999999999998</v>
      </c>
    </row>
    <row r="91" spans="2:11">
      <c r="B91" s="310" t="s">
        <v>354</v>
      </c>
    </row>
    <row r="92" spans="2:11">
      <c r="B92" s="313" t="s">
        <v>352</v>
      </c>
      <c r="C92" s="268">
        <f>'Balance Sheet'!C30</f>
        <v>318969</v>
      </c>
      <c r="D92" s="268">
        <f>'Balance Sheet'!D30</f>
        <v>334039</v>
      </c>
      <c r="E92" s="268">
        <f>'Balance Sheet'!E30</f>
        <v>386571</v>
      </c>
      <c r="F92" s="268">
        <f>'Balance Sheet'!F30</f>
        <v>386571</v>
      </c>
      <c r="G92" s="268">
        <f>'Balance Sheet'!G30</f>
        <v>386571</v>
      </c>
      <c r="H92" s="268">
        <f>'Balance Sheet'!H30</f>
        <v>386571</v>
      </c>
      <c r="I92" s="268">
        <f>'Balance Sheet'!I30</f>
        <v>386571</v>
      </c>
      <c r="J92" s="268">
        <f>'Balance Sheet'!J30</f>
        <v>386571</v>
      </c>
    </row>
    <row r="93" spans="2:11">
      <c r="B93" s="243" t="s">
        <v>351</v>
      </c>
      <c r="D93" s="309">
        <f>D94/AVERAGE(C92:D92)</f>
        <v>9.7117554455688135E-2</v>
      </c>
      <c r="E93" s="309">
        <f>E94/AVERAGE(D92:E92)</f>
        <v>9.9330639319465452E-2</v>
      </c>
      <c r="F93" s="309">
        <f>E93</f>
        <v>9.9330639319465452E-2</v>
      </c>
      <c r="G93" s="309">
        <f t="shared" ref="G93:J93" si="213">F93</f>
        <v>9.9330639319465452E-2</v>
      </c>
      <c r="H93" s="309">
        <f t="shared" si="213"/>
        <v>9.9330639319465452E-2</v>
      </c>
      <c r="I93" s="309">
        <f t="shared" si="213"/>
        <v>9.9330639319465452E-2</v>
      </c>
      <c r="J93" s="309">
        <f t="shared" si="213"/>
        <v>9.9330639319465452E-2</v>
      </c>
    </row>
    <row r="94" spans="2:11">
      <c r="B94" s="157" t="s">
        <v>353</v>
      </c>
      <c r="C94" s="168"/>
      <c r="D94" s="265">
        <f t="shared" ref="D94" si="214">D83-D89</f>
        <v>31709.27</v>
      </c>
      <c r="E94" s="265">
        <f>E83-E89</f>
        <v>35789.326000000001</v>
      </c>
      <c r="F94" s="265">
        <f>AVERAGE(E92:F92)*F93</f>
        <v>38398.34457236508</v>
      </c>
      <c r="G94" s="265">
        <f t="shared" ref="G94:J94" si="215">AVERAGE(F92:G92)*G93</f>
        <v>38398.34457236508</v>
      </c>
      <c r="H94" s="265">
        <f t="shared" si="215"/>
        <v>38398.34457236508</v>
      </c>
      <c r="I94" s="265">
        <f t="shared" si="215"/>
        <v>38398.34457236508</v>
      </c>
      <c r="J94" s="265">
        <f t="shared" si="215"/>
        <v>38398.34457236508</v>
      </c>
    </row>
  </sheetData>
  <dataValidations count="1">
    <dataValidation type="list" allowBlank="1" showInputMessage="1" showErrorMessage="1" sqref="B4" xr:uid="{F2789CF4-E109-6B43-BF6E-6580D297447B}">
      <formula1>"$ bns except per share, $ mm except per share,$ in thousands except per share"</formula1>
    </dataValidation>
  </dataValidations>
  <pageMargins left="0.7" right="0.7" top="0.75" bottom="0.75" header="0.3" footer="0.3"/>
  <ignoredErrors>
    <ignoredError sqref="D31:E31" formulaRange="1"/>
    <ignoredError sqref="X50:AN50 F39:J39 D39:E39" formula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99B0B-8DA8-B646-B080-2404F29E334D}">
  <dimension ref="A2:O113"/>
  <sheetViews>
    <sheetView zoomScale="120" zoomScaleNormal="12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31" sqref="B31"/>
    </sheetView>
  </sheetViews>
  <sheetFormatPr baseColWidth="10" defaultRowHeight="14" outlineLevelRow="1"/>
  <cols>
    <col min="1" max="1" width="3.1640625" customWidth="1"/>
    <col min="2" max="2" width="51.6640625" bestFit="1" customWidth="1"/>
    <col min="3" max="5" width="11.6640625" bestFit="1" customWidth="1"/>
    <col min="6" max="6" width="11.5" bestFit="1" customWidth="1"/>
    <col min="7" max="7" width="11.6640625" customWidth="1"/>
    <col min="8" max="8" width="12.1640625" bestFit="1" customWidth="1"/>
    <col min="11" max="11" width="5.83203125" bestFit="1" customWidth="1"/>
  </cols>
  <sheetData>
    <row r="2" spans="1:13">
      <c r="B2" s="202" t="s">
        <v>71</v>
      </c>
      <c r="C2" s="205"/>
      <c r="D2" s="205"/>
      <c r="E2" s="205"/>
      <c r="F2" s="205"/>
      <c r="G2" s="205"/>
      <c r="H2" s="205"/>
      <c r="I2" s="205"/>
      <c r="J2" s="205"/>
    </row>
    <row r="3" spans="1:13">
      <c r="B3" s="204" t="s">
        <v>168</v>
      </c>
      <c r="C3" s="206">
        <f>D3-1</f>
        <v>2018</v>
      </c>
      <c r="D3" s="206">
        <f>E3-1</f>
        <v>2019</v>
      </c>
      <c r="E3" s="206">
        <f>YEAR(SUMMARY!B7)</f>
        <v>2020</v>
      </c>
      <c r="F3" s="209">
        <f>E3+1</f>
        <v>2021</v>
      </c>
      <c r="G3" s="209">
        <f>F3+1</f>
        <v>2022</v>
      </c>
      <c r="H3" s="209">
        <f>G3+1</f>
        <v>2023</v>
      </c>
      <c r="I3" s="209">
        <f>H3+1</f>
        <v>2024</v>
      </c>
      <c r="J3" s="209">
        <f>I3+1</f>
        <v>2025</v>
      </c>
    </row>
    <row r="4" spans="1:13">
      <c r="B4" s="207" t="s">
        <v>169</v>
      </c>
      <c r="C4" s="208">
        <f>EOMONTH(D4,-12)</f>
        <v>43738</v>
      </c>
      <c r="D4" s="208">
        <f>EOMONTH(E4,-12)</f>
        <v>44104</v>
      </c>
      <c r="E4" s="208">
        <f>SUMMARY!B8</f>
        <v>44469</v>
      </c>
      <c r="F4" s="208">
        <f>EOMONTH(E4,12)</f>
        <v>44834</v>
      </c>
      <c r="G4" s="208">
        <f>EOMONTH(F4,12)</f>
        <v>45199</v>
      </c>
      <c r="H4" s="208">
        <f>EOMONTH(G4,12)</f>
        <v>45565</v>
      </c>
      <c r="I4" s="208">
        <f>EOMONTH(H4,12)</f>
        <v>45930</v>
      </c>
      <c r="J4" s="208">
        <f>EOMONTH(I4,12)</f>
        <v>46295</v>
      </c>
      <c r="L4" s="156" t="s">
        <v>428</v>
      </c>
    </row>
    <row r="5" spans="1:13">
      <c r="B5" s="156" t="s">
        <v>313</v>
      </c>
    </row>
    <row r="6" spans="1:13">
      <c r="A6" s="156" t="s">
        <v>430</v>
      </c>
      <c r="B6" s="243" t="s">
        <v>314</v>
      </c>
      <c r="C6" s="268">
        <f>124022+491+1073+13446</f>
        <v>139032</v>
      </c>
      <c r="D6" s="305">
        <f>189889+541+9958+13322</f>
        <v>213710</v>
      </c>
      <c r="E6" s="268">
        <f>644970+25980</f>
        <v>670950</v>
      </c>
      <c r="F6" s="268">
        <f ca="1">E6+'Cash Flow Statement'!F33</f>
        <v>1656271.2253563567</v>
      </c>
      <c r="G6" s="268">
        <f ca="1">F6+'Cash Flow Statement'!G33</f>
        <v>2638456.9828832094</v>
      </c>
      <c r="H6" s="268">
        <f ca="1">G6+'Cash Flow Statement'!H33</f>
        <v>3402071.0115670329</v>
      </c>
      <c r="I6" s="268">
        <f ca="1">H6+'Cash Flow Statement'!I33</f>
        <v>4010989.4898784859</v>
      </c>
      <c r="J6" s="268">
        <f ca="1">I6+'Cash Flow Statement'!J33</f>
        <v>4637759.9133474864</v>
      </c>
      <c r="L6" s="268"/>
    </row>
    <row r="7" spans="1:13">
      <c r="A7" s="156" t="s">
        <v>430</v>
      </c>
      <c r="B7" s="243" t="s">
        <v>315</v>
      </c>
      <c r="C7" s="268">
        <v>57782</v>
      </c>
      <c r="D7" s="268">
        <v>19228</v>
      </c>
      <c r="E7" s="268">
        <v>52812</v>
      </c>
      <c r="F7" s="268">
        <f ca="1">F89</f>
        <v>73775.868695408717</v>
      </c>
      <c r="G7" s="268">
        <f t="shared" ref="G7:J7" ca="1" si="0">G89</f>
        <v>84433.822620421706</v>
      </c>
      <c r="H7" s="268">
        <f t="shared" ca="1" si="0"/>
        <v>80761.039782126361</v>
      </c>
      <c r="I7" s="268">
        <f t="shared" ca="1" si="0"/>
        <v>70198.302120967724</v>
      </c>
      <c r="J7" s="268">
        <f t="shared" ca="1" si="0"/>
        <v>65900.237241000534</v>
      </c>
      <c r="L7" s="268"/>
    </row>
    <row r="8" spans="1:13">
      <c r="A8" s="156" t="s">
        <v>430</v>
      </c>
      <c r="B8" s="304" t="s">
        <v>316</v>
      </c>
      <c r="C8" s="268">
        <v>126353</v>
      </c>
      <c r="D8" s="268">
        <v>168379</v>
      </c>
      <c r="E8" s="268">
        <v>190017</v>
      </c>
      <c r="F8" s="297">
        <f ca="1">F96</f>
        <v>190907.59514166231</v>
      </c>
      <c r="G8" s="297">
        <f t="shared" ref="G8:J8" ca="1" si="1">G96</f>
        <v>200686.08679800254</v>
      </c>
      <c r="H8" s="297">
        <f t="shared" ca="1" si="1"/>
        <v>190699.42620071</v>
      </c>
      <c r="I8" s="297">
        <f t="shared" ca="1" si="1"/>
        <v>162749.09585768951</v>
      </c>
      <c r="J8" s="297">
        <f t="shared" ca="1" si="1"/>
        <v>154229.73822718923</v>
      </c>
      <c r="L8" s="268"/>
      <c r="M8" s="268"/>
    </row>
    <row r="9" spans="1:13">
      <c r="A9" s="156" t="s">
        <v>430</v>
      </c>
      <c r="B9" s="243" t="s">
        <v>317</v>
      </c>
      <c r="C9" s="268">
        <v>1636</v>
      </c>
      <c r="D9" s="268">
        <v>0</v>
      </c>
      <c r="E9" s="268">
        <v>0</v>
      </c>
      <c r="F9" s="268">
        <v>0</v>
      </c>
      <c r="G9" s="268">
        <v>0</v>
      </c>
      <c r="H9" s="268">
        <v>0</v>
      </c>
      <c r="I9" s="268">
        <v>0</v>
      </c>
      <c r="J9" s="268">
        <v>0</v>
      </c>
      <c r="L9" s="268"/>
    </row>
    <row r="10" spans="1:13">
      <c r="A10" s="156" t="s">
        <v>430</v>
      </c>
      <c r="B10" s="304" t="s">
        <v>318</v>
      </c>
      <c r="C10" s="268">
        <v>16975</v>
      </c>
      <c r="D10" s="268">
        <v>18542</v>
      </c>
      <c r="E10" s="268">
        <v>25544</v>
      </c>
      <c r="F10" s="268">
        <f ca="1">E10*(1+'Income Statement'!F60)</f>
        <v>48300.536638534395</v>
      </c>
      <c r="G10" s="268">
        <f ca="1">F10*(1+'Income Statement'!G60)</f>
        <v>55278.223287975881</v>
      </c>
      <c r="H10" s="268">
        <f ca="1">G10*(1+'Income Statement'!H60)</f>
        <v>52873.678479715229</v>
      </c>
      <c r="I10" s="268">
        <f ca="1">H10*(1+'Income Statement'!I60)</f>
        <v>45958.329241167114</v>
      </c>
      <c r="J10" s="268">
        <f ca="1">I10*(1+'Income Statement'!J60)</f>
        <v>43144.416726402342</v>
      </c>
      <c r="L10" s="268"/>
    </row>
    <row r="11" spans="1:13">
      <c r="B11" s="156" t="s">
        <v>319</v>
      </c>
      <c r="C11" s="268">
        <f>SUM(C6:C10)</f>
        <v>341778</v>
      </c>
      <c r="D11" s="268">
        <f t="shared" ref="D11:J11" si="2">SUM(D6:D10)</f>
        <v>419859</v>
      </c>
      <c r="E11" s="268">
        <f t="shared" si="2"/>
        <v>939323</v>
      </c>
      <c r="F11" s="268">
        <f t="shared" ca="1" si="2"/>
        <v>1969255.2258319622</v>
      </c>
      <c r="G11" s="268">
        <f t="shared" ca="1" si="2"/>
        <v>2978855.1155896094</v>
      </c>
      <c r="H11" s="268">
        <f t="shared" ca="1" si="2"/>
        <v>3726405.1560295848</v>
      </c>
      <c r="I11" s="268">
        <f t="shared" ca="1" si="2"/>
        <v>4289895.2170983097</v>
      </c>
      <c r="J11" s="268">
        <f t="shared" ca="1" si="2"/>
        <v>4901034.3055420788</v>
      </c>
      <c r="L11" s="268"/>
    </row>
    <row r="12" spans="1:13">
      <c r="B12" s="304" t="s">
        <v>320</v>
      </c>
      <c r="C12" s="268">
        <v>0</v>
      </c>
      <c r="D12" s="268">
        <v>0</v>
      </c>
      <c r="E12" s="268">
        <v>180808</v>
      </c>
      <c r="F12" s="268">
        <v>0</v>
      </c>
      <c r="G12" s="268">
        <v>0</v>
      </c>
      <c r="H12" s="268">
        <v>0</v>
      </c>
      <c r="I12" s="268">
        <v>0</v>
      </c>
      <c r="J12" s="268">
        <v>0</v>
      </c>
    </row>
    <row r="13" spans="1:13">
      <c r="B13" s="178" t="s">
        <v>321</v>
      </c>
      <c r="C13" s="268"/>
      <c r="D13" s="268"/>
      <c r="E13" s="268"/>
    </row>
    <row r="14" spans="1:13">
      <c r="A14" s="156" t="s">
        <v>430</v>
      </c>
      <c r="B14" s="243" t="s">
        <v>322</v>
      </c>
      <c r="C14" s="268">
        <v>1543842</v>
      </c>
      <c r="D14" s="268">
        <v>1410274</v>
      </c>
      <c r="E14" s="268">
        <v>2566098</v>
      </c>
      <c r="F14" s="268">
        <f ca="1">F58</f>
        <v>2378557.5668147793</v>
      </c>
      <c r="G14" s="268">
        <f t="shared" ref="G14:J14" ca="1" si="3">G58</f>
        <v>2100061.7459429507</v>
      </c>
      <c r="H14" s="268">
        <f t="shared" ca="1" si="3"/>
        <v>1856075.0912679425</v>
      </c>
      <c r="I14" s="268">
        <f t="shared" ca="1" si="3"/>
        <v>1631257.8018871052</v>
      </c>
      <c r="J14" s="268">
        <f t="shared" ca="1" si="3"/>
        <v>1396209.9366735285</v>
      </c>
      <c r="L14" s="268"/>
    </row>
    <row r="15" spans="1:13">
      <c r="A15" s="156" t="s">
        <v>430</v>
      </c>
      <c r="B15" s="243" t="s">
        <v>323</v>
      </c>
      <c r="C15" s="268">
        <v>4186</v>
      </c>
      <c r="D15" s="268">
        <v>5498</v>
      </c>
      <c r="E15" s="268">
        <v>19774</v>
      </c>
      <c r="F15" s="268">
        <f ca="1">E15*(1+'Income Statement'!F60)</f>
        <v>37390.182097180514</v>
      </c>
      <c r="G15" s="268">
        <f ca="1">F15*(1+'Income Statement'!G60)</f>
        <v>42791.715756985395</v>
      </c>
      <c r="H15" s="268">
        <f ca="1">G15*(1+'Income Statement'!H60)</f>
        <v>40930.320946519292</v>
      </c>
      <c r="I15" s="268">
        <f ca="1">H15*(1+'Income Statement'!I60)</f>
        <v>35577.043627264269</v>
      </c>
      <c r="J15" s="268">
        <f ca="1">I15*(1+'Income Statement'!J60)</f>
        <v>33398.751031470398</v>
      </c>
      <c r="L15" s="268"/>
    </row>
    <row r="16" spans="1:13">
      <c r="A16" s="156" t="s">
        <v>430</v>
      </c>
      <c r="B16" s="304" t="s">
        <v>324</v>
      </c>
      <c r="C16" s="268">
        <f>23951+8286</f>
        <v>32237</v>
      </c>
      <c r="D16" s="268">
        <f>22490+14670</f>
        <v>37160</v>
      </c>
      <c r="E16" s="268">
        <v>77010</v>
      </c>
      <c r="F16" s="268">
        <f ca="1">E16*(1+'Income Statement'!F60)</f>
        <v>145616.36104500209</v>
      </c>
      <c r="G16" s="268">
        <f ca="1">F16*(1+'Income Statement'!G60)</f>
        <v>166652.67676977068</v>
      </c>
      <c r="H16" s="268">
        <f ca="1">G16*(1+'Income Statement'!H60)</f>
        <v>159403.45990145902</v>
      </c>
      <c r="I16" s="268">
        <f ca="1">H16*(1+'Income Statement'!I60)</f>
        <v>138555.07887810364</v>
      </c>
      <c r="J16" s="268">
        <f ca="1">I16*(1+'Income Statement'!J60)</f>
        <v>130071.70106875368</v>
      </c>
      <c r="L16" s="268"/>
    </row>
    <row r="17" spans="1:15">
      <c r="A17" s="156" t="s">
        <v>430</v>
      </c>
      <c r="B17" s="304" t="s">
        <v>325</v>
      </c>
      <c r="C17" s="268">
        <v>0</v>
      </c>
      <c r="D17" s="268">
        <v>0</v>
      </c>
      <c r="E17" s="268">
        <v>98704</v>
      </c>
      <c r="F17" s="268">
        <v>98704</v>
      </c>
      <c r="G17" s="268">
        <v>98704</v>
      </c>
      <c r="H17" s="268">
        <v>98704</v>
      </c>
      <c r="I17" s="268">
        <v>98704</v>
      </c>
      <c r="J17" s="268">
        <v>98704</v>
      </c>
    </row>
    <row r="18" spans="1:15">
      <c r="B18" s="192" t="s">
        <v>326</v>
      </c>
      <c r="C18" s="307">
        <f>C11+C12+SUM(C14:C17)</f>
        <v>1922043</v>
      </c>
      <c r="D18" s="307">
        <f t="shared" ref="D18:J18" si="4">D11+D12+SUM(D14:D17)</f>
        <v>1872791</v>
      </c>
      <c r="E18" s="307">
        <f>E11+E12+SUM(E14:E17)</f>
        <v>3881717</v>
      </c>
      <c r="F18" s="307">
        <f ca="1">F11+F12+SUM(F14:F17)</f>
        <v>4629523.3357889242</v>
      </c>
      <c r="G18" s="307">
        <f t="shared" ca="1" si="4"/>
        <v>5387065.2540593166</v>
      </c>
      <c r="H18" s="307">
        <f t="shared" ca="1" si="4"/>
        <v>5881518.0281455051</v>
      </c>
      <c r="I18" s="307">
        <f t="shared" ca="1" si="4"/>
        <v>6193989.1414907826</v>
      </c>
      <c r="J18" s="307">
        <f t="shared" ca="1" si="4"/>
        <v>6559418.6943158312</v>
      </c>
    </row>
    <row r="19" spans="1:15" ht="7" customHeight="1">
      <c r="C19" s="268"/>
      <c r="D19" s="268"/>
      <c r="E19" s="268"/>
    </row>
    <row r="20" spans="1:15">
      <c r="B20" s="178" t="s">
        <v>327</v>
      </c>
      <c r="C20" s="268"/>
      <c r="D20" s="268"/>
      <c r="E20" s="268"/>
    </row>
    <row r="21" spans="1:15">
      <c r="A21" s="156" t="s">
        <v>430</v>
      </c>
      <c r="B21" s="304" t="s">
        <v>328</v>
      </c>
      <c r="C21" s="268">
        <v>177322</v>
      </c>
      <c r="D21" s="268">
        <v>173267</v>
      </c>
      <c r="E21" s="268">
        <v>269731</v>
      </c>
      <c r="F21" s="268">
        <f ca="1">F103</f>
        <v>238634.49392707789</v>
      </c>
      <c r="G21" s="268">
        <f t="shared" ref="G21:J21" ca="1" si="5">G103</f>
        <v>250857.60849750316</v>
      </c>
      <c r="H21" s="268">
        <f t="shared" ca="1" si="5"/>
        <v>238374.28275088753</v>
      </c>
      <c r="I21" s="268">
        <f t="shared" ca="1" si="5"/>
        <v>203436.36982211188</v>
      </c>
      <c r="J21" s="268">
        <f t="shared" ca="1" si="5"/>
        <v>192787.17278398655</v>
      </c>
      <c r="L21" s="268"/>
    </row>
    <row r="22" spans="1:15">
      <c r="A22" s="156" t="s">
        <v>430</v>
      </c>
      <c r="B22" s="243" t="s">
        <v>329</v>
      </c>
      <c r="C22" s="268">
        <v>24034</v>
      </c>
      <c r="D22" s="268">
        <v>29431</v>
      </c>
      <c r="E22" s="268">
        <v>13661</v>
      </c>
      <c r="F22" s="268">
        <f ca="1">'Income Statement'!F19*(0.025)</f>
        <v>67320.480184560452</v>
      </c>
      <c r="G22" s="268">
        <f ca="1">'Income Statement'!G19*(0.025)</f>
        <v>77045.863141134803</v>
      </c>
      <c r="H22" s="268">
        <f ca="1">'Income Statement'!H19*(0.025)</f>
        <v>73694.448801190301</v>
      </c>
      <c r="I22" s="268">
        <f ca="1">'Income Statement'!I19*(0.025)</f>
        <v>64055.950685383046</v>
      </c>
      <c r="J22" s="268">
        <f ca="1">'Income Statement'!J19*(0.025)</f>
        <v>60133.96648241298</v>
      </c>
      <c r="L22" s="268"/>
      <c r="M22" s="268"/>
      <c r="N22" s="268"/>
      <c r="O22" s="268"/>
    </row>
    <row r="23" spans="1:15">
      <c r="A23" s="156" t="s">
        <v>430</v>
      </c>
      <c r="B23" s="243" t="s">
        <v>330</v>
      </c>
      <c r="C23" s="268">
        <v>0</v>
      </c>
      <c r="D23" s="268">
        <v>10349</v>
      </c>
      <c r="E23" s="268">
        <v>0</v>
      </c>
      <c r="F23" s="268">
        <v>0</v>
      </c>
      <c r="G23" s="268">
        <v>0</v>
      </c>
      <c r="H23" s="268">
        <v>0</v>
      </c>
      <c r="I23" s="268">
        <v>0</v>
      </c>
      <c r="J23" s="268">
        <v>0</v>
      </c>
    </row>
    <row r="24" spans="1:15">
      <c r="A24" s="156" t="s">
        <v>430</v>
      </c>
      <c r="B24" s="304" t="s">
        <v>331</v>
      </c>
      <c r="C24" s="268">
        <v>47064</v>
      </c>
      <c r="D24" s="268">
        <v>54968</v>
      </c>
      <c r="E24" s="268">
        <v>150459</v>
      </c>
      <c r="F24" s="268">
        <f ca="1">E24*('Income Statement'!F44/'Income Statement'!E44)</f>
        <v>345022.64848566038</v>
      </c>
      <c r="G24" s="268">
        <f ca="1">F24*('Income Statement'!G44/'Income Statement'!F44)</f>
        <v>412472.0655716951</v>
      </c>
      <c r="H24" s="268">
        <f ca="1">G24*('Income Statement'!H44/'Income Statement'!G44)</f>
        <v>395127.81899412745</v>
      </c>
      <c r="I24" s="268">
        <f ca="1">H24*('Income Statement'!I44/'Income Statement'!H44)</f>
        <v>355091.24215192383</v>
      </c>
      <c r="J24" s="268">
        <f ca="1">I24*('Income Statement'!J44/'Income Statement'!I44)</f>
        <v>330026.43790553481</v>
      </c>
      <c r="L24" s="268"/>
    </row>
    <row r="25" spans="1:15">
      <c r="B25" s="156" t="s">
        <v>332</v>
      </c>
      <c r="C25" s="268">
        <f>SUM(C21:C24)</f>
        <v>248420</v>
      </c>
      <c r="D25" s="268">
        <f t="shared" ref="D25:J25" si="6">SUM(D21:D24)</f>
        <v>268015</v>
      </c>
      <c r="E25" s="268">
        <f t="shared" si="6"/>
        <v>433851</v>
      </c>
      <c r="F25" s="268">
        <f t="shared" ca="1" si="6"/>
        <v>650977.6225972987</v>
      </c>
      <c r="G25" s="268">
        <f t="shared" ca="1" si="6"/>
        <v>740375.53721033304</v>
      </c>
      <c r="H25" s="268">
        <f t="shared" ca="1" si="6"/>
        <v>707196.55054620525</v>
      </c>
      <c r="I25" s="268">
        <f t="shared" ca="1" si="6"/>
        <v>622583.56265941868</v>
      </c>
      <c r="J25" s="268">
        <f t="shared" ca="1" si="6"/>
        <v>582947.5771719343</v>
      </c>
    </row>
    <row r="26" spans="1:15">
      <c r="B26" s="243" t="s">
        <v>333</v>
      </c>
      <c r="C26" s="268">
        <v>0</v>
      </c>
      <c r="D26" s="268">
        <v>0</v>
      </c>
      <c r="E26" s="305">
        <v>112796</v>
      </c>
      <c r="F26" s="305">
        <v>0</v>
      </c>
      <c r="G26" s="305">
        <v>0</v>
      </c>
      <c r="H26" s="305">
        <v>0</v>
      </c>
      <c r="I26" s="305">
        <v>0</v>
      </c>
      <c r="J26" s="305">
        <v>0</v>
      </c>
    </row>
    <row r="27" spans="1:15">
      <c r="B27" s="178" t="s">
        <v>334</v>
      </c>
      <c r="C27" s="268"/>
      <c r="D27" s="268"/>
      <c r="E27" s="268"/>
    </row>
    <row r="28" spans="1:15">
      <c r="A28" s="156" t="s">
        <v>430</v>
      </c>
      <c r="B28" s="304" t="s">
        <v>329</v>
      </c>
      <c r="C28" s="268">
        <v>76347</v>
      </c>
      <c r="D28" s="268">
        <v>57403</v>
      </c>
      <c r="E28" s="268">
        <v>23544</v>
      </c>
      <c r="F28" s="268">
        <f ca="1">'Income Statement'!F19*0.025</f>
        <v>67320.480184560452</v>
      </c>
      <c r="G28" s="268">
        <f ca="1">'Income Statement'!G19*0.025</f>
        <v>77045.863141134803</v>
      </c>
      <c r="H28" s="268">
        <f ca="1">'Income Statement'!H19*0.025</f>
        <v>73694.448801190301</v>
      </c>
      <c r="I28" s="268">
        <f ca="1">'Income Statement'!I19*0.025</f>
        <v>64055.950685383046</v>
      </c>
      <c r="J28" s="268">
        <f ca="1">'Income Statement'!J19*0.025</f>
        <v>60133.96648241298</v>
      </c>
      <c r="L28" s="347"/>
      <c r="M28" s="347"/>
      <c r="N28" s="347"/>
    </row>
    <row r="29" spans="1:15">
      <c r="A29" s="156" t="s">
        <v>430</v>
      </c>
      <c r="B29" s="243" t="s">
        <v>350</v>
      </c>
      <c r="C29" s="168">
        <v>223279</v>
      </c>
      <c r="D29" s="268">
        <v>304941</v>
      </c>
      <c r="E29" s="268">
        <v>301695</v>
      </c>
      <c r="F29" s="168">
        <f ca="1">'Balance Sheet'!F74</f>
        <v>300000</v>
      </c>
      <c r="G29" s="168">
        <f ca="1">'Balance Sheet'!G74</f>
        <v>300000</v>
      </c>
      <c r="H29" s="168">
        <f ca="1">'Balance Sheet'!H74</f>
        <v>300000</v>
      </c>
      <c r="I29" s="168">
        <f ca="1">'Balance Sheet'!I74</f>
        <v>300000</v>
      </c>
      <c r="J29" s="168">
        <f ca="1">'Balance Sheet'!J74</f>
        <v>300000</v>
      </c>
      <c r="L29" s="268"/>
    </row>
    <row r="30" spans="1:15">
      <c r="A30" s="156" t="s">
        <v>430</v>
      </c>
      <c r="B30" s="243" t="s">
        <v>423</v>
      </c>
      <c r="C30" s="268">
        <v>318969</v>
      </c>
      <c r="D30" s="268">
        <v>334039</v>
      </c>
      <c r="E30" s="268">
        <v>386571</v>
      </c>
      <c r="F30" s="268">
        <f>E30</f>
        <v>386571</v>
      </c>
      <c r="G30" s="268">
        <f t="shared" ref="G30:J31" si="7">F30</f>
        <v>386571</v>
      </c>
      <c r="H30" s="268">
        <f t="shared" si="7"/>
        <v>386571</v>
      </c>
      <c r="I30" s="268">
        <f t="shared" si="7"/>
        <v>386571</v>
      </c>
      <c r="J30" s="268">
        <f t="shared" si="7"/>
        <v>386571</v>
      </c>
      <c r="L30" s="268"/>
    </row>
    <row r="31" spans="1:15">
      <c r="A31" s="156" t="s">
        <v>430</v>
      </c>
      <c r="B31" s="304" t="s">
        <v>335</v>
      </c>
      <c r="C31" s="268">
        <v>41877</v>
      </c>
      <c r="D31" s="268">
        <v>41911</v>
      </c>
      <c r="E31" s="268">
        <f>2919+78011</f>
        <v>80930</v>
      </c>
      <c r="F31" s="268">
        <f>E31</f>
        <v>80930</v>
      </c>
      <c r="G31" s="268">
        <f t="shared" si="7"/>
        <v>80930</v>
      </c>
      <c r="H31" s="268">
        <f t="shared" si="7"/>
        <v>80930</v>
      </c>
      <c r="I31" s="268">
        <f t="shared" si="7"/>
        <v>80930</v>
      </c>
      <c r="J31" s="268">
        <f t="shared" si="7"/>
        <v>80930</v>
      </c>
      <c r="L31" s="268"/>
    </row>
    <row r="32" spans="1:15">
      <c r="A32" s="156" t="s">
        <v>430</v>
      </c>
      <c r="B32" s="243" t="s">
        <v>336</v>
      </c>
      <c r="C32" s="268">
        <v>68818</v>
      </c>
      <c r="D32" s="268">
        <v>49985</v>
      </c>
      <c r="E32" s="268">
        <v>296150</v>
      </c>
      <c r="F32" s="268">
        <f ca="1">E32*(1+'Income Statement'!F60)</f>
        <v>559982.92849600536</v>
      </c>
      <c r="G32" s="268">
        <f ca="1">F32*(1+'Income Statement'!G60)</f>
        <v>640880.27821539529</v>
      </c>
      <c r="H32" s="268">
        <f ca="1">G32*(1+'Income Statement'!H60)</f>
        <v>613002.65744470968</v>
      </c>
      <c r="I32" s="268">
        <f ca="1">H32*(1+'Income Statement'!I60)</f>
        <v>532828.0302525697</v>
      </c>
      <c r="J32" s="268">
        <f ca="1">I32*(1+'Income Statement'!J60)</f>
        <v>500204.3146540891</v>
      </c>
    </row>
    <row r="33" spans="1:13">
      <c r="A33" s="156" t="s">
        <v>430</v>
      </c>
      <c r="B33" s="157" t="s">
        <v>337</v>
      </c>
      <c r="C33" s="307">
        <f>C25+C26+SUM(C28:C32)</f>
        <v>977710</v>
      </c>
      <c r="D33" s="307">
        <f t="shared" ref="D33:J33" si="8">D25+D26+SUM(D28:D32)</f>
        <v>1056294</v>
      </c>
      <c r="E33" s="307">
        <f t="shared" si="8"/>
        <v>1635537</v>
      </c>
      <c r="F33" s="307">
        <f t="shared" ca="1" si="8"/>
        <v>2045782.0312778642</v>
      </c>
      <c r="G33" s="307">
        <f t="shared" ca="1" si="8"/>
        <v>2225802.6785668633</v>
      </c>
      <c r="H33" s="307">
        <f t="shared" ca="1" si="8"/>
        <v>2161394.6567921052</v>
      </c>
      <c r="I33" s="307">
        <f t="shared" ca="1" si="8"/>
        <v>1986968.5435973713</v>
      </c>
      <c r="J33" s="307">
        <f t="shared" ca="1" si="8"/>
        <v>1910786.8583084363</v>
      </c>
    </row>
    <row r="34" spans="1:13" ht="6" customHeight="1">
      <c r="B34" s="157"/>
      <c r="C34" s="307"/>
      <c r="D34" s="307"/>
      <c r="E34" s="307"/>
    </row>
    <row r="35" spans="1:13">
      <c r="A35" s="156" t="s">
        <v>430</v>
      </c>
      <c r="B35" s="304" t="s">
        <v>397</v>
      </c>
      <c r="C35" s="305">
        <v>1743661</v>
      </c>
      <c r="D35" s="305">
        <v>1774172</v>
      </c>
      <c r="E35" s="305">
        <v>3043766</v>
      </c>
      <c r="F35" s="268">
        <f ca="1">E35+'Income Statement'!F56</f>
        <v>3076892.1265894878</v>
      </c>
      <c r="G35" s="268">
        <f ca="1">F35+'Income Statement'!G56</f>
        <v>3122061.3735564114</v>
      </c>
      <c r="H35" s="268">
        <f ca="1">G35+'Income Statement'!H56</f>
        <v>3172410.8286555279</v>
      </c>
      <c r="I35" s="268">
        <f ca="1">H35+'Income Statement'!I56</f>
        <v>3205829.3353519021</v>
      </c>
      <c r="J35" s="268">
        <f ca="1">I35+'Income Statement'!J56</f>
        <v>3228414.8957970762</v>
      </c>
      <c r="L35" s="268"/>
    </row>
    <row r="36" spans="1:13">
      <c r="A36" s="156" t="s">
        <v>430</v>
      </c>
      <c r="B36" s="243" t="s">
        <v>398</v>
      </c>
      <c r="C36" s="305">
        <v>65452</v>
      </c>
      <c r="D36" s="305">
        <v>72487</v>
      </c>
      <c r="E36" s="305">
        <v>70390</v>
      </c>
      <c r="F36" s="268">
        <f>E36</f>
        <v>70390</v>
      </c>
      <c r="G36" s="268">
        <f t="shared" ref="G36:J36" si="9">F36</f>
        <v>70390</v>
      </c>
      <c r="H36" s="268">
        <f t="shared" si="9"/>
        <v>70390</v>
      </c>
      <c r="I36" s="268">
        <f t="shared" si="9"/>
        <v>70390</v>
      </c>
      <c r="J36" s="268">
        <f t="shared" si="9"/>
        <v>70390</v>
      </c>
      <c r="L36" s="268"/>
    </row>
    <row r="37" spans="1:13">
      <c r="A37" s="156" t="s">
        <v>430</v>
      </c>
      <c r="B37" s="304" t="s">
        <v>399</v>
      </c>
      <c r="C37" s="268">
        <v>-951107</v>
      </c>
      <c r="D37" s="268">
        <v>-1128792</v>
      </c>
      <c r="E37" s="268">
        <v>-1057140</v>
      </c>
      <c r="F37" s="268">
        <f ca="1">F82</f>
        <v>-684692.822078428</v>
      </c>
      <c r="G37" s="268">
        <f t="shared" ref="G37:J37" ca="1" si="10">G82</f>
        <v>-152340.79806395841</v>
      </c>
      <c r="H37" s="268">
        <f t="shared" ca="1" si="10"/>
        <v>356170.5426978718</v>
      </c>
      <c r="I37" s="268">
        <f t="shared" ca="1" si="10"/>
        <v>809649.26254150958</v>
      </c>
      <c r="J37" s="268">
        <f t="shared" ca="1" si="10"/>
        <v>1228674.9402103187</v>
      </c>
      <c r="L37" s="268"/>
    </row>
    <row r="38" spans="1:13">
      <c r="B38" s="157" t="s">
        <v>400</v>
      </c>
      <c r="C38" s="307">
        <f>SUM(C35:C37)</f>
        <v>858006</v>
      </c>
      <c r="D38" s="307">
        <f t="shared" ref="D38:J38" si="11">SUM(D35:D37)</f>
        <v>717867</v>
      </c>
      <c r="E38" s="307">
        <f t="shared" si="11"/>
        <v>2057016</v>
      </c>
      <c r="F38" s="307">
        <f t="shared" ca="1" si="11"/>
        <v>2462589.30451106</v>
      </c>
      <c r="G38" s="307">
        <f t="shared" ca="1" si="11"/>
        <v>3040110.5754924528</v>
      </c>
      <c r="H38" s="307">
        <f t="shared" ca="1" si="11"/>
        <v>3598971.3713533999</v>
      </c>
      <c r="I38" s="307">
        <f t="shared" ca="1" si="11"/>
        <v>4085868.5978934118</v>
      </c>
      <c r="J38" s="307">
        <f t="shared" ca="1" si="11"/>
        <v>4527479.8360073948</v>
      </c>
    </row>
    <row r="39" spans="1:13">
      <c r="B39" s="304" t="s">
        <v>401</v>
      </c>
      <c r="C39" s="168">
        <v>86327</v>
      </c>
      <c r="D39" s="168">
        <v>98630</v>
      </c>
      <c r="E39" s="168">
        <v>189164</v>
      </c>
      <c r="F39" s="168">
        <f>E39</f>
        <v>189164</v>
      </c>
      <c r="G39" s="168">
        <f t="shared" ref="G39:J39" si="12">F39</f>
        <v>189164</v>
      </c>
      <c r="H39" s="168">
        <f t="shared" si="12"/>
        <v>189164</v>
      </c>
      <c r="I39" s="168">
        <f t="shared" si="12"/>
        <v>189164</v>
      </c>
      <c r="J39" s="168">
        <f t="shared" si="12"/>
        <v>189164</v>
      </c>
      <c r="M39" s="268"/>
    </row>
    <row r="40" spans="1:13">
      <c r="B40" s="192" t="s">
        <v>74</v>
      </c>
      <c r="C40" s="307">
        <f>C38+C39</f>
        <v>944333</v>
      </c>
      <c r="D40" s="307">
        <f t="shared" ref="D40:J40" si="13">D38+D39</f>
        <v>816497</v>
      </c>
      <c r="E40" s="307">
        <f t="shared" si="13"/>
        <v>2246180</v>
      </c>
      <c r="F40" s="307">
        <f t="shared" ca="1" si="13"/>
        <v>2651753.30451106</v>
      </c>
      <c r="G40" s="307">
        <f t="shared" ca="1" si="13"/>
        <v>3229274.5754924528</v>
      </c>
      <c r="H40" s="307">
        <f t="shared" ca="1" si="13"/>
        <v>3788135.3713533999</v>
      </c>
      <c r="I40" s="307">
        <f t="shared" ca="1" si="13"/>
        <v>4275032.5978934113</v>
      </c>
      <c r="J40" s="307">
        <f t="shared" ca="1" si="13"/>
        <v>4716643.8360073948</v>
      </c>
    </row>
    <row r="41" spans="1:13">
      <c r="B41" s="192" t="s">
        <v>403</v>
      </c>
      <c r="C41" s="307">
        <f>C40+C33</f>
        <v>1922043</v>
      </c>
      <c r="D41" s="307">
        <f>D40+D33</f>
        <v>1872791</v>
      </c>
      <c r="E41" s="307">
        <f t="shared" ref="E41:J41" si="14">E40+E33</f>
        <v>3881717</v>
      </c>
      <c r="F41" s="307">
        <f t="shared" ca="1" si="14"/>
        <v>4697535.3357889242</v>
      </c>
      <c r="G41" s="307">
        <f t="shared" ca="1" si="14"/>
        <v>5455077.2540593166</v>
      </c>
      <c r="H41" s="307">
        <f t="shared" ca="1" si="14"/>
        <v>5949530.0281455051</v>
      </c>
      <c r="I41" s="307">
        <f t="shared" ca="1" si="14"/>
        <v>6262001.1414907826</v>
      </c>
      <c r="J41" s="307">
        <f t="shared" ca="1" si="14"/>
        <v>6627430.6943158312</v>
      </c>
    </row>
    <row r="42" spans="1:13">
      <c r="B42" s="192"/>
    </row>
    <row r="43" spans="1:13">
      <c r="B43" s="328" t="s">
        <v>402</v>
      </c>
      <c r="C43" s="360">
        <f>ROUND(C18-C33-C40,3)</f>
        <v>0</v>
      </c>
      <c r="D43" s="360">
        <f t="shared" ref="D43:J43" si="15">ROUND(D18-D33-D40,3)</f>
        <v>0</v>
      </c>
      <c r="E43" s="360">
        <f t="shared" si="15"/>
        <v>0</v>
      </c>
      <c r="F43" s="360">
        <f t="shared" ca="1" si="15"/>
        <v>-68012</v>
      </c>
      <c r="G43" s="360">
        <f t="shared" ca="1" si="15"/>
        <v>-68012</v>
      </c>
      <c r="H43" s="360">
        <f t="shared" ca="1" si="15"/>
        <v>-68012</v>
      </c>
      <c r="I43" s="360">
        <f t="shared" ca="1" si="15"/>
        <v>-68012</v>
      </c>
      <c r="J43" s="360">
        <f t="shared" ca="1" si="15"/>
        <v>-68012</v>
      </c>
    </row>
    <row r="44" spans="1:13">
      <c r="B44" s="328"/>
      <c r="C44" s="360"/>
      <c r="D44" s="360"/>
      <c r="E44" s="360"/>
      <c r="F44" s="360"/>
      <c r="G44" s="360"/>
      <c r="H44" s="360"/>
      <c r="I44" s="360"/>
      <c r="J44" s="360"/>
    </row>
    <row r="45" spans="1:13">
      <c r="B45" s="192"/>
    </row>
    <row r="46" spans="1:13">
      <c r="B46" s="202" t="s">
        <v>373</v>
      </c>
      <c r="C46" s="188"/>
      <c r="D46" s="188"/>
      <c r="E46" s="188"/>
      <c r="F46" s="188"/>
      <c r="G46" s="188"/>
      <c r="H46" s="188"/>
      <c r="I46" s="188"/>
      <c r="J46" s="188"/>
    </row>
    <row r="47" spans="1:13" ht="15">
      <c r="B47" s="167"/>
      <c r="C47" s="167"/>
      <c r="D47" s="167"/>
      <c r="E47" s="167"/>
      <c r="F47" s="353" t="s">
        <v>310</v>
      </c>
      <c r="G47" s="353"/>
      <c r="H47" s="353"/>
      <c r="I47" s="353"/>
      <c r="J47" s="353"/>
    </row>
    <row r="48" spans="1:13">
      <c r="B48" t="s">
        <v>307</v>
      </c>
      <c r="C48" s="268"/>
      <c r="D48" s="268"/>
      <c r="E48" s="268"/>
      <c r="F48" s="268">
        <f>E58</f>
        <v>2566098</v>
      </c>
      <c r="G48" s="268">
        <f ca="1">F58</f>
        <v>2378557.5668147793</v>
      </c>
      <c r="H48" s="268">
        <f ca="1">G58</f>
        <v>2100061.7459429507</v>
      </c>
      <c r="I48" s="268">
        <f ca="1">H58</f>
        <v>1856075.0912679425</v>
      </c>
      <c r="J48" s="268">
        <f ca="1">I58</f>
        <v>1631257.8018871052</v>
      </c>
    </row>
    <row r="49" spans="2:11">
      <c r="B49" t="s">
        <v>308</v>
      </c>
      <c r="C49" s="268">
        <v>402203</v>
      </c>
      <c r="D49" s="268">
        <v>233439</v>
      </c>
      <c r="E49" s="268">
        <v>235855</v>
      </c>
      <c r="F49" s="268">
        <f ca="1">-SUM(F50:F56)</f>
        <v>365867</v>
      </c>
      <c r="G49" s="268">
        <f t="shared" ref="G49:J49" ca="1" si="16">-SUM(G50:G56)</f>
        <v>299756.42487165902</v>
      </c>
      <c r="H49" s="268">
        <f t="shared" ca="1" si="16"/>
        <v>296195.28467664705</v>
      </c>
      <c r="I49" s="268">
        <f t="shared" ca="1" si="16"/>
        <v>266340.95145289204</v>
      </c>
      <c r="J49" s="268">
        <f t="shared" ca="1" si="16"/>
        <v>245682.96810551811</v>
      </c>
    </row>
    <row r="50" spans="2:11" hidden="1" outlineLevel="1">
      <c r="B50" s="301" t="s">
        <v>126</v>
      </c>
      <c r="C50" s="268"/>
      <c r="D50" s="268"/>
      <c r="E50" s="268"/>
      <c r="F50" s="268">
        <f ca="1">'Boungou '!H40</f>
        <v>-41500</v>
      </c>
      <c r="G50" s="268">
        <f ca="1">'Boungou '!I40</f>
        <v>-24871.764699578289</v>
      </c>
      <c r="H50" s="268">
        <f ca="1">'Boungou '!J40</f>
        <v>-20917.661699380027</v>
      </c>
      <c r="I50" s="268">
        <f ca="1">'Boungou '!K40</f>
        <v>-19961.061316786414</v>
      </c>
      <c r="J50" s="268">
        <f ca="1">'Boungou '!L40</f>
        <v>-19004.460934192804</v>
      </c>
    </row>
    <row r="51" spans="2:11" hidden="1" outlineLevel="1">
      <c r="B51" s="301" t="s">
        <v>190</v>
      </c>
      <c r="C51" s="268"/>
      <c r="D51" s="268"/>
      <c r="E51" s="268"/>
      <c r="F51" s="268">
        <f ca="1">'Hounde '!I40</f>
        <v>-40367</v>
      </c>
      <c r="G51" s="268">
        <f ca="1">'Hounde '!J40</f>
        <v>-56805</v>
      </c>
      <c r="H51" s="268">
        <f ca="1">'Hounde '!K40</f>
        <v>-64000</v>
      </c>
      <c r="I51" s="268">
        <f ca="1">'Hounde '!L40</f>
        <v>-52197.437002851191</v>
      </c>
      <c r="J51" s="268">
        <f ca="1">'Hounde '!M40</f>
        <v>-52197.437002851198</v>
      </c>
    </row>
    <row r="52" spans="2:11" hidden="1" outlineLevel="1">
      <c r="B52" s="301" t="s">
        <v>252</v>
      </c>
      <c r="C52" s="268"/>
      <c r="D52" s="268"/>
      <c r="E52" s="268"/>
      <c r="F52" s="268">
        <f ca="1">'Karma '!I40</f>
        <v>-6000</v>
      </c>
      <c r="G52" s="268">
        <f ca="1">'Karma '!J40</f>
        <v>-8913.0142552731613</v>
      </c>
      <c r="H52" s="268">
        <f ca="1">'Karma '!K40</f>
        <v>-2110.9770604594328</v>
      </c>
      <c r="I52" s="268"/>
      <c r="J52" s="268"/>
    </row>
    <row r="53" spans="2:11" hidden="1" outlineLevel="1">
      <c r="B53" s="301" t="s">
        <v>271</v>
      </c>
      <c r="C53" s="268"/>
      <c r="D53" s="268"/>
      <c r="E53" s="268"/>
      <c r="F53" s="268">
        <f ca="1">'Ity '!G40</f>
        <v>-68000</v>
      </c>
      <c r="G53" s="268">
        <f ca="1">'Ity '!H40</f>
        <v>-39373.419607335396</v>
      </c>
      <c r="H53" s="268">
        <f ca="1">'Ity '!I40</f>
        <v>-39373.419607335396</v>
      </c>
      <c r="I53" s="268">
        <f ca="1">'Ity '!J40</f>
        <v>-35299.124327278696</v>
      </c>
      <c r="J53" s="268">
        <f ca="1">'Ity '!K40</f>
        <v>-18785.562240105923</v>
      </c>
    </row>
    <row r="54" spans="2:11" hidden="1" outlineLevel="1">
      <c r="B54" s="301" t="s">
        <v>267</v>
      </c>
      <c r="C54" s="268"/>
      <c r="D54" s="268"/>
      <c r="E54" s="268"/>
      <c r="F54" s="268">
        <f ca="1">'Mana '!F40</f>
        <v>-85000</v>
      </c>
      <c r="G54" s="268">
        <f ca="1">'Mana '!G40</f>
        <v>-49641.921166428234</v>
      </c>
      <c r="H54" s="268">
        <f ca="1">'Mana '!H40</f>
        <v>-49641.921166428234</v>
      </c>
      <c r="I54" s="268">
        <f ca="1">'Mana '!I40</f>
        <v>-38732.023662931824</v>
      </c>
      <c r="J54" s="268">
        <f ca="1">'Mana '!J40</f>
        <v>-35544.202785324262</v>
      </c>
    </row>
    <row r="55" spans="2:11" hidden="1" outlineLevel="1">
      <c r="B55" s="301" t="s">
        <v>376</v>
      </c>
      <c r="C55" s="268"/>
      <c r="D55" s="268"/>
      <c r="E55" s="268"/>
      <c r="F55" s="268">
        <f ca="1">Sabodala!H40</f>
        <v>-85000</v>
      </c>
      <c r="G55" s="268">
        <f ca="1">Sabodala!I40</f>
        <v>-97482.09669865662</v>
      </c>
      <c r="H55" s="268">
        <f ca="1">Sabodala!J40</f>
        <v>-97482.096698656635</v>
      </c>
      <c r="I55" s="268">
        <f ca="1">Sabodala!K40</f>
        <v>-97482.096698656635</v>
      </c>
      <c r="J55" s="268">
        <f ca="1">Sabodala!L40</f>
        <v>-97482.096698656649</v>
      </c>
    </row>
    <row r="56" spans="2:11" hidden="1" outlineLevel="1">
      <c r="B56" s="301" t="s">
        <v>385</v>
      </c>
      <c r="C56" s="268"/>
      <c r="D56" s="268"/>
      <c r="E56" s="268"/>
      <c r="F56" s="268">
        <f ca="1">Wahgnion!G40</f>
        <v>-40000</v>
      </c>
      <c r="G56" s="268">
        <f ca="1">Wahgnion!H40</f>
        <v>-22669.208444387288</v>
      </c>
      <c r="H56" s="268">
        <f ca="1">Wahgnion!I40</f>
        <v>-22669.208444387288</v>
      </c>
      <c r="I56" s="268">
        <f ca="1">Wahgnion!J40</f>
        <v>-22669.208444387288</v>
      </c>
      <c r="J56" s="268">
        <f ca="1">Wahgnion!K40</f>
        <v>-22669.208444387285</v>
      </c>
    </row>
    <row r="57" spans="2:11" collapsed="1">
      <c r="B57" s="156" t="s">
        <v>311</v>
      </c>
      <c r="C57" s="268">
        <v>-169069</v>
      </c>
      <c r="D57" s="268">
        <v>-197219</v>
      </c>
      <c r="E57" s="268">
        <v>-260562</v>
      </c>
      <c r="F57" s="268">
        <f>SUM('Income Statement'!X33:AA33)</f>
        <v>-553407.43318522058</v>
      </c>
      <c r="G57" s="268">
        <f>SUM('Income Statement'!Y33:AB33)</f>
        <v>-578252.2457434875</v>
      </c>
      <c r="H57" s="268">
        <f>SUM('Income Statement'!AC33:AF33)</f>
        <v>-540181.93935165543</v>
      </c>
      <c r="I57" s="268">
        <f>SUM('Income Statement'!AG33:AJ33)</f>
        <v>-491158.24083372962</v>
      </c>
      <c r="J57" s="268">
        <f>SUM('Income Statement'!AK33:AN33)</f>
        <v>-480730.83331909461</v>
      </c>
    </row>
    <row r="58" spans="2:11">
      <c r="B58" t="s">
        <v>309</v>
      </c>
      <c r="C58" s="268">
        <f>'Balance Sheet'!C14</f>
        <v>1543842</v>
      </c>
      <c r="D58" s="268">
        <f>'Balance Sheet'!D14</f>
        <v>1410274</v>
      </c>
      <c r="E58" s="268">
        <f>'Balance Sheet'!E14</f>
        <v>2566098</v>
      </c>
      <c r="F58" s="268">
        <f ca="1">F48+F49+F57</f>
        <v>2378557.5668147793</v>
      </c>
      <c r="G58" s="268">
        <f ca="1">G48+G49+G57</f>
        <v>2100061.7459429507</v>
      </c>
      <c r="H58" s="268">
        <f ca="1">H48+H49+H57</f>
        <v>1856075.0912679425</v>
      </c>
      <c r="I58" s="268">
        <f ca="1">I48+I49+I57</f>
        <v>1631257.8018871052</v>
      </c>
      <c r="J58" s="268">
        <f ca="1">J48+J49+J57</f>
        <v>1396209.9366735285</v>
      </c>
    </row>
    <row r="59" spans="2:11">
      <c r="K59" s="310"/>
    </row>
    <row r="60" spans="2:11">
      <c r="B60" s="156" t="s">
        <v>410</v>
      </c>
      <c r="C60" s="185">
        <f t="shared" ref="C60:J60" si="17">-(C57/C49)</f>
        <v>0.42035738172017612</v>
      </c>
      <c r="D60" s="185">
        <f t="shared" si="17"/>
        <v>0.84484169311897328</v>
      </c>
      <c r="E60" s="185">
        <f t="shared" si="17"/>
        <v>1.1047550401729875</v>
      </c>
      <c r="F60" s="185">
        <f t="shared" ca="1" si="17"/>
        <v>1.512591824857723</v>
      </c>
      <c r="G60" s="185">
        <f t="shared" ca="1" si="17"/>
        <v>1.9290737337525516</v>
      </c>
      <c r="H60" s="185">
        <f t="shared" ca="1" si="17"/>
        <v>1.8237357827669869</v>
      </c>
      <c r="I60" s="185">
        <f t="shared" ca="1" si="17"/>
        <v>1.844095840892876</v>
      </c>
      <c r="J60" s="185">
        <f t="shared" ca="1" si="17"/>
        <v>1.956712087231973</v>
      </c>
      <c r="K60" s="241"/>
    </row>
    <row r="62" spans="2:11">
      <c r="B62" s="202" t="s">
        <v>355</v>
      </c>
      <c r="C62" s="188"/>
      <c r="D62" s="188"/>
      <c r="E62" s="188"/>
      <c r="F62" s="188"/>
      <c r="G62" s="188"/>
      <c r="H62" s="188"/>
      <c r="I62" s="188"/>
      <c r="J62" s="188"/>
    </row>
    <row r="63" spans="2:11">
      <c r="C63" s="327"/>
      <c r="D63" s="327"/>
      <c r="E63" s="327"/>
      <c r="F63" s="327"/>
      <c r="G63" s="327"/>
      <c r="H63" s="327"/>
      <c r="I63" s="327"/>
      <c r="J63" s="327"/>
    </row>
    <row r="64" spans="2:11">
      <c r="B64" s="308" t="s">
        <v>356</v>
      </c>
    </row>
    <row r="65" spans="2:10">
      <c r="B65" s="304" t="s">
        <v>357</v>
      </c>
      <c r="C65" s="268"/>
      <c r="D65" s="268">
        <f>C6</f>
        <v>139032</v>
      </c>
      <c r="E65" s="268">
        <f>D6</f>
        <v>213710</v>
      </c>
      <c r="F65" s="268">
        <f>E6</f>
        <v>670950</v>
      </c>
      <c r="G65" s="268">
        <f ca="1">F6</f>
        <v>1656271.2253563567</v>
      </c>
      <c r="H65" s="268">
        <f ca="1">G6</f>
        <v>2638456.9828832094</v>
      </c>
      <c r="I65" s="268">
        <f ca="1">H6</f>
        <v>3402071.0115670329</v>
      </c>
      <c r="J65" s="268">
        <f ca="1">I6</f>
        <v>4010989.4898784859</v>
      </c>
    </row>
    <row r="66" spans="2:10">
      <c r="B66" s="304" t="s">
        <v>358</v>
      </c>
      <c r="C66" s="268"/>
      <c r="D66" s="268"/>
      <c r="E66" s="268"/>
      <c r="F66" s="268">
        <v>-50000</v>
      </c>
      <c r="G66" s="268">
        <v>-50000</v>
      </c>
      <c r="H66" s="268">
        <v>-50000</v>
      </c>
      <c r="I66" s="268">
        <v>-50000</v>
      </c>
      <c r="J66" s="268">
        <v>-50000</v>
      </c>
    </row>
    <row r="67" spans="2:10">
      <c r="B67" s="304" t="s">
        <v>359</v>
      </c>
      <c r="C67" s="268"/>
      <c r="D67" s="268"/>
      <c r="E67" s="268"/>
      <c r="F67" s="268">
        <f ca="1">SUM('Cash Flow Statement'!F19+'Cash Flow Statement'!F23+'Cash Flow Statement'!F25+'Cash Flow Statement'!F29+'Cash Flow Statement'!F30)</f>
        <v>889580.26498723589</v>
      </c>
      <c r="G67" s="268">
        <f ca="1">SUM('Cash Flow Statement'!G19+'Cash Flow Statement'!G23+'Cash Flow Statement'!G25+'Cash Flow Statement'!G29+'Cash Flow Statement'!G30)</f>
        <v>962734.99161370366</v>
      </c>
      <c r="H67" s="268">
        <f ca="1">SUM('Cash Flow Statement'!H19+'Cash Flow Statement'!H23+'Cash Flow Statement'!H25+'Cash Flow Statement'!H29+'Cash Flow Statement'!H30)</f>
        <v>770316.85736371251</v>
      </c>
      <c r="I67" s="268">
        <f ca="1">SUM('Cash Flow Statement'!I19+'Cash Flow Statement'!I23+'Cash Flow Statement'!I25+'Cash Flow Statement'!I29+'Cash Flow Statement'!I30)</f>
        <v>628195.47454306774</v>
      </c>
      <c r="J67" s="268">
        <f ca="1">SUM('Cash Flow Statement'!J19+'Cash Flow Statement'!J23+'Cash Flow Statement'!J25+'Cash Flow Statement'!J29+'Cash Flow Statement'!J30)</f>
        <v>634614.39187494095</v>
      </c>
    </row>
    <row r="68" spans="2:10">
      <c r="B68" s="306" t="s">
        <v>360</v>
      </c>
      <c r="C68" s="268"/>
      <c r="D68" s="268"/>
      <c r="E68" s="268"/>
      <c r="F68" s="307">
        <f ca="1">SUM(F65:F67)</f>
        <v>1510530.2649872359</v>
      </c>
      <c r="G68" s="307">
        <f ca="1">SUM(G65:G67)</f>
        <v>2569006.2169700605</v>
      </c>
      <c r="H68" s="307">
        <f ca="1">SUM(H65:H67)</f>
        <v>3358773.8402469219</v>
      </c>
      <c r="I68" s="307">
        <f ca="1">SUM(I65:I67)</f>
        <v>3980266.4861101005</v>
      </c>
      <c r="J68" s="307">
        <f ca="1">SUM(J65:J67)</f>
        <v>4595603.881753427</v>
      </c>
    </row>
    <row r="69" spans="2:10">
      <c r="C69" s="268"/>
      <c r="D69" s="268"/>
      <c r="E69" s="268"/>
      <c r="F69" s="268"/>
      <c r="G69" s="268"/>
      <c r="H69" s="268"/>
      <c r="I69" s="268"/>
      <c r="J69" s="268"/>
    </row>
    <row r="70" spans="2:10">
      <c r="B70" s="157" t="s">
        <v>361</v>
      </c>
      <c r="C70" s="268"/>
      <c r="D70" s="268"/>
      <c r="E70" s="268"/>
      <c r="F70" s="268"/>
      <c r="G70" s="268"/>
      <c r="H70" s="268"/>
      <c r="I70" s="268"/>
      <c r="J70" s="268"/>
    </row>
    <row r="71" spans="2:10">
      <c r="B71" s="304" t="s">
        <v>307</v>
      </c>
      <c r="C71" s="268"/>
      <c r="D71" s="268"/>
      <c r="E71" s="268"/>
      <c r="F71" s="268">
        <f>E74</f>
        <v>301695</v>
      </c>
      <c r="G71" s="268">
        <f ca="1">F74</f>
        <v>300000</v>
      </c>
      <c r="H71" s="268">
        <f ca="1">G74</f>
        <v>300000</v>
      </c>
      <c r="I71" s="268">
        <f ca="1">H74</f>
        <v>300000</v>
      </c>
      <c r="J71" s="268">
        <f ca="1">I74</f>
        <v>300000</v>
      </c>
    </row>
    <row r="72" spans="2:10">
      <c r="B72" s="304" t="s">
        <v>362</v>
      </c>
      <c r="C72" s="268"/>
      <c r="D72" s="268"/>
      <c r="E72" s="268"/>
      <c r="F72" s="268">
        <f ca="1">-MIN(F68,F71)</f>
        <v>-301695</v>
      </c>
      <c r="G72" s="268">
        <f ca="1">-MIN(G68,G71)</f>
        <v>-300000</v>
      </c>
      <c r="H72" s="268">
        <f ca="1">-MIN(H68,H71)</f>
        <v>-300000</v>
      </c>
      <c r="I72" s="268">
        <f ca="1">-MIN(I68,I71)</f>
        <v>-300000</v>
      </c>
      <c r="J72" s="268">
        <f ca="1">-MIN(J68,J71)</f>
        <v>-300000</v>
      </c>
    </row>
    <row r="73" spans="2:10">
      <c r="B73" s="304" t="s">
        <v>363</v>
      </c>
      <c r="C73" s="268"/>
      <c r="D73" s="268"/>
      <c r="E73" s="268"/>
      <c r="F73" s="268">
        <v>300000</v>
      </c>
      <c r="G73" s="268">
        <v>300000</v>
      </c>
      <c r="H73" s="268">
        <v>300000</v>
      </c>
      <c r="I73" s="268">
        <v>300000</v>
      </c>
      <c r="J73" s="268">
        <v>300000</v>
      </c>
    </row>
    <row r="74" spans="2:10">
      <c r="B74" s="304" t="s">
        <v>309</v>
      </c>
      <c r="C74" s="268">
        <f>'Balance Sheet'!C29</f>
        <v>223279</v>
      </c>
      <c r="D74" s="268">
        <f>'Balance Sheet'!D29</f>
        <v>304941</v>
      </c>
      <c r="E74" s="268">
        <f>'Balance Sheet'!E29</f>
        <v>301695</v>
      </c>
      <c r="F74" s="307">
        <f ca="1">SUM(F71:F73)</f>
        <v>300000</v>
      </c>
      <c r="G74" s="307">
        <f ca="1">SUM(G71:G73)</f>
        <v>300000</v>
      </c>
      <c r="H74" s="307">
        <f ca="1">SUM(H71:H73)</f>
        <v>300000</v>
      </c>
      <c r="I74" s="307">
        <f ca="1">SUM(I71:I73)</f>
        <v>300000</v>
      </c>
      <c r="J74" s="307">
        <f ca="1">SUM(J71:J73)</f>
        <v>300000</v>
      </c>
    </row>
    <row r="75" spans="2:10">
      <c r="B75" s="304" t="s">
        <v>364</v>
      </c>
      <c r="F75" s="315" t="str">
        <f ca="1">IF(F74&lt;0,"Negative Debt","OK")</f>
        <v>OK</v>
      </c>
      <c r="G75" s="315" t="str">
        <f ca="1">IF(G74&lt;0,"Negative Debt","OK")</f>
        <v>OK</v>
      </c>
      <c r="H75" s="315" t="str">
        <f ca="1">IF(H74&lt;0,"Negative Debt","OK")</f>
        <v>OK</v>
      </c>
      <c r="I75" s="315" t="str">
        <f ca="1">IF(I74&lt;0,"Negative Debt","OK")</f>
        <v>OK</v>
      </c>
      <c r="J75" s="315" t="str">
        <f ca="1">IF(J74&lt;0,"Negative Debt","OK")</f>
        <v>OK</v>
      </c>
    </row>
    <row r="77" spans="2:10">
      <c r="B77" s="326" t="s">
        <v>393</v>
      </c>
      <c r="C77" s="188"/>
      <c r="D77" s="188"/>
      <c r="E77" s="188"/>
      <c r="F77" s="188"/>
      <c r="G77" s="188"/>
      <c r="H77" s="188"/>
      <c r="I77" s="188"/>
      <c r="J77" s="188"/>
    </row>
    <row r="78" spans="2:10">
      <c r="B78" t="s">
        <v>307</v>
      </c>
      <c r="F78" s="268">
        <f>E82</f>
        <v>-1057140</v>
      </c>
      <c r="G78" s="268">
        <f t="shared" ref="G78:J78" ca="1" si="18">F82</f>
        <v>-684692.822078428</v>
      </c>
      <c r="H78" s="268">
        <f t="shared" ca="1" si="18"/>
        <v>-152340.79806395841</v>
      </c>
      <c r="I78" s="268">
        <f t="shared" ca="1" si="18"/>
        <v>356170.5426978718</v>
      </c>
      <c r="J78" s="268">
        <f t="shared" ca="1" si="18"/>
        <v>809649.26254150958</v>
      </c>
    </row>
    <row r="79" spans="2:10">
      <c r="B79" t="s">
        <v>394</v>
      </c>
      <c r="C79" s="268">
        <f>'Income Statement'!C49</f>
        <v>-136481</v>
      </c>
      <c r="D79" s="268">
        <f ca="1">'Income Statement'!D49</f>
        <v>-108380</v>
      </c>
      <c r="E79" s="268">
        <f ca="1">'Income Statement'!E49</f>
        <v>-1379</v>
      </c>
      <c r="F79" s="268">
        <f ca="1">'Income Statement'!F49</f>
        <v>566871.177921572</v>
      </c>
      <c r="G79" s="268">
        <f ca="1">'Income Statement'!G49</f>
        <v>789553.24807330454</v>
      </c>
      <c r="H79" s="268">
        <f ca="1">'Income Statement'!H49</f>
        <v>756352.92406658095</v>
      </c>
      <c r="I79" s="268">
        <f ca="1">'Income Statement'!I49</f>
        <v>679714.98437074979</v>
      </c>
      <c r="J79" s="268">
        <f ca="1">'Income Statement'!J49</f>
        <v>631735.9834713107</v>
      </c>
    </row>
    <row r="80" spans="2:10">
      <c r="B80" t="s">
        <v>395</v>
      </c>
      <c r="C80">
        <v>0</v>
      </c>
      <c r="D80">
        <v>0</v>
      </c>
      <c r="E80" s="168">
        <v>0</v>
      </c>
      <c r="F80" s="268">
        <v>-159809</v>
      </c>
      <c r="G80" s="268">
        <f ca="1">G79*(F80/F79)</f>
        <v>-222586.22405883495</v>
      </c>
      <c r="H80" s="268">
        <f ca="1">H79*(G80/G79)</f>
        <v>-213226.5833047507</v>
      </c>
      <c r="I80" s="268">
        <f t="shared" ref="I80:J80" ca="1" si="19">I79*(H80/H79)</f>
        <v>-191621.26452711204</v>
      </c>
      <c r="J80" s="268">
        <f t="shared" ca="1" si="19"/>
        <v>-178095.30580250165</v>
      </c>
    </row>
    <row r="81" spans="2:10">
      <c r="B81" t="s">
        <v>396</v>
      </c>
      <c r="C81">
        <v>0</v>
      </c>
      <c r="D81">
        <v>0</v>
      </c>
      <c r="E81">
        <v>0</v>
      </c>
      <c r="F81" s="268">
        <v>-34615</v>
      </c>
      <c r="G81" s="268">
        <f>F81</f>
        <v>-34615</v>
      </c>
      <c r="H81" s="268">
        <f t="shared" ref="H81:J81" si="20">G81</f>
        <v>-34615</v>
      </c>
      <c r="I81" s="268">
        <f t="shared" si="20"/>
        <v>-34615</v>
      </c>
      <c r="J81" s="268">
        <f t="shared" si="20"/>
        <v>-34615</v>
      </c>
    </row>
    <row r="82" spans="2:10">
      <c r="B82" t="s">
        <v>309</v>
      </c>
      <c r="C82" s="268">
        <f>C37</f>
        <v>-951107</v>
      </c>
      <c r="D82" s="268">
        <f>D37</f>
        <v>-1128792</v>
      </c>
      <c r="E82" s="268">
        <f>E37</f>
        <v>-1057140</v>
      </c>
      <c r="F82" s="268">
        <f ca="1">SUM(F78:F81)</f>
        <v>-684692.822078428</v>
      </c>
      <c r="G82" s="268">
        <f t="shared" ref="G82:J82" ca="1" si="21">SUM(G78:G81)</f>
        <v>-152340.79806395841</v>
      </c>
      <c r="H82" s="268">
        <f t="shared" ca="1" si="21"/>
        <v>356170.5426978718</v>
      </c>
      <c r="I82" s="268">
        <f t="shared" ca="1" si="21"/>
        <v>809649.26254150958</v>
      </c>
      <c r="J82" s="268">
        <f t="shared" ca="1" si="21"/>
        <v>1228674.9402103187</v>
      </c>
    </row>
    <row r="84" spans="2:10">
      <c r="B84" s="361" t="s">
        <v>427</v>
      </c>
      <c r="C84" s="188"/>
      <c r="D84" s="188"/>
      <c r="E84" s="188"/>
      <c r="F84" s="188"/>
      <c r="G84" s="188"/>
      <c r="H84" s="188"/>
      <c r="I84" s="188"/>
      <c r="J84" s="188"/>
    </row>
    <row r="85" spans="2:10" ht="15">
      <c r="F85" s="353" t="s">
        <v>310</v>
      </c>
      <c r="G85" s="353"/>
      <c r="H85" s="353"/>
      <c r="I85" s="353"/>
      <c r="J85" s="353"/>
    </row>
    <row r="86" spans="2:10">
      <c r="B86" s="157" t="s">
        <v>431</v>
      </c>
    </row>
    <row r="87" spans="2:10">
      <c r="B87" t="s">
        <v>307</v>
      </c>
      <c r="D87" s="268">
        <f>C89</f>
        <v>57782</v>
      </c>
      <c r="E87" s="268">
        <f>D89</f>
        <v>19228</v>
      </c>
      <c r="F87" s="268">
        <f>E87</f>
        <v>19228</v>
      </c>
      <c r="G87" s="268">
        <f t="shared" ref="G87:J87" si="22">F87</f>
        <v>19228</v>
      </c>
      <c r="H87" s="268">
        <f t="shared" si="22"/>
        <v>19228</v>
      </c>
      <c r="I87" s="268">
        <f t="shared" si="22"/>
        <v>19228</v>
      </c>
      <c r="J87" s="268">
        <f t="shared" si="22"/>
        <v>19228</v>
      </c>
    </row>
    <row r="88" spans="2:10">
      <c r="B88" t="s">
        <v>432</v>
      </c>
      <c r="D88" s="268">
        <f>D89-D87</f>
        <v>-38554</v>
      </c>
      <c r="E88" s="268">
        <f>E89-E87</f>
        <v>33584</v>
      </c>
      <c r="F88" s="268">
        <f t="shared" ref="F88:J88" ca="1" si="23">F89-F87</f>
        <v>54547.868695408717</v>
      </c>
      <c r="G88" s="268">
        <f t="shared" ca="1" si="23"/>
        <v>65205.822620421706</v>
      </c>
      <c r="H88" s="268">
        <f t="shared" ca="1" si="23"/>
        <v>61533.039782126361</v>
      </c>
      <c r="I88" s="268">
        <f t="shared" ca="1" si="23"/>
        <v>50970.302120967724</v>
      </c>
      <c r="J88" s="268">
        <f t="shared" ca="1" si="23"/>
        <v>46672.237241000534</v>
      </c>
    </row>
    <row r="89" spans="2:10">
      <c r="B89" t="s">
        <v>309</v>
      </c>
      <c r="C89" s="268">
        <f>C7</f>
        <v>57782</v>
      </c>
      <c r="D89" s="268">
        <f>D7</f>
        <v>19228</v>
      </c>
      <c r="E89" s="268">
        <f>E7</f>
        <v>52812</v>
      </c>
      <c r="F89" s="268">
        <f ca="1">('Income Statement'!F19*'Balance Sheet'!F91)/365</f>
        <v>73775.868695408717</v>
      </c>
      <c r="G89" s="268">
        <f ca="1">('Income Statement'!G19*'Balance Sheet'!G91)/365</f>
        <v>84433.822620421706</v>
      </c>
      <c r="H89" s="268">
        <f ca="1">('Income Statement'!H19*'Balance Sheet'!H91)/365</f>
        <v>80761.039782126361</v>
      </c>
      <c r="I89" s="268">
        <f ca="1">('Income Statement'!I19*'Balance Sheet'!I91)/365</f>
        <v>70198.302120967724</v>
      </c>
      <c r="J89" s="268">
        <f ca="1">('Income Statement'!J19*'Balance Sheet'!J91)/365</f>
        <v>65900.237241000534</v>
      </c>
    </row>
    <row r="91" spans="2:10">
      <c r="B91" s="156" t="s">
        <v>433</v>
      </c>
      <c r="D91" s="362">
        <f ca="1">(AVERAGE(C89:D89)/'Income Statement'!D19)*365</f>
        <v>15.856029811444644</v>
      </c>
      <c r="E91" s="362">
        <f ca="1">(AVERAGE(D89:E89)/'Income Statement'!E19)*365</f>
        <v>9.2319283876549036</v>
      </c>
      <c r="F91" s="363">
        <v>10</v>
      </c>
      <c r="G91" s="363">
        <f>F91</f>
        <v>10</v>
      </c>
      <c r="H91" s="363">
        <f t="shared" ref="H91:J91" si="24">G91</f>
        <v>10</v>
      </c>
      <c r="I91" s="363">
        <f t="shared" si="24"/>
        <v>10</v>
      </c>
      <c r="J91" s="363">
        <f t="shared" si="24"/>
        <v>10</v>
      </c>
    </row>
    <row r="93" spans="2:10">
      <c r="B93" s="157" t="s">
        <v>434</v>
      </c>
    </row>
    <row r="94" spans="2:10">
      <c r="B94" t="s">
        <v>307</v>
      </c>
      <c r="D94" s="268">
        <f>C96</f>
        <v>126353</v>
      </c>
      <c r="E94" s="268">
        <f t="shared" ref="E94:J94" si="25">D96</f>
        <v>168379</v>
      </c>
      <c r="F94" s="268">
        <f t="shared" si="25"/>
        <v>190017</v>
      </c>
      <c r="G94" s="268">
        <f t="shared" ca="1" si="25"/>
        <v>190907.59514166231</v>
      </c>
      <c r="H94" s="268">
        <f t="shared" ca="1" si="25"/>
        <v>200686.08679800254</v>
      </c>
      <c r="I94" s="268">
        <f t="shared" ca="1" si="25"/>
        <v>190699.42620071</v>
      </c>
      <c r="J94" s="268">
        <f t="shared" ca="1" si="25"/>
        <v>162749.09585768951</v>
      </c>
    </row>
    <row r="95" spans="2:10">
      <c r="B95" t="s">
        <v>432</v>
      </c>
      <c r="D95" s="268">
        <f>D96-D94</f>
        <v>42026</v>
      </c>
      <c r="E95" s="268">
        <f t="shared" ref="E95:J95" si="26">E96-E94</f>
        <v>21638</v>
      </c>
      <c r="F95" s="268">
        <f t="shared" ca="1" si="26"/>
        <v>890.59514166231384</v>
      </c>
      <c r="G95" s="268">
        <f t="shared" ca="1" si="26"/>
        <v>9778.4916563402221</v>
      </c>
      <c r="H95" s="268">
        <f t="shared" ca="1" si="26"/>
        <v>-9986.6605972925317</v>
      </c>
      <c r="I95" s="268">
        <f t="shared" ca="1" si="26"/>
        <v>-27950.330343020498</v>
      </c>
      <c r="J95" s="268">
        <f t="shared" ca="1" si="26"/>
        <v>-8519.3576305002789</v>
      </c>
    </row>
    <row r="96" spans="2:10">
      <c r="B96" t="s">
        <v>309</v>
      </c>
      <c r="C96" s="268">
        <f>C8</f>
        <v>126353</v>
      </c>
      <c r="D96" s="268">
        <f>D8</f>
        <v>168379</v>
      </c>
      <c r="E96" s="268">
        <f>E8</f>
        <v>190017</v>
      </c>
      <c r="F96" s="268">
        <f ca="1">(-'Income Statement'!F34*'Balance Sheet'!F98)/365</f>
        <v>190907.59514166231</v>
      </c>
      <c r="G96" s="268">
        <f ca="1">(-'Income Statement'!G34*'Balance Sheet'!G98)/365</f>
        <v>200686.08679800254</v>
      </c>
      <c r="H96" s="268">
        <f ca="1">(-'Income Statement'!H34*'Balance Sheet'!H98)/365</f>
        <v>190699.42620071</v>
      </c>
      <c r="I96" s="268">
        <f ca="1">(-'Income Statement'!I34*'Balance Sheet'!I98)/365</f>
        <v>162749.09585768951</v>
      </c>
      <c r="J96" s="268">
        <f ca="1">(-'Income Statement'!J34*'Balance Sheet'!J98)/365</f>
        <v>154229.73822718923</v>
      </c>
    </row>
    <row r="98" spans="2:10">
      <c r="B98" t="s">
        <v>435</v>
      </c>
      <c r="D98" s="362">
        <f ca="1">(AVERAGE(C96:D96)/-'Income Statement'!E34)*365</f>
        <v>51.515667245462936</v>
      </c>
      <c r="E98" s="362">
        <f ca="1">(AVERAGE(D96:E96)/-'Income Statement'!F34)*365</f>
        <v>37.546541795160479</v>
      </c>
      <c r="F98" s="363">
        <v>40</v>
      </c>
      <c r="G98" s="363">
        <f>F98</f>
        <v>40</v>
      </c>
      <c r="H98" s="363">
        <f t="shared" ref="H98:J98" si="27">G98</f>
        <v>40</v>
      </c>
      <c r="I98" s="363">
        <f t="shared" si="27"/>
        <v>40</v>
      </c>
      <c r="J98" s="363">
        <f t="shared" si="27"/>
        <v>40</v>
      </c>
    </row>
    <row r="100" spans="2:10">
      <c r="B100" s="157" t="s">
        <v>437</v>
      </c>
    </row>
    <row r="101" spans="2:10">
      <c r="B101" t="s">
        <v>307</v>
      </c>
      <c r="D101" s="268">
        <f>C103</f>
        <v>177322</v>
      </c>
      <c r="E101" s="268">
        <f t="shared" ref="E101:J101" si="28">D103</f>
        <v>173267</v>
      </c>
      <c r="F101" s="268">
        <f t="shared" si="28"/>
        <v>269731</v>
      </c>
      <c r="G101" s="268">
        <f t="shared" ca="1" si="28"/>
        <v>238634.49392707789</v>
      </c>
      <c r="H101" s="268">
        <f t="shared" ca="1" si="28"/>
        <v>250857.60849750316</v>
      </c>
      <c r="I101" s="268">
        <f t="shared" ca="1" si="28"/>
        <v>238374.28275088753</v>
      </c>
      <c r="J101" s="268">
        <f t="shared" ca="1" si="28"/>
        <v>203436.36982211188</v>
      </c>
    </row>
    <row r="102" spans="2:10">
      <c r="B102" t="s">
        <v>432</v>
      </c>
      <c r="D102" s="268">
        <f>D103-D101</f>
        <v>-4055</v>
      </c>
      <c r="E102" s="268">
        <f t="shared" ref="E102:J102" si="29">E103-E101</f>
        <v>96464</v>
      </c>
      <c r="F102" s="268">
        <f t="shared" ca="1" si="29"/>
        <v>-31096.506072922115</v>
      </c>
      <c r="G102" s="268">
        <f t="shared" ca="1" si="29"/>
        <v>12223.11457042527</v>
      </c>
      <c r="H102" s="268">
        <f t="shared" ca="1" si="29"/>
        <v>-12483.325746615621</v>
      </c>
      <c r="I102" s="268">
        <f t="shared" ca="1" si="29"/>
        <v>-34937.912928775651</v>
      </c>
      <c r="J102" s="268">
        <f t="shared" ca="1" si="29"/>
        <v>-10649.197038125334</v>
      </c>
    </row>
    <row r="103" spans="2:10">
      <c r="B103" t="s">
        <v>309</v>
      </c>
      <c r="C103" s="268">
        <f>C21</f>
        <v>177322</v>
      </c>
      <c r="D103" s="268">
        <f>D21</f>
        <v>173267</v>
      </c>
      <c r="E103" s="268">
        <f>E21</f>
        <v>269731</v>
      </c>
      <c r="F103" s="268">
        <f ca="1">(-'Income Statement'!F34*'Balance Sheet'!F105)/365</f>
        <v>238634.49392707789</v>
      </c>
      <c r="G103" s="268">
        <f ca="1">(-'Income Statement'!G34*'Balance Sheet'!G105)/365</f>
        <v>250857.60849750316</v>
      </c>
      <c r="H103" s="268">
        <f ca="1">(-'Income Statement'!H34*'Balance Sheet'!H105)/365</f>
        <v>238374.28275088753</v>
      </c>
      <c r="I103" s="268">
        <f ca="1">(-'Income Statement'!I34*'Balance Sheet'!I105)/365</f>
        <v>203436.36982211188</v>
      </c>
      <c r="J103" s="268">
        <f ca="1">(-'Income Statement'!J34*'Balance Sheet'!J105)/365</f>
        <v>192787.17278398655</v>
      </c>
    </row>
    <row r="105" spans="2:10">
      <c r="B105" t="s">
        <v>436</v>
      </c>
      <c r="D105" s="362">
        <f ca="1">(AVERAGE(C103:D103)/-'Income Statement'!E34)*365</f>
        <v>61.278810118750606</v>
      </c>
      <c r="E105" s="362">
        <f ca="1">(AVERAGE(D103:E103)/-'Income Statement'!F34)*365</f>
        <v>46.409677904252568</v>
      </c>
      <c r="F105" s="363">
        <v>50</v>
      </c>
      <c r="G105" s="363">
        <f>F105</f>
        <v>50</v>
      </c>
      <c r="H105" s="363">
        <f t="shared" ref="H105:J105" si="30">G105</f>
        <v>50</v>
      </c>
      <c r="I105" s="363">
        <f t="shared" si="30"/>
        <v>50</v>
      </c>
      <c r="J105" s="363">
        <f t="shared" si="30"/>
        <v>50</v>
      </c>
    </row>
    <row r="107" spans="2:10">
      <c r="B107" s="157" t="s">
        <v>438</v>
      </c>
    </row>
    <row r="108" spans="2:10">
      <c r="B108" s="156" t="s">
        <v>433</v>
      </c>
      <c r="D108" s="362">
        <f ca="1">D91</f>
        <v>15.856029811444644</v>
      </c>
      <c r="E108" s="362">
        <f t="shared" ref="E108:J108" ca="1" si="31">E91</f>
        <v>9.2319283876549036</v>
      </c>
      <c r="F108" s="362">
        <f t="shared" si="31"/>
        <v>10</v>
      </c>
      <c r="G108" s="362">
        <f t="shared" si="31"/>
        <v>10</v>
      </c>
      <c r="H108" s="362">
        <f t="shared" si="31"/>
        <v>10</v>
      </c>
      <c r="I108" s="362">
        <f t="shared" si="31"/>
        <v>10</v>
      </c>
      <c r="J108" s="362">
        <f t="shared" si="31"/>
        <v>10</v>
      </c>
    </row>
    <row r="109" spans="2:10">
      <c r="B109" t="s">
        <v>435</v>
      </c>
      <c r="D109" s="362">
        <f ca="1">D98</f>
        <v>51.515667245462936</v>
      </c>
      <c r="E109" s="362">
        <f t="shared" ref="E109:J109" ca="1" si="32">E98</f>
        <v>37.546541795160479</v>
      </c>
      <c r="F109" s="362">
        <f t="shared" si="32"/>
        <v>40</v>
      </c>
      <c r="G109" s="362">
        <f t="shared" si="32"/>
        <v>40</v>
      </c>
      <c r="H109" s="362">
        <f t="shared" si="32"/>
        <v>40</v>
      </c>
      <c r="I109" s="362">
        <f t="shared" si="32"/>
        <v>40</v>
      </c>
      <c r="J109" s="362">
        <f t="shared" si="32"/>
        <v>40</v>
      </c>
    </row>
    <row r="110" spans="2:10">
      <c r="B110" s="156" t="s">
        <v>439</v>
      </c>
      <c r="D110" s="362">
        <f ca="1">SUM(D108:D109)</f>
        <v>67.371697056907578</v>
      </c>
      <c r="E110" s="362">
        <f t="shared" ref="E110:J110" ca="1" si="33">SUM(E108:E109)</f>
        <v>46.778470182815383</v>
      </c>
      <c r="F110" s="362">
        <f t="shared" si="33"/>
        <v>50</v>
      </c>
      <c r="G110" s="362">
        <f t="shared" si="33"/>
        <v>50</v>
      </c>
      <c r="H110" s="362">
        <f t="shared" si="33"/>
        <v>50</v>
      </c>
      <c r="I110" s="362">
        <f t="shared" si="33"/>
        <v>50</v>
      </c>
      <c r="J110" s="362">
        <f t="shared" si="33"/>
        <v>50</v>
      </c>
    </row>
    <row r="112" spans="2:10">
      <c r="B112" t="s">
        <v>435</v>
      </c>
      <c r="D112" s="362">
        <f ca="1">D105</f>
        <v>61.278810118750606</v>
      </c>
      <c r="E112" s="362">
        <f t="shared" ref="E112:J112" ca="1" si="34">E105</f>
        <v>46.409677904252568</v>
      </c>
      <c r="F112" s="362">
        <f t="shared" si="34"/>
        <v>50</v>
      </c>
      <c r="G112" s="362">
        <f t="shared" si="34"/>
        <v>50</v>
      </c>
      <c r="H112" s="362">
        <f t="shared" si="34"/>
        <v>50</v>
      </c>
      <c r="I112" s="362">
        <f t="shared" si="34"/>
        <v>50</v>
      </c>
      <c r="J112" s="362">
        <f t="shared" si="34"/>
        <v>50</v>
      </c>
    </row>
    <row r="113" spans="2:10">
      <c r="B113" s="157" t="s">
        <v>440</v>
      </c>
      <c r="D113" s="362">
        <f ca="1">D110-D112</f>
        <v>6.0928869381569726</v>
      </c>
      <c r="E113" s="362">
        <f t="shared" ref="E113:J113" ca="1" si="35">E110-E112</f>
        <v>0.3687922785628146</v>
      </c>
      <c r="F113" s="362">
        <f t="shared" si="35"/>
        <v>0</v>
      </c>
      <c r="G113" s="362">
        <f t="shared" si="35"/>
        <v>0</v>
      </c>
      <c r="H113" s="362">
        <f t="shared" si="35"/>
        <v>0</v>
      </c>
      <c r="I113" s="362">
        <f t="shared" si="35"/>
        <v>0</v>
      </c>
      <c r="J113" s="362">
        <f t="shared" si="35"/>
        <v>0</v>
      </c>
    </row>
  </sheetData>
  <mergeCells count="2">
    <mergeCell ref="F47:J47"/>
    <mergeCell ref="F85:J8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37676-11C4-1A4C-B8F5-D45DBBB0FFBA}">
  <dimension ref="A2:L39"/>
  <sheetViews>
    <sheetView zoomScale="120" zoomScaleNormal="120" workbookViewId="0">
      <selection activeCell="G4" sqref="G4"/>
    </sheetView>
  </sheetViews>
  <sheetFormatPr baseColWidth="10" defaultRowHeight="14"/>
  <cols>
    <col min="1" max="1" width="2.6640625" customWidth="1"/>
    <col min="2" max="2" width="44" bestFit="1" customWidth="1"/>
    <col min="3" max="3" width="11.33203125" customWidth="1"/>
    <col min="4" max="4" width="10.83203125" customWidth="1"/>
  </cols>
  <sheetData>
    <row r="2" spans="1:12">
      <c r="B2" s="202" t="s">
        <v>415</v>
      </c>
      <c r="C2" s="202"/>
      <c r="D2" s="205"/>
      <c r="E2" s="205"/>
      <c r="F2" s="205"/>
      <c r="G2" s="205"/>
      <c r="H2" s="205"/>
      <c r="I2" s="205"/>
      <c r="J2" s="205"/>
    </row>
    <row r="3" spans="1:12">
      <c r="B3" s="204" t="s">
        <v>168</v>
      </c>
      <c r="C3" s="204"/>
      <c r="D3" s="206"/>
      <c r="E3" s="206"/>
      <c r="F3" s="209">
        <f>'Income Statement'!F5</f>
        <v>2021</v>
      </c>
      <c r="G3" s="209">
        <f>'Income Statement'!G5</f>
        <v>2022</v>
      </c>
      <c r="H3" s="209">
        <f>'Income Statement'!H5</f>
        <v>2023</v>
      </c>
      <c r="I3" s="209">
        <f>'Income Statement'!I5</f>
        <v>2024</v>
      </c>
      <c r="J3" s="209">
        <f>'Income Statement'!J5</f>
        <v>2025</v>
      </c>
    </row>
    <row r="4" spans="1:12">
      <c r="B4" s="207" t="s">
        <v>169</v>
      </c>
      <c r="C4" s="299"/>
      <c r="D4" s="208"/>
      <c r="E4" s="208"/>
      <c r="F4" s="359" t="e">
        <f>'Income Statement'!F6</f>
        <v>#REF!</v>
      </c>
      <c r="G4" s="359" t="e">
        <f>'Income Statement'!G6</f>
        <v>#REF!</v>
      </c>
      <c r="H4" s="359" t="e">
        <f>'Income Statement'!H6</f>
        <v>#REF!</v>
      </c>
      <c r="I4" s="359" t="e">
        <f>'Income Statement'!I6</f>
        <v>#REF!</v>
      </c>
      <c r="J4" s="359" t="e">
        <f>'Income Statement'!J6</f>
        <v>#REF!</v>
      </c>
    </row>
    <row r="6" spans="1:12">
      <c r="A6" s="156" t="s">
        <v>430</v>
      </c>
      <c r="B6" s="156" t="s">
        <v>75</v>
      </c>
      <c r="C6" s="156"/>
      <c r="D6" s="268"/>
      <c r="E6" s="268"/>
      <c r="F6" s="268">
        <f ca="1">'Income Statement'!F49</f>
        <v>566871.177921572</v>
      </c>
      <c r="G6" s="268">
        <f ca="1">'Income Statement'!G49</f>
        <v>789553.24807330454</v>
      </c>
      <c r="H6" s="268">
        <f ca="1">'Income Statement'!H49</f>
        <v>756352.92406658095</v>
      </c>
      <c r="I6" s="268">
        <f ca="1">'Income Statement'!I49</f>
        <v>679714.98437074979</v>
      </c>
      <c r="J6" s="268">
        <f ca="1">'Income Statement'!J49</f>
        <v>631735.9834713107</v>
      </c>
    </row>
    <row r="7" spans="1:12">
      <c r="B7" s="178" t="s">
        <v>416</v>
      </c>
      <c r="C7" s="304"/>
      <c r="D7" s="268"/>
      <c r="E7" s="268"/>
      <c r="F7" s="268">
        <f>-'Income Statement'!F33</f>
        <v>553407.43318522058</v>
      </c>
      <c r="G7" s="268">
        <f>-'Income Statement'!G33</f>
        <v>578252.2457434875</v>
      </c>
      <c r="H7" s="268">
        <f>-'Income Statement'!H33</f>
        <v>540181.93935165543</v>
      </c>
      <c r="I7" s="268">
        <f>-'Income Statement'!I33</f>
        <v>491158.24083372962</v>
      </c>
      <c r="J7" s="268">
        <f>-'Income Statement'!J33</f>
        <v>480730.83331909461</v>
      </c>
      <c r="L7" s="268"/>
    </row>
    <row r="8" spans="1:12">
      <c r="A8" s="156" t="s">
        <v>430</v>
      </c>
      <c r="B8" s="174" t="s">
        <v>344</v>
      </c>
      <c r="C8" s="243"/>
      <c r="D8" s="268"/>
      <c r="E8" s="268"/>
      <c r="F8" s="268">
        <f ca="1">-'Income Statement'!F37</f>
        <v>33126.126589487678</v>
      </c>
      <c r="G8" s="268">
        <f ca="1">-'Income Statement'!G37</f>
        <v>45169.246966923558</v>
      </c>
      <c r="H8" s="268">
        <f ca="1">-'Income Statement'!H37</f>
        <v>50349.455099116618</v>
      </c>
      <c r="I8" s="268">
        <f ca="1">-'Income Statement'!I37</f>
        <v>33418.506696373945</v>
      </c>
      <c r="J8" s="268">
        <f ca="1">-'Income Statement'!J37</f>
        <v>22585.560445174186</v>
      </c>
    </row>
    <row r="9" spans="1:12">
      <c r="A9" s="156" t="s">
        <v>430</v>
      </c>
      <c r="B9" s="174" t="s">
        <v>429</v>
      </c>
      <c r="C9" s="243"/>
      <c r="D9" s="268"/>
      <c r="E9" s="268"/>
      <c r="F9" s="268"/>
      <c r="G9" s="268"/>
      <c r="H9" s="268"/>
      <c r="I9" s="268"/>
      <c r="J9" s="268"/>
    </row>
    <row r="10" spans="1:12">
      <c r="B10" s="243" t="s">
        <v>315</v>
      </c>
      <c r="C10" s="243"/>
      <c r="D10" s="268"/>
      <c r="E10" s="268"/>
      <c r="F10" s="268">
        <f ca="1">'Balance Sheet'!E7-'Balance Sheet'!F7</f>
        <v>-20963.868695408717</v>
      </c>
      <c r="G10" s="268">
        <f ca="1">'Balance Sheet'!F7-'Balance Sheet'!G7</f>
        <v>-10657.953925012989</v>
      </c>
      <c r="H10" s="268">
        <f ca="1">'Balance Sheet'!G7-'Balance Sheet'!H7</f>
        <v>3672.7828382953448</v>
      </c>
      <c r="I10" s="268">
        <f ca="1">'Balance Sheet'!H7-'Balance Sheet'!I7</f>
        <v>10562.737661158637</v>
      </c>
      <c r="J10" s="268">
        <f ca="1">'Balance Sheet'!I7-'Balance Sheet'!J7</f>
        <v>4298.0648799671908</v>
      </c>
    </row>
    <row r="11" spans="1:12">
      <c r="B11" s="243" t="s">
        <v>316</v>
      </c>
      <c r="C11" s="243"/>
      <c r="D11" s="268"/>
      <c r="E11" s="268"/>
      <c r="F11" s="268">
        <f ca="1">'Balance Sheet'!E8-'Balance Sheet'!F8</f>
        <v>-890.59514166231384</v>
      </c>
      <c r="G11" s="268">
        <f ca="1">'Balance Sheet'!F8-'Balance Sheet'!G8</f>
        <v>-9778.4916563402221</v>
      </c>
      <c r="H11" s="268">
        <f ca="1">'Balance Sheet'!G8-'Balance Sheet'!H8</f>
        <v>9986.6605972925317</v>
      </c>
      <c r="I11" s="268">
        <f ca="1">'Balance Sheet'!H8-'Balance Sheet'!I8</f>
        <v>27950.330343020498</v>
      </c>
      <c r="J11" s="268">
        <f ca="1">'Balance Sheet'!I8-'Balance Sheet'!J8</f>
        <v>8519.3576305002789</v>
      </c>
    </row>
    <row r="12" spans="1:12">
      <c r="B12" s="243" t="s">
        <v>318</v>
      </c>
      <c r="C12" s="243"/>
      <c r="D12" s="268"/>
      <c r="E12" s="268"/>
      <c r="F12" s="268">
        <f ca="1">'Balance Sheet'!E10-'Balance Sheet'!F10</f>
        <v>-22756.536638534395</v>
      </c>
      <c r="G12" s="268">
        <f ca="1">'Balance Sheet'!F10-'Balance Sheet'!G10</f>
        <v>-6977.6866494414862</v>
      </c>
      <c r="H12" s="268">
        <f ca="1">'Balance Sheet'!G10-'Balance Sheet'!H10</f>
        <v>2404.5448082606526</v>
      </c>
      <c r="I12" s="268">
        <f ca="1">'Balance Sheet'!H10-'Balance Sheet'!I10</f>
        <v>6915.349238548115</v>
      </c>
      <c r="J12" s="268">
        <f ca="1">'Balance Sheet'!I10-'Balance Sheet'!J10</f>
        <v>2813.9125147647719</v>
      </c>
    </row>
    <row r="13" spans="1:12">
      <c r="A13" s="156" t="s">
        <v>430</v>
      </c>
      <c r="B13" s="174" t="s">
        <v>417</v>
      </c>
      <c r="C13" s="243"/>
      <c r="D13" s="305"/>
      <c r="E13" s="305"/>
      <c r="F13" s="305"/>
      <c r="G13" s="305"/>
      <c r="H13" s="305"/>
      <c r="I13" s="305"/>
      <c r="J13" s="305"/>
    </row>
    <row r="14" spans="1:12">
      <c r="B14" s="243" t="s">
        <v>328</v>
      </c>
      <c r="C14" s="243"/>
      <c r="D14" s="305"/>
      <c r="E14" s="305"/>
      <c r="F14" s="305">
        <f ca="1">'Balance Sheet'!F21-'Balance Sheet'!E21</f>
        <v>-31096.506072922115</v>
      </c>
      <c r="G14" s="305">
        <f ca="1">'Balance Sheet'!G21-'Balance Sheet'!F21</f>
        <v>12223.11457042527</v>
      </c>
      <c r="H14" s="305">
        <f ca="1">'Balance Sheet'!H21-'Balance Sheet'!G21</f>
        <v>-12483.325746615621</v>
      </c>
      <c r="I14" s="305">
        <f ca="1">'Balance Sheet'!I21-'Balance Sheet'!H21</f>
        <v>-34937.912928775651</v>
      </c>
      <c r="J14" s="305">
        <f ca="1">'Balance Sheet'!J21-'Balance Sheet'!I21</f>
        <v>-10649.197038125334</v>
      </c>
    </row>
    <row r="15" spans="1:12">
      <c r="B15" s="243" t="s">
        <v>331</v>
      </c>
      <c r="C15" s="243"/>
      <c r="D15" s="305"/>
      <c r="E15" s="305"/>
      <c r="F15" s="305">
        <f ca="1">'Balance Sheet'!F24-'Balance Sheet'!E24</f>
        <v>194563.64848566038</v>
      </c>
      <c r="G15" s="305">
        <f ca="1">'Balance Sheet'!G24-'Balance Sheet'!F24</f>
        <v>67449.417086034722</v>
      </c>
      <c r="H15" s="305">
        <f ca="1">'Balance Sheet'!H24-'Balance Sheet'!G24</f>
        <v>-17344.246577567654</v>
      </c>
      <c r="I15" s="305">
        <f ca="1">'Balance Sheet'!I24-'Balance Sheet'!H24</f>
        <v>-40036.57684220362</v>
      </c>
      <c r="J15" s="305">
        <f ca="1">'Balance Sheet'!J24-'Balance Sheet'!I24</f>
        <v>-25064.804246389016</v>
      </c>
    </row>
    <row r="16" spans="1:12">
      <c r="A16" s="156" t="s">
        <v>430</v>
      </c>
      <c r="B16" s="174" t="s">
        <v>335</v>
      </c>
      <c r="C16" s="243"/>
      <c r="D16" s="268"/>
      <c r="E16" s="268"/>
      <c r="F16" s="268">
        <f>'Balance Sheet'!F31-'Balance Sheet'!E31</f>
        <v>0</v>
      </c>
      <c r="G16" s="268">
        <f>'Balance Sheet'!G31-'Balance Sheet'!F31</f>
        <v>0</v>
      </c>
      <c r="H16" s="268">
        <f>'Balance Sheet'!H31-'Balance Sheet'!G31</f>
        <v>0</v>
      </c>
      <c r="I16" s="268">
        <f>'Balance Sheet'!I31-'Balance Sheet'!H31</f>
        <v>0</v>
      </c>
      <c r="J16" s="268">
        <f>'Balance Sheet'!J31-'Balance Sheet'!I31</f>
        <v>0</v>
      </c>
    </row>
    <row r="17" spans="1:12">
      <c r="A17" s="156" t="s">
        <v>430</v>
      </c>
      <c r="B17" s="174" t="s">
        <v>323</v>
      </c>
      <c r="D17" s="268"/>
      <c r="E17" s="268"/>
      <c r="F17" s="268">
        <f ca="1">'Balance Sheet'!E15-'Balance Sheet'!F15</f>
        <v>-17616.182097180514</v>
      </c>
      <c r="G17" s="268">
        <f ca="1">'Balance Sheet'!F15-'Balance Sheet'!G15</f>
        <v>-5401.5336598048816</v>
      </c>
      <c r="H17" s="268">
        <f ca="1">'Balance Sheet'!G15-'Balance Sheet'!H15</f>
        <v>1861.3948104661031</v>
      </c>
      <c r="I17" s="268">
        <f ca="1">'Balance Sheet'!H15-'Balance Sheet'!I15</f>
        <v>5353.277319255023</v>
      </c>
      <c r="J17" s="268">
        <f ca="1">'Balance Sheet'!I15-'Balance Sheet'!J15</f>
        <v>2178.2925957938714</v>
      </c>
    </row>
    <row r="18" spans="1:12">
      <c r="A18" s="156" t="s">
        <v>430</v>
      </c>
      <c r="B18" s="174" t="s">
        <v>336</v>
      </c>
      <c r="D18" s="268"/>
      <c r="E18" s="268"/>
      <c r="F18" s="268">
        <f ca="1">'Balance Sheet'!F32-'Balance Sheet'!E32</f>
        <v>263832.92849600536</v>
      </c>
      <c r="G18" s="268">
        <f ca="1">'Balance Sheet'!G32-'Balance Sheet'!F32</f>
        <v>80897.349719389924</v>
      </c>
      <c r="H18" s="268">
        <f ca="1">'Balance Sheet'!H32-'Balance Sheet'!G32</f>
        <v>-27877.620770685608</v>
      </c>
      <c r="I18" s="268">
        <f ca="1">'Balance Sheet'!I32-'Balance Sheet'!H32</f>
        <v>-80174.627192139975</v>
      </c>
      <c r="J18" s="268">
        <f ca="1">'Balance Sheet'!J32-'Balance Sheet'!I32</f>
        <v>-32623.715598480601</v>
      </c>
    </row>
    <row r="19" spans="1:12">
      <c r="B19" s="157" t="s">
        <v>419</v>
      </c>
      <c r="D19" s="307"/>
      <c r="E19" s="307"/>
      <c r="F19" s="307">
        <f ca="1">SUM(F6:F18)</f>
        <v>1518477.6260322379</v>
      </c>
      <c r="G19" s="307">
        <f ca="1">SUM(G6:G18)</f>
        <v>1540728.9562689662</v>
      </c>
      <c r="H19" s="307">
        <f ca="1">SUM(H6:H18)</f>
        <v>1307104.5084767987</v>
      </c>
      <c r="I19" s="307">
        <f ca="1">SUM(I6:I18)</f>
        <v>1099924.3094997164</v>
      </c>
      <c r="J19" s="307">
        <f ca="1">SUM(J6:J18)</f>
        <v>1084524.2879736107</v>
      </c>
    </row>
    <row r="21" spans="1:12">
      <c r="A21" s="156" t="s">
        <v>430</v>
      </c>
      <c r="B21" s="174" t="s">
        <v>420</v>
      </c>
      <c r="D21" s="268"/>
      <c r="E21" s="268"/>
      <c r="F21" s="268">
        <f ca="1">-'Balance Sheet'!F49</f>
        <v>-365867</v>
      </c>
      <c r="G21" s="268">
        <f ca="1">-'Balance Sheet'!G49</f>
        <v>-299756.42487165902</v>
      </c>
      <c r="H21" s="268">
        <f ca="1">-'Balance Sheet'!H49</f>
        <v>-296195.28467664705</v>
      </c>
      <c r="I21" s="268">
        <f ca="1">-'Balance Sheet'!I49</f>
        <v>-266340.95145289204</v>
      </c>
      <c r="J21" s="268">
        <f ca="1">-'Balance Sheet'!J49</f>
        <v>-245682.96810551811</v>
      </c>
      <c r="L21" s="268"/>
    </row>
    <row r="22" spans="1:12">
      <c r="A22" s="156" t="s">
        <v>430</v>
      </c>
      <c r="B22" s="174" t="s">
        <v>324</v>
      </c>
      <c r="C22" s="243"/>
      <c r="D22" s="268"/>
      <c r="E22" s="268"/>
      <c r="F22" s="268">
        <f ca="1">-F38</f>
        <v>-68606.361045002093</v>
      </c>
      <c r="G22" s="268">
        <f t="shared" ref="G22:J22" ca="1" si="0">-G38</f>
        <v>-21036.315724768589</v>
      </c>
      <c r="H22" s="268">
        <f t="shared" ca="1" si="0"/>
        <v>7249.2168683116615</v>
      </c>
      <c r="I22" s="268">
        <f t="shared" ca="1" si="0"/>
        <v>20848.381023355381</v>
      </c>
      <c r="J22" s="268">
        <f t="shared" ca="1" si="0"/>
        <v>8483.3778093499568</v>
      </c>
    </row>
    <row r="23" spans="1:12">
      <c r="B23" s="157" t="s">
        <v>421</v>
      </c>
      <c r="F23" s="307">
        <f ca="1">SUM(F21:F22)</f>
        <v>-434473.36104500212</v>
      </c>
      <c r="G23" s="307">
        <f t="shared" ref="G23:J23" ca="1" si="1">SUM(G21:G22)</f>
        <v>-320792.74059642758</v>
      </c>
      <c r="H23" s="307">
        <f t="shared" ca="1" si="1"/>
        <v>-288946.06780833541</v>
      </c>
      <c r="I23" s="307">
        <f t="shared" ca="1" si="1"/>
        <v>-245492.57042953666</v>
      </c>
      <c r="J23" s="307">
        <f t="shared" ca="1" si="1"/>
        <v>-237199.59029616817</v>
      </c>
    </row>
    <row r="25" spans="1:12">
      <c r="A25" s="156" t="s">
        <v>430</v>
      </c>
      <c r="B25" s="156" t="s">
        <v>423</v>
      </c>
      <c r="F25" s="268">
        <f>'Balance Sheet'!F30-'Balance Sheet'!E30</f>
        <v>0</v>
      </c>
      <c r="G25" s="268">
        <f>'Balance Sheet'!G30-'Balance Sheet'!F30</f>
        <v>0</v>
      </c>
      <c r="H25" s="268">
        <f>'Balance Sheet'!H30-'Balance Sheet'!G30</f>
        <v>0</v>
      </c>
      <c r="I25" s="268">
        <f>'Balance Sheet'!I30-'Balance Sheet'!H30</f>
        <v>0</v>
      </c>
      <c r="J25" s="268">
        <f>'Balance Sheet'!J30-'Balance Sheet'!I30</f>
        <v>0</v>
      </c>
      <c r="L25" s="268"/>
    </row>
    <row r="26" spans="1:12">
      <c r="A26" s="156" t="s">
        <v>430</v>
      </c>
      <c r="B26" s="156" t="s">
        <v>350</v>
      </c>
      <c r="F26" s="268">
        <f ca="1">'Balance Sheet'!F29-'Balance Sheet'!E29</f>
        <v>-1695</v>
      </c>
      <c r="G26" s="268">
        <f ca="1">'Balance Sheet'!G29-'Balance Sheet'!F29</f>
        <v>0</v>
      </c>
      <c r="H26" s="268">
        <f ca="1">'Balance Sheet'!H29-'Balance Sheet'!G29</f>
        <v>0</v>
      </c>
      <c r="I26" s="268">
        <f ca="1">'Balance Sheet'!I29-'Balance Sheet'!H29</f>
        <v>0</v>
      </c>
      <c r="J26" s="268">
        <f ca="1">'Balance Sheet'!J29-'Balance Sheet'!I29</f>
        <v>0</v>
      </c>
    </row>
    <row r="27" spans="1:12">
      <c r="A27" s="156" t="s">
        <v>430</v>
      </c>
      <c r="B27" s="156" t="s">
        <v>441</v>
      </c>
      <c r="F27" s="268">
        <f ca="1">'Balance Sheet'!F22-'Balance Sheet'!E22</f>
        <v>53659.480184560452</v>
      </c>
      <c r="G27" s="268">
        <f ca="1">'Balance Sheet'!G22-'Balance Sheet'!F22</f>
        <v>9725.3829565743508</v>
      </c>
      <c r="H27" s="268">
        <f ca="1">'Balance Sheet'!H22-'Balance Sheet'!G22</f>
        <v>-3351.414339944502</v>
      </c>
      <c r="I27" s="268">
        <f ca="1">'Balance Sheet'!I22-'Balance Sheet'!H22</f>
        <v>-9638.4981158072551</v>
      </c>
      <c r="J27" s="268">
        <f ca="1">'Balance Sheet'!J22-'Balance Sheet'!I22</f>
        <v>-3921.9842029700667</v>
      </c>
    </row>
    <row r="28" spans="1:12">
      <c r="A28" s="156" t="s">
        <v>430</v>
      </c>
      <c r="B28" s="156" t="s">
        <v>442</v>
      </c>
      <c r="F28" s="268">
        <f ca="1">'Balance Sheet'!F28-'Balance Sheet'!E28</f>
        <v>43776.480184560452</v>
      </c>
      <c r="G28" s="268">
        <f ca="1">'Balance Sheet'!G28-'Balance Sheet'!F28</f>
        <v>9725.3829565743508</v>
      </c>
      <c r="H28" s="268">
        <f ca="1">'Balance Sheet'!H28-'Balance Sheet'!G28</f>
        <v>-3351.414339944502</v>
      </c>
      <c r="I28" s="268">
        <f ca="1">'Balance Sheet'!I28-'Balance Sheet'!H28</f>
        <v>-9638.4981158072551</v>
      </c>
      <c r="J28" s="268">
        <f ca="1">'Balance Sheet'!J28-'Balance Sheet'!I28</f>
        <v>-3921.9842029700667</v>
      </c>
    </row>
    <row r="29" spans="1:12">
      <c r="A29" s="156" t="s">
        <v>430</v>
      </c>
      <c r="B29" s="156" t="s">
        <v>424</v>
      </c>
      <c r="F29" s="268">
        <f>'Balance Sheet'!F81</f>
        <v>-34615</v>
      </c>
      <c r="G29" s="268">
        <f>'Balance Sheet'!G81</f>
        <v>-34615</v>
      </c>
      <c r="H29" s="268">
        <f>'Balance Sheet'!H81</f>
        <v>-34615</v>
      </c>
      <c r="I29" s="268">
        <f>'Balance Sheet'!I81</f>
        <v>-34615</v>
      </c>
      <c r="J29" s="268">
        <f>'Balance Sheet'!J81</f>
        <v>-34615</v>
      </c>
    </row>
    <row r="30" spans="1:12">
      <c r="A30" s="156" t="s">
        <v>430</v>
      </c>
      <c r="B30" s="156" t="s">
        <v>55</v>
      </c>
      <c r="F30" s="268">
        <f>'Balance Sheet'!F80</f>
        <v>-159809</v>
      </c>
      <c r="G30" s="268">
        <f ca="1">'Balance Sheet'!G80</f>
        <v>-222586.22405883495</v>
      </c>
      <c r="H30" s="268">
        <f ca="1">'Balance Sheet'!H80</f>
        <v>-213226.5833047507</v>
      </c>
      <c r="I30" s="268">
        <f ca="1">'Balance Sheet'!I80</f>
        <v>-191621.26452711204</v>
      </c>
      <c r="J30" s="268">
        <f ca="1">'Balance Sheet'!J80</f>
        <v>-178095.30580250165</v>
      </c>
    </row>
    <row r="31" spans="1:12">
      <c r="B31" s="157" t="s">
        <v>425</v>
      </c>
      <c r="F31" s="307">
        <f ca="1">SUM(F25:F30)</f>
        <v>-98683.039630879095</v>
      </c>
      <c r="G31" s="307">
        <f t="shared" ref="G31:J31" ca="1" si="2">SUM(G25:G30)</f>
        <v>-237750.45814568625</v>
      </c>
      <c r="H31" s="307">
        <f t="shared" ca="1" si="2"/>
        <v>-254544.41198463971</v>
      </c>
      <c r="I31" s="307">
        <f t="shared" ca="1" si="2"/>
        <v>-245513.26075872657</v>
      </c>
      <c r="J31" s="307">
        <f t="shared" ca="1" si="2"/>
        <v>-220554.27420844178</v>
      </c>
    </row>
    <row r="33" spans="2:10">
      <c r="B33" s="157" t="s">
        <v>426</v>
      </c>
      <c r="F33" s="307">
        <f ca="1">F19+F23+F31</f>
        <v>985321.22535635682</v>
      </c>
      <c r="G33" s="307">
        <f t="shared" ref="G33:J33" ca="1" si="3">G19+G23+G31</f>
        <v>982185.75752685242</v>
      </c>
      <c r="H33" s="307">
        <f t="shared" ca="1" si="3"/>
        <v>763614.02868382353</v>
      </c>
      <c r="I33" s="307">
        <f t="shared" ca="1" si="3"/>
        <v>608918.47831145325</v>
      </c>
      <c r="J33" s="307">
        <f t="shared" ca="1" si="3"/>
        <v>626770.42346900073</v>
      </c>
    </row>
    <row r="36" spans="2:10">
      <c r="B36" s="348" t="s">
        <v>422</v>
      </c>
      <c r="C36" s="358"/>
      <c r="D36" s="188"/>
      <c r="E36" s="188"/>
      <c r="F36" s="188"/>
      <c r="G36" s="188"/>
      <c r="H36" s="188"/>
      <c r="I36" s="188"/>
      <c r="J36" s="188"/>
    </row>
    <row r="37" spans="2:10">
      <c r="B37" s="349" t="s">
        <v>307</v>
      </c>
      <c r="C37" s="349"/>
      <c r="D37" s="268">
        <f>C39</f>
        <v>32237</v>
      </c>
      <c r="E37" s="268">
        <f t="shared" ref="E37:J37" si="4">D39</f>
        <v>37160</v>
      </c>
      <c r="F37" s="268">
        <f t="shared" si="4"/>
        <v>77010</v>
      </c>
      <c r="G37" s="268">
        <f t="shared" ca="1" si="4"/>
        <v>145616.36104500209</v>
      </c>
      <c r="H37" s="268">
        <f t="shared" ca="1" si="4"/>
        <v>166652.67676977068</v>
      </c>
      <c r="I37" s="268">
        <f t="shared" ca="1" si="4"/>
        <v>159403.45990145902</v>
      </c>
      <c r="J37" s="268">
        <f t="shared" ca="1" si="4"/>
        <v>138555.07887810364</v>
      </c>
    </row>
    <row r="38" spans="2:10">
      <c r="B38" s="351" t="s">
        <v>418</v>
      </c>
      <c r="C38" s="350"/>
      <c r="D38" s="268">
        <f>D39-D37</f>
        <v>4923</v>
      </c>
      <c r="E38" s="268">
        <f t="shared" ref="E38:J38" si="5">E39-E37</f>
        <v>39850</v>
      </c>
      <c r="F38" s="268">
        <f t="shared" ca="1" si="5"/>
        <v>68606.361045002093</v>
      </c>
      <c r="G38" s="268">
        <f t="shared" ca="1" si="5"/>
        <v>21036.315724768589</v>
      </c>
      <c r="H38" s="268">
        <f t="shared" ca="1" si="5"/>
        <v>-7249.2168683116615</v>
      </c>
      <c r="I38" s="268">
        <f t="shared" ca="1" si="5"/>
        <v>-20848.381023355381</v>
      </c>
      <c r="J38" s="268">
        <f t="shared" ca="1" si="5"/>
        <v>-8483.3778093499568</v>
      </c>
    </row>
    <row r="39" spans="2:10">
      <c r="B39" s="352" t="s">
        <v>309</v>
      </c>
      <c r="C39" s="268">
        <f>'Balance Sheet'!C16</f>
        <v>32237</v>
      </c>
      <c r="D39" s="268">
        <f>'Balance Sheet'!D16</f>
        <v>37160</v>
      </c>
      <c r="E39" s="268">
        <f>'Balance Sheet'!E16</f>
        <v>77010</v>
      </c>
      <c r="F39" s="268">
        <f ca="1">'Balance Sheet'!F16</f>
        <v>145616.36104500209</v>
      </c>
      <c r="G39" s="268">
        <f ca="1">'Balance Sheet'!G16</f>
        <v>166652.67676977068</v>
      </c>
      <c r="H39" s="268">
        <f ca="1">'Balance Sheet'!H16</f>
        <v>159403.45990145902</v>
      </c>
      <c r="I39" s="268">
        <f ca="1">'Balance Sheet'!I16</f>
        <v>138555.07887810364</v>
      </c>
      <c r="J39" s="268">
        <f ca="1">'Balance Sheet'!J16</f>
        <v>130071.70106875368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226A-2867-584F-86D6-4F6EECB4524C}">
  <dimension ref="A3:AL21"/>
  <sheetViews>
    <sheetView tabSelected="1" zoomScale="130" zoomScaleNormal="13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Y9" sqref="Y9"/>
    </sheetView>
  </sheetViews>
  <sheetFormatPr baseColWidth="10" defaultRowHeight="14" outlineLevelCol="1"/>
  <cols>
    <col min="1" max="1" width="4.83203125" customWidth="1"/>
    <col min="2" max="2" width="31.33203125" bestFit="1" customWidth="1"/>
    <col min="4" max="4" width="2.1640625" customWidth="1"/>
    <col min="13" max="13" width="3" customWidth="1"/>
    <col min="15" max="38" width="10.83203125" customWidth="1" outlineLevel="1"/>
  </cols>
  <sheetData>
    <row r="3" spans="1:38">
      <c r="B3" s="202" t="s">
        <v>163</v>
      </c>
      <c r="C3" s="202"/>
      <c r="D3" s="202"/>
      <c r="E3" s="354" t="s">
        <v>172</v>
      </c>
      <c r="F3" s="354"/>
      <c r="G3" s="354"/>
      <c r="H3" s="354" t="s">
        <v>171</v>
      </c>
      <c r="I3" s="354"/>
      <c r="J3" s="354"/>
      <c r="K3" s="354"/>
      <c r="L3" s="354"/>
      <c r="M3" s="229"/>
      <c r="O3" s="355" t="s">
        <v>172</v>
      </c>
      <c r="P3" s="355"/>
      <c r="Q3" s="355"/>
      <c r="R3" s="355"/>
      <c r="S3" s="355"/>
      <c r="T3" s="355"/>
      <c r="U3" s="355"/>
      <c r="V3" s="355"/>
      <c r="W3" s="355" t="s">
        <v>171</v>
      </c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  <c r="AI3" s="355"/>
      <c r="AJ3" s="355"/>
      <c r="AK3" s="355"/>
      <c r="AL3" s="355"/>
    </row>
    <row r="4" spans="1:38" s="167" customFormat="1" ht="15" thickBot="1">
      <c r="A4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/>
    </row>
    <row r="5" spans="1:38" s="167" customFormat="1" ht="15" thickBot="1">
      <c r="A5"/>
      <c r="B5" s="203" t="s">
        <v>164</v>
      </c>
      <c r="C5" s="212" t="str">
        <f>SUMMARY!B9</f>
        <v>Base Case</v>
      </c>
      <c r="D5" s="214"/>
      <c r="E5" s="213">
        <f>'Income Statement'!D5</f>
        <v>2019</v>
      </c>
      <c r="F5" s="213">
        <f>'Income Statement'!E5</f>
        <v>2020</v>
      </c>
      <c r="G5" s="213">
        <f>'Income Statement'!F5</f>
        <v>2021</v>
      </c>
      <c r="H5" s="215">
        <f>'Income Statement'!G5</f>
        <v>2022</v>
      </c>
      <c r="I5" s="215">
        <f>'Income Statement'!H5</f>
        <v>2023</v>
      </c>
      <c r="J5" s="215">
        <f>'Income Statement'!I5</f>
        <v>2024</v>
      </c>
      <c r="K5" s="215">
        <f>'Income Statement'!J5</f>
        <v>2025</v>
      </c>
      <c r="L5" s="210" t="s">
        <v>170</v>
      </c>
      <c r="N5" s="222" t="s">
        <v>173</v>
      </c>
      <c r="O5" s="193" t="s">
        <v>194</v>
      </c>
      <c r="P5" s="193" t="s">
        <v>195</v>
      </c>
      <c r="Q5" s="193" t="s">
        <v>196</v>
      </c>
      <c r="R5" s="193" t="s">
        <v>197</v>
      </c>
      <c r="S5" s="193" t="s">
        <v>198</v>
      </c>
      <c r="T5" s="193" t="s">
        <v>199</v>
      </c>
      <c r="U5" s="193" t="s">
        <v>200</v>
      </c>
      <c r="V5" s="193" t="s">
        <v>201</v>
      </c>
      <c r="W5" s="193" t="s">
        <v>202</v>
      </c>
      <c r="X5" s="193" t="s">
        <v>203</v>
      </c>
      <c r="Y5" s="193" t="s">
        <v>204</v>
      </c>
      <c r="Z5" s="193" t="s">
        <v>205</v>
      </c>
      <c r="AA5" s="193" t="s">
        <v>206</v>
      </c>
      <c r="AB5" s="193" t="s">
        <v>207</v>
      </c>
      <c r="AC5" s="193" t="s">
        <v>208</v>
      </c>
      <c r="AD5" s="193" t="s">
        <v>209</v>
      </c>
      <c r="AE5" s="193" t="s">
        <v>210</v>
      </c>
      <c r="AF5" s="193" t="s">
        <v>211</v>
      </c>
      <c r="AG5" s="193" t="s">
        <v>212</v>
      </c>
      <c r="AH5" s="193" t="s">
        <v>213</v>
      </c>
      <c r="AI5" s="193" t="s">
        <v>214</v>
      </c>
      <c r="AJ5" s="193" t="s">
        <v>215</v>
      </c>
      <c r="AK5" s="193" t="s">
        <v>216</v>
      </c>
      <c r="AL5" s="193" t="s">
        <v>217</v>
      </c>
    </row>
    <row r="6" spans="1:38">
      <c r="B6" s="203"/>
      <c r="C6" s="216"/>
      <c r="D6" s="216"/>
      <c r="E6" s="216"/>
      <c r="F6" s="216"/>
      <c r="G6" s="216"/>
      <c r="H6" s="216"/>
      <c r="I6" s="216"/>
      <c r="J6" s="216"/>
      <c r="K6" s="216"/>
      <c r="L6" s="216"/>
      <c r="N6" s="223" t="s">
        <v>166</v>
      </c>
      <c r="O6" s="167"/>
    </row>
    <row r="7" spans="1:38">
      <c r="B7" s="156"/>
      <c r="C7" s="203"/>
      <c r="D7" s="203"/>
      <c r="E7" s="203"/>
      <c r="F7" s="203"/>
      <c r="G7" s="203"/>
      <c r="H7" s="203"/>
      <c r="I7" s="203"/>
      <c r="J7" s="203"/>
      <c r="K7" s="203"/>
      <c r="L7" s="203"/>
      <c r="N7" s="224"/>
      <c r="O7" s="167"/>
    </row>
    <row r="8" spans="1:38">
      <c r="B8" s="220" t="s">
        <v>175</v>
      </c>
      <c r="C8" s="217"/>
      <c r="D8" s="217"/>
      <c r="E8" s="218"/>
      <c r="F8" s="203"/>
      <c r="G8" s="203"/>
      <c r="H8" s="282">
        <f ca="1">AVERAGE(OFFSET($W$8,,(COLUMNS($H8:H$8)-1)*4,,4))</f>
        <v>2187.5</v>
      </c>
      <c r="I8" s="282">
        <f ca="1">AVERAGE(OFFSET($W$8,,(COLUMNS($H8:I$8)-1)*4,,4))</f>
        <v>2125</v>
      </c>
      <c r="J8" s="282">
        <f ca="1">AVERAGE(OFFSET($W$8,,(COLUMNS($H8:J$8)-1)*4,,4))</f>
        <v>2025</v>
      </c>
      <c r="K8" s="282">
        <f ca="1">AVERAGE(OFFSET($W$8,,(COLUMNS($H8:K$8)-1)*4,,4))</f>
        <v>1950</v>
      </c>
      <c r="L8" s="227">
        <f>L9+$N$8</f>
        <v>1850</v>
      </c>
      <c r="N8" s="225">
        <v>100</v>
      </c>
      <c r="O8" s="167"/>
      <c r="W8" s="272">
        <f t="shared" ref="W8:AL8" si="0">W9+$N$8</f>
        <v>2150</v>
      </c>
      <c r="X8" s="272">
        <f t="shared" si="0"/>
        <v>2200</v>
      </c>
      <c r="Y8" s="272">
        <f t="shared" si="0"/>
        <v>2200</v>
      </c>
      <c r="Z8" s="272">
        <f t="shared" si="0"/>
        <v>2200</v>
      </c>
      <c r="AA8" s="272">
        <f t="shared" si="0"/>
        <v>2150</v>
      </c>
      <c r="AB8" s="272">
        <f t="shared" si="0"/>
        <v>2150</v>
      </c>
      <c r="AC8" s="272">
        <f t="shared" si="0"/>
        <v>2100</v>
      </c>
      <c r="AD8" s="272">
        <f t="shared" si="0"/>
        <v>2100</v>
      </c>
      <c r="AE8" s="272">
        <f t="shared" si="0"/>
        <v>2050</v>
      </c>
      <c r="AF8" s="272">
        <f t="shared" si="0"/>
        <v>2050</v>
      </c>
      <c r="AG8" s="272">
        <f t="shared" si="0"/>
        <v>2000</v>
      </c>
      <c r="AH8" s="272">
        <f t="shared" si="0"/>
        <v>2000</v>
      </c>
      <c r="AI8" s="272">
        <f t="shared" si="0"/>
        <v>1950</v>
      </c>
      <c r="AJ8" s="272">
        <f t="shared" si="0"/>
        <v>1950</v>
      </c>
      <c r="AK8" s="272">
        <f t="shared" si="0"/>
        <v>1950</v>
      </c>
      <c r="AL8" s="272">
        <f t="shared" si="0"/>
        <v>1950</v>
      </c>
    </row>
    <row r="9" spans="1:38">
      <c r="B9" s="211" t="s">
        <v>166</v>
      </c>
      <c r="C9" s="203"/>
      <c r="D9" s="203"/>
      <c r="E9" s="203"/>
      <c r="F9" s="203"/>
      <c r="G9" s="203"/>
      <c r="H9" s="282">
        <f ca="1">AVERAGE(OFFSET($W$9,,(COLUMNS($H9:H$9)-1)*4,,4))</f>
        <v>2087.5</v>
      </c>
      <c r="I9" s="282">
        <f ca="1">AVERAGE(OFFSET($W$9,,(COLUMNS($H9:I$9)-1)*4,,4))</f>
        <v>2025</v>
      </c>
      <c r="J9" s="282">
        <f ca="1">AVERAGE(OFFSET($W$9,,(COLUMNS($H9:J$9)-1)*4,,4))</f>
        <v>1925</v>
      </c>
      <c r="K9" s="282">
        <f ca="1">AVERAGE(OFFSET($W$9,,(COLUMNS($H9:K$9)-1)*4,,4))</f>
        <v>1850</v>
      </c>
      <c r="L9" s="230">
        <v>1750</v>
      </c>
      <c r="N9" s="226" t="s">
        <v>177</v>
      </c>
      <c r="O9" s="167"/>
      <c r="W9" s="234">
        <v>2050</v>
      </c>
      <c r="X9" s="234">
        <v>2100</v>
      </c>
      <c r="Y9" s="234">
        <v>2100</v>
      </c>
      <c r="Z9" s="234">
        <v>2100</v>
      </c>
      <c r="AA9" s="234">
        <v>2050</v>
      </c>
      <c r="AB9" s="234">
        <v>2050</v>
      </c>
      <c r="AC9" s="234">
        <v>2000</v>
      </c>
      <c r="AD9" s="234">
        <v>2000</v>
      </c>
      <c r="AE9" s="234">
        <v>1950</v>
      </c>
      <c r="AF9" s="234">
        <v>1950</v>
      </c>
      <c r="AG9" s="234">
        <v>1900</v>
      </c>
      <c r="AH9" s="234">
        <v>1900</v>
      </c>
      <c r="AI9" s="234">
        <v>1850</v>
      </c>
      <c r="AJ9" s="234">
        <v>1850</v>
      </c>
      <c r="AK9" s="234">
        <v>1850</v>
      </c>
      <c r="AL9" s="234">
        <v>1850</v>
      </c>
    </row>
    <row r="10" spans="1:38">
      <c r="B10" s="221" t="s">
        <v>176</v>
      </c>
      <c r="C10" s="231"/>
      <c r="D10" s="231"/>
      <c r="E10" s="231"/>
      <c r="F10" s="232"/>
      <c r="G10" s="232"/>
      <c r="H10" s="283">
        <f ca="1">AVERAGE(OFFSET($W$10,,(COLUMNS($H$10:H10)-1)*4,,4))</f>
        <v>1987.5</v>
      </c>
      <c r="I10" s="283">
        <f ca="1">AVERAGE(OFFSET($W$10,,(COLUMNS($H$10:I10)-1)*4,,4))</f>
        <v>1925</v>
      </c>
      <c r="J10" s="283">
        <f ca="1">AVERAGE(OFFSET($W$10,,(COLUMNS($H$10:J10)-1)*4,,4))</f>
        <v>1825</v>
      </c>
      <c r="K10" s="283">
        <f ca="1">AVERAGE(OFFSET($W$10,,(COLUMNS($H$10:K10)-1)*4,,4))</f>
        <v>1750</v>
      </c>
      <c r="L10" s="233">
        <f>L9+$N$10</f>
        <v>1650</v>
      </c>
      <c r="N10" s="281">
        <v>-100</v>
      </c>
      <c r="O10" s="188"/>
      <c r="P10" s="188"/>
      <c r="Q10" s="188"/>
      <c r="R10" s="188"/>
      <c r="S10" s="188"/>
      <c r="T10" s="188"/>
      <c r="U10" s="188"/>
      <c r="V10" s="188"/>
      <c r="W10" s="271">
        <f t="shared" ref="W10:AL10" si="1">W9+$N$10</f>
        <v>1950</v>
      </c>
      <c r="X10" s="271">
        <f t="shared" si="1"/>
        <v>2000</v>
      </c>
      <c r="Y10" s="271">
        <f t="shared" si="1"/>
        <v>2000</v>
      </c>
      <c r="Z10" s="271">
        <f t="shared" si="1"/>
        <v>2000</v>
      </c>
      <c r="AA10" s="271">
        <f t="shared" si="1"/>
        <v>1950</v>
      </c>
      <c r="AB10" s="271">
        <f t="shared" si="1"/>
        <v>1950</v>
      </c>
      <c r="AC10" s="271">
        <f t="shared" si="1"/>
        <v>1900</v>
      </c>
      <c r="AD10" s="271">
        <f t="shared" si="1"/>
        <v>1900</v>
      </c>
      <c r="AE10" s="271">
        <f t="shared" si="1"/>
        <v>1850</v>
      </c>
      <c r="AF10" s="271">
        <f t="shared" si="1"/>
        <v>1850</v>
      </c>
      <c r="AG10" s="271">
        <f t="shared" si="1"/>
        <v>1800</v>
      </c>
      <c r="AH10" s="271">
        <f t="shared" si="1"/>
        <v>1800</v>
      </c>
      <c r="AI10" s="271">
        <f t="shared" si="1"/>
        <v>1750</v>
      </c>
      <c r="AJ10" s="271">
        <f t="shared" si="1"/>
        <v>1750</v>
      </c>
      <c r="AK10" s="271">
        <f t="shared" si="1"/>
        <v>1750</v>
      </c>
      <c r="AL10" s="271">
        <f t="shared" si="1"/>
        <v>1750</v>
      </c>
    </row>
    <row r="11" spans="1:38">
      <c r="B11" s="219" t="s">
        <v>174</v>
      </c>
      <c r="C11" s="203"/>
      <c r="D11" s="203"/>
      <c r="E11" s="234">
        <v>1393</v>
      </c>
      <c r="F11" s="234">
        <v>1772</v>
      </c>
      <c r="G11" s="234">
        <v>1799</v>
      </c>
      <c r="H11" s="235">
        <f ca="1">OFFSET(H7,MATCH($C$5,$B$8:$B$10,0),0)</f>
        <v>2087.5</v>
      </c>
      <c r="I11" s="235">
        <f ca="1">OFFSET(I7,MATCH($C$5,$B$8:$B$10,0),0)</f>
        <v>2025</v>
      </c>
      <c r="J11" s="235">
        <f ca="1">OFFSET(J7,MATCH($C$5,$B$8:$B$10,0),0)</f>
        <v>1925</v>
      </c>
      <c r="K11" s="235">
        <f ca="1">OFFSET(K7,MATCH($C$5,$B$8:$B$10,0),0)</f>
        <v>1850</v>
      </c>
      <c r="L11" s="235">
        <f ca="1">OFFSET(L7,MATCH($C$5,$B$8:$B$10,0),0)</f>
        <v>1750</v>
      </c>
      <c r="N11" s="236"/>
      <c r="O11" s="234">
        <v>1577</v>
      </c>
      <c r="P11" s="234">
        <v>1780</v>
      </c>
      <c r="Q11" s="234">
        <v>1885</v>
      </c>
      <c r="R11" s="234">
        <v>1898</v>
      </c>
      <c r="S11" s="234">
        <v>1707</v>
      </c>
      <c r="T11" s="234">
        <v>1770</v>
      </c>
      <c r="U11" s="234">
        <v>1756</v>
      </c>
      <c r="V11" s="234">
        <v>1829</v>
      </c>
      <c r="W11" s="235">
        <f ca="1">OFFSET(W7,MATCH($C$5,$B$8:$B$10,0),0)</f>
        <v>2050</v>
      </c>
      <c r="X11" s="235">
        <f t="shared" ref="X11:AL11" ca="1" si="2">OFFSET(X7,MATCH($C$5,$B$8:$B$10,0),0)</f>
        <v>2100</v>
      </c>
      <c r="Y11" s="235">
        <f t="shared" ca="1" si="2"/>
        <v>2100</v>
      </c>
      <c r="Z11" s="235">
        <f t="shared" ca="1" si="2"/>
        <v>2100</v>
      </c>
      <c r="AA11" s="235">
        <f t="shared" ca="1" si="2"/>
        <v>2050</v>
      </c>
      <c r="AB11" s="235">
        <f t="shared" ca="1" si="2"/>
        <v>2050</v>
      </c>
      <c r="AC11" s="235">
        <f t="shared" ca="1" si="2"/>
        <v>2000</v>
      </c>
      <c r="AD11" s="235">
        <f t="shared" ca="1" si="2"/>
        <v>2000</v>
      </c>
      <c r="AE11" s="235">
        <f t="shared" ca="1" si="2"/>
        <v>1950</v>
      </c>
      <c r="AF11" s="235">
        <f t="shared" ca="1" si="2"/>
        <v>1950</v>
      </c>
      <c r="AG11" s="235">
        <f t="shared" ca="1" si="2"/>
        <v>1900</v>
      </c>
      <c r="AH11" s="235">
        <f t="shared" ca="1" si="2"/>
        <v>1900</v>
      </c>
      <c r="AI11" s="235">
        <f t="shared" ca="1" si="2"/>
        <v>1850</v>
      </c>
      <c r="AJ11" s="235">
        <f t="shared" ca="1" si="2"/>
        <v>1850</v>
      </c>
      <c r="AK11" s="235">
        <f t="shared" ca="1" si="2"/>
        <v>1850</v>
      </c>
      <c r="AL11" s="235">
        <f t="shared" ca="1" si="2"/>
        <v>1850</v>
      </c>
    </row>
    <row r="12" spans="1:38" ht="15" thickBot="1">
      <c r="B12" s="156"/>
      <c r="C12" s="203"/>
      <c r="D12" s="203"/>
      <c r="E12" s="203"/>
      <c r="F12" s="237"/>
      <c r="G12" s="237"/>
      <c r="H12" s="237"/>
      <c r="I12" s="237"/>
      <c r="J12" s="237"/>
      <c r="K12" s="237"/>
      <c r="L12" s="237"/>
      <c r="N12" s="239"/>
      <c r="O12" s="167"/>
    </row>
    <row r="13" spans="1:38">
      <c r="A13" s="220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N13" s="238"/>
      <c r="O13" s="167"/>
    </row>
    <row r="14" spans="1:38">
      <c r="A14" s="220"/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N14" s="203"/>
      <c r="O14" s="167"/>
    </row>
    <row r="15" spans="1:38">
      <c r="A15" s="220"/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N15" s="237"/>
      <c r="O15" s="167"/>
    </row>
    <row r="16" spans="1:38">
      <c r="A16" s="220"/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N16" s="237"/>
      <c r="O16" s="167"/>
    </row>
    <row r="17" spans="1:13">
      <c r="A17" s="220"/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9"/>
    </row>
    <row r="18" spans="1:13">
      <c r="C18" s="200"/>
      <c r="D18" s="200"/>
      <c r="E18" s="200"/>
      <c r="F18" s="201"/>
      <c r="G18" s="201"/>
      <c r="H18" s="201"/>
      <c r="I18" s="201"/>
      <c r="J18" s="201"/>
      <c r="K18" s="201"/>
      <c r="L18" s="201"/>
      <c r="M18" s="199"/>
    </row>
    <row r="19" spans="1:13"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</row>
    <row r="20" spans="1:13"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</row>
    <row r="21" spans="1:13"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</row>
  </sheetData>
  <mergeCells count="4">
    <mergeCell ref="H3:L3"/>
    <mergeCell ref="E3:G3"/>
    <mergeCell ref="O3:V3"/>
    <mergeCell ref="W3:A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9C67-8EC1-3E4B-A817-80D69EF06819}">
  <dimension ref="B2:AX51"/>
  <sheetViews>
    <sheetView zoomScale="120" zoomScaleNormal="120" workbookViewId="0">
      <pane xSplit="3" ySplit="5" topLeftCell="E25" activePane="bottomRight" state="frozen"/>
      <selection pane="topRight" activeCell="D1" sqref="D1"/>
      <selection pane="bottomLeft" activeCell="A6" sqref="A6"/>
      <selection pane="bottomRight" activeCell="G5" sqref="G5"/>
    </sheetView>
  </sheetViews>
  <sheetFormatPr baseColWidth="10" defaultRowHeight="14" outlineLevelCol="1"/>
  <cols>
    <col min="1" max="1" width="2.6640625" customWidth="1"/>
    <col min="2" max="2" width="34.33203125" bestFit="1" customWidth="1"/>
    <col min="3" max="3" width="8" customWidth="1"/>
    <col min="4" max="4" width="18.83203125" bestFit="1" customWidth="1"/>
    <col min="5" max="5" width="10.83203125" customWidth="1" outlineLevel="1"/>
    <col min="6" max="6" width="12" customWidth="1" outlineLevel="1"/>
    <col min="7" max="14" width="10.83203125" customWidth="1" outlineLevel="1"/>
    <col min="15" max="15" width="2.33203125" customWidth="1"/>
    <col min="16" max="16" width="13.5" bestFit="1" customWidth="1"/>
    <col min="24" max="24" width="10.83203125" customWidth="1"/>
    <col min="49" max="49" width="2" customWidth="1"/>
    <col min="50" max="50" width="10.1640625" customWidth="1"/>
  </cols>
  <sheetData>
    <row r="2" spans="2:50" ht="18">
      <c r="B2" s="158" t="s">
        <v>143</v>
      </c>
    </row>
    <row r="3" spans="2:50" ht="18">
      <c r="B3" s="158" t="s">
        <v>247</v>
      </c>
    </row>
    <row r="4" spans="2:50">
      <c r="B4" s="160"/>
      <c r="C4" s="183" t="s">
        <v>128</v>
      </c>
      <c r="D4" s="161" t="s">
        <v>129</v>
      </c>
      <c r="E4" s="162">
        <f>F4-1</f>
        <v>2018</v>
      </c>
      <c r="F4" s="162">
        <f>G4-1</f>
        <v>2019</v>
      </c>
      <c r="G4" s="162">
        <f>YEAR(SUMMARY!B7)</f>
        <v>2020</v>
      </c>
      <c r="H4" s="163">
        <f t="shared" ref="H4:N4" si="0">G4+1</f>
        <v>2021</v>
      </c>
      <c r="I4" s="163">
        <f t="shared" si="0"/>
        <v>2022</v>
      </c>
      <c r="J4" s="163">
        <f t="shared" si="0"/>
        <v>2023</v>
      </c>
      <c r="K4" s="163">
        <f t="shared" si="0"/>
        <v>2024</v>
      </c>
      <c r="L4" s="163">
        <f t="shared" si="0"/>
        <v>2025</v>
      </c>
      <c r="M4" s="163">
        <f t="shared" si="0"/>
        <v>2026</v>
      </c>
      <c r="N4" s="163">
        <f t="shared" si="0"/>
        <v>2027</v>
      </c>
      <c r="P4" s="286" t="s">
        <v>222</v>
      </c>
      <c r="Q4" s="287" t="s">
        <v>194</v>
      </c>
      <c r="R4" s="287" t="s">
        <v>195</v>
      </c>
      <c r="S4" s="287" t="s">
        <v>196</v>
      </c>
      <c r="T4" s="287" t="s">
        <v>197</v>
      </c>
      <c r="U4" s="287" t="s">
        <v>198</v>
      </c>
      <c r="V4" s="287" t="s">
        <v>199</v>
      </c>
      <c r="W4" s="287" t="s">
        <v>200</v>
      </c>
      <c r="X4" s="287" t="s">
        <v>201</v>
      </c>
      <c r="Y4" s="287" t="s">
        <v>202</v>
      </c>
      <c r="Z4" s="287" t="s">
        <v>203</v>
      </c>
      <c r="AA4" s="287" t="s">
        <v>204</v>
      </c>
      <c r="AB4" s="287" t="s">
        <v>205</v>
      </c>
      <c r="AC4" s="287" t="s">
        <v>206</v>
      </c>
      <c r="AD4" s="287" t="s">
        <v>207</v>
      </c>
      <c r="AE4" s="287" t="s">
        <v>208</v>
      </c>
      <c r="AF4" s="287" t="s">
        <v>209</v>
      </c>
      <c r="AG4" s="287" t="s">
        <v>210</v>
      </c>
      <c r="AH4" s="287" t="s">
        <v>211</v>
      </c>
      <c r="AI4" s="287" t="s">
        <v>212</v>
      </c>
      <c r="AJ4" s="287" t="s">
        <v>213</v>
      </c>
      <c r="AK4" s="287" t="s">
        <v>214</v>
      </c>
      <c r="AL4" s="287" t="s">
        <v>215</v>
      </c>
      <c r="AM4" s="287" t="s">
        <v>216</v>
      </c>
      <c r="AN4" s="287" t="s">
        <v>217</v>
      </c>
      <c r="AO4" s="287" t="s">
        <v>218</v>
      </c>
      <c r="AP4" s="287" t="s">
        <v>219</v>
      </c>
      <c r="AQ4" s="287" t="s">
        <v>220</v>
      </c>
      <c r="AR4" s="287" t="s">
        <v>221</v>
      </c>
      <c r="AS4" s="287" t="s">
        <v>228</v>
      </c>
      <c r="AT4" s="287" t="s">
        <v>229</v>
      </c>
      <c r="AU4" s="287" t="s">
        <v>230</v>
      </c>
      <c r="AV4" s="287" t="s">
        <v>231</v>
      </c>
      <c r="AX4" s="356" t="s">
        <v>154</v>
      </c>
    </row>
    <row r="5" spans="2:50">
      <c r="B5" s="164"/>
      <c r="C5" s="184"/>
      <c r="D5" s="165" t="s">
        <v>158</v>
      </c>
      <c r="E5" s="194">
        <v>0</v>
      </c>
      <c r="F5" s="194">
        <v>8</v>
      </c>
      <c r="G5" s="194">
        <v>7</v>
      </c>
      <c r="H5" s="194">
        <v>6</v>
      </c>
      <c r="I5" s="194">
        <v>5</v>
      </c>
      <c r="J5" s="194">
        <v>4</v>
      </c>
      <c r="K5" s="194">
        <v>3</v>
      </c>
      <c r="L5" s="194">
        <v>2</v>
      </c>
      <c r="M5" s="194">
        <v>1</v>
      </c>
      <c r="N5" s="194">
        <v>0</v>
      </c>
      <c r="P5" s="164" t="s">
        <v>158</v>
      </c>
      <c r="Q5" s="188">
        <v>8</v>
      </c>
      <c r="R5" s="188">
        <v>7.75</v>
      </c>
      <c r="S5" s="188">
        <v>7.5</v>
      </c>
      <c r="T5" s="188">
        <v>7.25</v>
      </c>
      <c r="U5" s="188">
        <v>7</v>
      </c>
      <c r="V5" s="188">
        <v>6.75</v>
      </c>
      <c r="W5" s="188">
        <v>6.5</v>
      </c>
      <c r="X5" s="188">
        <v>6.25</v>
      </c>
      <c r="Y5" s="188">
        <v>6</v>
      </c>
      <c r="Z5" s="188">
        <v>5.75</v>
      </c>
      <c r="AA5" s="188">
        <v>5.5</v>
      </c>
      <c r="AB5" s="188">
        <v>5.25</v>
      </c>
      <c r="AC5" s="188">
        <v>5</v>
      </c>
      <c r="AD5" s="188">
        <v>4.75</v>
      </c>
      <c r="AE5" s="188">
        <v>4.5</v>
      </c>
      <c r="AF5" s="188">
        <v>4.25</v>
      </c>
      <c r="AG5" s="188">
        <v>4</v>
      </c>
      <c r="AH5" s="188">
        <v>3.75</v>
      </c>
      <c r="AI5" s="188">
        <v>3.5</v>
      </c>
      <c r="AJ5" s="188">
        <v>3.25</v>
      </c>
      <c r="AK5" s="188">
        <v>3</v>
      </c>
      <c r="AL5" s="188">
        <v>2.75</v>
      </c>
      <c r="AM5" s="188">
        <v>2.5</v>
      </c>
      <c r="AN5" s="188">
        <v>2.25</v>
      </c>
      <c r="AO5" s="188">
        <v>2</v>
      </c>
      <c r="AP5" s="188">
        <v>1.75</v>
      </c>
      <c r="AQ5" s="188">
        <v>1.5</v>
      </c>
      <c r="AR5" s="188">
        <v>1.25</v>
      </c>
      <c r="AS5" s="188">
        <v>1</v>
      </c>
      <c r="AT5" s="188">
        <v>0.75</v>
      </c>
      <c r="AU5" s="188">
        <v>0.5</v>
      </c>
      <c r="AV5" s="188">
        <v>0.25</v>
      </c>
      <c r="AX5" s="357"/>
    </row>
    <row r="6" spans="2:50" ht="18">
      <c r="B6" s="158" t="s">
        <v>127</v>
      </c>
      <c r="C6" s="178"/>
    </row>
    <row r="7" spans="2:50">
      <c r="C7" s="178"/>
    </row>
    <row r="8" spans="2:50">
      <c r="B8" s="197" t="s">
        <v>132</v>
      </c>
      <c r="C8" s="174" t="s">
        <v>153</v>
      </c>
      <c r="E8" s="168">
        <v>368</v>
      </c>
      <c r="F8" s="168">
        <v>1000</v>
      </c>
      <c r="G8" s="186">
        <f ca="1">SUM(OFFSET($Q$8,,(COLUMNS($G$8:G8)-1)*4,,4))</f>
        <v>1111</v>
      </c>
      <c r="H8" s="186">
        <f ca="1">SUM(OFFSET($Q$8,,(COLUMNS($G$8:H8)-1)*4,,4))</f>
        <v>1300</v>
      </c>
      <c r="I8" s="186">
        <f ca="1">SUM(OFFSET($Q$8,,(COLUMNS($G$8:I8)-1)*4,,4))</f>
        <v>980</v>
      </c>
      <c r="J8" s="186">
        <f ca="1">SUM(OFFSET($Q$8,,(COLUMNS($G$8:J8)-1)*4,,4))</f>
        <v>824.19999999999993</v>
      </c>
      <c r="K8" s="186">
        <f ca="1">SUM(OFFSET($Q$8,,(COLUMNS($G$8:K8)-1)*4,,4))</f>
        <v>824.19999999999982</v>
      </c>
      <c r="L8" s="186">
        <f ca="1">SUM(OFFSET($Q$8,,(COLUMNS($G$8:L8)-1)*4,,4))</f>
        <v>824.19999999999936</v>
      </c>
      <c r="M8" s="186">
        <f ca="1">SUM(OFFSET($Q$8,,(COLUMNS($G$8:M8)-1)*4,,4))</f>
        <v>824.19999999999879</v>
      </c>
      <c r="N8" s="186">
        <f ca="1">SUM(OFFSET($Q$8,,(COLUMNS($G$8:N8)-1)*4,,4))</f>
        <v>824.19999999999902</v>
      </c>
      <c r="Q8">
        <v>200</v>
      </c>
      <c r="R8">
        <v>270</v>
      </c>
      <c r="S8">
        <v>308</v>
      </c>
      <c r="T8">
        <v>333</v>
      </c>
      <c r="U8">
        <v>315</v>
      </c>
      <c r="V8">
        <v>336</v>
      </c>
      <c r="W8">
        <v>349</v>
      </c>
      <c r="X8" s="186">
        <f>IF(X9=0,((('Reserves and Resources'!$F$11*1000)-'Boungou '!W10)/'Boungou '!X5)/4,X9)</f>
        <v>300</v>
      </c>
      <c r="Y8" s="186">
        <f>IF(Y9=0,((('Reserves and Resources'!$F$11*1000)-'Boungou '!X10)/'Boungou '!Y5)/4,Y9)</f>
        <v>300</v>
      </c>
      <c r="Z8" s="186">
        <f>IF(Z9=0,((('Reserves and Resources'!$F$11*1000)-'Boungou '!Y10)/'Boungou '!Z5)/4,Z9)</f>
        <v>280</v>
      </c>
      <c r="AA8" s="186">
        <f>IF(AA9=0,((('Reserves and Resources'!$F$11*1000)-'Boungou '!Z10)/'Boungou '!AA5)/4,AA9)</f>
        <v>200</v>
      </c>
      <c r="AB8" s="186">
        <f>IF(AB9=0,((('Reserves and Resources'!$F$11*1000)-'Boungou '!AA10)/'Boungou '!AB5)/4,AB9)</f>
        <v>200</v>
      </c>
      <c r="AC8" s="186">
        <f>IF(AC9=0,((('Reserves and Resources'!$F$11*1000)-'Boungou '!AB10)/'Boungou '!AC5)/4,AC9)</f>
        <v>206.05</v>
      </c>
      <c r="AD8" s="186">
        <f>IF(AD9=0,((('Reserves and Resources'!$F$11*1000)-'Boungou '!AC10)/'Boungou '!AD5)/4,AD9)</f>
        <v>206.04999999999998</v>
      </c>
      <c r="AE8" s="186">
        <f>IF(AE9=0,((('Reserves and Resources'!$F$11*1000)-'Boungou '!AD10)/'Boungou '!AE5)/4,AE9)</f>
        <v>206.04999999999998</v>
      </c>
      <c r="AF8" s="186">
        <f>IF(AF9=0,((('Reserves and Resources'!$F$11*1000)-'Boungou '!AE10)/'Boungou '!AF5)/4,AF9)</f>
        <v>206.04999999999995</v>
      </c>
      <c r="AG8" s="186">
        <f>IF(AG9=0,((('Reserves and Resources'!$F$11*1000)-'Boungou '!AF10)/'Boungou '!AG5)/4,AG9)</f>
        <v>206.04999999999995</v>
      </c>
      <c r="AH8" s="186">
        <f>IF(AH9=0,((('Reserves and Resources'!$F$11*1000)-'Boungou '!AG10)/'Boungou '!AH5)/4,AH9)</f>
        <v>206.04999999999993</v>
      </c>
      <c r="AI8" s="186">
        <f>IF(AI9=0,((('Reserves and Resources'!$F$11*1000)-'Boungou '!AH10)/'Boungou '!AI5)/4,AI9)</f>
        <v>206.04999999999993</v>
      </c>
      <c r="AJ8" s="186">
        <f>IF(AJ9=0,((('Reserves and Resources'!$F$11*1000)-'Boungou '!AI10)/'Boungou '!AJ5)/4,AJ9)</f>
        <v>206.0499999999999</v>
      </c>
      <c r="AK8" s="186">
        <f>IF(AK9=0,((('Reserves and Resources'!$F$11*1000)-'Boungou '!AJ10)/'Boungou '!AK5)/4,AK9)</f>
        <v>206.04999999999987</v>
      </c>
      <c r="AL8" s="186">
        <f>IF(AL9=0,((('Reserves and Resources'!$F$11*1000)-'Boungou '!AK10)/'Boungou '!AL5)/4,AL9)</f>
        <v>206.04999999999984</v>
      </c>
      <c r="AM8" s="186">
        <f>IF(AM9=0,((('Reserves and Resources'!$F$11*1000)-'Boungou '!AL10)/'Boungou '!AM5)/4,AM9)</f>
        <v>206.04999999999981</v>
      </c>
      <c r="AN8" s="186">
        <f>IF(AN9=0,((('Reserves and Resources'!$F$11*1000)-'Boungou '!AM10)/'Boungou '!AN5)/4,AN9)</f>
        <v>206.04999999999978</v>
      </c>
      <c r="AO8" s="186">
        <f>IF(AO9=0,((('Reserves and Resources'!$F$11*1000)-'Boungou '!AN10)/'Boungou '!AO5)/4,AO9)</f>
        <v>206.04999999999973</v>
      </c>
      <c r="AP8" s="186">
        <f>IF(AP9=0,((('Reserves and Resources'!$F$11*1000)-'Boungou '!AO10)/'Boungou '!AP5)/4,AP9)</f>
        <v>206.04999999999978</v>
      </c>
      <c r="AQ8" s="186">
        <f>IF(AQ9=0,((('Reserves and Resources'!$F$11*1000)-'Boungou '!AP10)/'Boungou '!AQ5)/4,AQ9)</f>
        <v>206.04999999999973</v>
      </c>
      <c r="AR8" s="186">
        <f>IF(AR9=0,((('Reserves and Resources'!$F$11*1000)-'Boungou '!AQ10)/'Boungou '!AR5)/4,AR9)</f>
        <v>206.04999999999964</v>
      </c>
      <c r="AS8" s="186">
        <f>IF(AS9=0,((('Reserves and Resources'!$F$11*1000)-'Boungou '!AR10)/'Boungou '!AS5)/4,AS9)</f>
        <v>206.04999999999973</v>
      </c>
      <c r="AT8" s="186">
        <f>IF(AT9=0,((('Reserves and Resources'!$F$11*1000)-'Boungou '!AS10)/'Boungou '!AT5)/4,AT9)</f>
        <v>206.04999999999987</v>
      </c>
      <c r="AU8" s="186">
        <f>IF(AU9=0,((('Reserves and Resources'!$F$11*1000)-'Boungou '!AT10)/'Boungou '!AU5)/4,AU9)</f>
        <v>206.05000000000018</v>
      </c>
      <c r="AV8" s="186">
        <f>IF(AV9=0,((('Reserves and Resources'!$F$11*1000)-'Boungou '!AU10)/'Boungou '!AV5)/4,AV9)</f>
        <v>206.04999999999927</v>
      </c>
      <c r="AW8" s="186"/>
      <c r="AX8" s="262" t="s">
        <v>160</v>
      </c>
    </row>
    <row r="9" spans="2:50" ht="16">
      <c r="B9" s="166"/>
      <c r="C9" s="174"/>
      <c r="E9" s="168"/>
      <c r="F9" s="168"/>
      <c r="G9" s="168"/>
      <c r="H9" s="253"/>
      <c r="I9" s="253"/>
      <c r="J9" s="253"/>
      <c r="K9" s="253"/>
      <c r="L9" s="253"/>
      <c r="M9" s="253"/>
      <c r="N9" s="253"/>
      <c r="X9" s="264">
        <v>300</v>
      </c>
      <c r="Y9" s="270">
        <v>300</v>
      </c>
      <c r="Z9" s="270">
        <v>280</v>
      </c>
      <c r="AA9" s="270">
        <v>200</v>
      </c>
      <c r="AB9" s="270">
        <v>200</v>
      </c>
      <c r="AX9" s="156" t="s">
        <v>159</v>
      </c>
    </row>
    <row r="10" spans="2:50">
      <c r="B10" s="156" t="s">
        <v>133</v>
      </c>
      <c r="C10" s="174" t="s">
        <v>153</v>
      </c>
      <c r="D10" s="156"/>
      <c r="E10" s="186">
        <f t="shared" ref="E10:N10" si="1">IF(E8=0,0,E8+D10)</f>
        <v>368</v>
      </c>
      <c r="F10" s="186">
        <f t="shared" si="1"/>
        <v>1368</v>
      </c>
      <c r="G10" s="186">
        <f t="shared" ca="1" si="1"/>
        <v>2479</v>
      </c>
      <c r="H10" s="186">
        <f t="shared" ca="1" si="1"/>
        <v>3779</v>
      </c>
      <c r="I10" s="186">
        <f t="shared" ca="1" si="1"/>
        <v>4759</v>
      </c>
      <c r="J10" s="186">
        <f t="shared" ca="1" si="1"/>
        <v>5583.2</v>
      </c>
      <c r="K10" s="186">
        <f t="shared" ca="1" si="1"/>
        <v>6407.4</v>
      </c>
      <c r="L10" s="186">
        <f t="shared" ca="1" si="1"/>
        <v>7231.5999999999985</v>
      </c>
      <c r="M10" s="186">
        <f t="shared" ca="1" si="1"/>
        <v>8055.7999999999975</v>
      </c>
      <c r="N10" s="186">
        <f t="shared" ca="1" si="1"/>
        <v>8879.9999999999964</v>
      </c>
      <c r="Q10" s="186">
        <f>IF(Q8=0,0,Q8+P10)+E8+F8</f>
        <v>1568</v>
      </c>
      <c r="R10" s="186">
        <f>IF(R8=0,0,R8+Q10)</f>
        <v>1838</v>
      </c>
      <c r="S10" s="186">
        <f t="shared" ref="S10:AQ10" si="2">IF(S8=0,0,S8+R10)</f>
        <v>2146</v>
      </c>
      <c r="T10" s="186">
        <f t="shared" si="2"/>
        <v>2479</v>
      </c>
      <c r="U10" s="186">
        <f t="shared" si="2"/>
        <v>2794</v>
      </c>
      <c r="V10" s="186">
        <f t="shared" si="2"/>
        <v>3130</v>
      </c>
      <c r="W10" s="186">
        <f t="shared" si="2"/>
        <v>3479</v>
      </c>
      <c r="X10" s="186">
        <f t="shared" si="2"/>
        <v>3779</v>
      </c>
      <c r="Y10" s="186">
        <f t="shared" si="2"/>
        <v>4079</v>
      </c>
      <c r="Z10" s="186">
        <f t="shared" si="2"/>
        <v>4359</v>
      </c>
      <c r="AA10" s="186">
        <f t="shared" si="2"/>
        <v>4559</v>
      </c>
      <c r="AB10" s="186">
        <f t="shared" si="2"/>
        <v>4759</v>
      </c>
      <c r="AC10" s="186">
        <f t="shared" si="2"/>
        <v>4965.05</v>
      </c>
      <c r="AD10" s="186">
        <f t="shared" si="2"/>
        <v>5171.1000000000004</v>
      </c>
      <c r="AE10" s="186">
        <f t="shared" si="2"/>
        <v>5377.1500000000005</v>
      </c>
      <c r="AF10" s="186">
        <f t="shared" si="2"/>
        <v>5583.2000000000007</v>
      </c>
      <c r="AG10" s="186">
        <f t="shared" si="2"/>
        <v>5789.2500000000009</v>
      </c>
      <c r="AH10" s="186">
        <f t="shared" si="2"/>
        <v>5995.3000000000011</v>
      </c>
      <c r="AI10" s="186">
        <f t="shared" si="2"/>
        <v>6201.3500000000013</v>
      </c>
      <c r="AJ10" s="186">
        <f t="shared" si="2"/>
        <v>6407.4000000000015</v>
      </c>
      <c r="AK10" s="186">
        <f t="shared" si="2"/>
        <v>6613.4500000000016</v>
      </c>
      <c r="AL10" s="186">
        <f t="shared" si="2"/>
        <v>6819.5000000000018</v>
      </c>
      <c r="AM10" s="186">
        <f t="shared" si="2"/>
        <v>7025.550000000002</v>
      </c>
      <c r="AN10" s="186">
        <f t="shared" si="2"/>
        <v>7231.6000000000022</v>
      </c>
      <c r="AO10" s="186">
        <f t="shared" si="2"/>
        <v>7437.6500000000015</v>
      </c>
      <c r="AP10" s="186">
        <f t="shared" si="2"/>
        <v>7643.7000000000016</v>
      </c>
      <c r="AQ10" s="186">
        <f t="shared" si="2"/>
        <v>7849.7500000000018</v>
      </c>
      <c r="AR10" s="186">
        <f>IF(AR8=0,0,AR8+AQ10)</f>
        <v>8055.8000000000011</v>
      </c>
      <c r="AS10" s="186">
        <f>IF(AS8=0,0,AS8+AR10)</f>
        <v>8261.85</v>
      </c>
      <c r="AT10" s="186">
        <f>IF(AT8=0,0,AT8+AS10)</f>
        <v>8467.9</v>
      </c>
      <c r="AU10" s="186">
        <f>IF(AU8=0,0,AU8+AT10)</f>
        <v>8673.9500000000007</v>
      </c>
      <c r="AV10" s="186">
        <f>IF(AV8=0,0,AV8+AU10)</f>
        <v>8880</v>
      </c>
      <c r="AW10" s="186"/>
    </row>
    <row r="11" spans="2:50">
      <c r="C11" s="178"/>
    </row>
    <row r="12" spans="2:50">
      <c r="B12" t="s">
        <v>134</v>
      </c>
      <c r="C12" s="178" t="s">
        <v>139</v>
      </c>
      <c r="E12">
        <v>5.75</v>
      </c>
      <c r="F12">
        <v>6.65</v>
      </c>
      <c r="G12" s="263">
        <f ca="1">AVERAGE(OFFSET($Q$12,,(COLUMNS($G$12:G12)-1)*4,,4))</f>
        <v>4.7625000000000002</v>
      </c>
      <c r="H12" s="263">
        <f ca="1">AVERAGE(OFFSET($Q$12,,(COLUMNS($G$12:H12)-1)*4,,4))</f>
        <v>4.3733333333333331</v>
      </c>
      <c r="I12" s="263">
        <f ca="1">AVERAGE(OFFSET($Q$12,,(COLUMNS($G$12:I12)-1)*4,,4))</f>
        <v>4.3733333333333331</v>
      </c>
      <c r="J12" s="263">
        <f ca="1">AVERAGE(OFFSET($Q$12,,(COLUMNS($G$12:J12)-1)*4,,4))</f>
        <v>4.3733333333333331</v>
      </c>
      <c r="K12" s="263">
        <f ca="1">AVERAGE(OFFSET($Q$12,,(COLUMNS($G$12:K12)-1)*4,,4))</f>
        <v>4.1733333333333329</v>
      </c>
      <c r="L12" s="263">
        <f ca="1">AVERAGE(OFFSET($Q$12,,(COLUMNS($G$12:L12)-1)*4,,4))</f>
        <v>3.9733333333333327</v>
      </c>
      <c r="M12" s="263">
        <f ca="1">AVERAGE(OFFSET($Q$12,,(COLUMNS($G$12:M12)-1)*4,,4))</f>
        <v>3.7733333333333325</v>
      </c>
      <c r="N12" s="263">
        <f ca="1">AVERAGE(OFFSET($Q$12,,(COLUMNS($G$12:N12)-1)*4,,4))</f>
        <v>3.5733333333333324</v>
      </c>
      <c r="Q12">
        <v>5.29</v>
      </c>
      <c r="R12">
        <v>3.69</v>
      </c>
      <c r="S12">
        <v>3.15</v>
      </c>
      <c r="T12">
        <v>6.92</v>
      </c>
      <c r="U12">
        <v>5.52</v>
      </c>
      <c r="V12">
        <v>3.84</v>
      </c>
      <c r="W12">
        <v>3.76</v>
      </c>
      <c r="X12" s="263">
        <f>AVERAGE(U12:W12)</f>
        <v>4.3733333333333331</v>
      </c>
      <c r="Y12" s="263">
        <f>X12</f>
        <v>4.3733333333333331</v>
      </c>
      <c r="Z12" s="263">
        <f t="shared" ref="Z12:AR12" si="3">Y12</f>
        <v>4.3733333333333331</v>
      </c>
      <c r="AA12" s="263">
        <f t="shared" si="3"/>
        <v>4.3733333333333331</v>
      </c>
      <c r="AB12" s="263">
        <f t="shared" si="3"/>
        <v>4.3733333333333331</v>
      </c>
      <c r="AC12" s="263">
        <f t="shared" si="3"/>
        <v>4.3733333333333331</v>
      </c>
      <c r="AD12" s="263">
        <f t="shared" si="3"/>
        <v>4.3733333333333331</v>
      </c>
      <c r="AE12" s="263">
        <f t="shared" si="3"/>
        <v>4.3733333333333331</v>
      </c>
      <c r="AF12" s="263">
        <f t="shared" si="3"/>
        <v>4.3733333333333331</v>
      </c>
      <c r="AG12" s="263">
        <f>AF12-0.2</f>
        <v>4.1733333333333329</v>
      </c>
      <c r="AH12" s="263">
        <f t="shared" si="3"/>
        <v>4.1733333333333329</v>
      </c>
      <c r="AI12" s="263">
        <f t="shared" si="3"/>
        <v>4.1733333333333329</v>
      </c>
      <c r="AJ12" s="263">
        <f t="shared" si="3"/>
        <v>4.1733333333333329</v>
      </c>
      <c r="AK12" s="263">
        <f>AJ12-0.2</f>
        <v>3.9733333333333327</v>
      </c>
      <c r="AL12" s="263">
        <f t="shared" si="3"/>
        <v>3.9733333333333327</v>
      </c>
      <c r="AM12" s="263">
        <f t="shared" si="3"/>
        <v>3.9733333333333327</v>
      </c>
      <c r="AN12" s="263">
        <f t="shared" si="3"/>
        <v>3.9733333333333327</v>
      </c>
      <c r="AO12" s="263">
        <f>AN12-0.2</f>
        <v>3.7733333333333325</v>
      </c>
      <c r="AP12" s="263">
        <f t="shared" si="3"/>
        <v>3.7733333333333325</v>
      </c>
      <c r="AQ12" s="263">
        <f t="shared" si="3"/>
        <v>3.7733333333333325</v>
      </c>
      <c r="AR12" s="263">
        <f t="shared" si="3"/>
        <v>3.7733333333333325</v>
      </c>
      <c r="AS12" s="263">
        <f>AR12-0.2</f>
        <v>3.5733333333333324</v>
      </c>
      <c r="AT12" s="263">
        <f>AS12</f>
        <v>3.5733333333333324</v>
      </c>
      <c r="AU12" s="263">
        <f>AT12</f>
        <v>3.5733333333333324</v>
      </c>
      <c r="AV12" s="263">
        <f>AU12</f>
        <v>3.5733333333333324</v>
      </c>
      <c r="AX12" s="156"/>
    </row>
    <row r="13" spans="2:50">
      <c r="C13" s="178"/>
    </row>
    <row r="14" spans="2:50">
      <c r="B14" t="s">
        <v>135</v>
      </c>
      <c r="C14" s="174" t="s">
        <v>156</v>
      </c>
      <c r="E14" s="186">
        <f>(E8*E12/31.1035*1000)</f>
        <v>68030.928995129158</v>
      </c>
      <c r="F14" s="186">
        <f>(F8*F12/31.1035*1000)</f>
        <v>213802.30520680951</v>
      </c>
      <c r="G14" s="186">
        <f ca="1">SUM(OFFSET($Q$14,,(COLUMNS($G$14:G14)-1)*4,,4))</f>
        <v>171326.6995675728</v>
      </c>
      <c r="H14" s="186">
        <f ca="1">SUM(OFFSET($Q$14,,(COLUMNS($G$14:H14)-1)*4,,4))</f>
        <v>181757.03698940633</v>
      </c>
      <c r="I14" s="186">
        <f ca="1">SUM(OFFSET($Q$14,,(COLUMNS($G$14:I14)-1)*4,,4))</f>
        <v>137793.71024697114</v>
      </c>
      <c r="J14" s="186">
        <f ca="1">SUM(OFFSET($Q$14,,(COLUMNS($G$14:J14)-1)*4,,4))</f>
        <v>115887.32243423835</v>
      </c>
      <c r="K14" s="186">
        <f ca="1">SUM(OFFSET($Q$14,,(COLUMNS($G$14:K14)-1)*4,,4))</f>
        <v>110587.59732291644</v>
      </c>
      <c r="L14" s="186">
        <f ca="1">SUM(OFFSET($Q$14,,(COLUMNS($G$14:L14)-1)*4,,4))</f>
        <v>105287.8722115945</v>
      </c>
      <c r="M14" s="186">
        <f ca="1">SUM(OFFSET($Q$14,,(COLUMNS($G$14:M14)-1)*4,,4))</f>
        <v>99988.147100272588</v>
      </c>
      <c r="N14" s="186">
        <f ca="1">SUM(OFFSET($Q$14,,(COLUMNS($G$14:N14)-1)*4,,4))</f>
        <v>94688.421988950737</v>
      </c>
      <c r="Q14" s="186">
        <f>(Q8*Q12/31.1035*1000)</f>
        <v>34015.464497564579</v>
      </c>
      <c r="R14" s="186">
        <f t="shared" ref="R14:AR14" si="4">(R8*R12/31.1035*1000)</f>
        <v>32031.764913916439</v>
      </c>
      <c r="S14" s="186">
        <f t="shared" si="4"/>
        <v>31192.631054382942</v>
      </c>
      <c r="T14" s="186">
        <f t="shared" si="4"/>
        <v>74086.839101708814</v>
      </c>
      <c r="U14" s="186">
        <f t="shared" si="4"/>
        <v>55903.676435127876</v>
      </c>
      <c r="V14" s="186">
        <f t="shared" si="4"/>
        <v>41482.148311283294</v>
      </c>
      <c r="W14" s="186">
        <f t="shared" si="4"/>
        <v>42189.464208208083</v>
      </c>
      <c r="X14" s="186">
        <f t="shared" si="4"/>
        <v>42181.748034787081</v>
      </c>
      <c r="Y14" s="186">
        <f t="shared" si="4"/>
        <v>42181.748034787081</v>
      </c>
      <c r="Z14" s="186">
        <f t="shared" si="4"/>
        <v>39369.631499134608</v>
      </c>
      <c r="AA14" s="186">
        <f t="shared" si="4"/>
        <v>28121.165356524722</v>
      </c>
      <c r="AB14" s="186">
        <f t="shared" si="4"/>
        <v>28121.165356524722</v>
      </c>
      <c r="AC14" s="186">
        <f t="shared" si="4"/>
        <v>28971.830608559594</v>
      </c>
      <c r="AD14" s="186">
        <f t="shared" si="4"/>
        <v>28971.83060855959</v>
      </c>
      <c r="AE14" s="186">
        <f t="shared" si="4"/>
        <v>28971.83060855959</v>
      </c>
      <c r="AF14" s="186">
        <f t="shared" si="4"/>
        <v>28971.830608559587</v>
      </c>
      <c r="AG14" s="186">
        <f t="shared" si="4"/>
        <v>27646.899330729113</v>
      </c>
      <c r="AH14" s="186">
        <f t="shared" si="4"/>
        <v>27646.899330729109</v>
      </c>
      <c r="AI14" s="186">
        <f t="shared" si="4"/>
        <v>27646.899330729109</v>
      </c>
      <c r="AJ14" s="186">
        <f t="shared" si="4"/>
        <v>27646.899330729106</v>
      </c>
      <c r="AK14" s="186">
        <f t="shared" si="4"/>
        <v>26321.968052898632</v>
      </c>
      <c r="AL14" s="186">
        <f t="shared" si="4"/>
        <v>26321.968052898628</v>
      </c>
      <c r="AM14" s="186">
        <f t="shared" si="4"/>
        <v>26321.968052898625</v>
      </c>
      <c r="AN14" s="186">
        <f t="shared" si="4"/>
        <v>26321.968052898621</v>
      </c>
      <c r="AO14" s="186">
        <f t="shared" si="4"/>
        <v>24997.036775068151</v>
      </c>
      <c r="AP14" s="186">
        <f t="shared" si="4"/>
        <v>24997.036775068158</v>
      </c>
      <c r="AQ14" s="186">
        <f t="shared" si="4"/>
        <v>24997.036775068151</v>
      </c>
      <c r="AR14" s="186">
        <f t="shared" si="4"/>
        <v>24997.036775068136</v>
      </c>
      <c r="AS14" s="186">
        <f>(AS8*AS12/31.1035*1000)</f>
        <v>23672.105497237677</v>
      </c>
      <c r="AT14" s="186">
        <f>(AT8*AT12/31.1035*1000)</f>
        <v>23672.105497237695</v>
      </c>
      <c r="AU14" s="186">
        <f>(AU8*AU12/31.1035*1000)</f>
        <v>23672.105497237735</v>
      </c>
      <c r="AV14" s="186">
        <f>(AV8*AV12/31.1035*1000)</f>
        <v>23672.105497237626</v>
      </c>
    </row>
    <row r="15" spans="2:50">
      <c r="B15" s="156" t="s">
        <v>133</v>
      </c>
      <c r="C15" s="174" t="s">
        <v>156</v>
      </c>
      <c r="D15" s="156"/>
      <c r="E15" s="186">
        <f>IF(E14=0,0,E14+D15)</f>
        <v>68030.928995129158</v>
      </c>
      <c r="F15" s="186">
        <f t="shared" ref="F15:N15" si="5">IF(F14=0,0,F14+E15)</f>
        <v>281833.23420193867</v>
      </c>
      <c r="G15" s="186">
        <f t="shared" ca="1" si="5"/>
        <v>453159.93376951147</v>
      </c>
      <c r="H15" s="186">
        <f t="shared" ca="1" si="5"/>
        <v>634916.97075891774</v>
      </c>
      <c r="I15" s="186">
        <f t="shared" ca="1" si="5"/>
        <v>772710.68100588885</v>
      </c>
      <c r="J15" s="186">
        <f t="shared" ca="1" si="5"/>
        <v>888598.00344012724</v>
      </c>
      <c r="K15" s="186">
        <f t="shared" ca="1" si="5"/>
        <v>999185.60076304362</v>
      </c>
      <c r="L15" s="186">
        <f t="shared" ca="1" si="5"/>
        <v>1104473.4729746382</v>
      </c>
      <c r="M15" s="186">
        <f t="shared" ca="1" si="5"/>
        <v>1204461.6200749108</v>
      </c>
      <c r="N15" s="186">
        <f t="shared" ca="1" si="5"/>
        <v>1299150.0420638616</v>
      </c>
      <c r="Q15" s="186">
        <f>IF(Q14=0,0,Q14+P15)+E14+F14</f>
        <v>315848.69869950326</v>
      </c>
      <c r="R15" s="186">
        <f>IF(R14=0,0,R14+Q15)</f>
        <v>347880.46361341968</v>
      </c>
      <c r="S15" s="186">
        <f t="shared" ref="S15:AR15" si="6">IF(S14=0,0,S14+R15)</f>
        <v>379073.09466780262</v>
      </c>
      <c r="T15" s="186">
        <f t="shared" si="6"/>
        <v>453159.93376951141</v>
      </c>
      <c r="U15" s="186">
        <f t="shared" si="6"/>
        <v>509063.61020463926</v>
      </c>
      <c r="V15" s="186">
        <f t="shared" si="6"/>
        <v>550545.75851592259</v>
      </c>
      <c r="W15" s="186">
        <f t="shared" si="6"/>
        <v>592735.22272413061</v>
      </c>
      <c r="X15" s="186">
        <f t="shared" si="6"/>
        <v>634916.97075891774</v>
      </c>
      <c r="Y15" s="186">
        <f t="shared" si="6"/>
        <v>677098.71879370487</v>
      </c>
      <c r="Z15" s="186">
        <f t="shared" si="6"/>
        <v>716468.35029283946</v>
      </c>
      <c r="AA15" s="186">
        <f t="shared" si="6"/>
        <v>744589.51564936421</v>
      </c>
      <c r="AB15" s="186">
        <f t="shared" si="6"/>
        <v>772710.68100588897</v>
      </c>
      <c r="AC15" s="186">
        <f t="shared" si="6"/>
        <v>801682.51161444851</v>
      </c>
      <c r="AD15" s="186">
        <f t="shared" si="6"/>
        <v>830654.34222300805</v>
      </c>
      <c r="AE15" s="186">
        <f t="shared" si="6"/>
        <v>859626.17283156759</v>
      </c>
      <c r="AF15" s="186">
        <f t="shared" si="6"/>
        <v>888598.00344012713</v>
      </c>
      <c r="AG15" s="186">
        <f t="shared" si="6"/>
        <v>916244.90277085628</v>
      </c>
      <c r="AH15" s="186">
        <f t="shared" si="6"/>
        <v>943891.80210158543</v>
      </c>
      <c r="AI15" s="186">
        <f t="shared" si="6"/>
        <v>971538.70143231458</v>
      </c>
      <c r="AJ15" s="186">
        <f t="shared" si="6"/>
        <v>999185.60076304374</v>
      </c>
      <c r="AK15" s="186">
        <f t="shared" si="6"/>
        <v>1025507.5688159424</v>
      </c>
      <c r="AL15" s="186">
        <f t="shared" si="6"/>
        <v>1051829.5368688409</v>
      </c>
      <c r="AM15" s="186">
        <f t="shared" si="6"/>
        <v>1078151.5049217395</v>
      </c>
      <c r="AN15" s="186">
        <f t="shared" si="6"/>
        <v>1104473.472974638</v>
      </c>
      <c r="AO15" s="186">
        <f t="shared" si="6"/>
        <v>1129470.5097497061</v>
      </c>
      <c r="AP15" s="186">
        <f t="shared" si="6"/>
        <v>1154467.5465247743</v>
      </c>
      <c r="AQ15" s="186">
        <f t="shared" si="6"/>
        <v>1179464.5832998424</v>
      </c>
      <c r="AR15" s="186">
        <f t="shared" si="6"/>
        <v>1204461.6200749106</v>
      </c>
      <c r="AS15" s="186">
        <f>IF(AS14=0,0,AS14+AR15)</f>
        <v>1228133.7255721483</v>
      </c>
      <c r="AT15" s="186">
        <f>IF(AT14=0,0,AT14+AS15)</f>
        <v>1251805.8310693861</v>
      </c>
      <c r="AU15" s="186">
        <f>IF(AU14=0,0,AU14+AT15)</f>
        <v>1275477.9365666239</v>
      </c>
      <c r="AV15" s="186">
        <f>IF(AV14=0,0,AV14+AU15)</f>
        <v>1299150.0420638614</v>
      </c>
    </row>
    <row r="16" spans="2:50">
      <c r="C16" s="178"/>
    </row>
    <row r="17" spans="2:50">
      <c r="B17" t="s">
        <v>136</v>
      </c>
      <c r="C17" s="178" t="s">
        <v>140</v>
      </c>
      <c r="E17" s="185">
        <v>0.94</v>
      </c>
      <c r="F17" s="185">
        <v>0.96</v>
      </c>
      <c r="G17" s="273">
        <f ca="1">AVERAGE(OFFSET($Q$17,,(COLUMNS($G$17:G17)-1)*4,,4))</f>
        <v>0.94499999999999995</v>
      </c>
      <c r="H17" s="273">
        <f ca="1">AVERAGE(OFFSET($Q$17,,(COLUMNS($G$17:H17)-1)*4,,4))</f>
        <v>0.9524999999999999</v>
      </c>
      <c r="I17" s="273">
        <f ca="1">AVERAGE(OFFSET($Q$17,,(COLUMNS($G$17:I17)-1)*4,,4))</f>
        <v>0.95</v>
      </c>
      <c r="J17" s="273">
        <f ca="1">AVERAGE(OFFSET($Q$17,,(COLUMNS($G$17:J17)-1)*4,,4))</f>
        <v>0.95</v>
      </c>
      <c r="K17" s="273">
        <f ca="1">AVERAGE(OFFSET($Q$17,,(COLUMNS($G$17:K17)-1)*4,,4))</f>
        <v>0.95</v>
      </c>
      <c r="L17" s="273">
        <f ca="1">AVERAGE(OFFSET($Q$17,,(COLUMNS($G$17:L17)-1)*4,,4))</f>
        <v>0.95</v>
      </c>
      <c r="M17" s="273">
        <f ca="1">AVERAGE(OFFSET($Q$17,,(COLUMNS($G$17:M17)-1)*4,,4))</f>
        <v>0.95</v>
      </c>
      <c r="N17" s="273">
        <f ca="1">AVERAGE(OFFSET($Q$17,,(COLUMNS($G$17:N17)-1)*4,,4))</f>
        <v>0.95</v>
      </c>
      <c r="Q17" s="185">
        <v>0.94</v>
      </c>
      <c r="R17" s="185">
        <v>0.94</v>
      </c>
      <c r="S17" s="185">
        <v>0.94</v>
      </c>
      <c r="T17" s="185">
        <v>0.96</v>
      </c>
      <c r="U17" s="185">
        <v>0.96</v>
      </c>
      <c r="V17" s="185">
        <v>0.95</v>
      </c>
      <c r="W17" s="185">
        <v>0.95</v>
      </c>
      <c r="X17" s="185">
        <v>0.95</v>
      </c>
      <c r="Y17" s="187">
        <v>0.95</v>
      </c>
      <c r="Z17" s="187">
        <f>Y17</f>
        <v>0.95</v>
      </c>
      <c r="AA17" s="187">
        <f t="shared" ref="AA17:AV17" si="7">Z17</f>
        <v>0.95</v>
      </c>
      <c r="AB17" s="187">
        <f t="shared" si="7"/>
        <v>0.95</v>
      </c>
      <c r="AC17" s="187">
        <f t="shared" si="7"/>
        <v>0.95</v>
      </c>
      <c r="AD17" s="187">
        <f t="shared" si="7"/>
        <v>0.95</v>
      </c>
      <c r="AE17" s="187">
        <f t="shared" si="7"/>
        <v>0.95</v>
      </c>
      <c r="AF17" s="187">
        <f t="shared" si="7"/>
        <v>0.95</v>
      </c>
      <c r="AG17" s="187">
        <f t="shared" si="7"/>
        <v>0.95</v>
      </c>
      <c r="AH17" s="187">
        <f t="shared" si="7"/>
        <v>0.95</v>
      </c>
      <c r="AI17" s="187">
        <f t="shared" si="7"/>
        <v>0.95</v>
      </c>
      <c r="AJ17" s="187">
        <f t="shared" si="7"/>
        <v>0.95</v>
      </c>
      <c r="AK17" s="187">
        <f t="shared" si="7"/>
        <v>0.95</v>
      </c>
      <c r="AL17" s="187">
        <f t="shared" si="7"/>
        <v>0.95</v>
      </c>
      <c r="AM17" s="187">
        <f t="shared" si="7"/>
        <v>0.95</v>
      </c>
      <c r="AN17" s="187">
        <f t="shared" si="7"/>
        <v>0.95</v>
      </c>
      <c r="AO17" s="187">
        <f t="shared" si="7"/>
        <v>0.95</v>
      </c>
      <c r="AP17" s="187">
        <f t="shared" si="7"/>
        <v>0.95</v>
      </c>
      <c r="AQ17" s="187">
        <f t="shared" si="7"/>
        <v>0.95</v>
      </c>
      <c r="AR17" s="187">
        <f t="shared" si="7"/>
        <v>0.95</v>
      </c>
      <c r="AS17" s="187">
        <f t="shared" si="7"/>
        <v>0.95</v>
      </c>
      <c r="AT17" s="187">
        <f t="shared" si="7"/>
        <v>0.95</v>
      </c>
      <c r="AU17" s="187">
        <f t="shared" si="7"/>
        <v>0.95</v>
      </c>
      <c r="AV17" s="187">
        <f t="shared" si="7"/>
        <v>0.95</v>
      </c>
      <c r="AX17" s="156"/>
    </row>
    <row r="18" spans="2:50">
      <c r="C18" s="178"/>
    </row>
    <row r="19" spans="2:50">
      <c r="B19" t="s">
        <v>137</v>
      </c>
      <c r="C19" s="174" t="s">
        <v>156</v>
      </c>
      <c r="E19" s="168">
        <v>63600</v>
      </c>
      <c r="F19" s="168">
        <v>205200</v>
      </c>
      <c r="G19" s="168">
        <v>154726</v>
      </c>
      <c r="H19" s="186">
        <f ca="1">SUM(OFFSET($Q$19,,(COLUMNS($G$19:H19)-1)*4,,4))</f>
        <v>179465.66063304772</v>
      </c>
      <c r="I19" s="186">
        <f ca="1">SUM(OFFSET($Q$19,,(COLUMNS($G$19:I19)-1)*4,,4))</f>
        <v>130904.02473462257</v>
      </c>
      <c r="J19" s="186">
        <f ca="1">SUM(OFFSET($Q$19,,(COLUMNS($G$19:J19)-1)*4,,4))</f>
        <v>110092.95631252644</v>
      </c>
      <c r="K19" s="186">
        <f ca="1">SUM(OFFSET($Q$19,,(COLUMNS($G$19:K19)-1)*4,,4))</f>
        <v>105058.21745677061</v>
      </c>
      <c r="L19" s="186">
        <f ca="1">SUM(OFFSET($Q$19,,(COLUMNS($G$19:L19)-1)*4,,4))</f>
        <v>100023.47860101478</v>
      </c>
      <c r="M19" s="186">
        <f ca="1">SUM(OFFSET($Q$19,,(COLUMNS($G$19:M19)-1)*4,,4))</f>
        <v>94988.739745258965</v>
      </c>
      <c r="N19" s="186">
        <f ca="1">SUM(OFFSET($Q$19,,(COLUMNS($G$19:N19)-1)*4,,4))</f>
        <v>89954.000889503193</v>
      </c>
      <c r="Q19" s="168">
        <v>29418</v>
      </c>
      <c r="R19" s="168">
        <v>31143</v>
      </c>
      <c r="S19" s="168">
        <v>30226</v>
      </c>
      <c r="T19" s="168">
        <v>63939</v>
      </c>
      <c r="U19" s="168">
        <v>59747</v>
      </c>
      <c r="V19" s="168">
        <v>38802</v>
      </c>
      <c r="W19" s="168">
        <v>40844</v>
      </c>
      <c r="X19" s="186">
        <f>X14*X17</f>
        <v>40072.660633047723</v>
      </c>
      <c r="Y19" s="186">
        <f t="shared" ref="Y19:AR19" si="8">Y14*Y17</f>
        <v>40072.660633047723</v>
      </c>
      <c r="Z19" s="186">
        <f t="shared" si="8"/>
        <v>37401.149924177873</v>
      </c>
      <c r="AA19" s="186">
        <f t="shared" si="8"/>
        <v>26715.107088698485</v>
      </c>
      <c r="AB19" s="186">
        <f t="shared" si="8"/>
        <v>26715.107088698485</v>
      </c>
      <c r="AC19" s="186">
        <f t="shared" si="8"/>
        <v>27523.239078131613</v>
      </c>
      <c r="AD19" s="186">
        <f t="shared" si="8"/>
        <v>27523.23907813161</v>
      </c>
      <c r="AE19" s="186">
        <f t="shared" si="8"/>
        <v>27523.23907813161</v>
      </c>
      <c r="AF19" s="186">
        <f t="shared" si="8"/>
        <v>27523.239078131606</v>
      </c>
      <c r="AG19" s="186">
        <f t="shared" si="8"/>
        <v>26264.554364192656</v>
      </c>
      <c r="AH19" s="186">
        <f t="shared" si="8"/>
        <v>26264.554364192652</v>
      </c>
      <c r="AI19" s="186">
        <f t="shared" si="8"/>
        <v>26264.554364192652</v>
      </c>
      <c r="AJ19" s="186">
        <f t="shared" si="8"/>
        <v>26264.554364192649</v>
      </c>
      <c r="AK19" s="186">
        <f t="shared" si="8"/>
        <v>25005.869650253699</v>
      </c>
      <c r="AL19" s="186">
        <f t="shared" si="8"/>
        <v>25005.869650253695</v>
      </c>
      <c r="AM19" s="186">
        <f t="shared" si="8"/>
        <v>25005.869650253691</v>
      </c>
      <c r="AN19" s="186">
        <f t="shared" si="8"/>
        <v>25005.869650253688</v>
      </c>
      <c r="AO19" s="186">
        <f t="shared" si="8"/>
        <v>23747.184936314741</v>
      </c>
      <c r="AP19" s="186">
        <f t="shared" si="8"/>
        <v>23747.184936314748</v>
      </c>
      <c r="AQ19" s="186">
        <f t="shared" si="8"/>
        <v>23747.184936314741</v>
      </c>
      <c r="AR19" s="186">
        <f t="shared" si="8"/>
        <v>23747.184936314727</v>
      </c>
      <c r="AS19" s="186">
        <f>AS14*AS17</f>
        <v>22488.500222375791</v>
      </c>
      <c r="AT19" s="186">
        <f>AT14*AT17</f>
        <v>22488.500222375809</v>
      </c>
      <c r="AU19" s="186">
        <f>AU14*AU17</f>
        <v>22488.500222375846</v>
      </c>
      <c r="AV19" s="186">
        <f>AV14*AV17</f>
        <v>22488.500222375744</v>
      </c>
    </row>
    <row r="20" spans="2:50">
      <c r="B20" s="156" t="s">
        <v>138</v>
      </c>
      <c r="C20" s="174" t="s">
        <v>156</v>
      </c>
      <c r="D20" s="156"/>
      <c r="E20" s="186">
        <f>IF(E19=0,0,E19+D20)</f>
        <v>63600</v>
      </c>
      <c r="F20" s="186">
        <f t="shared" ref="F20:K20" si="9">IF(F19=0,0,F19+E20)</f>
        <v>268800</v>
      </c>
      <c r="G20" s="186">
        <f>IF(G19=0,0,G19+F20)</f>
        <v>423526</v>
      </c>
      <c r="H20" s="186">
        <f t="shared" ca="1" si="9"/>
        <v>602991.66063304769</v>
      </c>
      <c r="I20" s="186">
        <f t="shared" ca="1" si="9"/>
        <v>733895.68536767026</v>
      </c>
      <c r="J20" s="186">
        <f t="shared" ca="1" si="9"/>
        <v>843988.64168019674</v>
      </c>
      <c r="K20" s="186">
        <f t="shared" ca="1" si="9"/>
        <v>949046.85913696734</v>
      </c>
      <c r="L20" s="186">
        <f ca="1">IF(L19=0,0,L19+K20)</f>
        <v>1049070.3377379822</v>
      </c>
      <c r="M20" s="186">
        <f ca="1">IF(M19=0,0,M19+L20)</f>
        <v>1144059.0774832412</v>
      </c>
      <c r="N20" s="186">
        <f ca="1">IF(N19=0,0,N19+M20)</f>
        <v>1234013.0783727444</v>
      </c>
      <c r="Q20" s="186">
        <f>IF(Q19=0,0,Q19+P20)+E19+F19</f>
        <v>298218</v>
      </c>
      <c r="R20" s="186">
        <f>IF(R19=0,0,R19+Q20)</f>
        <v>329361</v>
      </c>
      <c r="S20" s="186">
        <f t="shared" ref="S20:AR20" si="10">IF(S19=0,0,S19+R20)</f>
        <v>359587</v>
      </c>
      <c r="T20" s="186">
        <f t="shared" si="10"/>
        <v>423526</v>
      </c>
      <c r="U20" s="186">
        <f t="shared" si="10"/>
        <v>483273</v>
      </c>
      <c r="V20" s="186">
        <f t="shared" si="10"/>
        <v>522075</v>
      </c>
      <c r="W20" s="186">
        <f t="shared" si="10"/>
        <v>562919</v>
      </c>
      <c r="X20" s="186">
        <f t="shared" si="10"/>
        <v>602991.66063304769</v>
      </c>
      <c r="Y20" s="186">
        <f t="shared" si="10"/>
        <v>643064.32126609539</v>
      </c>
      <c r="Z20" s="186">
        <f t="shared" si="10"/>
        <v>680465.4711902733</v>
      </c>
      <c r="AA20" s="186">
        <f t="shared" si="10"/>
        <v>707180.57827897184</v>
      </c>
      <c r="AB20" s="186">
        <f t="shared" si="10"/>
        <v>733895.68536767038</v>
      </c>
      <c r="AC20" s="186">
        <f t="shared" si="10"/>
        <v>761418.924445802</v>
      </c>
      <c r="AD20" s="186">
        <f t="shared" si="10"/>
        <v>788942.16352393362</v>
      </c>
      <c r="AE20" s="186">
        <f t="shared" si="10"/>
        <v>816465.40260206524</v>
      </c>
      <c r="AF20" s="186">
        <f t="shared" si="10"/>
        <v>843988.64168019686</v>
      </c>
      <c r="AG20" s="186">
        <f t="shared" si="10"/>
        <v>870253.19604438951</v>
      </c>
      <c r="AH20" s="186">
        <f t="shared" si="10"/>
        <v>896517.75040858216</v>
      </c>
      <c r="AI20" s="186">
        <f t="shared" si="10"/>
        <v>922782.30477277481</v>
      </c>
      <c r="AJ20" s="186">
        <f t="shared" si="10"/>
        <v>949046.85913696745</v>
      </c>
      <c r="AK20" s="186">
        <f t="shared" si="10"/>
        <v>974052.72878722113</v>
      </c>
      <c r="AL20" s="186">
        <f t="shared" si="10"/>
        <v>999058.59843747481</v>
      </c>
      <c r="AM20" s="186">
        <f t="shared" si="10"/>
        <v>1024064.4680877285</v>
      </c>
      <c r="AN20" s="186">
        <f t="shared" si="10"/>
        <v>1049070.3377379822</v>
      </c>
      <c r="AO20" s="186">
        <f t="shared" si="10"/>
        <v>1072817.522674297</v>
      </c>
      <c r="AP20" s="186">
        <f t="shared" si="10"/>
        <v>1096564.7076106118</v>
      </c>
      <c r="AQ20" s="186">
        <f t="shared" si="10"/>
        <v>1120311.8925469266</v>
      </c>
      <c r="AR20" s="186">
        <f t="shared" si="10"/>
        <v>1144059.0774832414</v>
      </c>
      <c r="AS20" s="186">
        <f>IF(AS19=0,0,AS19+AR20)</f>
        <v>1166547.5777056173</v>
      </c>
      <c r="AT20" s="186">
        <f>IF(AT19=0,0,AT19+AS20)</f>
        <v>1189036.0779279931</v>
      </c>
      <c r="AU20" s="186">
        <f>IF(AU19=0,0,AU19+AT20)</f>
        <v>1211524.578150369</v>
      </c>
      <c r="AV20" s="186">
        <f>IF(AV19=0,0,AV19+AU20)</f>
        <v>1234013.0783727448</v>
      </c>
    </row>
    <row r="21" spans="2:50">
      <c r="C21" s="174"/>
    </row>
    <row r="22" spans="2:50">
      <c r="B22" s="156" t="s">
        <v>155</v>
      </c>
      <c r="C22" s="174" t="s">
        <v>156</v>
      </c>
      <c r="G22" s="168">
        <v>154725</v>
      </c>
      <c r="H22" s="186">
        <f t="shared" ref="H22:N22" ca="1" si="11">H19</f>
        <v>179465.66063304772</v>
      </c>
      <c r="I22" s="186">
        <f t="shared" ca="1" si="11"/>
        <v>130904.02473462257</v>
      </c>
      <c r="J22" s="186">
        <f t="shared" ca="1" si="11"/>
        <v>110092.95631252644</v>
      </c>
      <c r="K22" s="186">
        <f t="shared" ca="1" si="11"/>
        <v>105058.21745677061</v>
      </c>
      <c r="L22" s="186">
        <f t="shared" ca="1" si="11"/>
        <v>100023.47860101478</v>
      </c>
      <c r="M22" s="186">
        <f t="shared" ca="1" si="11"/>
        <v>94988.739745258965</v>
      </c>
      <c r="N22" s="186">
        <f t="shared" ca="1" si="11"/>
        <v>89954.000889503193</v>
      </c>
      <c r="Q22" s="168">
        <v>25034</v>
      </c>
      <c r="R22" s="168">
        <v>28866</v>
      </c>
      <c r="S22" s="168">
        <v>35411</v>
      </c>
      <c r="T22" s="168">
        <v>65371</v>
      </c>
      <c r="U22" s="168">
        <v>57859</v>
      </c>
      <c r="V22" s="168">
        <v>37974</v>
      </c>
      <c r="W22" s="168">
        <v>41286</v>
      </c>
      <c r="X22" s="168">
        <f>X19</f>
        <v>40072.660633047723</v>
      </c>
      <c r="Y22" s="168">
        <f>Y19</f>
        <v>40072.660633047723</v>
      </c>
      <c r="Z22" s="168">
        <f t="shared" ref="Z22:AR22" si="12">Z19</f>
        <v>37401.149924177873</v>
      </c>
      <c r="AA22" s="168">
        <f t="shared" si="12"/>
        <v>26715.107088698485</v>
      </c>
      <c r="AB22" s="168">
        <f t="shared" si="12"/>
        <v>26715.107088698485</v>
      </c>
      <c r="AC22" s="168">
        <f t="shared" si="12"/>
        <v>27523.239078131613</v>
      </c>
      <c r="AD22" s="168">
        <f t="shared" si="12"/>
        <v>27523.23907813161</v>
      </c>
      <c r="AE22" s="168">
        <f t="shared" si="12"/>
        <v>27523.23907813161</v>
      </c>
      <c r="AF22" s="168">
        <f t="shared" si="12"/>
        <v>27523.239078131606</v>
      </c>
      <c r="AG22" s="168">
        <f t="shared" si="12"/>
        <v>26264.554364192656</v>
      </c>
      <c r="AH22" s="168">
        <f t="shared" si="12"/>
        <v>26264.554364192652</v>
      </c>
      <c r="AI22" s="168">
        <f t="shared" si="12"/>
        <v>26264.554364192652</v>
      </c>
      <c r="AJ22" s="168">
        <f t="shared" si="12"/>
        <v>26264.554364192649</v>
      </c>
      <c r="AK22" s="168">
        <f t="shared" si="12"/>
        <v>25005.869650253699</v>
      </c>
      <c r="AL22" s="168">
        <f t="shared" si="12"/>
        <v>25005.869650253695</v>
      </c>
      <c r="AM22" s="168">
        <f t="shared" si="12"/>
        <v>25005.869650253691</v>
      </c>
      <c r="AN22" s="168">
        <f t="shared" si="12"/>
        <v>25005.869650253688</v>
      </c>
      <c r="AO22" s="168">
        <f t="shared" si="12"/>
        <v>23747.184936314741</v>
      </c>
      <c r="AP22" s="168">
        <f t="shared" si="12"/>
        <v>23747.184936314748</v>
      </c>
      <c r="AQ22" s="168">
        <f t="shared" si="12"/>
        <v>23747.184936314741</v>
      </c>
      <c r="AR22" s="168">
        <f t="shared" si="12"/>
        <v>23747.184936314727</v>
      </c>
      <c r="AS22" s="168">
        <f>AS19</f>
        <v>22488.500222375791</v>
      </c>
      <c r="AT22" s="168">
        <f>AT19</f>
        <v>22488.500222375809</v>
      </c>
      <c r="AU22" s="168">
        <f>AU19</f>
        <v>22488.500222375846</v>
      </c>
      <c r="AV22" s="168">
        <f>AV19</f>
        <v>22488.500222375744</v>
      </c>
    </row>
    <row r="24" spans="2:50" ht="18">
      <c r="B24" s="158" t="s">
        <v>142</v>
      </c>
      <c r="C24" s="174"/>
      <c r="G24" s="168"/>
      <c r="H24" s="186"/>
      <c r="I24" s="186"/>
      <c r="J24" s="186"/>
      <c r="K24" s="186"/>
      <c r="L24" s="186"/>
      <c r="M24" s="186"/>
      <c r="N24" s="186"/>
    </row>
    <row r="26" spans="2:50">
      <c r="B26" t="s">
        <v>141</v>
      </c>
      <c r="C26" s="156" t="s">
        <v>187</v>
      </c>
      <c r="G26" s="228">
        <f>Assumptions!F11</f>
        <v>1772</v>
      </c>
      <c r="H26" s="228">
        <f>Assumptions!G11</f>
        <v>1799</v>
      </c>
      <c r="I26" s="228">
        <f ca="1">Assumptions!H11</f>
        <v>2087.5</v>
      </c>
      <c r="J26" s="228">
        <f ca="1">Assumptions!I11</f>
        <v>2025</v>
      </c>
      <c r="K26" s="228">
        <f ca="1">Assumptions!J11</f>
        <v>1925</v>
      </c>
      <c r="L26" s="228">
        <f ca="1">Assumptions!K11</f>
        <v>1850</v>
      </c>
      <c r="M26" s="228">
        <f ca="1">Assumptions!L11</f>
        <v>1750</v>
      </c>
      <c r="N26" s="228">
        <f ca="1">M26</f>
        <v>1750</v>
      </c>
      <c r="S26" s="267">
        <f>Assumptions!Q11</f>
        <v>1885</v>
      </c>
      <c r="T26" s="267">
        <f>Assumptions!R11</f>
        <v>1898</v>
      </c>
      <c r="U26" s="267">
        <f>Assumptions!S11</f>
        <v>1707</v>
      </c>
      <c r="V26" s="267">
        <f>Assumptions!T11</f>
        <v>1770</v>
      </c>
      <c r="W26" s="267">
        <f>Assumptions!U11</f>
        <v>1756</v>
      </c>
      <c r="X26" s="267">
        <f>Assumptions!V11</f>
        <v>1829</v>
      </c>
      <c r="Y26" s="267">
        <f ca="1">Assumptions!W11</f>
        <v>2050</v>
      </c>
      <c r="Z26" s="267">
        <f ca="1">Assumptions!X11</f>
        <v>2100</v>
      </c>
      <c r="AA26" s="267">
        <f ca="1">Assumptions!Y11</f>
        <v>2100</v>
      </c>
      <c r="AB26" s="267">
        <f ca="1">Assumptions!Z11</f>
        <v>2100</v>
      </c>
      <c r="AC26" s="267">
        <f ca="1">Assumptions!AA11</f>
        <v>2050</v>
      </c>
      <c r="AD26" s="267">
        <f ca="1">Assumptions!AB11</f>
        <v>2050</v>
      </c>
      <c r="AE26" s="267">
        <f ca="1">Assumptions!AC11</f>
        <v>2000</v>
      </c>
      <c r="AF26" s="267">
        <f ca="1">Assumptions!AD11</f>
        <v>2000</v>
      </c>
      <c r="AG26" s="267">
        <f ca="1">Assumptions!AE11</f>
        <v>1950</v>
      </c>
      <c r="AH26" s="267">
        <f ca="1">Assumptions!AF11</f>
        <v>1950</v>
      </c>
      <c r="AI26" s="267">
        <f ca="1">Assumptions!AG11</f>
        <v>1900</v>
      </c>
      <c r="AJ26" s="267">
        <f ca="1">Assumptions!AH11</f>
        <v>1900</v>
      </c>
      <c r="AK26" s="267">
        <f ca="1">Assumptions!AI11</f>
        <v>1850</v>
      </c>
      <c r="AL26" s="267">
        <f ca="1">Assumptions!AJ11</f>
        <v>1850</v>
      </c>
      <c r="AM26" s="267">
        <f ca="1">Assumptions!AK11</f>
        <v>1850</v>
      </c>
      <c r="AN26" s="267">
        <f ca="1">Assumptions!AL11</f>
        <v>1850</v>
      </c>
      <c r="AO26" s="267">
        <f ca="1">Assumptions!L11</f>
        <v>1750</v>
      </c>
      <c r="AP26" s="267">
        <f t="shared" ref="AP26:AV26" ca="1" si="13">AO26</f>
        <v>1750</v>
      </c>
      <c r="AQ26" s="267">
        <f t="shared" ca="1" si="13"/>
        <v>1750</v>
      </c>
      <c r="AR26" s="267">
        <f t="shared" ca="1" si="13"/>
        <v>1750</v>
      </c>
      <c r="AS26" s="267">
        <f t="shared" ca="1" si="13"/>
        <v>1750</v>
      </c>
      <c r="AT26" s="267">
        <f t="shared" ca="1" si="13"/>
        <v>1750</v>
      </c>
      <c r="AU26" s="267">
        <f t="shared" ca="1" si="13"/>
        <v>1750</v>
      </c>
      <c r="AV26" s="267">
        <f t="shared" ca="1" si="13"/>
        <v>1750</v>
      </c>
    </row>
    <row r="28" spans="2:50">
      <c r="B28" s="188" t="s">
        <v>7</v>
      </c>
      <c r="C28" s="244" t="s">
        <v>161</v>
      </c>
      <c r="D28" s="188"/>
      <c r="E28" s="188"/>
      <c r="F28" s="188"/>
      <c r="G28" s="266">
        <f ca="1">SUM(OFFSET($Q$28,,(COLUMNS($G$28:G28)-1)*4,,4))</f>
        <v>187881</v>
      </c>
      <c r="H28" s="266">
        <f ca="1">SUM(OFFSET($Q$28,,(COLUMNS($G$28:H28)-1)*4,,4))</f>
        <v>317386.8962978443</v>
      </c>
      <c r="I28" s="266">
        <f ca="1">SUM(OFFSET($Q$28,,(COLUMNS($G$28:I28)-1)*4,,4))</f>
        <v>272894.81891105499</v>
      </c>
      <c r="J28" s="266">
        <f ca="1">SUM(OFFSET($Q$28,,(COLUMNS($G$28:J28)-1)*4,,4))</f>
        <v>222938.23653286602</v>
      </c>
      <c r="K28" s="266">
        <f ca="1">SUM(OFFSET($Q$28,,(COLUMNS($G$28:K28)-1)*4,,4))</f>
        <v>202237.06860428344</v>
      </c>
      <c r="L28" s="266">
        <f ca="1">SUM(OFFSET($Q$28,,(COLUMNS($G$28:L28)-1)*4,,4))</f>
        <v>185043.43541187729</v>
      </c>
      <c r="M28" s="266">
        <f ca="1">SUM(OFFSET($Q$28,,(COLUMNS($G$28:M28)-1)*4,,4))</f>
        <v>166230.29455420317</v>
      </c>
      <c r="N28" s="266">
        <f ca="1">SUM(OFFSET($Q$28,,(COLUMNS($G$28:N28)-1)*4,,4))</f>
        <v>157419.5015566306</v>
      </c>
      <c r="Q28" s="188"/>
      <c r="R28" s="188"/>
      <c r="S28" s="245">
        <v>66450</v>
      </c>
      <c r="T28" s="245">
        <v>121431</v>
      </c>
      <c r="U28" s="245">
        <v>102477</v>
      </c>
      <c r="V28" s="245">
        <v>68375</v>
      </c>
      <c r="W28" s="245">
        <v>73242</v>
      </c>
      <c r="X28" s="266">
        <f>X22*X26/1000</f>
        <v>73292.896297844287</v>
      </c>
      <c r="Y28" s="266">
        <f ca="1">Y22*Y26/1000</f>
        <v>82148.954297747841</v>
      </c>
      <c r="Z28" s="266">
        <f t="shared" ref="Z28:AR28" ca="1" si="14">Z22*Z26/1000</f>
        <v>78542.414840773534</v>
      </c>
      <c r="AA28" s="266">
        <f t="shared" ca="1" si="14"/>
        <v>56101.72488626682</v>
      </c>
      <c r="AB28" s="266">
        <f t="shared" ca="1" si="14"/>
        <v>56101.72488626682</v>
      </c>
      <c r="AC28" s="266">
        <f t="shared" ca="1" si="14"/>
        <v>56422.640110169807</v>
      </c>
      <c r="AD28" s="266">
        <f t="shared" ca="1" si="14"/>
        <v>56422.640110169799</v>
      </c>
      <c r="AE28" s="266">
        <f t="shared" ca="1" si="14"/>
        <v>55046.47815626322</v>
      </c>
      <c r="AF28" s="266">
        <f t="shared" ca="1" si="14"/>
        <v>55046.478156263212</v>
      </c>
      <c r="AG28" s="266">
        <f t="shared" ca="1" si="14"/>
        <v>51215.881010175683</v>
      </c>
      <c r="AH28" s="266">
        <f t="shared" ca="1" si="14"/>
        <v>51215.881010175675</v>
      </c>
      <c r="AI28" s="266">
        <f t="shared" ca="1" si="14"/>
        <v>49902.653291966039</v>
      </c>
      <c r="AJ28" s="266">
        <f t="shared" ca="1" si="14"/>
        <v>49902.653291966039</v>
      </c>
      <c r="AK28" s="266">
        <f t="shared" ca="1" si="14"/>
        <v>46260.858852969344</v>
      </c>
      <c r="AL28" s="266">
        <f t="shared" ca="1" si="14"/>
        <v>46260.858852969337</v>
      </c>
      <c r="AM28" s="266">
        <f t="shared" ca="1" si="14"/>
        <v>46260.858852969322</v>
      </c>
      <c r="AN28" s="266">
        <f t="shared" ca="1" si="14"/>
        <v>46260.858852969315</v>
      </c>
      <c r="AO28" s="266">
        <f t="shared" ca="1" si="14"/>
        <v>41557.573638550799</v>
      </c>
      <c r="AP28" s="266">
        <f t="shared" ca="1" si="14"/>
        <v>41557.573638550813</v>
      </c>
      <c r="AQ28" s="266">
        <f t="shared" ca="1" si="14"/>
        <v>41557.573638550799</v>
      </c>
      <c r="AR28" s="266">
        <f t="shared" ca="1" si="14"/>
        <v>41557.57363855077</v>
      </c>
      <c r="AS28" s="266">
        <f ca="1">AS22*AS26/1000</f>
        <v>39354.875389157634</v>
      </c>
      <c r="AT28" s="266">
        <f ca="1">AT22*AT26/1000</f>
        <v>39354.875389157671</v>
      </c>
      <c r="AU28" s="266">
        <f ca="1">AU22*AU26/1000</f>
        <v>39354.875389157729</v>
      </c>
      <c r="AV28" s="266">
        <f ca="1">AV22*AV26/1000</f>
        <v>39354.875389157547</v>
      </c>
    </row>
    <row r="29" spans="2:50">
      <c r="B29" s="156" t="s">
        <v>162</v>
      </c>
      <c r="C29" s="196" t="s">
        <v>161</v>
      </c>
      <c r="G29" s="89">
        <f ca="1">SUM(OFFSET($Q$29,,(COLUMNS($G$28:G29)-1)*4,,4))</f>
        <v>-89086</v>
      </c>
      <c r="H29" s="89">
        <f ca="1">SUM(OFFSET($Q$29,,(COLUMNS($G$28:H29)-1)*4,,4))</f>
        <v>-108118.8</v>
      </c>
      <c r="I29" s="89">
        <f ca="1">SUM(OFFSET($Q$29,,(COLUMNS($G$28:I29)-1)*4,,4))</f>
        <v>-112162.43657142863</v>
      </c>
      <c r="J29" s="89">
        <f ca="1">SUM(OFFSET($Q$29,,(COLUMNS($G$28:J29)-1)*4,,4))</f>
        <v>-95386.1562881633</v>
      </c>
      <c r="K29" s="89">
        <f ca="1">SUM(OFFSET($Q$29,,(COLUMNS($G$28:K29)-1)*4,,4))</f>
        <v>-86528.972926114991</v>
      </c>
      <c r="L29" s="89">
        <f ca="1">SUM(OFFSET($Q$29,,(COLUMNS($G$28:L29)-1)*4,,4))</f>
        <v>-79172.520267486267</v>
      </c>
      <c r="M29" s="89">
        <f ca="1">SUM(OFFSET($Q$29,,(COLUMNS($G$28:M29)-1)*4,,4))</f>
        <v>-71123.146494599234</v>
      </c>
      <c r="N29" s="89">
        <f ca="1">SUM(OFFSET($Q$29,,(COLUMNS($G$28:N29)-1)*4,,4))</f>
        <v>-67353.368411846634</v>
      </c>
      <c r="S29" s="198">
        <v>-51498</v>
      </c>
      <c r="T29" s="198">
        <v>-37588</v>
      </c>
      <c r="U29" s="198">
        <v>-31518</v>
      </c>
      <c r="V29" s="198">
        <v>-23580</v>
      </c>
      <c r="W29" s="198">
        <v>-25248</v>
      </c>
      <c r="X29" s="89">
        <f t="shared" ref="X29:AV29" si="15">IF(X31=0,(-W29/W28)*-X28,W29*(1+X31))</f>
        <v>-27772.800000000003</v>
      </c>
      <c r="Y29" s="89">
        <f t="shared" si="15"/>
        <v>-30550.080000000005</v>
      </c>
      <c r="Z29" s="89">
        <f t="shared" si="15"/>
        <v>-33605.088000000011</v>
      </c>
      <c r="AA29" s="89">
        <f t="shared" ca="1" si="15"/>
        <v>-24003.634285714299</v>
      </c>
      <c r="AB29" s="89">
        <f t="shared" ca="1" si="15"/>
        <v>-24003.634285714299</v>
      </c>
      <c r="AC29" s="89">
        <f t="shared" ca="1" si="15"/>
        <v>-24140.940788979602</v>
      </c>
      <c r="AD29" s="89">
        <f t="shared" ca="1" si="15"/>
        <v>-24140.940788979598</v>
      </c>
      <c r="AE29" s="89">
        <f t="shared" ca="1" si="15"/>
        <v>-23552.137355102048</v>
      </c>
      <c r="AF29" s="89">
        <f t="shared" ca="1" si="15"/>
        <v>-23552.137355102044</v>
      </c>
      <c r="AG29" s="89">
        <f t="shared" ca="1" si="15"/>
        <v>-21913.181455314836</v>
      </c>
      <c r="AH29" s="89">
        <f t="shared" ca="1" si="15"/>
        <v>-21913.181455314836</v>
      </c>
      <c r="AI29" s="89">
        <f t="shared" ca="1" si="15"/>
        <v>-21351.30500774266</v>
      </c>
      <c r="AJ29" s="89">
        <f t="shared" ca="1" si="15"/>
        <v>-21351.30500774266</v>
      </c>
      <c r="AK29" s="89">
        <f t="shared" ca="1" si="15"/>
        <v>-19793.130066871574</v>
      </c>
      <c r="AL29" s="89">
        <f t="shared" ca="1" si="15"/>
        <v>-19793.13006687157</v>
      </c>
      <c r="AM29" s="89">
        <f t="shared" ca="1" si="15"/>
        <v>-19793.130066871563</v>
      </c>
      <c r="AN29" s="89">
        <f t="shared" ca="1" si="15"/>
        <v>-19793.130066871559</v>
      </c>
      <c r="AO29" s="89">
        <f t="shared" ca="1" si="15"/>
        <v>-17780.786623649812</v>
      </c>
      <c r="AP29" s="89">
        <f t="shared" ca="1" si="15"/>
        <v>-17780.786623649819</v>
      </c>
      <c r="AQ29" s="89">
        <f t="shared" ca="1" si="15"/>
        <v>-17780.786623649812</v>
      </c>
      <c r="AR29" s="89">
        <f t="shared" ca="1" si="15"/>
        <v>-17780.786623649801</v>
      </c>
      <c r="AS29" s="89">
        <f t="shared" ca="1" si="15"/>
        <v>-16838.342102961655</v>
      </c>
      <c r="AT29" s="89">
        <f t="shared" ca="1" si="15"/>
        <v>-16838.342102961669</v>
      </c>
      <c r="AU29" s="89">
        <f t="shared" ca="1" si="15"/>
        <v>-16838.342102961695</v>
      </c>
      <c r="AV29" s="89">
        <f t="shared" ca="1" si="15"/>
        <v>-16838.342102961618</v>
      </c>
    </row>
    <row r="30" spans="2:50">
      <c r="B30" s="242" t="s">
        <v>223</v>
      </c>
      <c r="C30" s="196" t="s">
        <v>140</v>
      </c>
      <c r="G30" s="89"/>
      <c r="H30" s="274">
        <f ca="1">H29/G29-1</f>
        <v>0.21364524167658216</v>
      </c>
      <c r="I30" s="274">
        <f t="shared" ref="I30:N30" ca="1" si="16">I29/H29-1</f>
        <v>3.7399939431705054E-2</v>
      </c>
      <c r="J30" s="274">
        <f t="shared" ca="1" si="16"/>
        <v>-0.14957128960533639</v>
      </c>
      <c r="K30" s="274">
        <f t="shared" ca="1" si="16"/>
        <v>-9.2856067449563651E-2</v>
      </c>
      <c r="L30" s="274">
        <f t="shared" ca="1" si="16"/>
        <v>-8.5017219202523364E-2</v>
      </c>
      <c r="M30" s="274">
        <f t="shared" ca="1" si="16"/>
        <v>-0.10166878287683689</v>
      </c>
      <c r="N30" s="274">
        <f t="shared" ca="1" si="16"/>
        <v>-5.3003533568904415E-2</v>
      </c>
      <c r="S30" s="198"/>
      <c r="T30" s="198"/>
      <c r="U30" s="198"/>
      <c r="V30" s="198"/>
      <c r="W30" s="259">
        <f t="shared" ref="W30:AB30" si="17">W29/S29-1</f>
        <v>-0.50972853314691835</v>
      </c>
      <c r="X30" s="259">
        <f t="shared" si="17"/>
        <v>-0.26112589124188568</v>
      </c>
      <c r="Y30" s="259">
        <f t="shared" si="17"/>
        <v>-3.0710070435941206E-2</v>
      </c>
      <c r="Z30" s="259">
        <f t="shared" si="17"/>
        <v>0.42515216284987312</v>
      </c>
      <c r="AA30" s="259">
        <f t="shared" ca="1" si="17"/>
        <v>-4.9285714285713711E-2</v>
      </c>
      <c r="AB30" s="259">
        <f t="shared" ca="1" si="17"/>
        <v>-0.13571428571428534</v>
      </c>
      <c r="AC30" s="259">
        <f t="shared" ref="AC30:AR30" ca="1" si="18">AC29/Y29-1</f>
        <v>-0.20979124149659845</v>
      </c>
      <c r="AD30" s="259">
        <f t="shared" ca="1" si="18"/>
        <v>-0.28162840136054423</v>
      </c>
      <c r="AE30" s="259">
        <f t="shared" ca="1" si="18"/>
        <v>-1.8809523809524054E-2</v>
      </c>
      <c r="AF30" s="259">
        <f t="shared" ca="1" si="18"/>
        <v>-1.8809523809524165E-2</v>
      </c>
      <c r="AG30" s="259">
        <f t="shared" ca="1" si="18"/>
        <v>-9.2281380130874724E-2</v>
      </c>
      <c r="AH30" s="259">
        <f t="shared" ca="1" si="18"/>
        <v>-9.2281380130874613E-2</v>
      </c>
      <c r="AI30" s="259">
        <f t="shared" ca="1" si="18"/>
        <v>-9.3445121951219678E-2</v>
      </c>
      <c r="AJ30" s="259">
        <f t="shared" ca="1" si="18"/>
        <v>-9.3445121951219567E-2</v>
      </c>
      <c r="AK30" s="259">
        <f t="shared" ca="1" si="18"/>
        <v>-9.6747767674285501E-2</v>
      </c>
      <c r="AL30" s="259">
        <f t="shared" ca="1" si="18"/>
        <v>-9.6747767674285723E-2</v>
      </c>
      <c r="AM30" s="259">
        <f t="shared" ca="1" si="18"/>
        <v>-7.2977972086767151E-2</v>
      </c>
      <c r="AN30" s="259">
        <f t="shared" ca="1" si="18"/>
        <v>-7.2977972086767373E-2</v>
      </c>
      <c r="AO30" s="259">
        <f t="shared" ca="1" si="18"/>
        <v>-0.10166878287683712</v>
      </c>
      <c r="AP30" s="259">
        <f t="shared" ca="1" si="18"/>
        <v>-0.10166878287683656</v>
      </c>
      <c r="AQ30" s="259">
        <f t="shared" ca="1" si="18"/>
        <v>-0.10166878287683656</v>
      </c>
      <c r="AR30" s="259">
        <f t="shared" ca="1" si="18"/>
        <v>-0.101668782876837</v>
      </c>
      <c r="AS30" s="259">
        <f ca="1">AS29/AO29-1</f>
        <v>-5.3003533568904859E-2</v>
      </c>
      <c r="AT30" s="259">
        <f ca="1">AT29/AP29-1</f>
        <v>-5.3003533568904415E-2</v>
      </c>
      <c r="AU30" s="259">
        <f ca="1">AU29/AQ29-1</f>
        <v>-5.3003533568902639E-2</v>
      </c>
      <c r="AV30" s="259">
        <f ca="1">AV29/AR29-1</f>
        <v>-5.3003533568906303E-2</v>
      </c>
    </row>
    <row r="31" spans="2:50">
      <c r="B31" s="242" t="s">
        <v>240</v>
      </c>
      <c r="C31" s="159" t="s">
        <v>140</v>
      </c>
      <c r="X31" s="275">
        <v>0.1</v>
      </c>
      <c r="Y31" s="276">
        <v>0.1</v>
      </c>
      <c r="Z31" s="276">
        <v>0.1</v>
      </c>
      <c r="AA31" s="276"/>
      <c r="AB31" s="285"/>
    </row>
    <row r="32" spans="2:50">
      <c r="B32" s="243" t="s">
        <v>178</v>
      </c>
      <c r="C32" s="156" t="s">
        <v>140</v>
      </c>
      <c r="G32" s="240">
        <f ca="1">AVERAGE(OFFSET($Q$32,,(COLUMNS($G$32:G32)-1)*4,,4))</f>
        <v>6.1237744412552989E-2</v>
      </c>
      <c r="H32" s="240">
        <f ca="1">AVERAGE(OFFSET($Q$32,,(COLUMNS($G$32:H32)-1)*4,,4))</f>
        <v>6.0425091149704513E-2</v>
      </c>
      <c r="I32" s="240">
        <f ca="1">AVERAGE(OFFSET($Q$32,,(COLUMNS($G$32:I32)-1)*4,,4))</f>
        <v>6.2625E-2</v>
      </c>
      <c r="J32" s="240">
        <f ca="1">AVERAGE(OFFSET($Q$32,,(COLUMNS($G$32:J32)-1)*4,,4))</f>
        <v>6.3E-2</v>
      </c>
      <c r="K32" s="240">
        <f ca="1">AVERAGE(OFFSET($Q$32,,(COLUMNS($G$32:K32)-1)*4,,4))</f>
        <v>6.1499999999999999E-2</v>
      </c>
      <c r="L32" s="240">
        <f ca="1">AVERAGE(OFFSET($Q$32,,(COLUMNS($G$32:L32)-1)*4,,4))</f>
        <v>6.0999999999999999E-2</v>
      </c>
      <c r="M32" s="240">
        <f ca="1">AVERAGE(OFFSET($Q$32,,(COLUMNS($G$32:M32)-1)*4,,4))</f>
        <v>0.06</v>
      </c>
      <c r="N32" s="240">
        <f ca="1">AVERAGE(OFFSET($Q$32,,(COLUMNS($G$32:N32)-1)*4,,4))</f>
        <v>0.06</v>
      </c>
      <c r="S32" s="240">
        <f>-S33/S28</f>
        <v>6.1790820165537996E-2</v>
      </c>
      <c r="T32" s="240">
        <f>-T33/T28</f>
        <v>6.0684668659567988E-2</v>
      </c>
      <c r="U32" s="240">
        <f>-U33/U28</f>
        <v>6.045258936151527E-2</v>
      </c>
      <c r="V32" s="240">
        <f>-V33/V28</f>
        <v>6.0650822669104203E-2</v>
      </c>
      <c r="W32" s="240">
        <f>-W33/W28</f>
        <v>5.9596952568198573E-2</v>
      </c>
      <c r="X32" s="241">
        <v>6.0999999999999999E-2</v>
      </c>
      <c r="Y32" s="241">
        <v>6.2E-2</v>
      </c>
      <c r="Z32" s="241">
        <v>6.25E-2</v>
      </c>
      <c r="AA32" s="241">
        <v>6.3E-2</v>
      </c>
      <c r="AB32" s="241">
        <v>6.3E-2</v>
      </c>
      <c r="AC32" s="241">
        <v>6.3E-2</v>
      </c>
      <c r="AD32" s="241">
        <v>6.3E-2</v>
      </c>
      <c r="AE32" s="241">
        <v>6.3E-2</v>
      </c>
      <c r="AF32" s="241">
        <v>6.3E-2</v>
      </c>
      <c r="AG32" s="241">
        <v>6.2E-2</v>
      </c>
      <c r="AH32" s="241">
        <v>6.2E-2</v>
      </c>
      <c r="AI32" s="241">
        <v>6.0999999999999999E-2</v>
      </c>
      <c r="AJ32" s="241">
        <v>6.0999999999999999E-2</v>
      </c>
      <c r="AK32" s="241">
        <v>6.0999999999999999E-2</v>
      </c>
      <c r="AL32" s="241">
        <v>6.0999999999999999E-2</v>
      </c>
      <c r="AM32" s="241">
        <v>6.0999999999999999E-2</v>
      </c>
      <c r="AN32" s="241">
        <v>6.0999999999999999E-2</v>
      </c>
      <c r="AO32" s="241">
        <v>0.06</v>
      </c>
      <c r="AP32" s="241">
        <v>0.06</v>
      </c>
      <c r="AQ32" s="241">
        <v>0.06</v>
      </c>
      <c r="AR32" s="241">
        <v>0.06</v>
      </c>
      <c r="AS32" s="241">
        <v>0.06</v>
      </c>
      <c r="AT32" s="241">
        <v>0.06</v>
      </c>
      <c r="AU32" s="241">
        <v>0.06</v>
      </c>
      <c r="AV32" s="241">
        <v>0.06</v>
      </c>
      <c r="AX32" s="156"/>
    </row>
    <row r="33" spans="2:48">
      <c r="B33" s="156" t="s">
        <v>179</v>
      </c>
      <c r="C33" s="196" t="s">
        <v>161</v>
      </c>
      <c r="G33" s="246">
        <f ca="1">SUM(OFFSET($Q$33,,(COLUMNS($G$33:G33)-1)*4,,4))</f>
        <v>-11475</v>
      </c>
      <c r="H33" s="246">
        <f ca="1">SUM(OFFSET($Q$33,,(COLUMNS($G$33:H33)-1)*4,,4))</f>
        <v>-19177.866674168501</v>
      </c>
      <c r="I33" s="246">
        <f ca="1">SUM(OFFSET($Q$33,,(COLUMNS($G$33:I33)-1)*4,,4))</f>
        <v>-17070.953429678331</v>
      </c>
      <c r="J33" s="246">
        <f ca="1">SUM(OFFSET($Q$33,,(COLUMNS($G$33:J33)-1)*4,,4))</f>
        <v>-14045.10890157056</v>
      </c>
      <c r="K33" s="246">
        <f ca="1">SUM(OFFSET($Q$33,,(COLUMNS($G$33:K33)-1)*4,,4))</f>
        <v>-12438.892946881642</v>
      </c>
      <c r="L33" s="246">
        <f ca="1">SUM(OFFSET($Q$33,,(COLUMNS($G$33:L33)-1)*4,,4))</f>
        <v>-11287.649560124515</v>
      </c>
      <c r="M33" s="246">
        <f ca="1">SUM(OFFSET($Q$33,,(COLUMNS($G$33:M33)-1)*4,,4))</f>
        <v>-9973.8176732521897</v>
      </c>
      <c r="N33" s="246">
        <f ca="1">SUM(OFFSET($Q$33,,(COLUMNS($G$33:N33)-1)*4,,4))</f>
        <v>-9445.1700933978354</v>
      </c>
      <c r="S33" s="198">
        <v>-4106</v>
      </c>
      <c r="T33" s="198">
        <v>-7369</v>
      </c>
      <c r="U33" s="198">
        <v>-6195</v>
      </c>
      <c r="V33" s="198">
        <v>-4147</v>
      </c>
      <c r="W33" s="198">
        <v>-4365</v>
      </c>
      <c r="X33" s="89">
        <f t="shared" ref="X33:AV33" si="19">-X28*X32</f>
        <v>-4470.866674168501</v>
      </c>
      <c r="Y33" s="89">
        <f t="shared" ca="1" si="19"/>
        <v>-5093.2351664603657</v>
      </c>
      <c r="Z33" s="89">
        <f t="shared" ca="1" si="19"/>
        <v>-4908.9009275483459</v>
      </c>
      <c r="AA33" s="89">
        <f t="shared" ca="1" si="19"/>
        <v>-3534.4086678348099</v>
      </c>
      <c r="AB33" s="89">
        <f t="shared" ca="1" si="19"/>
        <v>-3534.4086678348099</v>
      </c>
      <c r="AC33" s="89">
        <f t="shared" ca="1" si="19"/>
        <v>-3554.6263269406977</v>
      </c>
      <c r="AD33" s="89">
        <f t="shared" ca="1" si="19"/>
        <v>-3554.6263269406973</v>
      </c>
      <c r="AE33" s="89">
        <f t="shared" ca="1" si="19"/>
        <v>-3467.9281238445828</v>
      </c>
      <c r="AF33" s="89">
        <f t="shared" ca="1" si="19"/>
        <v>-3467.9281238445824</v>
      </c>
      <c r="AG33" s="89">
        <f t="shared" ca="1" si="19"/>
        <v>-3175.3846226308924</v>
      </c>
      <c r="AH33" s="89">
        <f t="shared" ca="1" si="19"/>
        <v>-3175.384622630892</v>
      </c>
      <c r="AI33" s="89">
        <f t="shared" ca="1" si="19"/>
        <v>-3044.0618508099283</v>
      </c>
      <c r="AJ33" s="89">
        <f t="shared" ca="1" si="19"/>
        <v>-3044.0618508099283</v>
      </c>
      <c r="AK33" s="89">
        <f t="shared" ca="1" si="19"/>
        <v>-2821.9123900311301</v>
      </c>
      <c r="AL33" s="89">
        <f t="shared" ca="1" si="19"/>
        <v>-2821.9123900311297</v>
      </c>
      <c r="AM33" s="89">
        <f t="shared" ca="1" si="19"/>
        <v>-2821.9123900311288</v>
      </c>
      <c r="AN33" s="89">
        <f t="shared" ca="1" si="19"/>
        <v>-2821.9123900311283</v>
      </c>
      <c r="AO33" s="89">
        <f t="shared" ca="1" si="19"/>
        <v>-2493.4544183130479</v>
      </c>
      <c r="AP33" s="89">
        <f t="shared" ca="1" si="19"/>
        <v>-2493.4544183130488</v>
      </c>
      <c r="AQ33" s="89">
        <f t="shared" ca="1" si="19"/>
        <v>-2493.4544183130479</v>
      </c>
      <c r="AR33" s="89">
        <f t="shared" ca="1" si="19"/>
        <v>-2493.4544183130461</v>
      </c>
      <c r="AS33" s="89">
        <f t="shared" ca="1" si="19"/>
        <v>-2361.292523349458</v>
      </c>
      <c r="AT33" s="89">
        <f t="shared" ca="1" si="19"/>
        <v>-2361.2925233494602</v>
      </c>
      <c r="AU33" s="89">
        <f t="shared" ca="1" si="19"/>
        <v>-2361.2925233494639</v>
      </c>
      <c r="AV33" s="89">
        <f t="shared" ca="1" si="19"/>
        <v>-2361.2925233494529</v>
      </c>
    </row>
    <row r="34" spans="2:48">
      <c r="B34" s="156" t="s">
        <v>180</v>
      </c>
      <c r="C34" s="196" t="s">
        <v>161</v>
      </c>
      <c r="D34" s="249"/>
      <c r="E34" s="249"/>
      <c r="F34" s="249"/>
      <c r="G34" s="246">
        <f ca="1">SUM(OFFSET($Q$34,,(COLUMNS($G$34:G34)-1)*4,,4))</f>
        <v>40899</v>
      </c>
      <c r="H34" s="246">
        <f ca="1">SUM(OFFSET($Q$34,,(COLUMNS($G$34:H34)-1)*4,,4))</f>
        <v>2504</v>
      </c>
      <c r="I34" s="246">
        <f ca="1">SUM(OFFSET($Q$34,,(COLUMNS($G$34:I34)-1)*4,,4))</f>
        <v>0</v>
      </c>
      <c r="J34" s="246">
        <f ca="1">SUM(OFFSET($Q$34,,(COLUMNS($G$34:J34)-1)*4,,4))</f>
        <v>0</v>
      </c>
      <c r="K34" s="246">
        <f ca="1">SUM(OFFSET($Q$34,,(COLUMNS($G$34:K34)-1)*4,,4))</f>
        <v>0</v>
      </c>
      <c r="L34" s="246">
        <f ca="1">SUM(OFFSET($Q$34,,(COLUMNS($G$34:L34)-1)*4,,4))</f>
        <v>0</v>
      </c>
      <c r="M34" s="246">
        <f ca="1">SUM(OFFSET($Q$34,,(COLUMNS($G$34:M34)-1)*4,,4))</f>
        <v>0</v>
      </c>
      <c r="N34" s="246">
        <f ca="1">SUM(OFFSET($Q$34,,(COLUMNS($G$34:N34)-1)*4,,4))</f>
        <v>0</v>
      </c>
      <c r="S34" s="265">
        <v>29492</v>
      </c>
      <c r="T34" s="265">
        <v>11407</v>
      </c>
      <c r="U34" s="168">
        <v>1880</v>
      </c>
      <c r="V34">
        <v>624</v>
      </c>
      <c r="W34" s="268">
        <v>0</v>
      </c>
      <c r="X34" s="268">
        <f>W34</f>
        <v>0</v>
      </c>
      <c r="Y34" s="268">
        <f>X34</f>
        <v>0</v>
      </c>
      <c r="Z34" s="268">
        <f>Y34</f>
        <v>0</v>
      </c>
      <c r="AA34" s="268">
        <f>Z34</f>
        <v>0</v>
      </c>
      <c r="AB34" s="268">
        <f>AA34</f>
        <v>0</v>
      </c>
      <c r="AC34" s="268">
        <f t="shared" ref="AC34:AR34" si="20">AB34</f>
        <v>0</v>
      </c>
      <c r="AD34" s="268">
        <f t="shared" si="20"/>
        <v>0</v>
      </c>
      <c r="AE34" s="268">
        <f t="shared" si="20"/>
        <v>0</v>
      </c>
      <c r="AF34" s="268">
        <f t="shared" si="20"/>
        <v>0</v>
      </c>
      <c r="AG34" s="268">
        <f t="shared" si="20"/>
        <v>0</v>
      </c>
      <c r="AH34" s="268">
        <f t="shared" si="20"/>
        <v>0</v>
      </c>
      <c r="AI34" s="268">
        <f t="shared" si="20"/>
        <v>0</v>
      </c>
      <c r="AJ34" s="268">
        <f t="shared" si="20"/>
        <v>0</v>
      </c>
      <c r="AK34" s="268">
        <f t="shared" si="20"/>
        <v>0</v>
      </c>
      <c r="AL34" s="268">
        <f t="shared" si="20"/>
        <v>0</v>
      </c>
      <c r="AM34" s="268">
        <f t="shared" si="20"/>
        <v>0</v>
      </c>
      <c r="AN34" s="268">
        <f t="shared" si="20"/>
        <v>0</v>
      </c>
      <c r="AO34" s="268">
        <f t="shared" si="20"/>
        <v>0</v>
      </c>
      <c r="AP34" s="268">
        <f t="shared" si="20"/>
        <v>0</v>
      </c>
      <c r="AQ34" s="268">
        <f t="shared" si="20"/>
        <v>0</v>
      </c>
      <c r="AR34" s="268">
        <f t="shared" si="20"/>
        <v>0</v>
      </c>
      <c r="AS34" s="268">
        <f>AR34</f>
        <v>0</v>
      </c>
      <c r="AT34" s="268">
        <f>AS34</f>
        <v>0</v>
      </c>
      <c r="AU34" s="268">
        <f>AT34</f>
        <v>0</v>
      </c>
      <c r="AV34" s="268">
        <f>AU34</f>
        <v>0</v>
      </c>
    </row>
    <row r="35" spans="2:48">
      <c r="B35" s="164" t="s">
        <v>181</v>
      </c>
      <c r="C35" s="244" t="s">
        <v>161</v>
      </c>
      <c r="D35" s="188"/>
      <c r="E35" s="188"/>
      <c r="F35" s="188"/>
      <c r="G35" s="246">
        <f ca="1">SUM(OFFSET($Q$35,,(COLUMNS($G$35:G35)-1)*4,,4))</f>
        <v>-59662</v>
      </c>
      <c r="H35" s="246">
        <f ca="1">SUM(OFFSET($Q$35,,(COLUMNS($G$35:H35)-1)*4,,4))</f>
        <v>-124792.6666741685</v>
      </c>
      <c r="I35" s="246">
        <f ca="1">SUM(OFFSET($Q$35,,(COLUMNS($G$35:I35)-1)*4,,4))</f>
        <v>-129233.39000110695</v>
      </c>
      <c r="J35" s="246">
        <f ca="1">SUM(OFFSET($Q$35,,(COLUMNS($G$35:J35)-1)*4,,4))</f>
        <v>-109431.26518973385</v>
      </c>
      <c r="K35" s="246">
        <f ca="1">SUM(OFFSET($Q$35,,(COLUMNS($G$35:K35)-1)*4,,4))</f>
        <v>-98967.865872996626</v>
      </c>
      <c r="L35" s="246">
        <f ca="1">SUM(OFFSET($Q$35,,(COLUMNS($G$35:L35)-1)*4,,4))</f>
        <v>-90460.169827610778</v>
      </c>
      <c r="M35" s="246">
        <f ca="1">SUM(OFFSET($Q$35,,(COLUMNS($G$35:M35)-1)*4,,4))</f>
        <v>-81096.964167851431</v>
      </c>
      <c r="N35" s="246">
        <f ca="1">SUM(OFFSET($Q$35,,(COLUMNS($G$35:N35)-1)*4,,4))</f>
        <v>-76798.538505244476</v>
      </c>
      <c r="Q35" s="188"/>
      <c r="R35" s="188"/>
      <c r="S35" s="246">
        <f t="shared" ref="S35:AV35" si="21">S29+S33+S34</f>
        <v>-26112</v>
      </c>
      <c r="T35" s="246">
        <f t="shared" si="21"/>
        <v>-33550</v>
      </c>
      <c r="U35" s="246">
        <f t="shared" si="21"/>
        <v>-35833</v>
      </c>
      <c r="V35" s="246">
        <f t="shared" si="21"/>
        <v>-27103</v>
      </c>
      <c r="W35" s="246">
        <f t="shared" si="21"/>
        <v>-29613</v>
      </c>
      <c r="X35" s="246">
        <f t="shared" si="21"/>
        <v>-32243.666674168504</v>
      </c>
      <c r="Y35" s="246">
        <f t="shared" ca="1" si="21"/>
        <v>-35643.315166460372</v>
      </c>
      <c r="Z35" s="246">
        <f t="shared" ca="1" si="21"/>
        <v>-38513.988927548358</v>
      </c>
      <c r="AA35" s="246">
        <f t="shared" ca="1" si="21"/>
        <v>-27538.042953549109</v>
      </c>
      <c r="AB35" s="246">
        <f t="shared" ca="1" si="21"/>
        <v>-27538.042953549109</v>
      </c>
      <c r="AC35" s="246">
        <f t="shared" ca="1" si="21"/>
        <v>-27695.567115920301</v>
      </c>
      <c r="AD35" s="246">
        <f t="shared" ca="1" si="21"/>
        <v>-27695.567115920298</v>
      </c>
      <c r="AE35" s="246">
        <f t="shared" ca="1" si="21"/>
        <v>-27020.065478946632</v>
      </c>
      <c r="AF35" s="246">
        <f t="shared" ca="1" si="21"/>
        <v>-27020.065478946628</v>
      </c>
      <c r="AG35" s="246">
        <f t="shared" ca="1" si="21"/>
        <v>-25088.566077945728</v>
      </c>
      <c r="AH35" s="246">
        <f t="shared" ca="1" si="21"/>
        <v>-25088.566077945728</v>
      </c>
      <c r="AI35" s="246">
        <f t="shared" ca="1" si="21"/>
        <v>-24395.366858552588</v>
      </c>
      <c r="AJ35" s="246">
        <f t="shared" ca="1" si="21"/>
        <v>-24395.366858552588</v>
      </c>
      <c r="AK35" s="246">
        <f t="shared" ca="1" si="21"/>
        <v>-22615.042456902705</v>
      </c>
      <c r="AL35" s="246">
        <f t="shared" ca="1" si="21"/>
        <v>-22615.042456902702</v>
      </c>
      <c r="AM35" s="246">
        <f t="shared" ca="1" si="21"/>
        <v>-22615.042456902691</v>
      </c>
      <c r="AN35" s="246">
        <f t="shared" ca="1" si="21"/>
        <v>-22615.042456902687</v>
      </c>
      <c r="AO35" s="246">
        <f t="shared" ca="1" si="21"/>
        <v>-20274.241041962861</v>
      </c>
      <c r="AP35" s="246">
        <f t="shared" ca="1" si="21"/>
        <v>-20274.241041962869</v>
      </c>
      <c r="AQ35" s="246">
        <f t="shared" ca="1" si="21"/>
        <v>-20274.241041962861</v>
      </c>
      <c r="AR35" s="246">
        <f t="shared" ca="1" si="21"/>
        <v>-20274.241041962847</v>
      </c>
      <c r="AS35" s="246">
        <f t="shared" ca="1" si="21"/>
        <v>-19199.634626311112</v>
      </c>
      <c r="AT35" s="246">
        <f t="shared" ca="1" si="21"/>
        <v>-19199.63462631113</v>
      </c>
      <c r="AU35" s="246">
        <f t="shared" ca="1" si="21"/>
        <v>-19199.634626311159</v>
      </c>
      <c r="AV35" s="246">
        <f t="shared" ca="1" si="21"/>
        <v>-19199.634626311072</v>
      </c>
    </row>
    <row r="36" spans="2:48">
      <c r="B36" s="164" t="s">
        <v>19</v>
      </c>
      <c r="C36" s="244" t="s">
        <v>161</v>
      </c>
      <c r="D36" s="188"/>
      <c r="E36" s="188"/>
      <c r="F36" s="188"/>
      <c r="G36" s="246">
        <f ca="1">SUM(OFFSET($Q$36,,(COLUMNS($G$36:G36)-1)*4,,4))</f>
        <v>-76321</v>
      </c>
      <c r="H36" s="246">
        <f ca="1">SUM(OFFSET($Q$36,,(COLUMNS($G$36:H36)-1)*4,,4))</f>
        <v>-105876.22941148102</v>
      </c>
      <c r="I36" s="246">
        <f ca="1">SUM(OFFSET($Q$36,,(COLUMNS($G$36:I36)-1)*4,,4))</f>
        <v>-85087.616077504674</v>
      </c>
      <c r="J36" s="246">
        <f ca="1">SUM(OFFSET($Q$36,,(COLUMNS($G$36:J36)-1)*4,,4))</f>
        <v>-71560.421603142182</v>
      </c>
      <c r="K36" s="246">
        <f ca="1">SUM(OFFSET($Q$36,,(COLUMNS($G$36:K36)-1)*4,,4))</f>
        <v>-68287.84134690091</v>
      </c>
      <c r="L36" s="246">
        <f ca="1">SUM(OFFSET($Q$36,,(COLUMNS($G$36:L36)-1)*4,,4))</f>
        <v>-65015.261090659602</v>
      </c>
      <c r="M36" s="246">
        <f ca="1">SUM(OFFSET($Q$36,,(COLUMNS($G$36:M36)-1)*4,,4))</f>
        <v>-47494.369872629482</v>
      </c>
      <c r="N36" s="246">
        <f ca="1">SUM(OFFSET($Q$36,,(COLUMNS($G$36:N36)-1)*4,,4))</f>
        <v>-44977.000444751597</v>
      </c>
      <c r="Q36" s="188"/>
      <c r="R36" s="188"/>
      <c r="S36" s="329">
        <v>-39694</v>
      </c>
      <c r="T36" s="329">
        <v>-36627</v>
      </c>
      <c r="U36" s="294">
        <v>-27659</v>
      </c>
      <c r="V36" s="294">
        <v>-24851</v>
      </c>
      <c r="W36" s="294">
        <v>-27319</v>
      </c>
      <c r="X36" s="89">
        <f>-X51*X$19/10^3</f>
        <v>-26047.229411481017</v>
      </c>
      <c r="Y36" s="89">
        <f>-Y51*Y$19/10^3</f>
        <v>-26047.229411481017</v>
      </c>
      <c r="Z36" s="89">
        <f t="shared" ref="Z36:AV36" si="22">-Z51*Z$19/10^3</f>
        <v>-24310.747450715615</v>
      </c>
      <c r="AA36" s="89">
        <f t="shared" si="22"/>
        <v>-17364.819607654015</v>
      </c>
      <c r="AB36" s="89">
        <f t="shared" si="22"/>
        <v>-17364.819607654015</v>
      </c>
      <c r="AC36" s="89">
        <f t="shared" si="22"/>
        <v>-17890.105400785549</v>
      </c>
      <c r="AD36" s="89">
        <f t="shared" si="22"/>
        <v>-17890.105400785545</v>
      </c>
      <c r="AE36" s="89">
        <f t="shared" si="22"/>
        <v>-17890.105400785545</v>
      </c>
      <c r="AF36" s="89">
        <f t="shared" si="22"/>
        <v>-17890.105400785542</v>
      </c>
      <c r="AG36" s="89">
        <f t="shared" si="22"/>
        <v>-17071.960336725228</v>
      </c>
      <c r="AH36" s="89">
        <f t="shared" si="22"/>
        <v>-17071.960336725224</v>
      </c>
      <c r="AI36" s="89">
        <f t="shared" si="22"/>
        <v>-17071.960336725224</v>
      </c>
      <c r="AJ36" s="89">
        <f t="shared" si="22"/>
        <v>-17071.96033672522</v>
      </c>
      <c r="AK36" s="89">
        <f t="shared" si="22"/>
        <v>-16253.815272664904</v>
      </c>
      <c r="AL36" s="89">
        <f t="shared" si="22"/>
        <v>-16253.8152726649</v>
      </c>
      <c r="AM36" s="89">
        <f t="shared" si="22"/>
        <v>-16253.815272664899</v>
      </c>
      <c r="AN36" s="89">
        <f t="shared" si="22"/>
        <v>-16253.815272664897</v>
      </c>
      <c r="AO36" s="89">
        <f t="shared" si="22"/>
        <v>-11873.592468157371</v>
      </c>
      <c r="AP36" s="89">
        <f t="shared" si="22"/>
        <v>-11873.592468157374</v>
      </c>
      <c r="AQ36" s="89">
        <f t="shared" si="22"/>
        <v>-11873.592468157371</v>
      </c>
      <c r="AR36" s="89">
        <f t="shared" si="22"/>
        <v>-11873.592468157363</v>
      </c>
      <c r="AS36" s="89">
        <f t="shared" si="22"/>
        <v>-11244.250111187896</v>
      </c>
      <c r="AT36" s="89">
        <f t="shared" si="22"/>
        <v>-11244.250111187905</v>
      </c>
      <c r="AU36" s="89">
        <f t="shared" si="22"/>
        <v>-11244.250111187923</v>
      </c>
      <c r="AV36" s="89">
        <f t="shared" si="22"/>
        <v>-11244.250111187872</v>
      </c>
    </row>
    <row r="37" spans="2:48">
      <c r="B37" s="247" t="s">
        <v>17</v>
      </c>
      <c r="C37" s="248" t="s">
        <v>161</v>
      </c>
      <c r="D37" s="249"/>
      <c r="E37" s="249"/>
      <c r="F37" s="249"/>
      <c r="G37" s="250">
        <f ca="1">SUM(OFFSET($Q$37,,(COLUMNS($G$37:G37)-1)*4,,4))</f>
        <v>204540</v>
      </c>
      <c r="H37" s="250">
        <f ca="1">SUM(OFFSET($Q$37,,(COLUMNS($G$37:H37)-1)*4,,4))</f>
        <v>298470.45903515682</v>
      </c>
      <c r="I37" s="250">
        <f ca="1">SUM(OFFSET($Q$37,,(COLUMNS($G$37:I37)-1)*4,,4))</f>
        <v>228749.04498745274</v>
      </c>
      <c r="J37" s="250">
        <f ca="1">SUM(OFFSET($Q$37,,(COLUMNS($G$37:J37)-1)*4,,4))</f>
        <v>185067.39294627434</v>
      </c>
      <c r="K37" s="250">
        <f ca="1">SUM(OFFSET($Q$37,,(COLUMNS($G$37:K37)-1)*4,,4))</f>
        <v>171557.0440781877</v>
      </c>
      <c r="L37" s="250">
        <f ca="1">SUM(OFFSET($Q$37,,(COLUMNS($G$37:L37)-1)*4,,4))</f>
        <v>159598.52667492614</v>
      </c>
      <c r="M37" s="250">
        <f ca="1">SUM(OFFSET($Q$37,,(COLUMNS($G$37:M37)-1)*4,,4))</f>
        <v>132627.7002589812</v>
      </c>
      <c r="N37" s="250">
        <f ca="1">SUM(OFFSET($Q$37,,(COLUMNS($G$37:N37)-1)*4,,4))</f>
        <v>125597.9634961377</v>
      </c>
      <c r="Q37" s="249"/>
      <c r="R37" s="249"/>
      <c r="S37" s="266">
        <f>S28+S35-S36</f>
        <v>80032</v>
      </c>
      <c r="T37" s="266">
        <f t="shared" ref="T37:AV37" si="23">T28+T35-T36</f>
        <v>124508</v>
      </c>
      <c r="U37" s="195">
        <f t="shared" si="23"/>
        <v>94303</v>
      </c>
      <c r="V37" s="195">
        <f t="shared" si="23"/>
        <v>66123</v>
      </c>
      <c r="W37" s="195">
        <f t="shared" si="23"/>
        <v>70948</v>
      </c>
      <c r="X37" s="195">
        <f t="shared" si="23"/>
        <v>67096.459035156804</v>
      </c>
      <c r="Y37" s="195">
        <f t="shared" ca="1" si="23"/>
        <v>72552.868542768483</v>
      </c>
      <c r="Z37" s="195">
        <f t="shared" ca="1" si="23"/>
        <v>64339.17336394079</v>
      </c>
      <c r="AA37" s="195">
        <f t="shared" ca="1" si="23"/>
        <v>45928.501540371726</v>
      </c>
      <c r="AB37" s="195">
        <f t="shared" ca="1" si="23"/>
        <v>45928.501540371726</v>
      </c>
      <c r="AC37" s="195">
        <f t="shared" ca="1" si="23"/>
        <v>46617.178395035051</v>
      </c>
      <c r="AD37" s="195">
        <f t="shared" ca="1" si="23"/>
        <v>46617.178395035051</v>
      </c>
      <c r="AE37" s="195">
        <f t="shared" ca="1" si="23"/>
        <v>45916.518078102134</v>
      </c>
      <c r="AF37" s="195">
        <f t="shared" ca="1" si="23"/>
        <v>45916.518078102126</v>
      </c>
      <c r="AG37" s="195">
        <f t="shared" ca="1" si="23"/>
        <v>43199.275268955185</v>
      </c>
      <c r="AH37" s="195">
        <f t="shared" ca="1" si="23"/>
        <v>43199.275268955171</v>
      </c>
      <c r="AI37" s="195">
        <f t="shared" ca="1" si="23"/>
        <v>42579.246770138678</v>
      </c>
      <c r="AJ37" s="195">
        <f t="shared" ca="1" si="23"/>
        <v>42579.24677013867</v>
      </c>
      <c r="AK37" s="195">
        <f t="shared" ca="1" si="23"/>
        <v>39899.631668731541</v>
      </c>
      <c r="AL37" s="195">
        <f t="shared" ca="1" si="23"/>
        <v>39899.631668731534</v>
      </c>
      <c r="AM37" s="195">
        <f t="shared" ca="1" si="23"/>
        <v>39899.631668731527</v>
      </c>
      <c r="AN37" s="195">
        <f t="shared" ca="1" si="23"/>
        <v>39899.631668731527</v>
      </c>
      <c r="AO37" s="195">
        <f t="shared" ca="1" si="23"/>
        <v>33156.925064745308</v>
      </c>
      <c r="AP37" s="195">
        <f t="shared" ca="1" si="23"/>
        <v>33156.925064745315</v>
      </c>
      <c r="AQ37" s="195">
        <f t="shared" ca="1" si="23"/>
        <v>33156.925064745308</v>
      </c>
      <c r="AR37" s="195">
        <f t="shared" ca="1" si="23"/>
        <v>33156.925064745286</v>
      </c>
      <c r="AS37" s="195">
        <f t="shared" ca="1" si="23"/>
        <v>31399.490874034418</v>
      </c>
      <c r="AT37" s="195">
        <f t="shared" ca="1" si="23"/>
        <v>31399.490874034447</v>
      </c>
      <c r="AU37" s="195">
        <f t="shared" ca="1" si="23"/>
        <v>31399.490874034491</v>
      </c>
      <c r="AV37" s="195">
        <f t="shared" ca="1" si="23"/>
        <v>31399.490874034345</v>
      </c>
    </row>
    <row r="38" spans="2:48">
      <c r="B38" s="174" t="s">
        <v>76</v>
      </c>
      <c r="C38" s="196" t="s">
        <v>161</v>
      </c>
      <c r="G38" s="89">
        <f ca="1">SUM(OFFSET($Q$38,,(COLUMNS($G$38:G38)-1)*4,,4))</f>
        <v>-1707</v>
      </c>
      <c r="H38" s="89">
        <f ca="1">SUM(OFFSET($Q$38,,(COLUMNS($G$38:H38)-1)*4,,4))</f>
        <v>-19500</v>
      </c>
      <c r="I38" s="89">
        <f ca="1">SUM(OFFSET($Q$38,,(COLUMNS($G$38:I38)-1)*4,,4))</f>
        <v>-13090.402473462254</v>
      </c>
      <c r="J38" s="89">
        <f ca="1">SUM(OFFSET($Q$38,,(COLUMNS($G$38:J38)-1)*4,,4))</f>
        <v>-11009.295631252644</v>
      </c>
      <c r="K38" s="89">
        <f ca="1">SUM(OFFSET($Q$38,,(COLUMNS($G$38:K38)-1)*4,,4))</f>
        <v>-10505.821745677062</v>
      </c>
      <c r="L38" s="89">
        <f ca="1">SUM(OFFSET($Q$38,,(COLUMNS($G$38:L38)-1)*4,,4))</f>
        <v>-10002.347860101478</v>
      </c>
      <c r="M38" s="89">
        <f ca="1">SUM(OFFSET($Q$38,,(COLUMNS($G$38:M38)-1)*4,,4))</f>
        <v>-9498.8739745258954</v>
      </c>
      <c r="N38" s="89">
        <f ca="1">SUM(OFFSET($Q$38,,(COLUMNS($G$38:N38)-1)*4,,4))</f>
        <v>-4497.7000444751593</v>
      </c>
      <c r="S38" s="198">
        <v>-505</v>
      </c>
      <c r="T38" s="198">
        <v>-1202</v>
      </c>
      <c r="U38" s="198">
        <v>-4110</v>
      </c>
      <c r="V38" s="198">
        <v>-8955</v>
      </c>
      <c r="W38" s="198">
        <v>-3403</v>
      </c>
      <c r="X38" s="198">
        <f>(19500+SUM(U38:W38))*-1</f>
        <v>-3032</v>
      </c>
      <c r="Y38" s="89">
        <f t="shared" ref="Y38:AB39" si="24">-Y47*Y$19/10^3</f>
        <v>-4007.2660633047722</v>
      </c>
      <c r="Z38" s="89">
        <f t="shared" si="24"/>
        <v>-3740.1149924177871</v>
      </c>
      <c r="AA38" s="89">
        <f t="shared" si="24"/>
        <v>-2671.5107088698483</v>
      </c>
      <c r="AB38" s="89">
        <f t="shared" si="24"/>
        <v>-2671.5107088698483</v>
      </c>
      <c r="AC38" s="89">
        <f t="shared" ref="AC38:AR38" si="25">-AC47*AC$19/10^3</f>
        <v>-2752.323907813161</v>
      </c>
      <c r="AD38" s="89">
        <f t="shared" si="25"/>
        <v>-2752.323907813161</v>
      </c>
      <c r="AE38" s="89">
        <f t="shared" si="25"/>
        <v>-2752.323907813161</v>
      </c>
      <c r="AF38" s="89">
        <f t="shared" si="25"/>
        <v>-2752.3239078131605</v>
      </c>
      <c r="AG38" s="89">
        <f t="shared" si="25"/>
        <v>-2626.4554364192659</v>
      </c>
      <c r="AH38" s="89">
        <f t="shared" si="25"/>
        <v>-2626.4554364192654</v>
      </c>
      <c r="AI38" s="89">
        <f t="shared" si="25"/>
        <v>-2626.4554364192654</v>
      </c>
      <c r="AJ38" s="89">
        <f t="shared" si="25"/>
        <v>-2626.455436419265</v>
      </c>
      <c r="AK38" s="89">
        <f t="shared" si="25"/>
        <v>-2500.5869650253699</v>
      </c>
      <c r="AL38" s="89">
        <f t="shared" si="25"/>
        <v>-2500.5869650253694</v>
      </c>
      <c r="AM38" s="89">
        <f t="shared" si="25"/>
        <v>-2500.586965025369</v>
      </c>
      <c r="AN38" s="89">
        <f t="shared" si="25"/>
        <v>-2500.5869650253685</v>
      </c>
      <c r="AO38" s="89">
        <f t="shared" si="25"/>
        <v>-2374.7184936314743</v>
      </c>
      <c r="AP38" s="89">
        <f t="shared" si="25"/>
        <v>-2374.7184936314748</v>
      </c>
      <c r="AQ38" s="89">
        <f t="shared" si="25"/>
        <v>-2374.7184936314743</v>
      </c>
      <c r="AR38" s="89">
        <f t="shared" si="25"/>
        <v>-2374.7184936314729</v>
      </c>
      <c r="AS38" s="89">
        <f t="shared" ref="AS38:AV39" si="26">-AS47*AS$19/10^3</f>
        <v>-2248.8500222375792</v>
      </c>
      <c r="AT38" s="89">
        <f t="shared" si="26"/>
        <v>-2248.8500222375806</v>
      </c>
      <c r="AU38" s="89">
        <f t="shared" si="26"/>
        <v>0</v>
      </c>
      <c r="AV38" s="89">
        <f t="shared" si="26"/>
        <v>0</v>
      </c>
    </row>
    <row r="39" spans="2:48">
      <c r="B39" s="174" t="s">
        <v>182</v>
      </c>
      <c r="C39" s="196" t="s">
        <v>161</v>
      </c>
      <c r="G39" s="89">
        <f ca="1">SUM(OFFSET($Q$39,,(COLUMNS($G$39:G39)-1)*4,,4))</f>
        <v>-1919</v>
      </c>
      <c r="H39" s="89">
        <f ca="1">SUM(OFFSET($Q$39,,(COLUMNS($G$39:H39)-1)*4,,4))</f>
        <v>-22000</v>
      </c>
      <c r="I39" s="89">
        <f ca="1">SUM(OFFSET($Q$39,,(COLUMNS($G$39:I39)-1)*4,,4))</f>
        <v>-11781.362226116031</v>
      </c>
      <c r="J39" s="89">
        <f ca="1">SUM(OFFSET($Q$39,,(COLUMNS($G$39:J39)-1)*4,,4))</f>
        <v>-9908.3660681273795</v>
      </c>
      <c r="K39" s="89">
        <f ca="1">SUM(OFFSET($Q$39,,(COLUMNS($G$39:K39)-1)*4,,4))</f>
        <v>-9455.2395711093559</v>
      </c>
      <c r="L39" s="89">
        <f ca="1">SUM(OFFSET($Q$39,,(COLUMNS($G$39:L39)-1)*4,,4))</f>
        <v>-9002.1130740913304</v>
      </c>
      <c r="M39" s="89">
        <f ca="1">SUM(OFFSET($Q$39,,(COLUMNS($G$39:M39)-1)*4,,4))</f>
        <v>-8548.9865770733068</v>
      </c>
      <c r="N39" s="89">
        <f ca="1">SUM(OFFSET($Q$39,,(COLUMNS($G$39:N39)-1)*4,,4))</f>
        <v>0</v>
      </c>
      <c r="S39" s="198">
        <f>-(848)</f>
        <v>-848</v>
      </c>
      <c r="T39" s="198">
        <v>-1071</v>
      </c>
      <c r="U39" s="198">
        <v>-4493</v>
      </c>
      <c r="V39" s="198">
        <v>-3932</v>
      </c>
      <c r="W39" s="198">
        <v>-5449</v>
      </c>
      <c r="X39" s="198">
        <f>(22000+SUM(U39:W39))*-1</f>
        <v>-8126</v>
      </c>
      <c r="Y39" s="89">
        <f t="shared" si="24"/>
        <v>-3606.5394569742948</v>
      </c>
      <c r="Z39" s="89">
        <f t="shared" si="24"/>
        <v>-3366.1034931760087</v>
      </c>
      <c r="AA39" s="89">
        <f t="shared" si="24"/>
        <v>-2404.3596379828637</v>
      </c>
      <c r="AB39" s="89">
        <f t="shared" si="24"/>
        <v>-2404.3596379828637</v>
      </c>
      <c r="AC39" s="89">
        <f t="shared" ref="AC39:AR39" si="27">-AC48*AC$19/10^3</f>
        <v>-2477.0915170318453</v>
      </c>
      <c r="AD39" s="89">
        <f t="shared" si="27"/>
        <v>-2477.0915170318449</v>
      </c>
      <c r="AE39" s="89">
        <f t="shared" si="27"/>
        <v>-2477.0915170318449</v>
      </c>
      <c r="AF39" s="89">
        <f t="shared" si="27"/>
        <v>-2477.0915170318449</v>
      </c>
      <c r="AG39" s="89">
        <f t="shared" si="27"/>
        <v>-2363.809892777339</v>
      </c>
      <c r="AH39" s="89">
        <f t="shared" si="27"/>
        <v>-2363.8098927773385</v>
      </c>
      <c r="AI39" s="89">
        <f t="shared" si="27"/>
        <v>-2363.8098927773385</v>
      </c>
      <c r="AJ39" s="89">
        <f t="shared" si="27"/>
        <v>-2363.8098927773385</v>
      </c>
      <c r="AK39" s="89">
        <f t="shared" si="27"/>
        <v>-2250.5282685228331</v>
      </c>
      <c r="AL39" s="89">
        <f t="shared" si="27"/>
        <v>-2250.5282685228326</v>
      </c>
      <c r="AM39" s="89">
        <f t="shared" si="27"/>
        <v>-2250.5282685228321</v>
      </c>
      <c r="AN39" s="89">
        <f t="shared" si="27"/>
        <v>-2250.5282685228321</v>
      </c>
      <c r="AO39" s="89">
        <f t="shared" si="27"/>
        <v>-2137.2466442683271</v>
      </c>
      <c r="AP39" s="89">
        <f t="shared" si="27"/>
        <v>-2137.2466442683276</v>
      </c>
      <c r="AQ39" s="89">
        <f t="shared" si="27"/>
        <v>-2137.2466442683271</v>
      </c>
      <c r="AR39" s="89">
        <f t="shared" si="27"/>
        <v>-2137.2466442683253</v>
      </c>
      <c r="AS39" s="89">
        <f t="shared" si="26"/>
        <v>0</v>
      </c>
      <c r="AT39" s="89">
        <f t="shared" si="26"/>
        <v>0</v>
      </c>
      <c r="AU39" s="89">
        <f t="shared" si="26"/>
        <v>0</v>
      </c>
      <c r="AV39" s="89">
        <f t="shared" si="26"/>
        <v>0</v>
      </c>
    </row>
    <row r="40" spans="2:48">
      <c r="B40" s="164" t="s">
        <v>184</v>
      </c>
      <c r="C40" s="244" t="s">
        <v>161</v>
      </c>
      <c r="D40" s="188"/>
      <c r="E40" s="188"/>
      <c r="F40" s="188"/>
      <c r="G40" s="246">
        <f ca="1">SUM(OFFSET($Q$40,,(COLUMNS($G$40:G40)-1)*4,,4))</f>
        <v>-3626</v>
      </c>
      <c r="H40" s="246">
        <f ca="1">SUM(OFFSET($Q$40,,(COLUMNS($G$40:H40)-1)*4,,4))</f>
        <v>-41500</v>
      </c>
      <c r="I40" s="246">
        <f ca="1">SUM(OFFSET($Q$40,,(COLUMNS($G$40:I40)-1)*4,,4))</f>
        <v>-24871.764699578289</v>
      </c>
      <c r="J40" s="246">
        <f ca="1">SUM(OFFSET($Q$40,,(COLUMNS($G$40:J40)-1)*4,,4))</f>
        <v>-20917.661699380027</v>
      </c>
      <c r="K40" s="246">
        <f ca="1">SUM(OFFSET($Q$40,,(COLUMNS($G$40:K40)-1)*4,,4))</f>
        <v>-19961.061316786414</v>
      </c>
      <c r="L40" s="246">
        <f ca="1">SUM(OFFSET($Q$40,,(COLUMNS($G$40:L40)-1)*4,,4))</f>
        <v>-19004.460934192804</v>
      </c>
      <c r="M40" s="246">
        <f ca="1">SUM(OFFSET($Q$40,,(COLUMNS($G$40:M40)-1)*4,,4))</f>
        <v>-18047.860551599206</v>
      </c>
      <c r="N40" s="246">
        <f ca="1">SUM(OFFSET($Q$40,,(COLUMNS($G$40:N40)-1)*4,,4))</f>
        <v>-4497.7000444751593</v>
      </c>
      <c r="S40" s="246">
        <f t="shared" ref="S40:AV40" si="28">SUM(S38:S39)</f>
        <v>-1353</v>
      </c>
      <c r="T40" s="254">
        <f t="shared" si="28"/>
        <v>-2273</v>
      </c>
      <c r="U40" s="254">
        <f t="shared" si="28"/>
        <v>-8603</v>
      </c>
      <c r="V40" s="254">
        <f t="shared" si="28"/>
        <v>-12887</v>
      </c>
      <c r="W40" s="254">
        <f t="shared" si="28"/>
        <v>-8852</v>
      </c>
      <c r="X40" s="254">
        <f t="shared" si="28"/>
        <v>-11158</v>
      </c>
      <c r="Y40" s="254">
        <f t="shared" si="28"/>
        <v>-7613.8055202790674</v>
      </c>
      <c r="Z40" s="254">
        <f t="shared" si="28"/>
        <v>-7106.2184855937958</v>
      </c>
      <c r="AA40" s="254">
        <f t="shared" si="28"/>
        <v>-5075.8703468527119</v>
      </c>
      <c r="AB40" s="254">
        <f t="shared" si="28"/>
        <v>-5075.8703468527119</v>
      </c>
      <c r="AC40" s="254">
        <f t="shared" si="28"/>
        <v>-5229.4154248450068</v>
      </c>
      <c r="AD40" s="254">
        <f t="shared" si="28"/>
        <v>-5229.4154248450059</v>
      </c>
      <c r="AE40" s="254">
        <f t="shared" si="28"/>
        <v>-5229.4154248450059</v>
      </c>
      <c r="AF40" s="254">
        <f t="shared" si="28"/>
        <v>-5229.415424845005</v>
      </c>
      <c r="AG40" s="254">
        <f t="shared" si="28"/>
        <v>-4990.2653291966053</v>
      </c>
      <c r="AH40" s="254">
        <f t="shared" si="28"/>
        <v>-4990.2653291966035</v>
      </c>
      <c r="AI40" s="254">
        <f t="shared" si="28"/>
        <v>-4990.2653291966035</v>
      </c>
      <c r="AJ40" s="254">
        <f t="shared" si="28"/>
        <v>-4990.2653291966035</v>
      </c>
      <c r="AK40" s="254">
        <f t="shared" si="28"/>
        <v>-4751.1152335482029</v>
      </c>
      <c r="AL40" s="254">
        <f t="shared" si="28"/>
        <v>-4751.115233548202</v>
      </c>
      <c r="AM40" s="254">
        <f t="shared" si="28"/>
        <v>-4751.1152335482011</v>
      </c>
      <c r="AN40" s="254">
        <f t="shared" si="28"/>
        <v>-4751.1152335482002</v>
      </c>
      <c r="AO40" s="254">
        <f t="shared" si="28"/>
        <v>-4511.9651378998014</v>
      </c>
      <c r="AP40" s="254">
        <f t="shared" si="28"/>
        <v>-4511.9651378998024</v>
      </c>
      <c r="AQ40" s="254">
        <f t="shared" si="28"/>
        <v>-4511.9651378998014</v>
      </c>
      <c r="AR40" s="254">
        <f t="shared" si="28"/>
        <v>-4511.9651378997987</v>
      </c>
      <c r="AS40" s="254">
        <f t="shared" si="28"/>
        <v>-2248.8500222375792</v>
      </c>
      <c r="AT40" s="254">
        <f t="shared" si="28"/>
        <v>-2248.8500222375806</v>
      </c>
      <c r="AU40" s="254">
        <f t="shared" si="28"/>
        <v>0</v>
      </c>
      <c r="AV40" s="254">
        <f t="shared" si="28"/>
        <v>0</v>
      </c>
    </row>
    <row r="41" spans="2:48">
      <c r="B41" s="247" t="s">
        <v>183</v>
      </c>
      <c r="C41" s="248" t="s">
        <v>161</v>
      </c>
      <c r="D41" s="249"/>
      <c r="E41" s="249"/>
      <c r="F41" s="249"/>
      <c r="G41" s="89">
        <f ca="1">SUM(OFFSET($Q$41,,(COLUMNS($G$41:G41)-1)*4,,4))</f>
        <v>-61369</v>
      </c>
      <c r="H41" s="250">
        <f ca="1">SUM(OFFSET($Q$41,,(COLUMNS($G$41:H41)-1)*4,,4))</f>
        <v>-144292.66667416849</v>
      </c>
      <c r="I41" s="250">
        <f ca="1">SUM(OFFSET($Q$41,,(COLUMNS($G$41:I41)-1)*4,,4))</f>
        <v>-142323.7924745692</v>
      </c>
      <c r="J41" s="250">
        <f ca="1">SUM(OFFSET($Q$41,,(COLUMNS($G$41:J41)-1)*4,,4))</f>
        <v>-120440.56082098649</v>
      </c>
      <c r="K41" s="250">
        <f ca="1">SUM(OFFSET($Q$41,,(COLUMNS($G$41:K41)-1)*4,,4))</f>
        <v>-109473.68761867369</v>
      </c>
      <c r="L41" s="250">
        <f ca="1">SUM(OFFSET($Q$41,,(COLUMNS($G$41:L41)-1)*4,,4))</f>
        <v>-100462.51768771227</v>
      </c>
      <c r="M41" s="250">
        <f ca="1">SUM(OFFSET($Q$41,,(COLUMNS($G$41:M41)-1)*4,,4))</f>
        <v>-90595.838142377324</v>
      </c>
      <c r="N41" s="250">
        <f ca="1">SUM(OFFSET($Q$41,,(COLUMNS($G$41:N41)-1)*4,,4))</f>
        <v>-81296.238549719637</v>
      </c>
      <c r="Q41" s="249"/>
      <c r="R41" s="249"/>
      <c r="S41" s="89">
        <f t="shared" ref="S41:AB41" si="29">S35+S38</f>
        <v>-26617</v>
      </c>
      <c r="T41" s="250">
        <f t="shared" si="29"/>
        <v>-34752</v>
      </c>
      <c r="U41" s="250">
        <f t="shared" si="29"/>
        <v>-39943</v>
      </c>
      <c r="V41" s="250">
        <f t="shared" si="29"/>
        <v>-36058</v>
      </c>
      <c r="W41" s="250">
        <f t="shared" si="29"/>
        <v>-33016</v>
      </c>
      <c r="X41" s="250">
        <f t="shared" si="29"/>
        <v>-35275.666674168504</v>
      </c>
      <c r="Y41" s="250">
        <f t="shared" ca="1" si="29"/>
        <v>-39650.581229765143</v>
      </c>
      <c r="Z41" s="250">
        <f t="shared" ca="1" si="29"/>
        <v>-42254.103919966146</v>
      </c>
      <c r="AA41" s="250">
        <f t="shared" ca="1" si="29"/>
        <v>-30209.553662418959</v>
      </c>
      <c r="AB41" s="250">
        <f t="shared" ca="1" si="29"/>
        <v>-30209.553662418959</v>
      </c>
      <c r="AC41" s="250">
        <f t="shared" ref="AC41:AR41" ca="1" si="30">AC35+AC38</f>
        <v>-30447.891023733464</v>
      </c>
      <c r="AD41" s="250">
        <f t="shared" ca="1" si="30"/>
        <v>-30447.891023733457</v>
      </c>
      <c r="AE41" s="250">
        <f t="shared" ca="1" si="30"/>
        <v>-29772.389386759794</v>
      </c>
      <c r="AF41" s="250">
        <f t="shared" ca="1" si="30"/>
        <v>-29772.389386759787</v>
      </c>
      <c r="AG41" s="250">
        <f t="shared" ca="1" si="30"/>
        <v>-27715.021514364995</v>
      </c>
      <c r="AH41" s="250">
        <f t="shared" ca="1" si="30"/>
        <v>-27715.021514364995</v>
      </c>
      <c r="AI41" s="250">
        <f t="shared" ca="1" si="30"/>
        <v>-27021.822294971855</v>
      </c>
      <c r="AJ41" s="250">
        <f t="shared" ca="1" si="30"/>
        <v>-27021.822294971855</v>
      </c>
      <c r="AK41" s="250">
        <f t="shared" ca="1" si="30"/>
        <v>-25115.629421928075</v>
      </c>
      <c r="AL41" s="250">
        <f t="shared" ca="1" si="30"/>
        <v>-25115.629421928072</v>
      </c>
      <c r="AM41" s="250">
        <f t="shared" ca="1" si="30"/>
        <v>-25115.629421928061</v>
      </c>
      <c r="AN41" s="250">
        <f t="shared" ca="1" si="30"/>
        <v>-25115.629421928057</v>
      </c>
      <c r="AO41" s="250">
        <f t="shared" ca="1" si="30"/>
        <v>-22648.959535594335</v>
      </c>
      <c r="AP41" s="250">
        <f t="shared" ca="1" si="30"/>
        <v>-22648.959535594342</v>
      </c>
      <c r="AQ41" s="250">
        <f t="shared" ca="1" si="30"/>
        <v>-22648.959535594335</v>
      </c>
      <c r="AR41" s="250">
        <f t="shared" ca="1" si="30"/>
        <v>-22648.95953559432</v>
      </c>
      <c r="AS41" s="250">
        <f ca="1">AS35+AS38</f>
        <v>-21448.484648548692</v>
      </c>
      <c r="AT41" s="250">
        <f ca="1">AT35+AT38</f>
        <v>-21448.484648548711</v>
      </c>
      <c r="AU41" s="250">
        <f ca="1">AU35+AU38</f>
        <v>-19199.634626311159</v>
      </c>
      <c r="AV41" s="250">
        <f ca="1">AV35+AV38</f>
        <v>-19199.634626311072</v>
      </c>
    </row>
    <row r="42" spans="2:48">
      <c r="B42" s="251" t="s">
        <v>185</v>
      </c>
      <c r="C42" s="248" t="s">
        <v>161</v>
      </c>
      <c r="D42" s="249"/>
      <c r="E42" s="249"/>
      <c r="F42" s="249"/>
      <c r="G42" s="250">
        <f ca="1">SUM(OFFSET($Q$42,,(COLUMNS($G$42:G42)-1)*4,,4))</f>
        <v>-63288</v>
      </c>
      <c r="H42" s="250">
        <f ca="1">SUM(OFFSET($Q$42,,(COLUMNS($G$42:H42)-1)*4,,4))</f>
        <v>-166292.66667416849</v>
      </c>
      <c r="I42" s="250">
        <f ca="1">SUM(OFFSET($Q$42,,(COLUMNS($G$42:I42)-1)*4,,4))</f>
        <v>-154105.15470068523</v>
      </c>
      <c r="J42" s="250">
        <f ca="1">SUM(OFFSET($Q$42,,(COLUMNS($G$42:J42)-1)*4,,4))</f>
        <v>-130348.92688911389</v>
      </c>
      <c r="K42" s="250">
        <f ca="1">SUM(OFFSET($Q$42,,(COLUMNS($G$42:K42)-1)*4,,4))</f>
        <v>-118928.92718978305</v>
      </c>
      <c r="L42" s="250">
        <f ca="1">SUM(OFFSET($Q$42,,(COLUMNS($G$42:L42)-1)*4,,4))</f>
        <v>-109464.63076180359</v>
      </c>
      <c r="M42" s="250">
        <f ca="1">SUM(OFFSET($Q$42,,(COLUMNS($G$42:M42)-1)*4,,4))</f>
        <v>-99144.82471945064</v>
      </c>
      <c r="N42" s="250">
        <f ca="1">SUM(OFFSET($Q$42,,(COLUMNS($G$42:N42)-1)*4,,4))</f>
        <v>-81296.238549719637</v>
      </c>
      <c r="Q42" s="249"/>
      <c r="R42" s="249"/>
      <c r="S42" s="250">
        <f t="shared" ref="S42:AV42" si="31">S41+S39</f>
        <v>-27465</v>
      </c>
      <c r="T42" s="250">
        <f t="shared" si="31"/>
        <v>-35823</v>
      </c>
      <c r="U42" s="250">
        <f t="shared" si="31"/>
        <v>-44436</v>
      </c>
      <c r="V42" s="250">
        <f t="shared" si="31"/>
        <v>-39990</v>
      </c>
      <c r="W42" s="250">
        <f t="shared" si="31"/>
        <v>-38465</v>
      </c>
      <c r="X42" s="250">
        <f t="shared" si="31"/>
        <v>-43401.666674168504</v>
      </c>
      <c r="Y42" s="250">
        <f t="shared" ca="1" si="31"/>
        <v>-43257.120686739436</v>
      </c>
      <c r="Z42" s="250">
        <f t="shared" ca="1" si="31"/>
        <v>-45620.207413142154</v>
      </c>
      <c r="AA42" s="250">
        <f t="shared" ca="1" si="31"/>
        <v>-32613.913300401822</v>
      </c>
      <c r="AB42" s="250">
        <f t="shared" ca="1" si="31"/>
        <v>-32613.913300401822</v>
      </c>
      <c r="AC42" s="250">
        <f t="shared" ca="1" si="31"/>
        <v>-32924.982540765312</v>
      </c>
      <c r="AD42" s="250">
        <f t="shared" ca="1" si="31"/>
        <v>-32924.982540765304</v>
      </c>
      <c r="AE42" s="250">
        <f t="shared" ca="1" si="31"/>
        <v>-32249.480903791638</v>
      </c>
      <c r="AF42" s="250">
        <f t="shared" ca="1" si="31"/>
        <v>-32249.480903791631</v>
      </c>
      <c r="AG42" s="250">
        <f t="shared" ca="1" si="31"/>
        <v>-30078.831407142334</v>
      </c>
      <c r="AH42" s="250">
        <f t="shared" ca="1" si="31"/>
        <v>-30078.831407142334</v>
      </c>
      <c r="AI42" s="250">
        <f t="shared" ca="1" si="31"/>
        <v>-29385.632187749194</v>
      </c>
      <c r="AJ42" s="250">
        <f t="shared" ca="1" si="31"/>
        <v>-29385.632187749194</v>
      </c>
      <c r="AK42" s="250">
        <f t="shared" ca="1" si="31"/>
        <v>-27366.157690450909</v>
      </c>
      <c r="AL42" s="250">
        <f t="shared" ca="1" si="31"/>
        <v>-27366.157690450906</v>
      </c>
      <c r="AM42" s="250">
        <f t="shared" ca="1" si="31"/>
        <v>-27366.157690450891</v>
      </c>
      <c r="AN42" s="250">
        <f t="shared" ca="1" si="31"/>
        <v>-27366.157690450891</v>
      </c>
      <c r="AO42" s="250">
        <f t="shared" ca="1" si="31"/>
        <v>-24786.20617986266</v>
      </c>
      <c r="AP42" s="250">
        <f t="shared" ca="1" si="31"/>
        <v>-24786.206179862671</v>
      </c>
      <c r="AQ42" s="250">
        <f t="shared" ca="1" si="31"/>
        <v>-24786.20617986266</v>
      </c>
      <c r="AR42" s="250">
        <f t="shared" ca="1" si="31"/>
        <v>-24786.206179862646</v>
      </c>
      <c r="AS42" s="250">
        <f t="shared" ca="1" si="31"/>
        <v>-21448.484648548692</v>
      </c>
      <c r="AT42" s="250">
        <f t="shared" ca="1" si="31"/>
        <v>-21448.484648548711</v>
      </c>
      <c r="AU42" s="250">
        <f t="shared" ca="1" si="31"/>
        <v>-19199.634626311159</v>
      </c>
      <c r="AV42" s="250">
        <f t="shared" ca="1" si="31"/>
        <v>-19199.634626311072</v>
      </c>
    </row>
    <row r="43" spans="2:48">
      <c r="B43" s="251" t="s">
        <v>186</v>
      </c>
      <c r="C43" s="247" t="s">
        <v>187</v>
      </c>
      <c r="D43" s="249"/>
      <c r="E43" s="249"/>
      <c r="F43" s="249"/>
      <c r="G43" s="195">
        <f ca="1">-G35/G22*1000</f>
        <v>385.60025852318631</v>
      </c>
      <c r="H43" s="195">
        <f t="shared" ref="H43:N43" ca="1" si="32">-H35/H22*1000</f>
        <v>695.35679546702397</v>
      </c>
      <c r="I43" s="195">
        <f t="shared" ca="1" si="32"/>
        <v>987.23771299696512</v>
      </c>
      <c r="J43" s="195">
        <f t="shared" ca="1" si="32"/>
        <v>993.98970520044702</v>
      </c>
      <c r="K43" s="195">
        <f t="shared" ca="1" si="32"/>
        <v>942.02879383252389</v>
      </c>
      <c r="L43" s="195">
        <f t="shared" ca="1" si="32"/>
        <v>904.38936030658124</v>
      </c>
      <c r="M43" s="195">
        <f t="shared" ca="1" si="32"/>
        <v>853.75344893865815</v>
      </c>
      <c r="N43" s="195">
        <f t="shared" ca="1" si="32"/>
        <v>853.75344893865815</v>
      </c>
      <c r="Q43" s="249"/>
      <c r="R43" s="249"/>
      <c r="S43" s="195">
        <f t="shared" ref="S43:AB43" si="33">-S35/S22*1000</f>
        <v>737.39798367738842</v>
      </c>
      <c r="T43" s="195">
        <f t="shared" si="33"/>
        <v>513.22451851738538</v>
      </c>
      <c r="U43" s="195">
        <f t="shared" si="33"/>
        <v>619.31592319258891</v>
      </c>
      <c r="V43" s="195">
        <f t="shared" si="33"/>
        <v>713.72518038658029</v>
      </c>
      <c r="W43" s="195">
        <f t="shared" si="33"/>
        <v>717.26493242261301</v>
      </c>
      <c r="X43" s="195">
        <f t="shared" si="33"/>
        <v>804.63004364569974</v>
      </c>
      <c r="Y43" s="195">
        <f t="shared" ca="1" si="33"/>
        <v>889.46714801026985</v>
      </c>
      <c r="Z43" s="195">
        <f t="shared" ca="1" si="33"/>
        <v>1029.7541387263896</v>
      </c>
      <c r="AA43" s="195">
        <f t="shared" ca="1" si="33"/>
        <v>1030.8041387263897</v>
      </c>
      <c r="AB43" s="195">
        <f t="shared" ca="1" si="33"/>
        <v>1030.8041387263897</v>
      </c>
      <c r="AC43" s="195">
        <f t="shared" ref="AC43:AR43" ca="1" si="34">-AC35/AC22*1000</f>
        <v>1006.261183042428</v>
      </c>
      <c r="AD43" s="195">
        <f t="shared" ca="1" si="34"/>
        <v>1006.261183042428</v>
      </c>
      <c r="AE43" s="195">
        <f t="shared" ca="1" si="34"/>
        <v>981.71822735846627</v>
      </c>
      <c r="AF43" s="195">
        <f t="shared" ca="1" si="34"/>
        <v>981.71822735846627</v>
      </c>
      <c r="AG43" s="195">
        <f t="shared" ca="1" si="34"/>
        <v>955.22527167450482</v>
      </c>
      <c r="AH43" s="195">
        <f t="shared" ca="1" si="34"/>
        <v>955.22527167450494</v>
      </c>
      <c r="AI43" s="195">
        <f t="shared" ca="1" si="34"/>
        <v>928.83231599054318</v>
      </c>
      <c r="AJ43" s="195">
        <f t="shared" ca="1" si="34"/>
        <v>928.83231599054329</v>
      </c>
      <c r="AK43" s="195">
        <f t="shared" ca="1" si="34"/>
        <v>904.38936030658158</v>
      </c>
      <c r="AL43" s="195">
        <f t="shared" ca="1" si="34"/>
        <v>904.38936030658158</v>
      </c>
      <c r="AM43" s="195">
        <f t="shared" ca="1" si="34"/>
        <v>904.38936030658124</v>
      </c>
      <c r="AN43" s="195">
        <f t="shared" ca="1" si="34"/>
        <v>904.38936030658124</v>
      </c>
      <c r="AO43" s="195">
        <f t="shared" ca="1" si="34"/>
        <v>853.75344893865827</v>
      </c>
      <c r="AP43" s="195">
        <f t="shared" ca="1" si="34"/>
        <v>853.75344893865827</v>
      </c>
      <c r="AQ43" s="195">
        <f t="shared" ca="1" si="34"/>
        <v>853.75344893865827</v>
      </c>
      <c r="AR43" s="195">
        <f t="shared" ca="1" si="34"/>
        <v>853.75344893865815</v>
      </c>
      <c r="AS43" s="195">
        <f ca="1">-AS35/AS22*1000</f>
        <v>853.75344893865815</v>
      </c>
      <c r="AT43" s="195">
        <f ca="1">-AT35/AT22*1000</f>
        <v>853.75344893865827</v>
      </c>
      <c r="AU43" s="195">
        <f ca="1">-AU35/AU22*1000</f>
        <v>853.75344893865815</v>
      </c>
      <c r="AV43" s="195">
        <f ca="1">-AV35/AV22*1000</f>
        <v>853.75344893865815</v>
      </c>
    </row>
    <row r="44" spans="2:48">
      <c r="B44" s="251" t="s">
        <v>188</v>
      </c>
      <c r="C44" s="247" t="s">
        <v>187</v>
      </c>
      <c r="D44" s="249"/>
      <c r="E44" s="249"/>
      <c r="F44" s="249"/>
      <c r="G44" s="195">
        <f t="shared" ref="G44:N44" ca="1" si="35">-G41/G22*1000</f>
        <v>396.63273549846502</v>
      </c>
      <c r="H44" s="195">
        <f t="shared" ca="1" si="35"/>
        <v>804.01267944625226</v>
      </c>
      <c r="I44" s="195">
        <f t="shared" ca="1" si="35"/>
        <v>1087.2377129969652</v>
      </c>
      <c r="J44" s="195">
        <f t="shared" ca="1" si="35"/>
        <v>1093.9897052004471</v>
      </c>
      <c r="K44" s="195">
        <f t="shared" ca="1" si="35"/>
        <v>1042.0287938325239</v>
      </c>
      <c r="L44" s="195">
        <f t="shared" ca="1" si="35"/>
        <v>1004.3893603065815</v>
      </c>
      <c r="M44" s="195">
        <f t="shared" ca="1" si="35"/>
        <v>953.75344893865815</v>
      </c>
      <c r="N44" s="195">
        <f t="shared" ca="1" si="35"/>
        <v>903.75344893865815</v>
      </c>
      <c r="Q44" s="249"/>
      <c r="R44" s="249"/>
      <c r="S44" s="195">
        <f t="shared" ref="S44:AB44" si="36">-S41/S22*1000</f>
        <v>751.65908898364921</v>
      </c>
      <c r="T44" s="195">
        <f t="shared" si="36"/>
        <v>531.61187682611558</v>
      </c>
      <c r="U44" s="195">
        <f t="shared" si="36"/>
        <v>690.35068010162638</v>
      </c>
      <c r="V44" s="195">
        <f t="shared" si="36"/>
        <v>949.54442513298579</v>
      </c>
      <c r="W44" s="195">
        <f t="shared" si="36"/>
        <v>799.68996754347722</v>
      </c>
      <c r="X44" s="195">
        <f t="shared" si="36"/>
        <v>880.29260141206692</v>
      </c>
      <c r="Y44" s="195">
        <f t="shared" ca="1" si="36"/>
        <v>989.46714801026985</v>
      </c>
      <c r="Z44" s="195">
        <f t="shared" ca="1" si="36"/>
        <v>1129.7541387263896</v>
      </c>
      <c r="AA44" s="195">
        <f t="shared" ca="1" si="36"/>
        <v>1130.8041387263897</v>
      </c>
      <c r="AB44" s="195">
        <f t="shared" ca="1" si="36"/>
        <v>1130.8041387263897</v>
      </c>
      <c r="AC44" s="195">
        <f t="shared" ref="AC44:AR44" ca="1" si="37">-AC41/AC22*1000</f>
        <v>1106.261183042428</v>
      </c>
      <c r="AD44" s="195">
        <f t="shared" ca="1" si="37"/>
        <v>1106.2611830424278</v>
      </c>
      <c r="AE44" s="195">
        <f t="shared" ca="1" si="37"/>
        <v>1081.7182273584665</v>
      </c>
      <c r="AF44" s="195">
        <f t="shared" ca="1" si="37"/>
        <v>1081.7182273584663</v>
      </c>
      <c r="AG44" s="195">
        <f t="shared" ca="1" si="37"/>
        <v>1055.2252716745047</v>
      </c>
      <c r="AH44" s="195">
        <f t="shared" ca="1" si="37"/>
        <v>1055.2252716745049</v>
      </c>
      <c r="AI44" s="195">
        <f t="shared" ca="1" si="37"/>
        <v>1028.8323159905433</v>
      </c>
      <c r="AJ44" s="195">
        <f t="shared" ca="1" si="37"/>
        <v>1028.8323159905433</v>
      </c>
      <c r="AK44" s="195">
        <f t="shared" ca="1" si="37"/>
        <v>1004.3893603065817</v>
      </c>
      <c r="AL44" s="195">
        <f t="shared" ca="1" si="37"/>
        <v>1004.3893603065817</v>
      </c>
      <c r="AM44" s="195">
        <f t="shared" ca="1" si="37"/>
        <v>1004.3893603065812</v>
      </c>
      <c r="AN44" s="195">
        <f t="shared" ca="1" si="37"/>
        <v>1004.3893603065812</v>
      </c>
      <c r="AO44" s="195">
        <f t="shared" ca="1" si="37"/>
        <v>953.75344893865827</v>
      </c>
      <c r="AP44" s="195">
        <f t="shared" ca="1" si="37"/>
        <v>953.75344893865827</v>
      </c>
      <c r="AQ44" s="195">
        <f t="shared" ca="1" si="37"/>
        <v>953.75344893865827</v>
      </c>
      <c r="AR44" s="195">
        <f t="shared" ca="1" si="37"/>
        <v>953.75344893865827</v>
      </c>
      <c r="AS44" s="195">
        <f ca="1">-AS41/AS22*1000</f>
        <v>953.75344893865827</v>
      </c>
      <c r="AT44" s="195">
        <f ca="1">-AT41/AT22*1000</f>
        <v>953.75344893865827</v>
      </c>
      <c r="AU44" s="195">
        <f ca="1">-AU41/AU22*1000</f>
        <v>853.75344893865815</v>
      </c>
      <c r="AV44" s="195">
        <f ca="1">-AV41/AV22*1000</f>
        <v>853.75344893865815</v>
      </c>
    </row>
    <row r="45" spans="2:48">
      <c r="T45" s="167"/>
      <c r="U45" s="167"/>
      <c r="V45" s="167"/>
      <c r="W45" s="167"/>
      <c r="X45" s="167"/>
      <c r="Y45" s="167"/>
    </row>
    <row r="46" spans="2:48">
      <c r="B46" s="164" t="s">
        <v>241</v>
      </c>
      <c r="C46" s="164"/>
      <c r="D46" s="188"/>
      <c r="E46" s="188"/>
      <c r="F46" s="188"/>
      <c r="G46" s="245"/>
      <c r="H46" s="245"/>
      <c r="I46" s="188"/>
      <c r="J46" s="188"/>
      <c r="K46" s="188"/>
      <c r="L46" s="188"/>
      <c r="M46" s="188"/>
      <c r="N46" s="188"/>
      <c r="Q46" s="188"/>
      <c r="R46" s="188"/>
      <c r="S46" s="284"/>
      <c r="T46" s="284"/>
      <c r="U46" s="284"/>
      <c r="V46" s="284"/>
      <c r="W46" s="284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</row>
    <row r="47" spans="2:48">
      <c r="B47" s="243" t="s">
        <v>242</v>
      </c>
      <c r="C47" s="193" t="s">
        <v>187</v>
      </c>
      <c r="G47" s="186">
        <f ca="1">AVERAGE(OFFSET($Q$47,,(COLUMNS($G$47:G47)-1)*4,,4))</f>
        <v>17.753319173344835</v>
      </c>
      <c r="H47" s="186">
        <f ca="1">AVERAGE(OFFSET($Q$47,,(COLUMNS($G$47:H47)-1)*4,,4))</f>
        <v>114.63917660932202</v>
      </c>
      <c r="I47" s="186">
        <f ca="1">AVERAGE(OFFSET($Q$47,,(COLUMNS($G$47:I47)-1)*4,,4))</f>
        <v>100</v>
      </c>
      <c r="J47" s="186">
        <f ca="1">AVERAGE(OFFSET($Q$47,,(COLUMNS($G$47:J47)-1)*4,,4))</f>
        <v>100</v>
      </c>
      <c r="K47" s="186">
        <f ca="1">AVERAGE(OFFSET($Q$47,,(COLUMNS($G$47:K47)-1)*4,,4))</f>
        <v>100</v>
      </c>
      <c r="L47" s="186">
        <f ca="1">AVERAGE(OFFSET($Q$47,,(COLUMNS($G$47:L47)-1)*4,,4))</f>
        <v>100</v>
      </c>
      <c r="M47" s="186">
        <f ca="1">AVERAGE(OFFSET($Q$47,,(COLUMNS($G$47:M47)-1)*4,,4))</f>
        <v>100</v>
      </c>
      <c r="N47" s="186">
        <f ca="1">AVERAGE(OFFSET($Q$47,,(COLUMNS($G$47:N47)-1)*4,,4))</f>
        <v>50</v>
      </c>
      <c r="S47" s="186">
        <f>-S38/S$19*10^3</f>
        <v>16.707470389730695</v>
      </c>
      <c r="T47" s="186">
        <f t="shared" ref="T47:X48" si="38">-T38/T$19*10^3</f>
        <v>18.799167956958975</v>
      </c>
      <c r="U47" s="186">
        <f t="shared" si="38"/>
        <v>68.790064773126687</v>
      </c>
      <c r="V47" s="186">
        <f t="shared" si="38"/>
        <v>230.78707283129734</v>
      </c>
      <c r="W47" s="186">
        <f t="shared" si="38"/>
        <v>83.317011066496917</v>
      </c>
      <c r="X47" s="186">
        <f>-X38/X$19*10^3</f>
        <v>75.662557766367144</v>
      </c>
      <c r="Y47" s="269">
        <v>100</v>
      </c>
      <c r="Z47" s="269">
        <v>100</v>
      </c>
      <c r="AA47" s="269">
        <v>100</v>
      </c>
      <c r="AB47" s="269">
        <v>100</v>
      </c>
      <c r="AC47" s="269">
        <v>100</v>
      </c>
      <c r="AD47" s="269">
        <v>100</v>
      </c>
      <c r="AE47" s="269">
        <v>100</v>
      </c>
      <c r="AF47" s="269">
        <v>100</v>
      </c>
      <c r="AG47" s="269">
        <v>100</v>
      </c>
      <c r="AH47" s="269">
        <v>100</v>
      </c>
      <c r="AI47" s="269">
        <v>100</v>
      </c>
      <c r="AJ47" s="269">
        <v>100</v>
      </c>
      <c r="AK47" s="269">
        <v>100</v>
      </c>
      <c r="AL47" s="269">
        <v>100</v>
      </c>
      <c r="AM47" s="269">
        <v>100</v>
      </c>
      <c r="AN47" s="269">
        <v>100</v>
      </c>
      <c r="AO47" s="269">
        <v>100</v>
      </c>
      <c r="AP47" s="269">
        <v>100</v>
      </c>
      <c r="AQ47" s="269">
        <v>100</v>
      </c>
      <c r="AR47" s="269">
        <v>100</v>
      </c>
      <c r="AS47" s="269">
        <v>100</v>
      </c>
      <c r="AT47" s="269">
        <v>100</v>
      </c>
      <c r="AU47" s="269">
        <v>0</v>
      </c>
      <c r="AV47" s="269">
        <v>0</v>
      </c>
    </row>
    <row r="48" spans="2:48">
      <c r="B48" s="243" t="s">
        <v>243</v>
      </c>
      <c r="C48" s="193" t="s">
        <v>187</v>
      </c>
      <c r="G48" s="186">
        <f ca="1">AVERAGE(OFFSET($Q$48,,(COLUMNS($G$48:G48)-1)*4,,4))</f>
        <v>22.402828391403752</v>
      </c>
      <c r="H48" s="186">
        <f ca="1">AVERAGE(OFFSET($Q$48,,(COLUMNS($G$48:H48)-1)*4,,4))</f>
        <v>128.18177578206024</v>
      </c>
      <c r="I48" s="186">
        <f ca="1">AVERAGE(OFFSET($Q$48,,(COLUMNS($G$48:I48)-1)*4,,4))</f>
        <v>90</v>
      </c>
      <c r="J48" s="186">
        <f ca="1">AVERAGE(OFFSET($Q$48,,(COLUMNS($G$48:J48)-1)*4,,4))</f>
        <v>90</v>
      </c>
      <c r="K48" s="186">
        <f ca="1">AVERAGE(OFFSET($Q$48,,(COLUMNS($G$48:K48)-1)*4,,4))</f>
        <v>90</v>
      </c>
      <c r="L48" s="186">
        <f ca="1">AVERAGE(OFFSET($Q$48,,(COLUMNS($G$48:L48)-1)*4,,4))</f>
        <v>90</v>
      </c>
      <c r="M48" s="186">
        <f ca="1">AVERAGE(OFFSET($Q$48,,(COLUMNS($G$48:M48)-1)*4,,4))</f>
        <v>90</v>
      </c>
      <c r="N48" s="186">
        <f ca="1">AVERAGE(OFFSET($Q$48,,(COLUMNS($G$48:N48)-1)*4,,4))</f>
        <v>0</v>
      </c>
      <c r="S48" s="186">
        <f>-S39/S$19*10^3</f>
        <v>28.055316614834908</v>
      </c>
      <c r="T48" s="186">
        <f t="shared" si="38"/>
        <v>16.750340167972599</v>
      </c>
      <c r="U48" s="186">
        <f t="shared" si="38"/>
        <v>75.200428473396158</v>
      </c>
      <c r="V48" s="186">
        <f t="shared" si="38"/>
        <v>101.33498273284883</v>
      </c>
      <c r="W48" s="186">
        <f t="shared" si="38"/>
        <v>133.41004798746451</v>
      </c>
      <c r="X48" s="186">
        <f t="shared" si="38"/>
        <v>202.78164393453147</v>
      </c>
      <c r="Y48" s="269">
        <v>90</v>
      </c>
      <c r="Z48" s="269">
        <v>90</v>
      </c>
      <c r="AA48" s="269">
        <v>90</v>
      </c>
      <c r="AB48" s="269">
        <v>90</v>
      </c>
      <c r="AC48" s="269">
        <v>90</v>
      </c>
      <c r="AD48" s="269">
        <v>90</v>
      </c>
      <c r="AE48" s="269">
        <v>90</v>
      </c>
      <c r="AF48" s="269">
        <v>90</v>
      </c>
      <c r="AG48" s="269">
        <v>90</v>
      </c>
      <c r="AH48" s="269">
        <v>90</v>
      </c>
      <c r="AI48" s="269">
        <v>90</v>
      </c>
      <c r="AJ48" s="269">
        <v>90</v>
      </c>
      <c r="AK48" s="269">
        <v>90</v>
      </c>
      <c r="AL48" s="269">
        <v>90</v>
      </c>
      <c r="AM48" s="269">
        <v>90</v>
      </c>
      <c r="AN48" s="269">
        <v>90</v>
      </c>
      <c r="AO48" s="269">
        <v>90</v>
      </c>
      <c r="AP48" s="269">
        <v>90</v>
      </c>
      <c r="AQ48" s="269">
        <v>90</v>
      </c>
      <c r="AR48" s="269">
        <v>90</v>
      </c>
      <c r="AS48" s="269">
        <v>0</v>
      </c>
      <c r="AT48" s="269">
        <v>0</v>
      </c>
      <c r="AU48" s="269">
        <v>0</v>
      </c>
      <c r="AV48" s="269">
        <v>0</v>
      </c>
    </row>
    <row r="50" spans="2:48">
      <c r="B50" s="164" t="s">
        <v>19</v>
      </c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</row>
    <row r="51" spans="2:48">
      <c r="B51" s="243" t="s">
        <v>411</v>
      </c>
      <c r="C51" s="193" t="s">
        <v>187</v>
      </c>
      <c r="G51" s="186">
        <f ca="1">AVERAGE(OFFSET($Q$51,,(COLUMNS($G$51:G51)-1)*4,,4))</f>
        <v>943.0415612945668</v>
      </c>
      <c r="H51" s="186">
        <f ca="1">AVERAGE(OFFSET($Q$51,,(COLUMNS($G$51:H51)-1)*4,,4))</f>
        <v>605.56351663887745</v>
      </c>
      <c r="I51" s="186">
        <f ca="1">AVERAGE(OFFSET($Q$51,,(COLUMNS($G$51:I51)-1)*4,,4))</f>
        <v>650</v>
      </c>
      <c r="J51" s="186">
        <f ca="1">AVERAGE(OFFSET($Q$51,,(COLUMNS($G$51:J51)-1)*4,,4))</f>
        <v>650</v>
      </c>
      <c r="K51" s="186">
        <f ca="1">AVERAGE(OFFSET($Q$51,,(COLUMNS($G$51:K51)-1)*4,,4))</f>
        <v>650</v>
      </c>
      <c r="L51" s="186">
        <f ca="1">AVERAGE(OFFSET($Q$51,,(COLUMNS($G$51:L51)-1)*4,,4))</f>
        <v>650</v>
      </c>
      <c r="M51" s="186">
        <f ca="1">AVERAGE(OFFSET($Q$51,,(COLUMNS($G$51:M51)-1)*4,,4))</f>
        <v>500</v>
      </c>
      <c r="N51" s="186">
        <f ca="1">AVERAGE(OFFSET($Q$51,,(COLUMNS($G$51:N51)-1)*4,,4))</f>
        <v>500</v>
      </c>
      <c r="S51" s="168">
        <f>-S36/S$19*10^3</f>
        <v>1313.2402567326142</v>
      </c>
      <c r="T51" s="168">
        <f t="shared" ref="T51:V51" si="39">-T36/T$19*10^3</f>
        <v>572.84286585651944</v>
      </c>
      <c r="U51" s="168">
        <f t="shared" si="39"/>
        <v>462.93537750849418</v>
      </c>
      <c r="V51" s="168">
        <f t="shared" si="39"/>
        <v>640.45667749085101</v>
      </c>
      <c r="W51" s="168">
        <f>-W36/W$19*10^3</f>
        <v>668.86201155616482</v>
      </c>
      <c r="X51" s="330">
        <v>650</v>
      </c>
      <c r="Y51" s="330">
        <f>X51</f>
        <v>650</v>
      </c>
      <c r="Z51" s="330">
        <f>Y51</f>
        <v>650</v>
      </c>
      <c r="AA51" s="330">
        <f>Z51</f>
        <v>650</v>
      </c>
      <c r="AB51" s="330">
        <f t="shared" ref="AB51:AV51" si="40">AA51</f>
        <v>650</v>
      </c>
      <c r="AC51" s="330">
        <f t="shared" si="40"/>
        <v>650</v>
      </c>
      <c r="AD51" s="330">
        <f t="shared" si="40"/>
        <v>650</v>
      </c>
      <c r="AE51" s="330">
        <f t="shared" si="40"/>
        <v>650</v>
      </c>
      <c r="AF51" s="330">
        <f t="shared" si="40"/>
        <v>650</v>
      </c>
      <c r="AG51" s="330">
        <f t="shared" si="40"/>
        <v>650</v>
      </c>
      <c r="AH51" s="330">
        <f t="shared" si="40"/>
        <v>650</v>
      </c>
      <c r="AI51" s="330">
        <f t="shared" si="40"/>
        <v>650</v>
      </c>
      <c r="AJ51" s="330">
        <f t="shared" si="40"/>
        <v>650</v>
      </c>
      <c r="AK51" s="330">
        <f t="shared" si="40"/>
        <v>650</v>
      </c>
      <c r="AL51" s="330">
        <f t="shared" si="40"/>
        <v>650</v>
      </c>
      <c r="AM51" s="330">
        <f t="shared" si="40"/>
        <v>650</v>
      </c>
      <c r="AN51" s="330">
        <f t="shared" si="40"/>
        <v>650</v>
      </c>
      <c r="AO51" s="330">
        <v>500</v>
      </c>
      <c r="AP51" s="330">
        <f t="shared" si="40"/>
        <v>500</v>
      </c>
      <c r="AQ51" s="330">
        <f t="shared" si="40"/>
        <v>500</v>
      </c>
      <c r="AR51" s="330">
        <f t="shared" si="40"/>
        <v>500</v>
      </c>
      <c r="AS51" s="330">
        <f t="shared" si="40"/>
        <v>500</v>
      </c>
      <c r="AT51" s="330">
        <f t="shared" si="40"/>
        <v>500</v>
      </c>
      <c r="AU51" s="330">
        <f t="shared" si="40"/>
        <v>500</v>
      </c>
      <c r="AV51" s="330">
        <f t="shared" si="40"/>
        <v>500</v>
      </c>
    </row>
  </sheetData>
  <mergeCells count="1">
    <mergeCell ref="AX4:AX5"/>
  </mergeCells>
  <phoneticPr fontId="48" type="noConversion"/>
  <pageMargins left="0.7" right="0.7" top="0.75" bottom="0.75" header="0.3" footer="0.3"/>
  <ignoredErrors>
    <ignoredError sqref="X12 X38:X39" formulaRange="1"/>
    <ignoredError sqref="AO12 AK12 AG12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CD490-4723-6345-99A4-E0D3B118B909}">
  <dimension ref="B2:BJ51"/>
  <sheetViews>
    <sheetView topLeftCell="B1" zoomScale="120" zoomScaleNormal="120" workbookViewId="0">
      <pane xSplit="2" ySplit="5" topLeftCell="D25" activePane="bottomRight" state="frozen"/>
      <selection activeCell="B1" sqref="B1"/>
      <selection pane="topRight" activeCell="D1" sqref="D1"/>
      <selection pane="bottomLeft" activeCell="B6" sqref="B6"/>
      <selection pane="bottomRight" activeCell="E5" sqref="E5"/>
    </sheetView>
  </sheetViews>
  <sheetFormatPr baseColWidth="10" defaultRowHeight="14" outlineLevelCol="1"/>
  <cols>
    <col min="1" max="1" width="2.6640625" customWidth="1"/>
    <col min="2" max="2" width="34.33203125" bestFit="1" customWidth="1"/>
    <col min="3" max="3" width="8" customWidth="1"/>
    <col min="4" max="4" width="18.83203125" bestFit="1" customWidth="1"/>
    <col min="5" max="5" width="10.83203125" outlineLevel="1"/>
    <col min="6" max="6" width="12" customWidth="1" outlineLevel="1"/>
    <col min="7" max="15" width="10.83203125" outlineLevel="1"/>
    <col min="16" max="16" width="2.33203125" customWidth="1"/>
    <col min="17" max="17" width="13.5" bestFit="1" customWidth="1"/>
    <col min="61" max="61" width="2" customWidth="1"/>
    <col min="62" max="62" width="10.1640625" customWidth="1"/>
  </cols>
  <sheetData>
    <row r="2" spans="2:62" ht="18">
      <c r="B2" s="158" t="s">
        <v>266</v>
      </c>
    </row>
    <row r="3" spans="2:62" ht="18">
      <c r="B3" s="158" t="s">
        <v>247</v>
      </c>
    </row>
    <row r="4" spans="2:62">
      <c r="B4" s="160"/>
      <c r="C4" s="183" t="s">
        <v>128</v>
      </c>
      <c r="D4" s="161" t="s">
        <v>129</v>
      </c>
      <c r="E4" s="162">
        <f>YEAR(SUMMARY!B7)</f>
        <v>2020</v>
      </c>
      <c r="F4" s="163">
        <f>E4+1</f>
        <v>2021</v>
      </c>
      <c r="G4" s="163">
        <f t="shared" ref="G4:N4" si="0">F4+1</f>
        <v>2022</v>
      </c>
      <c r="H4" s="163">
        <f t="shared" si="0"/>
        <v>2023</v>
      </c>
      <c r="I4" s="163">
        <f t="shared" si="0"/>
        <v>2024</v>
      </c>
      <c r="J4" s="163">
        <f t="shared" si="0"/>
        <v>2025</v>
      </c>
      <c r="K4" s="163">
        <f t="shared" si="0"/>
        <v>2026</v>
      </c>
      <c r="L4" s="163">
        <f t="shared" si="0"/>
        <v>2027</v>
      </c>
      <c r="M4" s="163">
        <f t="shared" si="0"/>
        <v>2028</v>
      </c>
      <c r="N4" s="163">
        <f t="shared" si="0"/>
        <v>2029</v>
      </c>
      <c r="O4" s="163">
        <f>N4+1</f>
        <v>2030</v>
      </c>
      <c r="Q4" s="286" t="s">
        <v>222</v>
      </c>
      <c r="R4" s="287" t="s">
        <v>194</v>
      </c>
      <c r="S4" s="287" t="s">
        <v>195</v>
      </c>
      <c r="T4" s="287" t="s">
        <v>196</v>
      </c>
      <c r="U4" s="287" t="s">
        <v>197</v>
      </c>
      <c r="V4" s="287" t="s">
        <v>198</v>
      </c>
      <c r="W4" s="287" t="s">
        <v>199</v>
      </c>
      <c r="X4" s="287" t="s">
        <v>200</v>
      </c>
      <c r="Y4" s="287" t="s">
        <v>201</v>
      </c>
      <c r="Z4" s="287" t="s">
        <v>202</v>
      </c>
      <c r="AA4" s="287" t="s">
        <v>203</v>
      </c>
      <c r="AB4" s="287" t="s">
        <v>204</v>
      </c>
      <c r="AC4" s="287" t="s">
        <v>205</v>
      </c>
      <c r="AD4" s="287" t="s">
        <v>206</v>
      </c>
      <c r="AE4" s="287" t="s">
        <v>207</v>
      </c>
      <c r="AF4" s="287" t="s">
        <v>208</v>
      </c>
      <c r="AG4" s="287" t="s">
        <v>209</v>
      </c>
      <c r="AH4" s="287" t="s">
        <v>210</v>
      </c>
      <c r="AI4" s="287" t="s">
        <v>211</v>
      </c>
      <c r="AJ4" s="287" t="s">
        <v>212</v>
      </c>
      <c r="AK4" s="287" t="s">
        <v>213</v>
      </c>
      <c r="AL4" s="287" t="s">
        <v>214</v>
      </c>
      <c r="AM4" s="287" t="s">
        <v>215</v>
      </c>
      <c r="AN4" s="287" t="s">
        <v>216</v>
      </c>
      <c r="AO4" s="287" t="s">
        <v>217</v>
      </c>
      <c r="AP4" s="287" t="s">
        <v>218</v>
      </c>
      <c r="AQ4" s="287" t="s">
        <v>219</v>
      </c>
      <c r="AR4" s="287" t="s">
        <v>220</v>
      </c>
      <c r="AS4" s="287" t="s">
        <v>221</v>
      </c>
      <c r="AT4" s="287" t="s">
        <v>228</v>
      </c>
      <c r="AU4" s="287" t="s">
        <v>229</v>
      </c>
      <c r="AV4" s="287" t="s">
        <v>230</v>
      </c>
      <c r="AW4" s="287" t="s">
        <v>231</v>
      </c>
      <c r="AX4" s="287" t="s">
        <v>232</v>
      </c>
      <c r="AY4" s="287" t="s">
        <v>233</v>
      </c>
      <c r="AZ4" s="287" t="s">
        <v>234</v>
      </c>
      <c r="BA4" s="287" t="s">
        <v>235</v>
      </c>
      <c r="BB4" s="287" t="s">
        <v>236</v>
      </c>
      <c r="BC4" s="287" t="s">
        <v>237</v>
      </c>
      <c r="BD4" s="287" t="s">
        <v>238</v>
      </c>
      <c r="BE4" s="287" t="s">
        <v>239</v>
      </c>
      <c r="BF4" s="287" t="s">
        <v>248</v>
      </c>
      <c r="BG4" s="287" t="s">
        <v>249</v>
      </c>
      <c r="BH4" s="287" t="s">
        <v>250</v>
      </c>
      <c r="BJ4" s="356" t="s">
        <v>154</v>
      </c>
    </row>
    <row r="5" spans="2:62">
      <c r="B5" s="164"/>
      <c r="C5" s="184"/>
      <c r="D5" s="165" t="s">
        <v>158</v>
      </c>
      <c r="E5" s="194">
        <v>10</v>
      </c>
      <c r="F5" s="194">
        <v>9</v>
      </c>
      <c r="G5" s="194">
        <v>8</v>
      </c>
      <c r="H5" s="194">
        <v>7</v>
      </c>
      <c r="I5" s="194">
        <v>6</v>
      </c>
      <c r="J5" s="194">
        <v>5</v>
      </c>
      <c r="K5" s="194">
        <v>4</v>
      </c>
      <c r="L5" s="194">
        <v>3</v>
      </c>
      <c r="M5" s="194">
        <v>2</v>
      </c>
      <c r="N5" s="194">
        <v>1</v>
      </c>
      <c r="O5" s="194">
        <v>0</v>
      </c>
      <c r="Q5" s="164" t="s">
        <v>158</v>
      </c>
      <c r="R5" s="188">
        <v>10.75</v>
      </c>
      <c r="S5" s="188">
        <v>10.5</v>
      </c>
      <c r="T5" s="188">
        <v>10.25</v>
      </c>
      <c r="U5" s="188">
        <v>10</v>
      </c>
      <c r="V5" s="188">
        <v>9.75</v>
      </c>
      <c r="W5" s="188">
        <v>9.5</v>
      </c>
      <c r="X5" s="188">
        <v>9.25</v>
      </c>
      <c r="Y5" s="188">
        <v>9</v>
      </c>
      <c r="Z5" s="188">
        <v>8.75</v>
      </c>
      <c r="AA5" s="188">
        <v>8.5</v>
      </c>
      <c r="AB5" s="188">
        <v>8.25</v>
      </c>
      <c r="AC5" s="188">
        <v>8</v>
      </c>
      <c r="AD5" s="188">
        <v>7.75</v>
      </c>
      <c r="AE5" s="188">
        <v>7.5</v>
      </c>
      <c r="AF5" s="188">
        <v>7.25</v>
      </c>
      <c r="AG5" s="188">
        <v>7</v>
      </c>
      <c r="AH5" s="188">
        <v>6.75</v>
      </c>
      <c r="AI5" s="188">
        <v>6.5</v>
      </c>
      <c r="AJ5" s="188">
        <v>6.25</v>
      </c>
      <c r="AK5" s="188">
        <v>6</v>
      </c>
      <c r="AL5" s="188">
        <v>5.75</v>
      </c>
      <c r="AM5" s="188">
        <v>5.5</v>
      </c>
      <c r="AN5" s="188">
        <v>5.25</v>
      </c>
      <c r="AO5" s="188">
        <v>5</v>
      </c>
      <c r="AP5" s="188">
        <v>4.75</v>
      </c>
      <c r="AQ5" s="188">
        <v>4.5</v>
      </c>
      <c r="AR5" s="188">
        <v>4.25</v>
      </c>
      <c r="AS5" s="188">
        <v>4</v>
      </c>
      <c r="AT5" s="188">
        <v>3.75</v>
      </c>
      <c r="AU5" s="188">
        <v>3.5</v>
      </c>
      <c r="AV5" s="188">
        <v>3.25</v>
      </c>
      <c r="AW5" s="188">
        <v>3</v>
      </c>
      <c r="AX5" s="188">
        <v>2.75</v>
      </c>
      <c r="AY5" s="188">
        <v>2.5</v>
      </c>
      <c r="AZ5" s="188">
        <v>2.25</v>
      </c>
      <c r="BA5" s="188">
        <v>2</v>
      </c>
      <c r="BB5" s="188">
        <v>1.75</v>
      </c>
      <c r="BC5" s="188">
        <v>1.5</v>
      </c>
      <c r="BD5" s="188">
        <v>1.25</v>
      </c>
      <c r="BE5" s="188">
        <v>1</v>
      </c>
      <c r="BF5" s="188">
        <v>0.75</v>
      </c>
      <c r="BG5" s="188">
        <v>0.5</v>
      </c>
      <c r="BH5" s="188">
        <v>0.25</v>
      </c>
      <c r="BJ5" s="357"/>
    </row>
    <row r="6" spans="2:62" ht="18">
      <c r="B6" s="158" t="s">
        <v>127</v>
      </c>
      <c r="C6" s="178"/>
    </row>
    <row r="7" spans="2:62">
      <c r="C7" s="178"/>
    </row>
    <row r="8" spans="2:62">
      <c r="B8" s="197" t="s">
        <v>132</v>
      </c>
      <c r="C8" s="174" t="s">
        <v>153</v>
      </c>
      <c r="E8" s="186">
        <f ca="1">SUM(OFFSET($R$8,,(COLUMNS(E$8:$E8)-1)*4,,4))</f>
        <v>2433</v>
      </c>
      <c r="F8" s="186">
        <f ca="1">SUM(OFFSET($R$8,,(COLUMNS($E$8:F8)-1)*4,,4))</f>
        <v>2657.8333333333335</v>
      </c>
      <c r="G8" s="186">
        <f ca="1">SUM(OFFSET($R$8,,(COLUMNS($E$8:G8)-1)*4,,4))</f>
        <v>2867.3333333333335</v>
      </c>
      <c r="H8" s="186">
        <f ca="1">SUM(OFFSET($R$8,,(COLUMNS($E$8:H8)-1)*4,,4))</f>
        <v>2867.3333333333335</v>
      </c>
      <c r="I8" s="186">
        <f ca="1">SUM(OFFSET($R$8,,(COLUMNS($E$8:I8)-1)*4,,4))</f>
        <v>2867.3333333333335</v>
      </c>
      <c r="J8" s="186">
        <f ca="1">SUM(OFFSET($R$8,,(COLUMNS($E$8:J8)-1)*4,,4))</f>
        <v>2867.3333333333326</v>
      </c>
      <c r="K8" s="186">
        <f ca="1">SUM(OFFSET($R$8,,(COLUMNS($E$8:K8)-1)*4,,4))</f>
        <v>2867.3333333333321</v>
      </c>
      <c r="L8" s="186">
        <f ca="1">SUM(OFFSET($R$8,,(COLUMNS($E$8:L8)-1)*4,,4))</f>
        <v>2867.3333333333335</v>
      </c>
      <c r="M8" s="186">
        <f ca="1">SUM(OFFSET($R$8,,(COLUMNS($E$8:M8)-1)*4,,4))</f>
        <v>2867.3333333333358</v>
      </c>
      <c r="N8" s="186">
        <f ca="1">SUM(OFFSET($R$8,,(COLUMNS($E$8:N8)-1)*4,,4))</f>
        <v>2867.3333333333358</v>
      </c>
      <c r="O8" s="186">
        <f ca="1">SUM(OFFSET($R$8,,(COLUMNS($E$8:O8)-1)*4,,4))</f>
        <v>2150.5000000000032</v>
      </c>
      <c r="R8">
        <v>665</v>
      </c>
      <c r="S8">
        <v>546</v>
      </c>
      <c r="T8">
        <v>593</v>
      </c>
      <c r="U8">
        <v>629</v>
      </c>
      <c r="V8">
        <v>604</v>
      </c>
      <c r="W8">
        <v>670</v>
      </c>
      <c r="X8">
        <v>667</v>
      </c>
      <c r="Y8" s="186">
        <f>IF(Y9=0,((('Reserves and Resources'!$F$58*1000)-X10)/Y5)/4,Y9)</f>
        <v>716.83333333333337</v>
      </c>
      <c r="Z8" s="186">
        <f>IF(Z9=0,((('Reserves and Resources'!$F$58*1000)-Y10)/Z5)/4,Z9)</f>
        <v>716.83333333333337</v>
      </c>
      <c r="AA8" s="186">
        <f>IF(AA9=0,((('Reserves and Resources'!$F$58*1000)-Z10)/AA5)/4,AA9)</f>
        <v>716.83333333333337</v>
      </c>
      <c r="AB8" s="186">
        <f>IF(AB9=0,((('Reserves and Resources'!$F$58*1000)-AA10)/AB5)/4,AB9)</f>
        <v>716.83333333333337</v>
      </c>
      <c r="AC8" s="186">
        <f>IF(AC9=0,((('Reserves and Resources'!$F$58*1000)-AB10)/AC5)/4,AC9)</f>
        <v>716.83333333333337</v>
      </c>
      <c r="AD8" s="186">
        <f>IF(AD9=0,((('Reserves and Resources'!$F$58*1000)-AC10)/AD5)/4,AD9)</f>
        <v>716.83333333333337</v>
      </c>
      <c r="AE8" s="186">
        <f>IF(AE9=0,((('Reserves and Resources'!$F$58*1000)-AD10)/AE5)/4,AE9)</f>
        <v>716.83333333333337</v>
      </c>
      <c r="AF8" s="186">
        <f>IF(AF9=0,((('Reserves and Resources'!$F$58*1000)-AE10)/AF5)/4,AF9)</f>
        <v>716.83333333333337</v>
      </c>
      <c r="AG8" s="186">
        <f>IF(AG9=0,((('Reserves and Resources'!$F$58*1000)-AF10)/AG5)/4,AG9)</f>
        <v>716.83333333333337</v>
      </c>
      <c r="AH8" s="186">
        <f>IF(AH9=0,((('Reserves and Resources'!$F$58*1000)-AG10)/AH5)/4,AH9)</f>
        <v>716.83333333333337</v>
      </c>
      <c r="AI8" s="186">
        <f>IF(AI9=0,((('Reserves and Resources'!$F$58*1000)-AH10)/AI5)/4,AI9)</f>
        <v>716.83333333333326</v>
      </c>
      <c r="AJ8" s="186">
        <f>IF(AJ9=0,((('Reserves and Resources'!$F$58*1000)-AI10)/AJ5)/4,AJ9)</f>
        <v>716.83333333333326</v>
      </c>
      <c r="AK8" s="186">
        <f>IF(AK9=0,((('Reserves and Resources'!$F$58*1000)-AJ10)/AK5)/4,AK9)</f>
        <v>716.83333333333337</v>
      </c>
      <c r="AL8" s="186">
        <f>IF(AL9=0,((('Reserves and Resources'!$F$58*1000)-AK10)/AL5)/4,AL9)</f>
        <v>716.83333333333326</v>
      </c>
      <c r="AM8" s="186">
        <f>IF(AM9=0,((('Reserves and Resources'!$F$58*1000)-AL10)/AM5)/4,AM9)</f>
        <v>716.83333333333314</v>
      </c>
      <c r="AN8" s="186">
        <f>IF(AN9=0,((('Reserves and Resources'!$F$58*1000)-AM10)/AN5)/4,AN9)</f>
        <v>716.83333333333314</v>
      </c>
      <c r="AO8" s="186">
        <f>IF(AO9=0,((('Reserves and Resources'!$F$58*1000)-AN10)/AO5)/4,AO9)</f>
        <v>716.83333333333314</v>
      </c>
      <c r="AP8" s="186">
        <f>IF(AP9=0,((('Reserves and Resources'!$F$58*1000)-AO10)/AP5)/4,AP9)</f>
        <v>716.83333333333303</v>
      </c>
      <c r="AQ8" s="186">
        <f>IF(AQ9=0,((('Reserves and Resources'!$F$58*1000)-AP10)/AQ5)/4,AQ9)</f>
        <v>716.83333333333314</v>
      </c>
      <c r="AR8" s="186">
        <f>IF(AR9=0,((('Reserves and Resources'!$F$58*1000)-AQ10)/AR5)/4,AR9)</f>
        <v>716.83333333333314</v>
      </c>
      <c r="AS8" s="186">
        <f>IF(AS9=0,((('Reserves and Resources'!$F$58*1000)-AR10)/AS5)/4,AS9)</f>
        <v>716.83333333333326</v>
      </c>
      <c r="AT8" s="186">
        <f>IF(AT9=0,((('Reserves and Resources'!$F$58*1000)-AS10)/AT5)/4,AT9)</f>
        <v>716.83333333333337</v>
      </c>
      <c r="AU8" s="186">
        <f>IF(AU9=0,((('Reserves and Resources'!$F$58*1000)-AT10)/AU5)/4,AU9)</f>
        <v>716.83333333333337</v>
      </c>
      <c r="AV8" s="186">
        <f>IF(AV9=0,((('Reserves and Resources'!$F$58*1000)-AU10)/AV5)/4,AV9)</f>
        <v>716.83333333333348</v>
      </c>
      <c r="AW8" s="186">
        <f>IF(AW9=0,((('Reserves and Resources'!$F$58*1000)-AV10)/AW5)/4,AW9)</f>
        <v>716.8333333333336</v>
      </c>
      <c r="AX8" s="186">
        <f>IF(AX9=0,((('Reserves and Resources'!$F$58*1000)-AW10)/AX5)/4,AX9)</f>
        <v>716.83333333333383</v>
      </c>
      <c r="AY8" s="186">
        <f>IF(AY9=0,((('Reserves and Resources'!$F$58*1000)-AX10)/AY5)/4,AY9)</f>
        <v>716.83333333333394</v>
      </c>
      <c r="AZ8" s="186">
        <f>IF(AZ9=0,((('Reserves and Resources'!$F$58*1000)-AY10)/AZ5)/4,AZ9)</f>
        <v>716.83333333333417</v>
      </c>
      <c r="BA8" s="186">
        <f>IF(BA9=0,((('Reserves and Resources'!$F$58*1000)-AZ10)/BA5)/4,BA9)</f>
        <v>716.83333333333394</v>
      </c>
      <c r="BB8" s="186">
        <f>IF(BB9=0,((('Reserves and Resources'!$F$58*1000)-BA10)/BB5)/4,BB9)</f>
        <v>716.83333333333371</v>
      </c>
      <c r="BC8" s="186">
        <f>IF(BC9=0,((('Reserves and Resources'!$F$58*1000)-BB10)/BC5)/4,BC9)</f>
        <v>716.83333333333394</v>
      </c>
      <c r="BD8" s="186">
        <f>IF(BD9=0,((('Reserves and Resources'!$F$58*1000)-BC10)/BD5)/4,BD9)</f>
        <v>716.83333333333428</v>
      </c>
      <c r="BE8" s="186">
        <f>IF(BE9=0,((('Reserves and Resources'!$F$58*1000)-BD10)/BE5)/4,BE9)</f>
        <v>716.83333333333394</v>
      </c>
      <c r="BF8" s="186">
        <f>IF(BF9=0,((('Reserves and Resources'!$F$58*1000)-BE10)/BF5)/4,BF9)</f>
        <v>716.83333333333337</v>
      </c>
      <c r="BG8" s="186">
        <f>IF(BG9=0,((('Reserves and Resources'!$F$58*1000)-BF10)/BG5)/4,BG9)</f>
        <v>716.83333333333394</v>
      </c>
      <c r="BH8" s="186">
        <f>IF(BH9=0,((('Reserves and Resources'!$F$58*1000)-BG10)/BH5)/4,BH9)</f>
        <v>716.83333333333576</v>
      </c>
      <c r="BI8" s="186"/>
      <c r="BJ8" s="262" t="s">
        <v>160</v>
      </c>
    </row>
    <row r="9" spans="2:62" ht="16">
      <c r="B9" s="166"/>
      <c r="C9" s="174"/>
      <c r="E9" s="168"/>
      <c r="F9" s="168"/>
      <c r="G9" s="168"/>
      <c r="H9" s="253"/>
      <c r="I9" s="253"/>
      <c r="J9" s="253"/>
      <c r="K9" s="253"/>
      <c r="L9" s="253"/>
      <c r="M9" s="253"/>
      <c r="N9" s="253"/>
      <c r="O9" s="253"/>
      <c r="Y9" s="264"/>
      <c r="Z9" s="270"/>
      <c r="AA9" s="270"/>
      <c r="AB9" s="270"/>
      <c r="AC9" s="270"/>
      <c r="BJ9" s="156" t="s">
        <v>159</v>
      </c>
    </row>
    <row r="10" spans="2:62">
      <c r="B10" s="156" t="s">
        <v>133</v>
      </c>
      <c r="C10" s="174" t="s">
        <v>153</v>
      </c>
      <c r="D10" s="156"/>
      <c r="E10" s="186">
        <f t="shared" ref="E10:O10" ca="1" si="1">IF(E8=0,0,E8+D10)</f>
        <v>2433</v>
      </c>
      <c r="F10" s="186">
        <f t="shared" ca="1" si="1"/>
        <v>5090.8333333333339</v>
      </c>
      <c r="G10" s="186">
        <f t="shared" ca="1" si="1"/>
        <v>7958.1666666666679</v>
      </c>
      <c r="H10" s="186">
        <f t="shared" ca="1" si="1"/>
        <v>10825.500000000002</v>
      </c>
      <c r="I10" s="186">
        <f t="shared" ca="1" si="1"/>
        <v>13692.833333333336</v>
      </c>
      <c r="J10" s="186">
        <f t="shared" ca="1" si="1"/>
        <v>16560.166666666668</v>
      </c>
      <c r="K10" s="186">
        <f t="shared" ca="1" si="1"/>
        <v>19427.5</v>
      </c>
      <c r="L10" s="186">
        <f t="shared" ca="1" si="1"/>
        <v>22294.833333333332</v>
      </c>
      <c r="M10" s="186">
        <f t="shared" ca="1" si="1"/>
        <v>25162.166666666668</v>
      </c>
      <c r="N10" s="186">
        <f t="shared" ca="1" si="1"/>
        <v>28029.500000000004</v>
      </c>
      <c r="O10" s="186">
        <f t="shared" ca="1" si="1"/>
        <v>30180.000000000007</v>
      </c>
      <c r="R10" s="186">
        <f>IF(R8=0,0,R8+Q10)</f>
        <v>665</v>
      </c>
      <c r="S10" s="186">
        <f>IF(S8=0,0,S8+R10)</f>
        <v>1211</v>
      </c>
      <c r="T10" s="186">
        <f t="shared" ref="T10:AR10" si="2">IF(T8=0,0,T8+S10)</f>
        <v>1804</v>
      </c>
      <c r="U10" s="186">
        <f t="shared" si="2"/>
        <v>2433</v>
      </c>
      <c r="V10" s="186">
        <f t="shared" si="2"/>
        <v>3037</v>
      </c>
      <c r="W10" s="186">
        <f t="shared" si="2"/>
        <v>3707</v>
      </c>
      <c r="X10" s="186">
        <f t="shared" si="2"/>
        <v>4374</v>
      </c>
      <c r="Y10" s="186">
        <f t="shared" si="2"/>
        <v>5090.833333333333</v>
      </c>
      <c r="Z10" s="186">
        <f t="shared" si="2"/>
        <v>5807.6666666666661</v>
      </c>
      <c r="AA10" s="186">
        <f t="shared" si="2"/>
        <v>6524.4999999999991</v>
      </c>
      <c r="AB10" s="186">
        <f t="shared" si="2"/>
        <v>7241.3333333333321</v>
      </c>
      <c r="AC10" s="186">
        <f t="shared" si="2"/>
        <v>7958.1666666666652</v>
      </c>
      <c r="AD10" s="186">
        <f t="shared" si="2"/>
        <v>8674.9999999999982</v>
      </c>
      <c r="AE10" s="186">
        <f t="shared" si="2"/>
        <v>9391.8333333333321</v>
      </c>
      <c r="AF10" s="186">
        <f t="shared" si="2"/>
        <v>10108.666666666666</v>
      </c>
      <c r="AG10" s="186">
        <f t="shared" si="2"/>
        <v>10825.5</v>
      </c>
      <c r="AH10" s="186">
        <f t="shared" si="2"/>
        <v>11542.333333333334</v>
      </c>
      <c r="AI10" s="186">
        <f t="shared" si="2"/>
        <v>12259.166666666668</v>
      </c>
      <c r="AJ10" s="186">
        <f t="shared" si="2"/>
        <v>12976.000000000002</v>
      </c>
      <c r="AK10" s="186">
        <f t="shared" si="2"/>
        <v>13692.833333333336</v>
      </c>
      <c r="AL10" s="186">
        <f t="shared" si="2"/>
        <v>14409.66666666667</v>
      </c>
      <c r="AM10" s="186">
        <f t="shared" si="2"/>
        <v>15126.500000000004</v>
      </c>
      <c r="AN10" s="186">
        <f t="shared" si="2"/>
        <v>15843.333333333338</v>
      </c>
      <c r="AO10" s="186">
        <f t="shared" si="2"/>
        <v>16560.166666666672</v>
      </c>
      <c r="AP10" s="186">
        <f t="shared" si="2"/>
        <v>17277.000000000004</v>
      </c>
      <c r="AQ10" s="186">
        <f t="shared" si="2"/>
        <v>17993.833333333336</v>
      </c>
      <c r="AR10" s="186">
        <f t="shared" si="2"/>
        <v>18710.666666666668</v>
      </c>
      <c r="AS10" s="186">
        <f>IF(AS8=0,0,AS8+AR10)</f>
        <v>19427.5</v>
      </c>
      <c r="AT10" s="186">
        <f>IF(AT8=0,0,AT8+AS10)</f>
        <v>20144.333333333332</v>
      </c>
      <c r="AU10" s="186">
        <f>IF(AU8=0,0,AU8+AT10)</f>
        <v>20861.166666666664</v>
      </c>
      <c r="AV10" s="186">
        <f>IF(AV8=0,0,AV8+AU10)</f>
        <v>21577.999999999996</v>
      </c>
      <c r="AW10" s="186">
        <f>IF(AW8=0,0,AW8+AV10)</f>
        <v>22294.833333333328</v>
      </c>
      <c r="AX10" s="186">
        <f t="shared" ref="AX10:BH10" si="3">IF(AX8=0,0,AX8+AW10)</f>
        <v>23011.666666666661</v>
      </c>
      <c r="AY10" s="186">
        <f t="shared" si="3"/>
        <v>23728.499999999993</v>
      </c>
      <c r="AZ10" s="186">
        <f t="shared" si="3"/>
        <v>24445.333333333328</v>
      </c>
      <c r="BA10" s="186">
        <f t="shared" si="3"/>
        <v>25162.166666666664</v>
      </c>
      <c r="BB10" s="186">
        <f t="shared" si="3"/>
        <v>25878.999999999996</v>
      </c>
      <c r="BC10" s="186">
        <f t="shared" si="3"/>
        <v>26595.833333333328</v>
      </c>
      <c r="BD10" s="186">
        <f t="shared" si="3"/>
        <v>27312.666666666664</v>
      </c>
      <c r="BE10" s="186">
        <f t="shared" si="3"/>
        <v>28029.5</v>
      </c>
      <c r="BF10" s="186">
        <f t="shared" si="3"/>
        <v>28746.333333333332</v>
      </c>
      <c r="BG10" s="186">
        <f t="shared" si="3"/>
        <v>29463.166666666664</v>
      </c>
      <c r="BH10" s="186">
        <f t="shared" si="3"/>
        <v>30180</v>
      </c>
      <c r="BI10" s="186"/>
    </row>
    <row r="11" spans="2:62">
      <c r="C11" s="178"/>
    </row>
    <row r="12" spans="2:62">
      <c r="B12" t="s">
        <v>134</v>
      </c>
      <c r="C12" s="178" t="s">
        <v>139</v>
      </c>
      <c r="E12" s="263">
        <f ca="1">AVERAGE(OFFSET($R$12,,(COLUMNS(E$12:$E12)-1)*4,,4))</f>
        <v>3.0225</v>
      </c>
      <c r="F12" s="263">
        <f ca="1">AVERAGE(OFFSET($R$12,,(COLUMNS($E$12:F12)-1)*4,,4))</f>
        <v>2.6300000000000003</v>
      </c>
      <c r="G12" s="263">
        <f ca="1">AVERAGE(OFFSET($R$12,,(COLUMNS($E$12:G12)-1)*4,,4))</f>
        <v>2.6300000000000003</v>
      </c>
      <c r="H12" s="263">
        <f ca="1">AVERAGE(OFFSET($R$12,,(COLUMNS($E$12:H12)-1)*4,,4))</f>
        <v>2.6300000000000003</v>
      </c>
      <c r="I12" s="263">
        <f ca="1">AVERAGE(OFFSET($R$12,,(COLUMNS($E$12:I12)-1)*4,,4))</f>
        <v>2.4300000000000002</v>
      </c>
      <c r="J12" s="263">
        <f ca="1">AVERAGE(OFFSET($R$12,,(COLUMNS($E$12:J12)-1)*4,,4))</f>
        <v>2.23</v>
      </c>
      <c r="K12" s="263">
        <f ca="1">AVERAGE(OFFSET($R$12,,(COLUMNS($E$12:K12)-1)*4,,4))</f>
        <v>2.0299999999999998</v>
      </c>
      <c r="L12" s="263">
        <f ca="1">AVERAGE(OFFSET($R$12,,(COLUMNS($E$12:L12)-1)*4,,4))</f>
        <v>1.8299999999999998</v>
      </c>
      <c r="M12" s="263">
        <f ca="1">AVERAGE(OFFSET($R$12,,(COLUMNS($E$12:M12)-1)*4,,4))</f>
        <v>1.8299999999999998</v>
      </c>
      <c r="N12" s="263">
        <f ca="1">AVERAGE(OFFSET($R$12,,(COLUMNS($E$12:N12)-1)*4,,4))</f>
        <v>1.8299999999999998</v>
      </c>
      <c r="O12" s="263">
        <f ca="1">AVERAGE(OFFSET($R$12,,(COLUMNS($E$12:O12)-1)*4,,4))</f>
        <v>1.8299999999999998</v>
      </c>
      <c r="R12">
        <v>2.4900000000000002</v>
      </c>
      <c r="S12">
        <v>2.84</v>
      </c>
      <c r="T12">
        <v>3.43</v>
      </c>
      <c r="U12">
        <v>3.33</v>
      </c>
      <c r="V12">
        <v>2.9</v>
      </c>
      <c r="W12">
        <v>2.4900000000000002</v>
      </c>
      <c r="X12">
        <v>2.5</v>
      </c>
      <c r="Y12" s="263">
        <f>AVERAGE(V12:X12)</f>
        <v>2.6300000000000003</v>
      </c>
      <c r="Z12" s="263">
        <f>Y12</f>
        <v>2.6300000000000003</v>
      </c>
      <c r="AA12" s="263">
        <f t="shared" ref="AA12:AS12" si="4">Z12</f>
        <v>2.6300000000000003</v>
      </c>
      <c r="AB12" s="263">
        <f t="shared" si="4"/>
        <v>2.6300000000000003</v>
      </c>
      <c r="AC12" s="263">
        <f t="shared" si="4"/>
        <v>2.6300000000000003</v>
      </c>
      <c r="AD12" s="263">
        <f t="shared" si="4"/>
        <v>2.6300000000000003</v>
      </c>
      <c r="AE12" s="263">
        <f t="shared" si="4"/>
        <v>2.6300000000000003</v>
      </c>
      <c r="AF12" s="263">
        <f t="shared" si="4"/>
        <v>2.6300000000000003</v>
      </c>
      <c r="AG12" s="263">
        <f t="shared" si="4"/>
        <v>2.6300000000000003</v>
      </c>
      <c r="AH12" s="263">
        <f>AG12-0.2</f>
        <v>2.4300000000000002</v>
      </c>
      <c r="AI12" s="263">
        <f t="shared" si="4"/>
        <v>2.4300000000000002</v>
      </c>
      <c r="AJ12" s="263">
        <f t="shared" si="4"/>
        <v>2.4300000000000002</v>
      </c>
      <c r="AK12" s="263">
        <f t="shared" si="4"/>
        <v>2.4300000000000002</v>
      </c>
      <c r="AL12" s="263">
        <f>AK12-0.2</f>
        <v>2.23</v>
      </c>
      <c r="AM12" s="263">
        <f t="shared" si="4"/>
        <v>2.23</v>
      </c>
      <c r="AN12" s="263">
        <f t="shared" si="4"/>
        <v>2.23</v>
      </c>
      <c r="AO12" s="263">
        <f t="shared" si="4"/>
        <v>2.23</v>
      </c>
      <c r="AP12" s="263">
        <f>AO12-0.2</f>
        <v>2.0299999999999998</v>
      </c>
      <c r="AQ12" s="263">
        <f t="shared" si="4"/>
        <v>2.0299999999999998</v>
      </c>
      <c r="AR12" s="263">
        <f t="shared" si="4"/>
        <v>2.0299999999999998</v>
      </c>
      <c r="AS12" s="263">
        <f t="shared" si="4"/>
        <v>2.0299999999999998</v>
      </c>
      <c r="AT12" s="263">
        <f>AS12-0.2</f>
        <v>1.8299999999999998</v>
      </c>
      <c r="AU12" s="263">
        <f t="shared" ref="AU12:BH12" si="5">AT12</f>
        <v>1.8299999999999998</v>
      </c>
      <c r="AV12" s="263">
        <f t="shared" si="5"/>
        <v>1.8299999999999998</v>
      </c>
      <c r="AW12" s="263">
        <f t="shared" si="5"/>
        <v>1.8299999999999998</v>
      </c>
      <c r="AX12" s="263">
        <f t="shared" si="5"/>
        <v>1.8299999999999998</v>
      </c>
      <c r="AY12" s="263">
        <f t="shared" si="5"/>
        <v>1.8299999999999998</v>
      </c>
      <c r="AZ12" s="263">
        <f t="shared" si="5"/>
        <v>1.8299999999999998</v>
      </c>
      <c r="BA12" s="263">
        <f t="shared" si="5"/>
        <v>1.8299999999999998</v>
      </c>
      <c r="BB12" s="263">
        <f t="shared" si="5"/>
        <v>1.8299999999999998</v>
      </c>
      <c r="BC12" s="263">
        <f t="shared" si="5"/>
        <v>1.8299999999999998</v>
      </c>
      <c r="BD12" s="263">
        <f t="shared" si="5"/>
        <v>1.8299999999999998</v>
      </c>
      <c r="BE12" s="263">
        <f t="shared" si="5"/>
        <v>1.8299999999999998</v>
      </c>
      <c r="BF12" s="263">
        <f t="shared" si="5"/>
        <v>1.8299999999999998</v>
      </c>
      <c r="BG12" s="263">
        <f t="shared" si="5"/>
        <v>1.8299999999999998</v>
      </c>
      <c r="BH12" s="263">
        <f t="shared" si="5"/>
        <v>1.8299999999999998</v>
      </c>
      <c r="BJ12" s="156"/>
    </row>
    <row r="13" spans="2:62">
      <c r="C13" s="178"/>
    </row>
    <row r="14" spans="2:62">
      <c r="B14" t="s">
        <v>135</v>
      </c>
      <c r="C14" s="174" t="s">
        <v>156</v>
      </c>
      <c r="E14" s="186">
        <f ca="1">(E8*E12/31.1035*1000)</f>
        <v>236428.13509733632</v>
      </c>
      <c r="F14" s="186">
        <f ca="1">(F8*F12/31.1035*1000)</f>
        <v>224736.81954335261</v>
      </c>
      <c r="G14" s="186">
        <f ca="1">SUM(OFFSET($R$14,,(COLUMNS($G$14:G14)-1)*4,,4))</f>
        <v>235827.15771536963</v>
      </c>
      <c r="H14" s="186">
        <f ca="1">SUM(OFFSET($R$14,,(COLUMNS($G$14:H14)-1)*4,,4))</f>
        <v>224176.43244865263</v>
      </c>
      <c r="I14" s="186">
        <f ca="1">SUM(OFFSET($R$14,,(COLUMNS($G$14:I14)-1)*4,,4))</f>
        <v>242451.38542822088</v>
      </c>
      <c r="J14" s="186">
        <f ca="1">SUM(OFFSET($R$14,,(COLUMNS($G$14:J14)-1)*4,,4))</f>
        <v>242451.38542822088</v>
      </c>
      <c r="K14" s="186">
        <f ca="1">SUM(OFFSET($R$14,,(COLUMNS($G$14:K14)-1)*4,,4))</f>
        <v>224014.01771504816</v>
      </c>
      <c r="L14" s="186">
        <f ca="1">SUM(OFFSET($R$14,,(COLUMNS($G$14:L14)-1)*4,,4))</f>
        <v>205576.65000187542</v>
      </c>
      <c r="M14" s="186">
        <f ca="1">SUM(OFFSET($R$14,,(COLUMNS($G$14:M14)-1)*4,,4))</f>
        <v>187139.28228870267</v>
      </c>
      <c r="N14" s="186">
        <f ca="1">SUM(OFFSET($R$14,,(COLUMNS($G$14:N14)-1)*4,,4))</f>
        <v>168701.91457553007</v>
      </c>
      <c r="O14" s="186">
        <f ca="1">SUM(OFFSET($R$14,,(COLUMNS($G$14:O14)-1)*4,,4))</f>
        <v>168701.91457553019</v>
      </c>
      <c r="R14" s="186">
        <f>(R8*R12/31.1035*1000)</f>
        <v>53236.773996495569</v>
      </c>
      <c r="S14" s="186">
        <f t="shared" ref="S14:AW14" si="6">(S8*S12/31.1035*1000)</f>
        <v>49854.196473065727</v>
      </c>
      <c r="T14" s="186">
        <f t="shared" si="6"/>
        <v>65394.248235729094</v>
      </c>
      <c r="U14" s="186">
        <f t="shared" si="6"/>
        <v>67341.939010079252</v>
      </c>
      <c r="V14" s="186">
        <f t="shared" si="6"/>
        <v>56315.205684247754</v>
      </c>
      <c r="W14" s="186">
        <f t="shared" si="6"/>
        <v>53637.05049270983</v>
      </c>
      <c r="X14" s="186">
        <f t="shared" si="6"/>
        <v>53611.329914639835</v>
      </c>
      <c r="Y14" s="186">
        <f t="shared" si="6"/>
        <v>60612.846357055219</v>
      </c>
      <c r="Z14" s="186">
        <f t="shared" si="6"/>
        <v>60612.846357055219</v>
      </c>
      <c r="AA14" s="186">
        <f t="shared" si="6"/>
        <v>60612.846357055219</v>
      </c>
      <c r="AB14" s="186">
        <f t="shared" si="6"/>
        <v>60612.846357055219</v>
      </c>
      <c r="AC14" s="186">
        <f t="shared" si="6"/>
        <v>60612.846357055219</v>
      </c>
      <c r="AD14" s="186">
        <f t="shared" si="6"/>
        <v>60612.846357055219</v>
      </c>
      <c r="AE14" s="186">
        <f t="shared" si="6"/>
        <v>60612.846357055219</v>
      </c>
      <c r="AF14" s="186">
        <f t="shared" si="6"/>
        <v>60612.846357055219</v>
      </c>
      <c r="AG14" s="186">
        <f t="shared" si="6"/>
        <v>60612.846357055219</v>
      </c>
      <c r="AH14" s="186">
        <f t="shared" si="6"/>
        <v>56003.50442876204</v>
      </c>
      <c r="AI14" s="186">
        <f t="shared" si="6"/>
        <v>56003.504428762033</v>
      </c>
      <c r="AJ14" s="186">
        <f t="shared" si="6"/>
        <v>56003.504428762033</v>
      </c>
      <c r="AK14" s="186">
        <f t="shared" si="6"/>
        <v>56003.50442876204</v>
      </c>
      <c r="AL14" s="186">
        <f t="shared" si="6"/>
        <v>51394.162500468861</v>
      </c>
      <c r="AM14" s="186">
        <f t="shared" si="6"/>
        <v>51394.162500468854</v>
      </c>
      <c r="AN14" s="186">
        <f t="shared" si="6"/>
        <v>51394.162500468854</v>
      </c>
      <c r="AO14" s="186">
        <f t="shared" si="6"/>
        <v>51394.162500468854</v>
      </c>
      <c r="AP14" s="186">
        <f t="shared" si="6"/>
        <v>46784.820572175668</v>
      </c>
      <c r="AQ14" s="186">
        <f t="shared" si="6"/>
        <v>46784.820572175675</v>
      </c>
      <c r="AR14" s="186">
        <f t="shared" si="6"/>
        <v>46784.820572175675</v>
      </c>
      <c r="AS14" s="186">
        <f t="shared" si="6"/>
        <v>46784.820572175682</v>
      </c>
      <c r="AT14" s="186">
        <f t="shared" si="6"/>
        <v>42175.478643882518</v>
      </c>
      <c r="AU14" s="186">
        <f t="shared" si="6"/>
        <v>42175.478643882518</v>
      </c>
      <c r="AV14" s="186">
        <f t="shared" si="6"/>
        <v>42175.478643882518</v>
      </c>
      <c r="AW14" s="186">
        <f t="shared" si="6"/>
        <v>42175.478643882525</v>
      </c>
      <c r="AX14" s="186">
        <f t="shared" ref="AX14:BH14" si="7">(AX8*AX12/31.1035*1000)</f>
        <v>42175.478643882539</v>
      </c>
      <c r="AY14" s="186">
        <f t="shared" si="7"/>
        <v>42175.478643882547</v>
      </c>
      <c r="AZ14" s="186">
        <f t="shared" si="7"/>
        <v>42175.478643882561</v>
      </c>
      <c r="BA14" s="186">
        <f t="shared" si="7"/>
        <v>42175.478643882547</v>
      </c>
      <c r="BB14" s="186">
        <f t="shared" si="7"/>
        <v>42175.478643882532</v>
      </c>
      <c r="BC14" s="186">
        <f t="shared" si="7"/>
        <v>42175.478643882547</v>
      </c>
      <c r="BD14" s="186">
        <f t="shared" si="7"/>
        <v>42175.478643882576</v>
      </c>
      <c r="BE14" s="186">
        <f t="shared" si="7"/>
        <v>42175.478643882547</v>
      </c>
      <c r="BF14" s="186">
        <f t="shared" si="7"/>
        <v>42175.478643882518</v>
      </c>
      <c r="BG14" s="186">
        <f t="shared" si="7"/>
        <v>42175.478643882547</v>
      </c>
      <c r="BH14" s="186">
        <f t="shared" si="7"/>
        <v>42175.478643882663</v>
      </c>
    </row>
    <row r="15" spans="2:62">
      <c r="B15" s="156" t="s">
        <v>133</v>
      </c>
      <c r="C15" s="174" t="s">
        <v>156</v>
      </c>
      <c r="D15" s="156"/>
      <c r="E15" s="186">
        <f ca="1">IF(E14=0,0,E14+D15)</f>
        <v>236428.13509733632</v>
      </c>
      <c r="F15" s="186">
        <f t="shared" ref="F15:O15" ca="1" si="8">IF(F14=0,0,F14+E15)</f>
        <v>461164.95464068896</v>
      </c>
      <c r="G15" s="186">
        <f t="shared" ca="1" si="8"/>
        <v>696992.11235605855</v>
      </c>
      <c r="H15" s="186">
        <f t="shared" ca="1" si="8"/>
        <v>921168.54480471113</v>
      </c>
      <c r="I15" s="186">
        <f t="shared" ca="1" si="8"/>
        <v>1163619.9302329321</v>
      </c>
      <c r="J15" s="186">
        <f t="shared" ca="1" si="8"/>
        <v>1406071.3156611531</v>
      </c>
      <c r="K15" s="186">
        <f t="shared" ca="1" si="8"/>
        <v>1630085.3333762013</v>
      </c>
      <c r="L15" s="186">
        <f t="shared" ca="1" si="8"/>
        <v>1835661.9833780767</v>
      </c>
      <c r="M15" s="186">
        <f t="shared" ca="1" si="8"/>
        <v>2022801.2656667794</v>
      </c>
      <c r="N15" s="186">
        <f t="shared" ca="1" si="8"/>
        <v>2191503.1802423093</v>
      </c>
      <c r="O15" s="186">
        <f t="shared" ca="1" si="8"/>
        <v>2360205.0948178396</v>
      </c>
      <c r="R15" s="186">
        <f ca="1">IF(R14=0,0,R14+Q15)+E14+F14</f>
        <v>514401.72863718448</v>
      </c>
      <c r="S15" s="186">
        <f ca="1">IF(S14=0,0,S14+R15)</f>
        <v>564255.92511025025</v>
      </c>
      <c r="T15" s="186">
        <f t="shared" ref="T15:AW15" ca="1" si="9">IF(T14=0,0,T14+S15)</f>
        <v>629650.1733459793</v>
      </c>
      <c r="U15" s="186">
        <f t="shared" ca="1" si="9"/>
        <v>696992.11235605855</v>
      </c>
      <c r="V15" s="186">
        <f t="shared" ca="1" si="9"/>
        <v>753307.31804030633</v>
      </c>
      <c r="W15" s="186">
        <f t="shared" ca="1" si="9"/>
        <v>806944.36853301618</v>
      </c>
      <c r="X15" s="186">
        <f t="shared" ca="1" si="9"/>
        <v>860555.698447656</v>
      </c>
      <c r="Y15" s="186">
        <f t="shared" ca="1" si="9"/>
        <v>921168.54480471124</v>
      </c>
      <c r="Z15" s="186">
        <f t="shared" ca="1" si="9"/>
        <v>981781.39116176649</v>
      </c>
      <c r="AA15" s="186">
        <f t="shared" ca="1" si="9"/>
        <v>1042394.2375188217</v>
      </c>
      <c r="AB15" s="186">
        <f t="shared" ca="1" si="9"/>
        <v>1103007.0838758769</v>
      </c>
      <c r="AC15" s="186">
        <f t="shared" ca="1" si="9"/>
        <v>1163619.9302329321</v>
      </c>
      <c r="AD15" s="186">
        <f t="shared" ca="1" si="9"/>
        <v>1224232.7765899873</v>
      </c>
      <c r="AE15" s="186">
        <f t="shared" ca="1" si="9"/>
        <v>1284845.6229470426</v>
      </c>
      <c r="AF15" s="186">
        <f t="shared" ca="1" si="9"/>
        <v>1345458.4693040978</v>
      </c>
      <c r="AG15" s="186">
        <f t="shared" ca="1" si="9"/>
        <v>1406071.3156611531</v>
      </c>
      <c r="AH15" s="186">
        <f t="shared" ca="1" si="9"/>
        <v>1462074.8200899151</v>
      </c>
      <c r="AI15" s="186">
        <f t="shared" ca="1" si="9"/>
        <v>1518078.3245186771</v>
      </c>
      <c r="AJ15" s="186">
        <f t="shared" ca="1" si="9"/>
        <v>1574081.8289474391</v>
      </c>
      <c r="AK15" s="186">
        <f t="shared" ca="1" si="9"/>
        <v>1630085.3333762011</v>
      </c>
      <c r="AL15" s="186">
        <f t="shared" ca="1" si="9"/>
        <v>1681479.4958766699</v>
      </c>
      <c r="AM15" s="186">
        <f t="shared" ca="1" si="9"/>
        <v>1732873.6583771387</v>
      </c>
      <c r="AN15" s="186">
        <f t="shared" ca="1" si="9"/>
        <v>1784267.8208776074</v>
      </c>
      <c r="AO15" s="186">
        <f t="shared" ca="1" si="9"/>
        <v>1835661.9833780762</v>
      </c>
      <c r="AP15" s="186">
        <f t="shared" ca="1" si="9"/>
        <v>1882446.803950252</v>
      </c>
      <c r="AQ15" s="186">
        <f t="shared" ca="1" si="9"/>
        <v>1929231.6245224278</v>
      </c>
      <c r="AR15" s="186">
        <f t="shared" ca="1" si="9"/>
        <v>1976016.4450946036</v>
      </c>
      <c r="AS15" s="186">
        <f t="shared" ca="1" si="9"/>
        <v>2022801.2656667794</v>
      </c>
      <c r="AT15" s="186">
        <f t="shared" ca="1" si="9"/>
        <v>2064976.7443106619</v>
      </c>
      <c r="AU15" s="186">
        <f t="shared" ca="1" si="9"/>
        <v>2107152.2229545442</v>
      </c>
      <c r="AV15" s="186">
        <f t="shared" ca="1" si="9"/>
        <v>2149327.7015984268</v>
      </c>
      <c r="AW15" s="186">
        <f t="shared" ca="1" si="9"/>
        <v>2191503.1802423093</v>
      </c>
      <c r="AX15" s="186">
        <f t="shared" ref="AX15:BH15" ca="1" si="10">IF(AX14=0,0,AX14+AW15)</f>
        <v>2233678.6588861919</v>
      </c>
      <c r="AY15" s="186">
        <f t="shared" ca="1" si="10"/>
        <v>2275854.1375300745</v>
      </c>
      <c r="AZ15" s="186">
        <f t="shared" ca="1" si="10"/>
        <v>2318029.616173957</v>
      </c>
      <c r="BA15" s="186">
        <f t="shared" ca="1" si="10"/>
        <v>2360205.0948178396</v>
      </c>
      <c r="BB15" s="186">
        <f t="shared" ca="1" si="10"/>
        <v>2402380.5734617221</v>
      </c>
      <c r="BC15" s="186">
        <f t="shared" ca="1" si="10"/>
        <v>2444556.0521056047</v>
      </c>
      <c r="BD15" s="186">
        <f t="shared" ca="1" si="10"/>
        <v>2486731.5307494872</v>
      </c>
      <c r="BE15" s="186">
        <f t="shared" ca="1" si="10"/>
        <v>2528907.0093933698</v>
      </c>
      <c r="BF15" s="186">
        <f t="shared" ca="1" si="10"/>
        <v>2571082.4880372523</v>
      </c>
      <c r="BG15" s="186">
        <f t="shared" ca="1" si="10"/>
        <v>2613257.9666811349</v>
      </c>
      <c r="BH15" s="186">
        <f t="shared" ca="1" si="10"/>
        <v>2655433.4453250174</v>
      </c>
    </row>
    <row r="16" spans="2:62">
      <c r="C16" s="178"/>
    </row>
    <row r="17" spans="2:62">
      <c r="B17" t="s">
        <v>136</v>
      </c>
      <c r="C17" s="178" t="s">
        <v>140</v>
      </c>
      <c r="E17" s="273">
        <f ca="1">AVERAGE(OFFSET($R$17,,(COLUMNS(E$17:$G17)-1)*4,,4))</f>
        <v>0.91</v>
      </c>
      <c r="F17" s="273">
        <f ca="1">AVERAGE(OFFSET($R$17,,(COLUMNS(F$17:$G17)-1)*4,,4))</f>
        <v>0.91</v>
      </c>
      <c r="G17" s="273">
        <f ca="1">AVERAGE(OFFSET($R$17,,(COLUMNS(G$17:$G17)-1)*4,,4))</f>
        <v>0.93</v>
      </c>
      <c r="H17" s="273">
        <f ca="1">AVERAGE(OFFSET($R$17,,(COLUMNS($G$17:H17)-1)*4,,4))</f>
        <v>0.91</v>
      </c>
      <c r="I17" s="273">
        <f ca="1">AVERAGE(OFFSET($R$17,,(COLUMNS($G$17:I17)-1)*4,,4))</f>
        <v>0.91</v>
      </c>
      <c r="J17" s="273">
        <f ca="1">AVERAGE(OFFSET($R$17,,(COLUMNS($G$17:J17)-1)*4,,4))</f>
        <v>0.91</v>
      </c>
      <c r="K17" s="273">
        <f ca="1">AVERAGE(OFFSET($R$17,,(COLUMNS($G$17:K17)-1)*4,,4))</f>
        <v>0.91</v>
      </c>
      <c r="L17" s="273">
        <f ca="1">AVERAGE(OFFSET($R$17,,(COLUMNS($G$17:L17)-1)*4,,4))</f>
        <v>0.91</v>
      </c>
      <c r="M17" s="273">
        <f ca="1">AVERAGE(OFFSET($R$17,,(COLUMNS($G$17:M17)-1)*4,,4))</f>
        <v>0.91</v>
      </c>
      <c r="N17" s="273">
        <f ca="1">AVERAGE(OFFSET($R$17,,(COLUMNS($G$17:N17)-1)*4,,4))</f>
        <v>0.91</v>
      </c>
      <c r="O17" s="273">
        <f ca="1">AVERAGE(OFFSET($R$17,,(COLUMNS($G$17:O17)-1)*4,,4))</f>
        <v>0.91</v>
      </c>
      <c r="R17" s="185">
        <v>0.94</v>
      </c>
      <c r="S17" s="185">
        <v>0.93</v>
      </c>
      <c r="T17" s="185">
        <v>0.95</v>
      </c>
      <c r="U17" s="185">
        <v>0.9</v>
      </c>
      <c r="V17" s="185">
        <v>0.9</v>
      </c>
      <c r="W17" s="185">
        <v>0.92</v>
      </c>
      <c r="X17" s="185">
        <v>0.91</v>
      </c>
      <c r="Y17" s="187">
        <v>0.91</v>
      </c>
      <c r="Z17" s="187">
        <f>Y17</f>
        <v>0.91</v>
      </c>
      <c r="AA17" s="187">
        <f t="shared" ref="AA17:BH17" si="11">Z17</f>
        <v>0.91</v>
      </c>
      <c r="AB17" s="187">
        <f t="shared" si="11"/>
        <v>0.91</v>
      </c>
      <c r="AC17" s="187">
        <f t="shared" si="11"/>
        <v>0.91</v>
      </c>
      <c r="AD17" s="187">
        <f t="shared" si="11"/>
        <v>0.91</v>
      </c>
      <c r="AE17" s="187">
        <f t="shared" si="11"/>
        <v>0.91</v>
      </c>
      <c r="AF17" s="187">
        <f t="shared" si="11"/>
        <v>0.91</v>
      </c>
      <c r="AG17" s="187">
        <f t="shared" si="11"/>
        <v>0.91</v>
      </c>
      <c r="AH17" s="187">
        <f t="shared" si="11"/>
        <v>0.91</v>
      </c>
      <c r="AI17" s="187">
        <f t="shared" si="11"/>
        <v>0.91</v>
      </c>
      <c r="AJ17" s="187">
        <f t="shared" si="11"/>
        <v>0.91</v>
      </c>
      <c r="AK17" s="187">
        <f t="shared" si="11"/>
        <v>0.91</v>
      </c>
      <c r="AL17" s="187">
        <f t="shared" si="11"/>
        <v>0.91</v>
      </c>
      <c r="AM17" s="187">
        <f t="shared" si="11"/>
        <v>0.91</v>
      </c>
      <c r="AN17" s="187">
        <f t="shared" si="11"/>
        <v>0.91</v>
      </c>
      <c r="AO17" s="187">
        <f t="shared" si="11"/>
        <v>0.91</v>
      </c>
      <c r="AP17" s="187">
        <f t="shared" si="11"/>
        <v>0.91</v>
      </c>
      <c r="AQ17" s="187">
        <f t="shared" si="11"/>
        <v>0.91</v>
      </c>
      <c r="AR17" s="187">
        <f t="shared" si="11"/>
        <v>0.91</v>
      </c>
      <c r="AS17" s="187">
        <f t="shared" si="11"/>
        <v>0.91</v>
      </c>
      <c r="AT17" s="187">
        <f t="shared" si="11"/>
        <v>0.91</v>
      </c>
      <c r="AU17" s="187">
        <f t="shared" si="11"/>
        <v>0.91</v>
      </c>
      <c r="AV17" s="187">
        <f t="shared" si="11"/>
        <v>0.91</v>
      </c>
      <c r="AW17" s="187">
        <f t="shared" si="11"/>
        <v>0.91</v>
      </c>
      <c r="AX17" s="187">
        <f t="shared" si="11"/>
        <v>0.91</v>
      </c>
      <c r="AY17" s="187">
        <f t="shared" si="11"/>
        <v>0.91</v>
      </c>
      <c r="AZ17" s="187">
        <f t="shared" si="11"/>
        <v>0.91</v>
      </c>
      <c r="BA17" s="187">
        <f t="shared" si="11"/>
        <v>0.91</v>
      </c>
      <c r="BB17" s="187">
        <f t="shared" si="11"/>
        <v>0.91</v>
      </c>
      <c r="BC17" s="187">
        <f t="shared" si="11"/>
        <v>0.91</v>
      </c>
      <c r="BD17" s="187">
        <f t="shared" si="11"/>
        <v>0.91</v>
      </c>
      <c r="BE17" s="187">
        <f t="shared" si="11"/>
        <v>0.91</v>
      </c>
      <c r="BF17" s="187">
        <f t="shared" si="11"/>
        <v>0.91</v>
      </c>
      <c r="BG17" s="187">
        <f t="shared" si="11"/>
        <v>0.91</v>
      </c>
      <c r="BH17" s="187">
        <f t="shared" si="11"/>
        <v>0.91</v>
      </c>
      <c r="BJ17" s="156"/>
    </row>
    <row r="18" spans="2:62">
      <c r="C18" s="178"/>
    </row>
    <row r="19" spans="2:62">
      <c r="B19" t="s">
        <v>137</v>
      </c>
      <c r="C19" s="174" t="s">
        <v>156</v>
      </c>
      <c r="E19" s="168">
        <v>218500</v>
      </c>
      <c r="F19" s="186">
        <f ca="1">SUM(OFFSET($R$19,,(COLUMNS(F$19:$G19)-1)*4,,4))</f>
        <v>205824.69018492027</v>
      </c>
      <c r="G19" s="186">
        <f ca="1">SUM(OFFSET($R$19,,(COLUMNS(G$19:$G19)-1)*4,,4))</f>
        <v>218500</v>
      </c>
      <c r="H19" s="186">
        <f ca="1">SUM(OFFSET($R$19,,(COLUMNS($G$19:H19)-1)*4,,4))</f>
        <v>205824.69018492027</v>
      </c>
      <c r="I19" s="186">
        <f ca="1">SUM(OFFSET($R$19,,(COLUMNS($G$19:I19)-1)*4,,4))</f>
        <v>220630.76073968102</v>
      </c>
      <c r="J19" s="186">
        <f ca="1">SUM(OFFSET($R$19,,(COLUMNS($G$19:J19)-1)*4,,4))</f>
        <v>220630.76073968102</v>
      </c>
      <c r="K19" s="186">
        <f ca="1">SUM(OFFSET($R$19,,(COLUMNS($G$19:K19)-1)*4,,4))</f>
        <v>203852.75612069381</v>
      </c>
      <c r="L19" s="186">
        <f ca="1">SUM(OFFSET($R$19,,(COLUMNS($G$19:L19)-1)*4,,4))</f>
        <v>187074.75150170666</v>
      </c>
      <c r="M19" s="186">
        <f ca="1">SUM(OFFSET($R$19,,(COLUMNS($G$19:M19)-1)*4,,4))</f>
        <v>170296.74688271945</v>
      </c>
      <c r="N19" s="186">
        <f ca="1">SUM(OFFSET($R$19,,(COLUMNS($G$19:N19)-1)*4,,4))</f>
        <v>153518.74226373236</v>
      </c>
      <c r="O19" s="186">
        <f ca="1">SUM(OFFSET($R$19,,(COLUMNS($G$19:O19)-1)*4,,4))</f>
        <v>153518.74226373248</v>
      </c>
      <c r="R19" s="168">
        <v>49900</v>
      </c>
      <c r="S19" s="168">
        <v>47500</v>
      </c>
      <c r="T19" s="168">
        <v>59678</v>
      </c>
      <c r="U19" s="168">
        <v>61422</v>
      </c>
      <c r="V19" s="168">
        <v>52399</v>
      </c>
      <c r="W19" s="168">
        <v>49167</v>
      </c>
      <c r="X19" s="168">
        <v>49101</v>
      </c>
      <c r="Y19" s="186">
        <f>Y14*Y17</f>
        <v>55157.690184920255</v>
      </c>
      <c r="Z19" s="186">
        <f t="shared" ref="Z19:AW19" si="12">Z14*Z17</f>
        <v>55157.690184920255</v>
      </c>
      <c r="AA19" s="186">
        <f t="shared" si="12"/>
        <v>55157.690184920255</v>
      </c>
      <c r="AB19" s="186">
        <f t="shared" si="12"/>
        <v>55157.690184920255</v>
      </c>
      <c r="AC19" s="186">
        <f t="shared" si="12"/>
        <v>55157.690184920255</v>
      </c>
      <c r="AD19" s="186">
        <f t="shared" si="12"/>
        <v>55157.690184920255</v>
      </c>
      <c r="AE19" s="186">
        <f t="shared" si="12"/>
        <v>55157.690184920255</v>
      </c>
      <c r="AF19" s="186">
        <f t="shared" si="12"/>
        <v>55157.690184920255</v>
      </c>
      <c r="AG19" s="186">
        <f t="shared" si="12"/>
        <v>55157.690184920255</v>
      </c>
      <c r="AH19" s="186">
        <f t="shared" si="12"/>
        <v>50963.18903017346</v>
      </c>
      <c r="AI19" s="186">
        <f t="shared" si="12"/>
        <v>50963.189030173453</v>
      </c>
      <c r="AJ19" s="186">
        <f t="shared" si="12"/>
        <v>50963.189030173453</v>
      </c>
      <c r="AK19" s="186">
        <f t="shared" si="12"/>
        <v>50963.18903017346</v>
      </c>
      <c r="AL19" s="186">
        <f t="shared" si="12"/>
        <v>46768.687875426665</v>
      </c>
      <c r="AM19" s="186">
        <f t="shared" si="12"/>
        <v>46768.687875426658</v>
      </c>
      <c r="AN19" s="186">
        <f t="shared" si="12"/>
        <v>46768.687875426658</v>
      </c>
      <c r="AO19" s="186">
        <f t="shared" si="12"/>
        <v>46768.687875426658</v>
      </c>
      <c r="AP19" s="186">
        <f t="shared" si="12"/>
        <v>42574.186720679856</v>
      </c>
      <c r="AQ19" s="186">
        <f t="shared" si="12"/>
        <v>42574.186720679863</v>
      </c>
      <c r="AR19" s="186">
        <f t="shared" si="12"/>
        <v>42574.186720679863</v>
      </c>
      <c r="AS19" s="186">
        <f t="shared" si="12"/>
        <v>42574.186720679871</v>
      </c>
      <c r="AT19" s="186">
        <f t="shared" si="12"/>
        <v>38379.68556593309</v>
      </c>
      <c r="AU19" s="186">
        <f t="shared" si="12"/>
        <v>38379.68556593309</v>
      </c>
      <c r="AV19" s="186">
        <f t="shared" si="12"/>
        <v>38379.68556593309</v>
      </c>
      <c r="AW19" s="186">
        <f t="shared" si="12"/>
        <v>38379.685565933098</v>
      </c>
      <c r="AX19" s="186">
        <f t="shared" ref="AX19:BH19" si="13">AX14*AX17</f>
        <v>38379.685565933112</v>
      </c>
      <c r="AY19" s="186">
        <f t="shared" si="13"/>
        <v>38379.68556593312</v>
      </c>
      <c r="AZ19" s="186">
        <f t="shared" si="13"/>
        <v>38379.685565933134</v>
      </c>
      <c r="BA19" s="186">
        <f t="shared" si="13"/>
        <v>38379.68556593312</v>
      </c>
      <c r="BB19" s="186">
        <f t="shared" si="13"/>
        <v>38379.685565933105</v>
      </c>
      <c r="BC19" s="186">
        <f t="shared" si="13"/>
        <v>38379.68556593312</v>
      </c>
      <c r="BD19" s="186">
        <f t="shared" si="13"/>
        <v>38379.685565933149</v>
      </c>
      <c r="BE19" s="186">
        <f t="shared" si="13"/>
        <v>38379.68556593312</v>
      </c>
      <c r="BF19" s="186">
        <f t="shared" si="13"/>
        <v>38379.68556593309</v>
      </c>
      <c r="BG19" s="186">
        <f t="shared" si="13"/>
        <v>38379.68556593312</v>
      </c>
      <c r="BH19" s="186">
        <f t="shared" si="13"/>
        <v>38379.685565933221</v>
      </c>
    </row>
    <row r="20" spans="2:62">
      <c r="B20" s="156" t="s">
        <v>138</v>
      </c>
      <c r="C20" s="174" t="s">
        <v>156</v>
      </c>
      <c r="D20" s="156"/>
      <c r="E20" s="186">
        <f>IF(E19=0,0,E19+D20)</f>
        <v>218500</v>
      </c>
      <c r="F20" s="186">
        <f t="shared" ref="F20:N20" ca="1" si="14">IF(F19=0,0,F19+E20)</f>
        <v>424324.69018492027</v>
      </c>
      <c r="G20" s="186">
        <f ca="1">IF(G19=0,0,G19+F20)</f>
        <v>642824.69018492033</v>
      </c>
      <c r="H20" s="186">
        <f t="shared" ca="1" si="14"/>
        <v>848649.38036984066</v>
      </c>
      <c r="I20" s="186">
        <f t="shared" ca="1" si="14"/>
        <v>1069280.1411095217</v>
      </c>
      <c r="J20" s="186">
        <f t="shared" ca="1" si="14"/>
        <v>1289910.9018492028</v>
      </c>
      <c r="K20" s="186">
        <f t="shared" ca="1" si="14"/>
        <v>1493763.6579698967</v>
      </c>
      <c r="L20" s="186">
        <f t="shared" ca="1" si="14"/>
        <v>1680838.4094716033</v>
      </c>
      <c r="M20" s="186">
        <f t="shared" ca="1" si="14"/>
        <v>1851135.1563543228</v>
      </c>
      <c r="N20" s="186">
        <f t="shared" ca="1" si="14"/>
        <v>2004653.898618055</v>
      </c>
      <c r="O20" s="186"/>
      <c r="R20" s="186">
        <f ca="1">IF(R19=0,0,R19+Q20)+E19+F19</f>
        <v>474224.69018492027</v>
      </c>
      <c r="S20" s="186">
        <f ca="1">IF(S19=0,0,S19+R20)</f>
        <v>521724.69018492027</v>
      </c>
      <c r="T20" s="186">
        <f t="shared" ref="T20:AW20" ca="1" si="15">IF(T19=0,0,T19+S20)</f>
        <v>581402.69018492033</v>
      </c>
      <c r="U20" s="186">
        <f t="shared" ca="1" si="15"/>
        <v>642824.69018492033</v>
      </c>
      <c r="V20" s="186">
        <f t="shared" ca="1" si="15"/>
        <v>695223.69018492033</v>
      </c>
      <c r="W20" s="186">
        <f t="shared" ca="1" si="15"/>
        <v>744390.69018492033</v>
      </c>
      <c r="X20" s="186">
        <f t="shared" ca="1" si="15"/>
        <v>793491.69018492033</v>
      </c>
      <c r="Y20" s="186">
        <f t="shared" ca="1" si="15"/>
        <v>848649.38036984054</v>
      </c>
      <c r="Z20" s="186">
        <f t="shared" ca="1" si="15"/>
        <v>903807.07055476075</v>
      </c>
      <c r="AA20" s="186">
        <f t="shared" ca="1" si="15"/>
        <v>958964.76073968096</v>
      </c>
      <c r="AB20" s="186">
        <f t="shared" ca="1" si="15"/>
        <v>1014122.4509246012</v>
      </c>
      <c r="AC20" s="186">
        <f t="shared" ca="1" si="15"/>
        <v>1069280.1411095215</v>
      </c>
      <c r="AD20" s="186">
        <f t="shared" ca="1" si="15"/>
        <v>1124437.8312944418</v>
      </c>
      <c r="AE20" s="186">
        <f t="shared" ca="1" si="15"/>
        <v>1179595.5214793622</v>
      </c>
      <c r="AF20" s="186">
        <f t="shared" ca="1" si="15"/>
        <v>1234753.2116642825</v>
      </c>
      <c r="AG20" s="186">
        <f t="shared" ca="1" si="15"/>
        <v>1289910.9018492028</v>
      </c>
      <c r="AH20" s="186">
        <f t="shared" ca="1" si="15"/>
        <v>1340874.0908793763</v>
      </c>
      <c r="AI20" s="186">
        <f t="shared" ca="1" si="15"/>
        <v>1391837.2799095497</v>
      </c>
      <c r="AJ20" s="186">
        <f t="shared" ca="1" si="15"/>
        <v>1442800.4689397232</v>
      </c>
      <c r="AK20" s="186">
        <f t="shared" ca="1" si="15"/>
        <v>1493763.6579698967</v>
      </c>
      <c r="AL20" s="186">
        <f t="shared" ca="1" si="15"/>
        <v>1540532.3458453233</v>
      </c>
      <c r="AM20" s="186">
        <f t="shared" ca="1" si="15"/>
        <v>1587301.0337207499</v>
      </c>
      <c r="AN20" s="186">
        <f t="shared" ca="1" si="15"/>
        <v>1634069.7215961765</v>
      </c>
      <c r="AO20" s="186">
        <f t="shared" ca="1" si="15"/>
        <v>1680838.4094716031</v>
      </c>
      <c r="AP20" s="186">
        <f t="shared" ca="1" si="15"/>
        <v>1723412.5961922829</v>
      </c>
      <c r="AQ20" s="186">
        <f t="shared" ca="1" si="15"/>
        <v>1765986.7829129626</v>
      </c>
      <c r="AR20" s="186">
        <f t="shared" ca="1" si="15"/>
        <v>1808560.9696336426</v>
      </c>
      <c r="AS20" s="186">
        <f t="shared" ca="1" si="15"/>
        <v>1851135.1563543226</v>
      </c>
      <c r="AT20" s="186">
        <f t="shared" ca="1" si="15"/>
        <v>1889514.8419202557</v>
      </c>
      <c r="AU20" s="186">
        <f t="shared" ca="1" si="15"/>
        <v>1927894.5274861888</v>
      </c>
      <c r="AV20" s="186">
        <f t="shared" ca="1" si="15"/>
        <v>1966274.2130521219</v>
      </c>
      <c r="AW20" s="186">
        <f t="shared" ca="1" si="15"/>
        <v>2004653.898618055</v>
      </c>
      <c r="AX20" s="186">
        <f t="shared" ref="AX20:BH20" ca="1" si="16">IF(AX19=0,0,AX19+AW20)</f>
        <v>2043033.5841839882</v>
      </c>
      <c r="AY20" s="186">
        <f t="shared" ca="1" si="16"/>
        <v>2081413.2697499213</v>
      </c>
      <c r="AZ20" s="186">
        <f t="shared" ca="1" si="16"/>
        <v>2119792.9553158544</v>
      </c>
      <c r="BA20" s="186">
        <f t="shared" ca="1" si="16"/>
        <v>2158172.6408817875</v>
      </c>
      <c r="BB20" s="186">
        <f t="shared" ca="1" si="16"/>
        <v>2196552.3264477206</v>
      </c>
      <c r="BC20" s="186">
        <f t="shared" ca="1" si="16"/>
        <v>2234932.0120136538</v>
      </c>
      <c r="BD20" s="186">
        <f t="shared" ca="1" si="16"/>
        <v>2273311.6975795869</v>
      </c>
      <c r="BE20" s="186">
        <f t="shared" ca="1" si="16"/>
        <v>2311691.38314552</v>
      </c>
      <c r="BF20" s="186">
        <f t="shared" ca="1" si="16"/>
        <v>2350071.0687114531</v>
      </c>
      <c r="BG20" s="186">
        <f t="shared" ca="1" si="16"/>
        <v>2388450.7542773862</v>
      </c>
      <c r="BH20" s="186">
        <f t="shared" ca="1" si="16"/>
        <v>2426830.4398433194</v>
      </c>
    </row>
    <row r="21" spans="2:62">
      <c r="C21" s="174"/>
    </row>
    <row r="22" spans="2:62">
      <c r="B22" s="156" t="s">
        <v>155</v>
      </c>
      <c r="C22" s="174" t="s">
        <v>156</v>
      </c>
      <c r="E22" s="168">
        <v>214403</v>
      </c>
      <c r="F22" s="186">
        <f ca="1">F19</f>
        <v>205824.69018492027</v>
      </c>
      <c r="G22" s="186">
        <f ca="1">G19</f>
        <v>218500</v>
      </c>
      <c r="H22" s="186">
        <f ca="1">H19</f>
        <v>205824.69018492027</v>
      </c>
      <c r="I22" s="186">
        <f t="shared" ref="I22:O22" ca="1" si="17">I19</f>
        <v>220630.76073968102</v>
      </c>
      <c r="J22" s="186">
        <f t="shared" ca="1" si="17"/>
        <v>220630.76073968102</v>
      </c>
      <c r="K22" s="186">
        <f t="shared" ca="1" si="17"/>
        <v>203852.75612069381</v>
      </c>
      <c r="L22" s="186">
        <f t="shared" ca="1" si="17"/>
        <v>187074.75150170666</v>
      </c>
      <c r="M22" s="186">
        <f t="shared" ca="1" si="17"/>
        <v>170296.74688271945</v>
      </c>
      <c r="N22" s="186">
        <f t="shared" ca="1" si="17"/>
        <v>153518.74226373236</v>
      </c>
      <c r="O22" s="186">
        <f t="shared" ca="1" si="17"/>
        <v>153518.74226373248</v>
      </c>
      <c r="R22" s="168">
        <v>51800</v>
      </c>
      <c r="S22" s="168">
        <v>38900</v>
      </c>
      <c r="T22" s="168">
        <v>67806</v>
      </c>
      <c r="U22" s="168">
        <v>55897</v>
      </c>
      <c r="V22" s="168">
        <v>60554</v>
      </c>
      <c r="W22" s="168">
        <v>49769</v>
      </c>
      <c r="X22" s="168">
        <v>48762</v>
      </c>
      <c r="Y22" s="168">
        <f>Y19</f>
        <v>55157.690184920255</v>
      </c>
      <c r="Z22" s="168">
        <f>Z19</f>
        <v>55157.690184920255</v>
      </c>
      <c r="AA22" s="168">
        <f t="shared" ref="AA22:BH22" si="18">AA19</f>
        <v>55157.690184920255</v>
      </c>
      <c r="AB22" s="168">
        <f t="shared" si="18"/>
        <v>55157.690184920255</v>
      </c>
      <c r="AC22" s="168">
        <f t="shared" si="18"/>
        <v>55157.690184920255</v>
      </c>
      <c r="AD22" s="168">
        <f t="shared" si="18"/>
        <v>55157.690184920255</v>
      </c>
      <c r="AE22" s="168">
        <f t="shared" si="18"/>
        <v>55157.690184920255</v>
      </c>
      <c r="AF22" s="168">
        <f t="shared" si="18"/>
        <v>55157.690184920255</v>
      </c>
      <c r="AG22" s="168">
        <f t="shared" si="18"/>
        <v>55157.690184920255</v>
      </c>
      <c r="AH22" s="168">
        <f t="shared" si="18"/>
        <v>50963.18903017346</v>
      </c>
      <c r="AI22" s="168">
        <f t="shared" si="18"/>
        <v>50963.189030173453</v>
      </c>
      <c r="AJ22" s="168">
        <f t="shared" si="18"/>
        <v>50963.189030173453</v>
      </c>
      <c r="AK22" s="168">
        <f t="shared" si="18"/>
        <v>50963.18903017346</v>
      </c>
      <c r="AL22" s="168">
        <f t="shared" si="18"/>
        <v>46768.687875426665</v>
      </c>
      <c r="AM22" s="168">
        <f t="shared" si="18"/>
        <v>46768.687875426658</v>
      </c>
      <c r="AN22" s="168">
        <f t="shared" si="18"/>
        <v>46768.687875426658</v>
      </c>
      <c r="AO22" s="168">
        <f t="shared" si="18"/>
        <v>46768.687875426658</v>
      </c>
      <c r="AP22" s="168">
        <f t="shared" si="18"/>
        <v>42574.186720679856</v>
      </c>
      <c r="AQ22" s="168">
        <f t="shared" si="18"/>
        <v>42574.186720679863</v>
      </c>
      <c r="AR22" s="168">
        <f t="shared" si="18"/>
        <v>42574.186720679863</v>
      </c>
      <c r="AS22" s="168">
        <f t="shared" si="18"/>
        <v>42574.186720679871</v>
      </c>
      <c r="AT22" s="168">
        <f t="shared" si="18"/>
        <v>38379.68556593309</v>
      </c>
      <c r="AU22" s="168">
        <f t="shared" si="18"/>
        <v>38379.68556593309</v>
      </c>
      <c r="AV22" s="168">
        <f t="shared" si="18"/>
        <v>38379.68556593309</v>
      </c>
      <c r="AW22" s="168">
        <f t="shared" si="18"/>
        <v>38379.685565933098</v>
      </c>
      <c r="AX22" s="168">
        <f t="shared" si="18"/>
        <v>38379.685565933112</v>
      </c>
      <c r="AY22" s="168">
        <f t="shared" si="18"/>
        <v>38379.68556593312</v>
      </c>
      <c r="AZ22" s="168">
        <f t="shared" si="18"/>
        <v>38379.685565933134</v>
      </c>
      <c r="BA22" s="168">
        <f t="shared" si="18"/>
        <v>38379.68556593312</v>
      </c>
      <c r="BB22" s="168">
        <f t="shared" si="18"/>
        <v>38379.685565933105</v>
      </c>
      <c r="BC22" s="168">
        <f t="shared" si="18"/>
        <v>38379.68556593312</v>
      </c>
      <c r="BD22" s="168">
        <f t="shared" si="18"/>
        <v>38379.685565933149</v>
      </c>
      <c r="BE22" s="168">
        <f t="shared" si="18"/>
        <v>38379.68556593312</v>
      </c>
      <c r="BF22" s="168">
        <f t="shared" si="18"/>
        <v>38379.68556593309</v>
      </c>
      <c r="BG22" s="168">
        <f t="shared" si="18"/>
        <v>38379.68556593312</v>
      </c>
      <c r="BH22" s="168">
        <f t="shared" si="18"/>
        <v>38379.685565933221</v>
      </c>
    </row>
    <row r="24" spans="2:62" ht="18">
      <c r="B24" s="158" t="s">
        <v>142</v>
      </c>
      <c r="C24" s="174"/>
      <c r="G24" s="168"/>
      <c r="H24" s="186"/>
      <c r="I24" s="186"/>
      <c r="J24" s="186"/>
      <c r="K24" s="186"/>
      <c r="L24" s="186"/>
      <c r="M24" s="186"/>
      <c r="N24" s="186"/>
      <c r="O24" s="186"/>
    </row>
    <row r="26" spans="2:62">
      <c r="B26" t="s">
        <v>141</v>
      </c>
      <c r="C26" s="156" t="s">
        <v>187</v>
      </c>
      <c r="G26" s="228">
        <f>Assumptions!F11</f>
        <v>1772</v>
      </c>
      <c r="H26" s="228">
        <f>Assumptions!G11</f>
        <v>1799</v>
      </c>
      <c r="I26" s="228">
        <f ca="1">Assumptions!H11</f>
        <v>2087.5</v>
      </c>
      <c r="J26" s="228">
        <f ca="1">Assumptions!I11</f>
        <v>2025</v>
      </c>
      <c r="K26" s="228">
        <f ca="1">Assumptions!J11</f>
        <v>1925</v>
      </c>
      <c r="L26" s="228">
        <f ca="1">Assumptions!K11</f>
        <v>1850</v>
      </c>
      <c r="M26" s="228">
        <f ca="1">Assumptions!L11</f>
        <v>1750</v>
      </c>
      <c r="N26" s="228">
        <f ca="1">M26</f>
        <v>1750</v>
      </c>
      <c r="O26" s="228">
        <f ca="1">N26</f>
        <v>1750</v>
      </c>
      <c r="R26" s="267"/>
      <c r="S26" s="267"/>
      <c r="T26" s="267">
        <f>Assumptions!Q11</f>
        <v>1885</v>
      </c>
      <c r="U26" s="267">
        <f>Assumptions!R11</f>
        <v>1898</v>
      </c>
      <c r="V26" s="267">
        <f>Assumptions!S11</f>
        <v>1707</v>
      </c>
      <c r="W26" s="267">
        <f>Assumptions!T11</f>
        <v>1770</v>
      </c>
      <c r="X26" s="267">
        <f>Assumptions!U11</f>
        <v>1756</v>
      </c>
      <c r="Y26" s="267">
        <f>Assumptions!V11</f>
        <v>1829</v>
      </c>
      <c r="Z26" s="267">
        <f ca="1">Assumptions!W11</f>
        <v>2050</v>
      </c>
      <c r="AA26" s="267">
        <f ca="1">Assumptions!X11</f>
        <v>2100</v>
      </c>
      <c r="AB26" s="267">
        <f ca="1">Assumptions!Y11</f>
        <v>2100</v>
      </c>
      <c r="AC26" s="267">
        <f ca="1">Assumptions!Z11</f>
        <v>2100</v>
      </c>
      <c r="AD26" s="267">
        <f ca="1">Assumptions!AA11</f>
        <v>2050</v>
      </c>
      <c r="AE26" s="267">
        <f ca="1">Assumptions!AB11</f>
        <v>2050</v>
      </c>
      <c r="AF26" s="267">
        <f ca="1">Assumptions!AC11</f>
        <v>2000</v>
      </c>
      <c r="AG26" s="267">
        <f ca="1">Assumptions!AD11</f>
        <v>2000</v>
      </c>
      <c r="AH26" s="267">
        <f ca="1">Assumptions!AE11</f>
        <v>1950</v>
      </c>
      <c r="AI26" s="267">
        <f ca="1">Assumptions!AF11</f>
        <v>1950</v>
      </c>
      <c r="AJ26" s="267">
        <f ca="1">Assumptions!AG11</f>
        <v>1900</v>
      </c>
      <c r="AK26" s="267">
        <f ca="1">Assumptions!AH11</f>
        <v>1900</v>
      </c>
      <c r="AL26" s="267">
        <f ca="1">Assumptions!AI11</f>
        <v>1850</v>
      </c>
      <c r="AM26" s="267">
        <f ca="1">Assumptions!AJ11</f>
        <v>1850</v>
      </c>
      <c r="AN26" s="267">
        <f ca="1">Assumptions!AK11</f>
        <v>1850</v>
      </c>
      <c r="AO26" s="267">
        <f ca="1">Assumptions!AL11</f>
        <v>1850</v>
      </c>
      <c r="AP26" s="267">
        <f ca="1">Assumptions!L11</f>
        <v>1750</v>
      </c>
      <c r="AQ26" s="267">
        <f ca="1">AP26</f>
        <v>1750</v>
      </c>
      <c r="AR26" s="267">
        <f t="shared" ref="AR26:BH26" ca="1" si="19">AQ26</f>
        <v>1750</v>
      </c>
      <c r="AS26" s="267">
        <f t="shared" ca="1" si="19"/>
        <v>1750</v>
      </c>
      <c r="AT26" s="267">
        <f t="shared" ca="1" si="19"/>
        <v>1750</v>
      </c>
      <c r="AU26" s="267">
        <f t="shared" ca="1" si="19"/>
        <v>1750</v>
      </c>
      <c r="AV26" s="267">
        <f t="shared" ca="1" si="19"/>
        <v>1750</v>
      </c>
      <c r="AW26" s="267">
        <f t="shared" ca="1" si="19"/>
        <v>1750</v>
      </c>
      <c r="AX26" s="267">
        <f t="shared" ca="1" si="19"/>
        <v>1750</v>
      </c>
      <c r="AY26" s="267">
        <f t="shared" ca="1" si="19"/>
        <v>1750</v>
      </c>
      <c r="AZ26" s="267">
        <f t="shared" ca="1" si="19"/>
        <v>1750</v>
      </c>
      <c r="BA26" s="267">
        <f t="shared" ca="1" si="19"/>
        <v>1750</v>
      </c>
      <c r="BB26" s="267">
        <f t="shared" ca="1" si="19"/>
        <v>1750</v>
      </c>
      <c r="BC26" s="267">
        <f t="shared" ca="1" si="19"/>
        <v>1750</v>
      </c>
      <c r="BD26" s="267">
        <f t="shared" ca="1" si="19"/>
        <v>1750</v>
      </c>
      <c r="BE26" s="267">
        <f t="shared" ca="1" si="19"/>
        <v>1750</v>
      </c>
      <c r="BF26" s="267">
        <f t="shared" ca="1" si="19"/>
        <v>1750</v>
      </c>
      <c r="BG26" s="267">
        <f t="shared" ca="1" si="19"/>
        <v>1750</v>
      </c>
      <c r="BH26" s="267">
        <f t="shared" ca="1" si="19"/>
        <v>1750</v>
      </c>
    </row>
    <row r="28" spans="2:62">
      <c r="B28" s="188" t="s">
        <v>7</v>
      </c>
      <c r="C28" s="244" t="s">
        <v>161</v>
      </c>
      <c r="D28" s="188"/>
      <c r="E28" s="266">
        <f ca="1">SUM(OFFSET($R$28,,(COLUMNS(E$28:$E28)-1)*4,,4))</f>
        <v>233045</v>
      </c>
      <c r="F28" s="266">
        <f ca="1">SUM(OFFSET($R$28,,(COLUMNS($E$28:F28)-1)*4,,4))</f>
        <v>385057.41534821916</v>
      </c>
      <c r="G28" s="266">
        <f ca="1">SUM(OFFSET($R$28,,(COLUMNS($E$28:G28)-1)*4,,4))</f>
        <v>460566.71304408414</v>
      </c>
      <c r="H28" s="266">
        <f ca="1">SUM(OFFSET($R$28,,(COLUMNS($E$28:H28)-1)*4,,4))</f>
        <v>446777.29049785412</v>
      </c>
      <c r="I28" s="266">
        <f ca="1">SUM(OFFSET($R$28,,(COLUMNS($E$28:I28)-1)*4,,4))</f>
        <v>392416.55553233559</v>
      </c>
      <c r="J28" s="266">
        <f ca="1">SUM(OFFSET($R$28,,(COLUMNS($E$28:J28)-1)*4,,4))</f>
        <v>346088.29027815728</v>
      </c>
      <c r="K28" s="266">
        <f ca="1">SUM(OFFSET($R$28,,(COLUMNS($E$28:K28)-1)*4,,4))</f>
        <v>298019.30704475904</v>
      </c>
      <c r="L28" s="266">
        <f ca="1">SUM(OFFSET($R$28,,(COLUMNS($E$28:L28)-1)*4,,4))</f>
        <v>268657.79896153172</v>
      </c>
      <c r="M28" s="266">
        <f ca="1">SUM(OFFSET($R$28,,(COLUMNS($E$28:M28)-1)*4,,4))</f>
        <v>268657.79896153184</v>
      </c>
      <c r="N28" s="266">
        <f ca="1">SUM(OFFSET($R$28,,(COLUMNS($E$28:N28)-1)*4,,4))</f>
        <v>268657.79896153189</v>
      </c>
      <c r="O28" s="266">
        <f ca="1">SUM(OFFSET($R$28,,(COLUMNS($E$28:O28)-1)*4,,4))</f>
        <v>201493.34922114899</v>
      </c>
      <c r="R28" s="188"/>
      <c r="S28" s="188"/>
      <c r="T28" s="245">
        <v>128069</v>
      </c>
      <c r="U28" s="245">
        <v>104976</v>
      </c>
      <c r="V28" s="298">
        <v>107614</v>
      </c>
      <c r="W28" s="245">
        <v>89784</v>
      </c>
      <c r="X28" s="245">
        <v>86776</v>
      </c>
      <c r="Y28" s="266">
        <f>Y22*Y26/1000</f>
        <v>100883.41534821915</v>
      </c>
      <c r="Z28" s="266">
        <f ca="1">Z22*Z26/1000</f>
        <v>113073.26487908652</v>
      </c>
      <c r="AA28" s="266">
        <f t="shared" ref="AA28:AW28" ca="1" si="20">AA22*AA26/1000</f>
        <v>115831.14938833253</v>
      </c>
      <c r="AB28" s="266">
        <f t="shared" ca="1" si="20"/>
        <v>115831.14938833253</v>
      </c>
      <c r="AC28" s="266">
        <f t="shared" ca="1" si="20"/>
        <v>115831.14938833253</v>
      </c>
      <c r="AD28" s="266">
        <f t="shared" ca="1" si="20"/>
        <v>113073.26487908652</v>
      </c>
      <c r="AE28" s="266">
        <f t="shared" ca="1" si="20"/>
        <v>113073.26487908652</v>
      </c>
      <c r="AF28" s="266">
        <f t="shared" ca="1" si="20"/>
        <v>110315.38036984051</v>
      </c>
      <c r="AG28" s="266">
        <f t="shared" ca="1" si="20"/>
        <v>110315.38036984051</v>
      </c>
      <c r="AH28" s="266">
        <f t="shared" ca="1" si="20"/>
        <v>99378.218608838244</v>
      </c>
      <c r="AI28" s="266">
        <f t="shared" ca="1" si="20"/>
        <v>99378.21860883823</v>
      </c>
      <c r="AJ28" s="266">
        <f t="shared" ca="1" si="20"/>
        <v>96830.059157329553</v>
      </c>
      <c r="AK28" s="266">
        <f t="shared" ca="1" si="20"/>
        <v>96830.059157329568</v>
      </c>
      <c r="AL28" s="266">
        <f t="shared" ca="1" si="20"/>
        <v>86522.072569539334</v>
      </c>
      <c r="AM28" s="266">
        <f t="shared" ca="1" si="20"/>
        <v>86522.072569539319</v>
      </c>
      <c r="AN28" s="266">
        <f t="shared" ca="1" si="20"/>
        <v>86522.072569539319</v>
      </c>
      <c r="AO28" s="266">
        <f t="shared" ca="1" si="20"/>
        <v>86522.072569539319</v>
      </c>
      <c r="AP28" s="266">
        <f t="shared" ca="1" si="20"/>
        <v>74504.826761189746</v>
      </c>
      <c r="AQ28" s="266">
        <f t="shared" ca="1" si="20"/>
        <v>74504.826761189761</v>
      </c>
      <c r="AR28" s="266">
        <f t="shared" ca="1" si="20"/>
        <v>74504.826761189761</v>
      </c>
      <c r="AS28" s="266">
        <f t="shared" ca="1" si="20"/>
        <v>74504.826761189775</v>
      </c>
      <c r="AT28" s="266">
        <f t="shared" ca="1" si="20"/>
        <v>67164.449740382915</v>
      </c>
      <c r="AU28" s="266">
        <f t="shared" ca="1" si="20"/>
        <v>67164.449740382915</v>
      </c>
      <c r="AV28" s="266">
        <f t="shared" ca="1" si="20"/>
        <v>67164.449740382915</v>
      </c>
      <c r="AW28" s="266">
        <f t="shared" ca="1" si="20"/>
        <v>67164.44974038293</v>
      </c>
      <c r="AX28" s="266">
        <f t="shared" ref="AX28:BH28" ca="1" si="21">AX22*AX26/1000</f>
        <v>67164.449740382945</v>
      </c>
      <c r="AY28" s="266">
        <f t="shared" ca="1" si="21"/>
        <v>67164.449740382959</v>
      </c>
      <c r="AZ28" s="266">
        <f t="shared" ca="1" si="21"/>
        <v>67164.449740382988</v>
      </c>
      <c r="BA28" s="266">
        <f t="shared" ca="1" si="21"/>
        <v>67164.449740382959</v>
      </c>
      <c r="BB28" s="266">
        <f t="shared" ca="1" si="21"/>
        <v>67164.449740382945</v>
      </c>
      <c r="BC28" s="266">
        <f t="shared" ca="1" si="21"/>
        <v>67164.449740382959</v>
      </c>
      <c r="BD28" s="266">
        <f t="shared" ca="1" si="21"/>
        <v>67164.449740383017</v>
      </c>
      <c r="BE28" s="266">
        <f t="shared" ca="1" si="21"/>
        <v>67164.449740382959</v>
      </c>
      <c r="BF28" s="266">
        <f t="shared" ca="1" si="21"/>
        <v>67164.449740382915</v>
      </c>
      <c r="BG28" s="266">
        <f t="shared" ca="1" si="21"/>
        <v>67164.449740382959</v>
      </c>
      <c r="BH28" s="266">
        <f t="shared" ca="1" si="21"/>
        <v>67164.449740383134</v>
      </c>
    </row>
    <row r="29" spans="2:62">
      <c r="B29" s="156" t="s">
        <v>162</v>
      </c>
      <c r="C29" s="196" t="s">
        <v>161</v>
      </c>
      <c r="E29" s="89">
        <f ca="1">SUM(OFFSET($R$29,,(COLUMNS(E$28:$E29)-1)*4,,4))</f>
        <v>-81768</v>
      </c>
      <c r="F29" s="89">
        <f ca="1">SUM(OFFSET($R$29,,(COLUMNS($E$28:F29)-1)*4,,4))</f>
        <v>-179131.0799476426</v>
      </c>
      <c r="G29" s="89">
        <f ca="1">SUM(OFFSET($R$29,,(COLUMNS($E$28:G29)-1)*4,,4))</f>
        <v>-224614.90845424589</v>
      </c>
      <c r="H29" s="89">
        <f ca="1">SUM(OFFSET($R$29,,(COLUMNS($E$28:H29)-1)*4,,4))</f>
        <v>-217889.91119513672</v>
      </c>
      <c r="I29" s="89">
        <f ca="1">SUM(OFFSET($R$29,,(COLUMNS($E$28:I29)-1)*4,,4))</f>
        <v>-191378.59120181209</v>
      </c>
      <c r="J29" s="89">
        <f ca="1">SUM(OFFSET($R$29,,(COLUMNS($E$28:J29)-1)*4,,4))</f>
        <v>-168784.64603774797</v>
      </c>
      <c r="K29" s="89">
        <f ca="1">SUM(OFFSET($R$29,,(COLUMNS($E$28:K29)-1)*4,,4))</f>
        <v>-145341.76585846551</v>
      </c>
      <c r="L29" s="89">
        <f ca="1">SUM(OFFSET($R$29,,(COLUMNS($E$28:L29)-1)*4,,4))</f>
        <v>-131022.38005960197</v>
      </c>
      <c r="M29" s="89">
        <f ca="1">SUM(OFFSET($R$29,,(COLUMNS($E$28:M29)-1)*4,,4))</f>
        <v>-131022.38005960206</v>
      </c>
      <c r="N29" s="89">
        <f ca="1">SUM(OFFSET($R$29,,(COLUMNS($E$28:N29)-1)*4,,4))</f>
        <v>-131022.38005960209</v>
      </c>
      <c r="O29" s="89">
        <f ca="1">SUM(OFFSET($R$29,,(COLUMNS($E$28:O29)-1)*4,,4))</f>
        <v>-98266.78504470161</v>
      </c>
      <c r="T29" s="198">
        <v>-48239</v>
      </c>
      <c r="U29" s="198">
        <v>-33529</v>
      </c>
      <c r="V29" s="198">
        <v>-46764</v>
      </c>
      <c r="W29" s="198">
        <v>-40847</v>
      </c>
      <c r="X29" s="198">
        <v>-42320</v>
      </c>
      <c r="Y29" s="89">
        <f>IF(Y31=0,(-X29/X28)*-Y28,X29*(1+Y31))</f>
        <v>-49200.079947642604</v>
      </c>
      <c r="Z29" s="89">
        <f ca="1">IF(Z31=0,(-Y29/Y28)*-Z28,Y29*(1+Z31))</f>
        <v>-55144.977524695103</v>
      </c>
      <c r="AA29" s="89">
        <f t="shared" ref="AA29:AW29" ca="1" si="22">IF(AA31=0,(-Z29/Z28)*-AA28,Z29*(1+AA31))</f>
        <v>-56489.976976516933</v>
      </c>
      <c r="AB29" s="89">
        <f t="shared" ca="1" si="22"/>
        <v>-56489.976976516933</v>
      </c>
      <c r="AC29" s="89">
        <f t="shared" ca="1" si="22"/>
        <v>-56489.976976516933</v>
      </c>
      <c r="AD29" s="89">
        <f t="shared" ca="1" si="22"/>
        <v>-55144.977524695103</v>
      </c>
      <c r="AE29" s="89">
        <f t="shared" ca="1" si="22"/>
        <v>-55144.977524695103</v>
      </c>
      <c r="AF29" s="89">
        <f t="shared" ca="1" si="22"/>
        <v>-53799.978072873273</v>
      </c>
      <c r="AG29" s="89">
        <f t="shared" ca="1" si="22"/>
        <v>-53799.978072873273</v>
      </c>
      <c r="AH29" s="89">
        <f t="shared" ca="1" si="22"/>
        <v>-48466.006862796567</v>
      </c>
      <c r="AI29" s="89">
        <f t="shared" ca="1" si="22"/>
        <v>-48466.006862796559</v>
      </c>
      <c r="AJ29" s="89">
        <f t="shared" ca="1" si="22"/>
        <v>-47223.28873810947</v>
      </c>
      <c r="AK29" s="89">
        <f t="shared" ca="1" si="22"/>
        <v>-47223.288738109477</v>
      </c>
      <c r="AL29" s="89">
        <f t="shared" ca="1" si="22"/>
        <v>-42196.161509436999</v>
      </c>
      <c r="AM29" s="89">
        <f t="shared" ca="1" si="22"/>
        <v>-42196.161509436992</v>
      </c>
      <c r="AN29" s="89">
        <f t="shared" ca="1" si="22"/>
        <v>-42196.161509436992</v>
      </c>
      <c r="AO29" s="89">
        <f t="shared" ca="1" si="22"/>
        <v>-42196.161509436992</v>
      </c>
      <c r="AP29" s="89">
        <f t="shared" ca="1" si="22"/>
        <v>-36335.441464616371</v>
      </c>
      <c r="AQ29" s="89">
        <f t="shared" ca="1" si="22"/>
        <v>-36335.441464616379</v>
      </c>
      <c r="AR29" s="89">
        <f t="shared" ca="1" si="22"/>
        <v>-36335.441464616379</v>
      </c>
      <c r="AS29" s="89">
        <f t="shared" ca="1" si="22"/>
        <v>-36335.441464616386</v>
      </c>
      <c r="AT29" s="89">
        <f t="shared" ca="1" si="22"/>
        <v>-32755.595014900493</v>
      </c>
      <c r="AU29" s="89">
        <f t="shared" ca="1" si="22"/>
        <v>-32755.595014900493</v>
      </c>
      <c r="AV29" s="89">
        <f t="shared" ca="1" si="22"/>
        <v>-32755.595014900493</v>
      </c>
      <c r="AW29" s="89">
        <f t="shared" ca="1" si="22"/>
        <v>-32755.5950149005</v>
      </c>
      <c r="AX29" s="89">
        <f t="shared" ref="AX29:BH29" ca="1" si="23">IF(AX31=0,(-AW29/AW28)*-AX28,AW29*(1+AX31))</f>
        <v>-32755.595014900508</v>
      </c>
      <c r="AY29" s="89">
        <f t="shared" ca="1" si="23"/>
        <v>-32755.595014900515</v>
      </c>
      <c r="AZ29" s="89">
        <f t="shared" ca="1" si="23"/>
        <v>-32755.595014900529</v>
      </c>
      <c r="BA29" s="89">
        <f t="shared" ca="1" si="23"/>
        <v>-32755.595014900515</v>
      </c>
      <c r="BB29" s="89">
        <f t="shared" ca="1" si="23"/>
        <v>-32755.595014900508</v>
      </c>
      <c r="BC29" s="89">
        <f t="shared" ca="1" si="23"/>
        <v>-32755.595014900515</v>
      </c>
      <c r="BD29" s="89">
        <f t="shared" ca="1" si="23"/>
        <v>-32755.595014900544</v>
      </c>
      <c r="BE29" s="89">
        <f t="shared" ca="1" si="23"/>
        <v>-32755.595014900515</v>
      </c>
      <c r="BF29" s="89">
        <f t="shared" ca="1" si="23"/>
        <v>-32755.595014900493</v>
      </c>
      <c r="BG29" s="89">
        <f t="shared" ca="1" si="23"/>
        <v>-32755.595014900515</v>
      </c>
      <c r="BH29" s="89">
        <f t="shared" ca="1" si="23"/>
        <v>-32755.595014900602</v>
      </c>
    </row>
    <row r="30" spans="2:62">
      <c r="B30" s="242" t="s">
        <v>223</v>
      </c>
      <c r="C30" s="196" t="s">
        <v>140</v>
      </c>
      <c r="F30" s="274">
        <f ca="1">F29/E29-1</f>
        <v>1.1907235097794078</v>
      </c>
      <c r="G30" s="274">
        <f ca="1">G29/F29-1</f>
        <v>0.25391366210652855</v>
      </c>
      <c r="H30" s="274">
        <f ca="1">H29/G29-1</f>
        <v>-2.9940119760479056E-2</v>
      </c>
      <c r="I30" s="274">
        <f t="shared" ref="I30:O30" ca="1" si="24">I29/H29-1</f>
        <v>-0.12167300380228141</v>
      </c>
      <c r="J30" s="274">
        <f t="shared" ca="1" si="24"/>
        <v>-0.11805889583667384</v>
      </c>
      <c r="K30" s="274">
        <f t="shared" ca="1" si="24"/>
        <v>-0.13889225548418394</v>
      </c>
      <c r="L30" s="274">
        <f t="shared" ca="1" si="24"/>
        <v>-9.8522167487684387E-2</v>
      </c>
      <c r="M30" s="274">
        <f t="shared" ca="1" si="24"/>
        <v>0</v>
      </c>
      <c r="N30" s="274">
        <f t="shared" ca="1" si="24"/>
        <v>0</v>
      </c>
      <c r="O30" s="274">
        <f t="shared" ca="1" si="24"/>
        <v>-0.24999999999999967</v>
      </c>
      <c r="T30" s="198"/>
      <c r="U30" s="198"/>
      <c r="V30" s="198"/>
      <c r="W30" s="198"/>
      <c r="X30" s="259">
        <f t="shared" ref="X30:AC30" si="25">X29/T29-1</f>
        <v>-0.12270154853956339</v>
      </c>
      <c r="Y30" s="259">
        <f t="shared" si="25"/>
        <v>0.46738882602053766</v>
      </c>
      <c r="Z30" s="259">
        <f t="shared" ca="1" si="25"/>
        <v>0.17921857678331854</v>
      </c>
      <c r="AA30" s="259">
        <f t="shared" ca="1" si="25"/>
        <v>0.38296513762374063</v>
      </c>
      <c r="AB30" s="259">
        <f t="shared" ca="1" si="25"/>
        <v>0.33482932364170437</v>
      </c>
      <c r="AC30" s="259">
        <f t="shared" ca="1" si="25"/>
        <v>0.14816839803171145</v>
      </c>
      <c r="AD30" s="259">
        <f t="shared" ref="AD30:AW30" ca="1" si="26">AD29/Z29-1</f>
        <v>0</v>
      </c>
      <c r="AE30" s="259">
        <f t="shared" ca="1" si="26"/>
        <v>-2.3809523809523725E-2</v>
      </c>
      <c r="AF30" s="259">
        <f t="shared" ca="1" si="26"/>
        <v>-4.7619047619047561E-2</v>
      </c>
      <c r="AG30" s="259">
        <f t="shared" ca="1" si="26"/>
        <v>-4.7619047619047561E-2</v>
      </c>
      <c r="AH30" s="259">
        <f t="shared" ca="1" si="26"/>
        <v>-0.1211165723824541</v>
      </c>
      <c r="AI30" s="259">
        <f t="shared" ca="1" si="26"/>
        <v>-0.12111657238245421</v>
      </c>
      <c r="AJ30" s="259">
        <f t="shared" ca="1" si="26"/>
        <v>-0.12224334600760489</v>
      </c>
      <c r="AK30" s="259">
        <f t="shared" ca="1" si="26"/>
        <v>-0.12224334600760478</v>
      </c>
      <c r="AL30" s="259">
        <f t="shared" ca="1" si="26"/>
        <v>-0.12936583306953686</v>
      </c>
      <c r="AM30" s="259">
        <f t="shared" ca="1" si="26"/>
        <v>-0.12936583306953686</v>
      </c>
      <c r="AN30" s="259">
        <f t="shared" ca="1" si="26"/>
        <v>-0.10645440762399838</v>
      </c>
      <c r="AO30" s="259">
        <f t="shared" ca="1" si="26"/>
        <v>-0.10645440762399849</v>
      </c>
      <c r="AP30" s="259">
        <f t="shared" ca="1" si="26"/>
        <v>-0.13889225548418427</v>
      </c>
      <c r="AQ30" s="259">
        <f t="shared" ca="1" si="26"/>
        <v>-0.13889225548418394</v>
      </c>
      <c r="AR30" s="259">
        <f t="shared" ca="1" si="26"/>
        <v>-0.13889225548418394</v>
      </c>
      <c r="AS30" s="259">
        <f t="shared" ca="1" si="26"/>
        <v>-0.13889225548418382</v>
      </c>
      <c r="AT30" s="259">
        <f t="shared" ca="1" si="26"/>
        <v>-9.8522167487684165E-2</v>
      </c>
      <c r="AU30" s="259">
        <f t="shared" ca="1" si="26"/>
        <v>-9.8522167487684387E-2</v>
      </c>
      <c r="AV30" s="259">
        <f t="shared" ca="1" si="26"/>
        <v>-9.8522167487684387E-2</v>
      </c>
      <c r="AW30" s="259">
        <f t="shared" ca="1" si="26"/>
        <v>-9.8522167487684387E-2</v>
      </c>
      <c r="AX30" s="259">
        <f t="shared" ref="AX30:BH30" ca="1" si="27">AX29/AT29-1</f>
        <v>0</v>
      </c>
      <c r="AY30" s="259">
        <f t="shared" ca="1" si="27"/>
        <v>0</v>
      </c>
      <c r="AZ30" s="259">
        <f t="shared" ca="1" si="27"/>
        <v>0</v>
      </c>
      <c r="BA30" s="259">
        <f t="shared" ca="1" si="27"/>
        <v>0</v>
      </c>
      <c r="BB30" s="259">
        <f t="shared" ca="1" si="27"/>
        <v>0</v>
      </c>
      <c r="BC30" s="259">
        <f t="shared" ca="1" si="27"/>
        <v>0</v>
      </c>
      <c r="BD30" s="259">
        <f t="shared" ca="1" si="27"/>
        <v>0</v>
      </c>
      <c r="BE30" s="259">
        <f t="shared" ca="1" si="27"/>
        <v>0</v>
      </c>
      <c r="BF30" s="259">
        <f t="shared" ca="1" si="27"/>
        <v>0</v>
      </c>
      <c r="BG30" s="259">
        <f t="shared" ca="1" si="27"/>
        <v>0</v>
      </c>
      <c r="BH30" s="259">
        <f t="shared" ca="1" si="27"/>
        <v>1.7763568394002505E-15</v>
      </c>
    </row>
    <row r="31" spans="2:62">
      <c r="B31" s="242" t="s">
        <v>240</v>
      </c>
      <c r="C31" s="159" t="s">
        <v>140</v>
      </c>
      <c r="Y31" s="275"/>
      <c r="Z31" s="276"/>
      <c r="AA31" s="276"/>
      <c r="AB31" s="276"/>
      <c r="AC31" s="285"/>
    </row>
    <row r="32" spans="2:62">
      <c r="B32" s="243" t="s">
        <v>178</v>
      </c>
      <c r="C32" s="156" t="s">
        <v>140</v>
      </c>
      <c r="G32" s="240">
        <f ca="1">AVERAGE(OFFSET($R$32,,(COLUMNS($G$32:G32)-1)*4,,4))</f>
        <v>6.5818963687554743E-2</v>
      </c>
      <c r="H32" s="240">
        <f ca="1">AVERAGE(OFFSET($R$32,,(COLUMNS($G$32:H32)-1)*4,,4))</f>
        <v>6.4333077042365072E-2</v>
      </c>
      <c r="I32" s="240">
        <f ca="1">AVERAGE(OFFSET($R$32,,(COLUMNS($G$32:I32)-1)*4,,4))</f>
        <v>6.2625E-2</v>
      </c>
      <c r="J32" s="240">
        <f ca="1">AVERAGE(OFFSET($R$32,,(COLUMNS($G$32:J32)-1)*4,,4))</f>
        <v>6.3E-2</v>
      </c>
      <c r="K32" s="240">
        <f ca="1">AVERAGE(OFFSET($R$32,,(COLUMNS($G$32:K32)-1)*4,,4))</f>
        <v>6.1499999999999999E-2</v>
      </c>
      <c r="L32" s="240">
        <f ca="1">AVERAGE(OFFSET($R$32,,(COLUMNS($G$32:L32)-1)*4,,4))</f>
        <v>6.0999999999999999E-2</v>
      </c>
      <c r="M32" s="240">
        <f ca="1">AVERAGE(OFFSET($R$32,,(COLUMNS($G$32:M32)-1)*4,,4))</f>
        <v>0.06</v>
      </c>
      <c r="N32" s="240">
        <f ca="1">AVERAGE(OFFSET($R$32,,(COLUMNS($G$32:N32)-1)*4,,4))</f>
        <v>0.06</v>
      </c>
      <c r="O32" s="240">
        <f ca="1">AVERAGE(OFFSET($R$32,,(COLUMNS($G$32:O32)-1)*4,,4))</f>
        <v>0.06</v>
      </c>
      <c r="T32" s="240">
        <f>-T33/T28</f>
        <v>6.0545487198307164E-2</v>
      </c>
      <c r="U32" s="240">
        <f>-U33/U28</f>
        <v>7.1092440176802316E-2</v>
      </c>
      <c r="V32" s="240">
        <f>-V33/V28</f>
        <v>7.591949002917836E-2</v>
      </c>
      <c r="W32" s="240">
        <f>-W33/W28</f>
        <v>5.4207876681814135E-2</v>
      </c>
      <c r="X32" s="240">
        <f>-X33/X28</f>
        <v>6.6204941458467781E-2</v>
      </c>
      <c r="Y32" s="241">
        <v>6.0999999999999999E-2</v>
      </c>
      <c r="Z32" s="241">
        <v>6.2E-2</v>
      </c>
      <c r="AA32" s="241">
        <v>6.25E-2</v>
      </c>
      <c r="AB32" s="241">
        <v>6.3E-2</v>
      </c>
      <c r="AC32" s="241">
        <v>6.3E-2</v>
      </c>
      <c r="AD32" s="241">
        <v>6.3E-2</v>
      </c>
      <c r="AE32" s="241">
        <v>6.3E-2</v>
      </c>
      <c r="AF32" s="241">
        <v>6.3E-2</v>
      </c>
      <c r="AG32" s="241">
        <v>6.3E-2</v>
      </c>
      <c r="AH32" s="241">
        <v>6.2E-2</v>
      </c>
      <c r="AI32" s="241">
        <v>6.2E-2</v>
      </c>
      <c r="AJ32" s="241">
        <v>6.0999999999999999E-2</v>
      </c>
      <c r="AK32" s="241">
        <v>6.0999999999999999E-2</v>
      </c>
      <c r="AL32" s="241">
        <v>6.0999999999999999E-2</v>
      </c>
      <c r="AM32" s="241">
        <v>6.0999999999999999E-2</v>
      </c>
      <c r="AN32" s="241">
        <v>6.0999999999999999E-2</v>
      </c>
      <c r="AO32" s="241">
        <v>6.0999999999999999E-2</v>
      </c>
      <c r="AP32" s="241">
        <v>0.06</v>
      </c>
      <c r="AQ32" s="241">
        <v>0.06</v>
      </c>
      <c r="AR32" s="241">
        <v>0.06</v>
      </c>
      <c r="AS32" s="241">
        <v>0.06</v>
      </c>
      <c r="AT32" s="241">
        <v>0.06</v>
      </c>
      <c r="AU32" s="241">
        <v>0.06</v>
      </c>
      <c r="AV32" s="241">
        <v>0.06</v>
      </c>
      <c r="AW32" s="241">
        <v>0.06</v>
      </c>
      <c r="AX32" s="241">
        <v>0.06</v>
      </c>
      <c r="AY32" s="241">
        <v>0.06</v>
      </c>
      <c r="AZ32" s="241">
        <v>0.06</v>
      </c>
      <c r="BA32" s="241">
        <v>0.06</v>
      </c>
      <c r="BB32" s="241">
        <v>0.06</v>
      </c>
      <c r="BC32" s="241">
        <v>0.06</v>
      </c>
      <c r="BD32" s="241">
        <v>0.06</v>
      </c>
      <c r="BE32" s="241">
        <v>0.06</v>
      </c>
      <c r="BF32" s="241">
        <v>0.06</v>
      </c>
      <c r="BG32" s="241">
        <v>0.06</v>
      </c>
      <c r="BH32" s="241">
        <v>0.06</v>
      </c>
      <c r="BJ32" s="156"/>
    </row>
    <row r="33" spans="2:60">
      <c r="B33" s="156" t="s">
        <v>179</v>
      </c>
      <c r="C33" s="196" t="s">
        <v>161</v>
      </c>
      <c r="E33" s="89">
        <f ca="1">SUM(OFFSET($R$33,,(COLUMNS(E$33:$E33)-1)*4,,4))</f>
        <v>-15217</v>
      </c>
      <c r="F33" s="89">
        <f ca="1">SUM(OFFSET($R$33,,(COLUMNS($E$33:F33)-1)*4,,4))</f>
        <v>-24935.888336241369</v>
      </c>
      <c r="G33" s="89">
        <f ca="1">SUM(OFFSET($R$33,,(COLUMNS($E$33:G33)-1)*4,,4))</f>
        <v>-28844.714082204046</v>
      </c>
      <c r="H33" s="89">
        <f ca="1">SUM(OFFSET($R$33,,(COLUMNS($E$33:H33)-1)*4,,4))</f>
        <v>-28146.969301364807</v>
      </c>
      <c r="I33" s="89">
        <f ca="1">SUM(OFFSET($R$33,,(COLUMNS($E$33:I33)-1)*4,,4))</f>
        <v>-24136.166324690144</v>
      </c>
      <c r="J33" s="89">
        <f ca="1">SUM(OFFSET($R$33,,(COLUMNS($E$33:J33)-1)*4,,4))</f>
        <v>-21111.385706967594</v>
      </c>
      <c r="K33" s="89">
        <f ca="1">SUM(OFFSET($R$33,,(COLUMNS($E$33:K33)-1)*4,,4))</f>
        <v>-17881.158422685541</v>
      </c>
      <c r="L33" s="89">
        <f ca="1">SUM(OFFSET($R$33,,(COLUMNS($E$33:L33)-1)*4,,4))</f>
        <v>-16119.467937691899</v>
      </c>
      <c r="M33" s="89">
        <f ca="1">SUM(OFFSET($R$33,,(COLUMNS($E$33:M33)-1)*4,,4))</f>
        <v>-16119.46793769191</v>
      </c>
      <c r="N33" s="89">
        <f ca="1">SUM(OFFSET($R$33,,(COLUMNS($E$33:N33)-1)*4,,4))</f>
        <v>-16119.467937691912</v>
      </c>
      <c r="O33" s="89">
        <f ca="1">SUM(OFFSET($R$33,,(COLUMNS($E$33:O33)-1)*4,,4))</f>
        <v>-12089.60095326894</v>
      </c>
      <c r="T33" s="198">
        <v>-7754</v>
      </c>
      <c r="U33" s="198">
        <v>-7463</v>
      </c>
      <c r="V33" s="198">
        <v>-8170</v>
      </c>
      <c r="W33" s="198">
        <v>-4867</v>
      </c>
      <c r="X33" s="198">
        <v>-5745</v>
      </c>
      <c r="Y33" s="89">
        <f>-Y28*Y32</f>
        <v>-6153.8883362413681</v>
      </c>
      <c r="Z33" s="89">
        <f t="shared" ref="Z33:AW33" ca="1" si="28">-Z28*Z32</f>
        <v>-7010.5424225033639</v>
      </c>
      <c r="AA33" s="89">
        <f t="shared" ca="1" si="28"/>
        <v>-7239.4468367707832</v>
      </c>
      <c r="AB33" s="89">
        <f t="shared" ca="1" si="28"/>
        <v>-7297.3624114649492</v>
      </c>
      <c r="AC33" s="89">
        <f t="shared" ca="1" si="28"/>
        <v>-7297.3624114649492</v>
      </c>
      <c r="AD33" s="89">
        <f t="shared" ca="1" si="28"/>
        <v>-7123.6156873824511</v>
      </c>
      <c r="AE33" s="89">
        <f t="shared" ca="1" si="28"/>
        <v>-7123.6156873824511</v>
      </c>
      <c r="AF33" s="89">
        <f t="shared" ca="1" si="28"/>
        <v>-6949.8689632999522</v>
      </c>
      <c r="AG33" s="89">
        <f t="shared" ca="1" si="28"/>
        <v>-6949.8689632999522</v>
      </c>
      <c r="AH33" s="89">
        <f t="shared" ca="1" si="28"/>
        <v>-6161.4495537479706</v>
      </c>
      <c r="AI33" s="89">
        <f t="shared" ca="1" si="28"/>
        <v>-6161.4495537479706</v>
      </c>
      <c r="AJ33" s="89">
        <f t="shared" ca="1" si="28"/>
        <v>-5906.6336085971025</v>
      </c>
      <c r="AK33" s="89">
        <f t="shared" ca="1" si="28"/>
        <v>-5906.6336085971034</v>
      </c>
      <c r="AL33" s="89">
        <f t="shared" ca="1" si="28"/>
        <v>-5277.8464267418994</v>
      </c>
      <c r="AM33" s="89">
        <f t="shared" ca="1" si="28"/>
        <v>-5277.8464267418985</v>
      </c>
      <c r="AN33" s="89">
        <f t="shared" ca="1" si="28"/>
        <v>-5277.8464267418985</v>
      </c>
      <c r="AO33" s="89">
        <f t="shared" ca="1" si="28"/>
        <v>-5277.8464267418985</v>
      </c>
      <c r="AP33" s="89">
        <f t="shared" ca="1" si="28"/>
        <v>-4470.2896056713844</v>
      </c>
      <c r="AQ33" s="89">
        <f t="shared" ca="1" si="28"/>
        <v>-4470.2896056713853</v>
      </c>
      <c r="AR33" s="89">
        <f t="shared" ca="1" si="28"/>
        <v>-4470.2896056713853</v>
      </c>
      <c r="AS33" s="89">
        <f t="shared" ca="1" si="28"/>
        <v>-4470.2896056713862</v>
      </c>
      <c r="AT33" s="89">
        <f t="shared" ca="1" si="28"/>
        <v>-4029.8669844229748</v>
      </c>
      <c r="AU33" s="89">
        <f t="shared" ca="1" si="28"/>
        <v>-4029.8669844229748</v>
      </c>
      <c r="AV33" s="89">
        <f t="shared" ca="1" si="28"/>
        <v>-4029.8669844229748</v>
      </c>
      <c r="AW33" s="89">
        <f t="shared" ca="1" si="28"/>
        <v>-4029.8669844229757</v>
      </c>
      <c r="AX33" s="89">
        <f t="shared" ref="AX33:BH33" ca="1" si="29">-AX28*AX32</f>
        <v>-4029.8669844229767</v>
      </c>
      <c r="AY33" s="89">
        <f t="shared" ca="1" si="29"/>
        <v>-4029.8669844229776</v>
      </c>
      <c r="AZ33" s="89">
        <f t="shared" ca="1" si="29"/>
        <v>-4029.8669844229789</v>
      </c>
      <c r="BA33" s="89">
        <f t="shared" ca="1" si="29"/>
        <v>-4029.8669844229776</v>
      </c>
      <c r="BB33" s="89">
        <f t="shared" ca="1" si="29"/>
        <v>-4029.8669844229767</v>
      </c>
      <c r="BC33" s="89">
        <f t="shared" ca="1" si="29"/>
        <v>-4029.8669844229776</v>
      </c>
      <c r="BD33" s="89">
        <f t="shared" ca="1" si="29"/>
        <v>-4029.8669844229807</v>
      </c>
      <c r="BE33" s="89">
        <f t="shared" ca="1" si="29"/>
        <v>-4029.8669844229776</v>
      </c>
      <c r="BF33" s="89">
        <f t="shared" ca="1" si="29"/>
        <v>-4029.8669844229748</v>
      </c>
      <c r="BG33" s="89">
        <f t="shared" ca="1" si="29"/>
        <v>-4029.8669844229776</v>
      </c>
      <c r="BH33" s="89">
        <f t="shared" ca="1" si="29"/>
        <v>-4029.866984422988</v>
      </c>
    </row>
    <row r="34" spans="2:60">
      <c r="B34" s="156" t="s">
        <v>180</v>
      </c>
      <c r="C34" s="196" t="s">
        <v>161</v>
      </c>
      <c r="D34" s="188"/>
      <c r="E34" s="246">
        <f ca="1">SUM(OFFSET($R$34,,(COLUMNS(E$34:$E34)-1)*4,,4))</f>
        <v>4024</v>
      </c>
      <c r="F34" s="246">
        <f ca="1">SUM(OFFSET($R$34,,(COLUMNS($E$34:F34)-1)*4,,4))</f>
        <v>372</v>
      </c>
      <c r="G34" s="246">
        <f ca="1">SUM(OFFSET($R$34,,(COLUMNS($E$34:G34)-1)*4,,4))</f>
        <v>0</v>
      </c>
      <c r="H34" s="246">
        <f ca="1">SUM(OFFSET($R$34,,(COLUMNS($E$34:H34)-1)*4,,4))</f>
        <v>0</v>
      </c>
      <c r="I34" s="246">
        <f ca="1">SUM(OFFSET($R$34,,(COLUMNS($E$34:I34)-1)*4,,4))</f>
        <v>0</v>
      </c>
      <c r="J34" s="246">
        <f ca="1">SUM(OFFSET($R$34,,(COLUMNS($E$34:J34)-1)*4,,4))</f>
        <v>0</v>
      </c>
      <c r="K34" s="246">
        <f ca="1">SUM(OFFSET($R$34,,(COLUMNS($E$34:K34)-1)*4,,4))</f>
        <v>0</v>
      </c>
      <c r="L34" s="246">
        <f ca="1">SUM(OFFSET($R$34,,(COLUMNS($E$34:L34)-1)*4,,4))</f>
        <v>0</v>
      </c>
      <c r="M34" s="246">
        <f ca="1">SUM(OFFSET($R$34,,(COLUMNS($E$34:M34)-1)*4,,4))</f>
        <v>0</v>
      </c>
      <c r="N34" s="246">
        <f ca="1">SUM(OFFSET($R$34,,(COLUMNS($E$34:N34)-1)*4,,4))</f>
        <v>0</v>
      </c>
      <c r="O34" s="246">
        <f ca="1">SUM(OFFSET($R$34,,(COLUMNS($E$34:O34)-1)*4,,4))</f>
        <v>0</v>
      </c>
      <c r="T34" s="265">
        <v>4382</v>
      </c>
      <c r="U34" s="198">
        <v>-358</v>
      </c>
      <c r="V34" s="168">
        <v>0</v>
      </c>
      <c r="W34">
        <v>372</v>
      </c>
      <c r="X34" s="268">
        <v>0</v>
      </c>
      <c r="Y34" s="268">
        <f>X34</f>
        <v>0</v>
      </c>
      <c r="Z34" s="268">
        <f t="shared" ref="Z34:AW34" si="30">Y34</f>
        <v>0</v>
      </c>
      <c r="AA34" s="268">
        <f t="shared" si="30"/>
        <v>0</v>
      </c>
      <c r="AB34" s="268">
        <f t="shared" si="30"/>
        <v>0</v>
      </c>
      <c r="AC34" s="268">
        <f t="shared" si="30"/>
        <v>0</v>
      </c>
      <c r="AD34" s="268">
        <f t="shared" si="30"/>
        <v>0</v>
      </c>
      <c r="AE34" s="268">
        <f t="shared" si="30"/>
        <v>0</v>
      </c>
      <c r="AF34" s="268">
        <f t="shared" si="30"/>
        <v>0</v>
      </c>
      <c r="AG34" s="268">
        <f t="shared" si="30"/>
        <v>0</v>
      </c>
      <c r="AH34" s="268">
        <f t="shared" si="30"/>
        <v>0</v>
      </c>
      <c r="AI34" s="268">
        <f t="shared" si="30"/>
        <v>0</v>
      </c>
      <c r="AJ34" s="268">
        <f t="shared" si="30"/>
        <v>0</v>
      </c>
      <c r="AK34" s="268">
        <f t="shared" si="30"/>
        <v>0</v>
      </c>
      <c r="AL34" s="268">
        <f t="shared" si="30"/>
        <v>0</v>
      </c>
      <c r="AM34" s="268">
        <f t="shared" si="30"/>
        <v>0</v>
      </c>
      <c r="AN34" s="268">
        <f t="shared" si="30"/>
        <v>0</v>
      </c>
      <c r="AO34" s="268">
        <f t="shared" si="30"/>
        <v>0</v>
      </c>
      <c r="AP34" s="268">
        <f t="shared" si="30"/>
        <v>0</v>
      </c>
      <c r="AQ34" s="268">
        <f t="shared" si="30"/>
        <v>0</v>
      </c>
      <c r="AR34" s="268">
        <f t="shared" si="30"/>
        <v>0</v>
      </c>
      <c r="AS34" s="268">
        <f t="shared" si="30"/>
        <v>0</v>
      </c>
      <c r="AT34" s="268">
        <f t="shared" si="30"/>
        <v>0</v>
      </c>
      <c r="AU34" s="268">
        <f t="shared" si="30"/>
        <v>0</v>
      </c>
      <c r="AV34" s="268">
        <f t="shared" si="30"/>
        <v>0</v>
      </c>
      <c r="AW34" s="268">
        <f t="shared" si="30"/>
        <v>0</v>
      </c>
      <c r="AX34" s="268">
        <f t="shared" ref="AX34:BH34" si="31">AW34</f>
        <v>0</v>
      </c>
      <c r="AY34" s="268">
        <f t="shared" si="31"/>
        <v>0</v>
      </c>
      <c r="AZ34" s="268">
        <f t="shared" si="31"/>
        <v>0</v>
      </c>
      <c r="BA34" s="268">
        <f t="shared" si="31"/>
        <v>0</v>
      </c>
      <c r="BB34" s="268">
        <f t="shared" si="31"/>
        <v>0</v>
      </c>
      <c r="BC34" s="268">
        <f t="shared" si="31"/>
        <v>0</v>
      </c>
      <c r="BD34" s="268">
        <f t="shared" si="31"/>
        <v>0</v>
      </c>
      <c r="BE34" s="268">
        <f t="shared" si="31"/>
        <v>0</v>
      </c>
      <c r="BF34" s="268">
        <f t="shared" si="31"/>
        <v>0</v>
      </c>
      <c r="BG34" s="268">
        <f t="shared" si="31"/>
        <v>0</v>
      </c>
      <c r="BH34" s="268">
        <f t="shared" si="31"/>
        <v>0</v>
      </c>
    </row>
    <row r="35" spans="2:60">
      <c r="B35" s="164" t="s">
        <v>181</v>
      </c>
      <c r="C35" s="244" t="s">
        <v>161</v>
      </c>
      <c r="D35" s="188"/>
      <c r="E35" s="246">
        <f ca="1">SUM(OFFSET($R$35,,(COLUMNS(E$35:$E35)-1)*4,,4))</f>
        <v>-92961</v>
      </c>
      <c r="F35" s="246">
        <f ca="1">SUM(OFFSET($R$35,,(COLUMNS($E$35:F35)-1)*4,,4))</f>
        <v>-203694.96828388397</v>
      </c>
      <c r="G35" s="246">
        <f ca="1">SUM(OFFSET($R$35,,(COLUMNS($E$35:G35)-1)*4,,4))</f>
        <v>-253459.62253644996</v>
      </c>
      <c r="H35" s="246">
        <f ca="1">SUM(OFFSET($R$35,,(COLUMNS($E$35:H35)-1)*4,,4))</f>
        <v>-246036.88049650154</v>
      </c>
      <c r="I35" s="246">
        <f ca="1">SUM(OFFSET($R$35,,(COLUMNS($E$35:I35)-1)*4,,4))</f>
        <v>-215514.75752650222</v>
      </c>
      <c r="J35" s="246">
        <f ca="1">SUM(OFFSET($R$35,,(COLUMNS($E$35:J35)-1)*4,,4))</f>
        <v>-189896.03174471555</v>
      </c>
      <c r="K35" s="246">
        <f ca="1">SUM(OFFSET($R$35,,(COLUMNS($E$35:K35)-1)*4,,4))</f>
        <v>-163222.92428115103</v>
      </c>
      <c r="L35" s="246">
        <f ca="1">SUM(OFFSET($R$35,,(COLUMNS($E$35:L35)-1)*4,,4))</f>
        <v>-147141.84799729387</v>
      </c>
      <c r="M35" s="246">
        <f ca="1">SUM(OFFSET($R$35,,(COLUMNS($E$35:M35)-1)*4,,4))</f>
        <v>-147141.84799729398</v>
      </c>
      <c r="N35" s="246">
        <f ca="1">SUM(OFFSET($R$35,,(COLUMNS($E$35:N35)-1)*4,,4))</f>
        <v>-147141.84799729398</v>
      </c>
      <c r="O35" s="246">
        <f ca="1">SUM(OFFSET($R$35,,(COLUMNS($E$35:O35)-1)*4,,4))</f>
        <v>-110356.38599797056</v>
      </c>
      <c r="R35" s="167"/>
      <c r="S35" s="167"/>
      <c r="T35" s="254">
        <f t="shared" ref="T35:Y35" si="32">T29+T33+T34</f>
        <v>-51611</v>
      </c>
      <c r="U35" s="254">
        <f t="shared" si="32"/>
        <v>-41350</v>
      </c>
      <c r="V35" s="254">
        <f t="shared" si="32"/>
        <v>-54934</v>
      </c>
      <c r="W35" s="254">
        <f t="shared" si="32"/>
        <v>-45342</v>
      </c>
      <c r="X35" s="254">
        <f t="shared" si="32"/>
        <v>-48065</v>
      </c>
      <c r="Y35" s="254">
        <f t="shared" si="32"/>
        <v>-55353.968283883973</v>
      </c>
      <c r="Z35" s="254">
        <f t="shared" ref="Z35:AW35" ca="1" si="33">Z29+Z33+Z34</f>
        <v>-62155.519947198467</v>
      </c>
      <c r="AA35" s="254">
        <f t="shared" ca="1" si="33"/>
        <v>-63729.423813287714</v>
      </c>
      <c r="AB35" s="254">
        <f t="shared" ca="1" si="33"/>
        <v>-63787.339387981883</v>
      </c>
      <c r="AC35" s="254">
        <f t="shared" ca="1" si="33"/>
        <v>-63787.339387981883</v>
      </c>
      <c r="AD35" s="254">
        <f t="shared" ca="1" si="33"/>
        <v>-62268.593212077554</v>
      </c>
      <c r="AE35" s="254">
        <f t="shared" ca="1" si="33"/>
        <v>-62268.593212077554</v>
      </c>
      <c r="AF35" s="254">
        <f t="shared" ca="1" si="33"/>
        <v>-60749.847036173225</v>
      </c>
      <c r="AG35" s="254">
        <f t="shared" ca="1" si="33"/>
        <v>-60749.847036173225</v>
      </c>
      <c r="AH35" s="254">
        <f t="shared" ca="1" si="33"/>
        <v>-54627.456416544534</v>
      </c>
      <c r="AI35" s="254">
        <f t="shared" ca="1" si="33"/>
        <v>-54627.456416544534</v>
      </c>
      <c r="AJ35" s="254">
        <f t="shared" ca="1" si="33"/>
        <v>-53129.922346706575</v>
      </c>
      <c r="AK35" s="254">
        <f t="shared" ca="1" si="33"/>
        <v>-53129.922346706582</v>
      </c>
      <c r="AL35" s="254">
        <f t="shared" ca="1" si="33"/>
        <v>-47474.007936178896</v>
      </c>
      <c r="AM35" s="254">
        <f t="shared" ca="1" si="33"/>
        <v>-47474.007936178888</v>
      </c>
      <c r="AN35" s="254">
        <f t="shared" ca="1" si="33"/>
        <v>-47474.007936178888</v>
      </c>
      <c r="AO35" s="254">
        <f t="shared" ca="1" si="33"/>
        <v>-47474.007936178888</v>
      </c>
      <c r="AP35" s="254">
        <f t="shared" ca="1" si="33"/>
        <v>-40805.731070287758</v>
      </c>
      <c r="AQ35" s="254">
        <f t="shared" ca="1" si="33"/>
        <v>-40805.731070287766</v>
      </c>
      <c r="AR35" s="254">
        <f t="shared" ca="1" si="33"/>
        <v>-40805.731070287766</v>
      </c>
      <c r="AS35" s="254">
        <f t="shared" ca="1" si="33"/>
        <v>-40805.731070287773</v>
      </c>
      <c r="AT35" s="254">
        <f t="shared" ca="1" si="33"/>
        <v>-36785.461999323466</v>
      </c>
      <c r="AU35" s="254">
        <f t="shared" ca="1" si="33"/>
        <v>-36785.461999323466</v>
      </c>
      <c r="AV35" s="254">
        <f t="shared" ca="1" si="33"/>
        <v>-36785.461999323466</v>
      </c>
      <c r="AW35" s="254">
        <f t="shared" ca="1" si="33"/>
        <v>-36785.461999323474</v>
      </c>
      <c r="AX35" s="254">
        <f t="shared" ref="AX35:BH35" ca="1" si="34">AX29+AX33+AX34</f>
        <v>-36785.461999323481</v>
      </c>
      <c r="AY35" s="254">
        <f t="shared" ca="1" si="34"/>
        <v>-36785.461999323496</v>
      </c>
      <c r="AZ35" s="254">
        <f t="shared" ca="1" si="34"/>
        <v>-36785.46199932351</v>
      </c>
      <c r="BA35" s="254">
        <f t="shared" ca="1" si="34"/>
        <v>-36785.461999323496</v>
      </c>
      <c r="BB35" s="254">
        <f t="shared" ca="1" si="34"/>
        <v>-36785.461999323481</v>
      </c>
      <c r="BC35" s="254">
        <f t="shared" ca="1" si="34"/>
        <v>-36785.461999323496</v>
      </c>
      <c r="BD35" s="254">
        <f t="shared" ca="1" si="34"/>
        <v>-36785.461999323525</v>
      </c>
      <c r="BE35" s="254">
        <f t="shared" ca="1" si="34"/>
        <v>-36785.461999323496</v>
      </c>
      <c r="BF35" s="254">
        <f t="shared" ca="1" si="34"/>
        <v>-36785.461999323466</v>
      </c>
      <c r="BG35" s="254">
        <f t="shared" ca="1" si="34"/>
        <v>-36785.461999323496</v>
      </c>
      <c r="BH35" s="254">
        <f t="shared" ca="1" si="34"/>
        <v>-36785.46199932359</v>
      </c>
    </row>
    <row r="36" spans="2:60">
      <c r="B36" s="164" t="s">
        <v>19</v>
      </c>
      <c r="C36" s="244" t="s">
        <v>161</v>
      </c>
      <c r="D36" s="188"/>
      <c r="E36" s="246">
        <f ca="1">SUM(OFFSET($R$36,,(COLUMNS(E$36:$E36)-1)*4,,4))</f>
        <v>-59631</v>
      </c>
      <c r="F36" s="246">
        <f ca="1">SUM(OFFSET($R$36,,(COLUMNS($E$36:F36)-1)*4,,4))</f>
        <v>-69655.307055476078</v>
      </c>
      <c r="G36" s="246">
        <f ca="1">SUM(OFFSET($R$36,,(COLUMNS($E$36:G36)-1)*4,,4))</f>
        <v>-66189.228221904312</v>
      </c>
      <c r="H36" s="246">
        <f ca="1">SUM(OFFSET($R$36,,(COLUMNS($E$36:H36)-1)*4,,4))</f>
        <v>-66189.228221904312</v>
      </c>
      <c r="I36" s="246">
        <f ca="1">SUM(OFFSET($R$36,,(COLUMNS($E$36:I36)-1)*4,,4))</f>
        <v>-61155.826836208144</v>
      </c>
      <c r="J36" s="246">
        <f ca="1">SUM(OFFSET($R$36,,(COLUMNS($E$36:J36)-1)*4,,4))</f>
        <v>-56122.42545051199</v>
      </c>
      <c r="K36" s="246">
        <f ca="1">SUM(OFFSET($R$36,,(COLUMNS($E$36:K36)-1)*4,,4))</f>
        <v>-51089.024064815836</v>
      </c>
      <c r="L36" s="246">
        <f ca="1">SUM(OFFSET($R$36,,(COLUMNS($E$36:L36)-1)*4,,4))</f>
        <v>-46055.622679119711</v>
      </c>
      <c r="M36" s="246">
        <f ca="1">SUM(OFFSET($R$36,,(COLUMNS($E$36:M36)-1)*4,,4))</f>
        <v>-30703.748452746495</v>
      </c>
      <c r="N36" s="246">
        <f ca="1">SUM(OFFSET($R$36,,(COLUMNS($E$36:N36)-1)*4,,4))</f>
        <v>-30703.748452746499</v>
      </c>
      <c r="O36" s="246">
        <f ca="1">SUM(OFFSET($R$36,,(COLUMNS($E$36:O36)-1)*4,,4))</f>
        <v>-23027.811339559885</v>
      </c>
      <c r="R36" s="249"/>
      <c r="S36" s="249"/>
      <c r="T36" s="335">
        <v>-43956</v>
      </c>
      <c r="U36" s="335">
        <f>(-59631-T36)</f>
        <v>-15675</v>
      </c>
      <c r="V36" s="335">
        <v>-24616</v>
      </c>
      <c r="W36" s="335">
        <v>-14248</v>
      </c>
      <c r="X36" s="335">
        <v>-14244</v>
      </c>
      <c r="Y36" s="250">
        <f>-Y51*Y$19/10^3</f>
        <v>-16547.307055476078</v>
      </c>
      <c r="Z36" s="250">
        <f t="shared" ref="Z36:BH36" si="35">-Z51*Z$19/10^3</f>
        <v>-16547.307055476078</v>
      </c>
      <c r="AA36" s="250">
        <f t="shared" si="35"/>
        <v>-16547.307055476078</v>
      </c>
      <c r="AB36" s="250">
        <f t="shared" si="35"/>
        <v>-16547.307055476078</v>
      </c>
      <c r="AC36" s="250">
        <f t="shared" si="35"/>
        <v>-16547.307055476078</v>
      </c>
      <c r="AD36" s="250">
        <f t="shared" si="35"/>
        <v>-16547.307055476078</v>
      </c>
      <c r="AE36" s="250">
        <f t="shared" si="35"/>
        <v>-16547.307055476078</v>
      </c>
      <c r="AF36" s="250">
        <f t="shared" si="35"/>
        <v>-16547.307055476078</v>
      </c>
      <c r="AG36" s="250">
        <f t="shared" si="35"/>
        <v>-16547.307055476078</v>
      </c>
      <c r="AH36" s="250">
        <f t="shared" si="35"/>
        <v>-15288.956709052038</v>
      </c>
      <c r="AI36" s="250">
        <f t="shared" si="35"/>
        <v>-15288.956709052036</v>
      </c>
      <c r="AJ36" s="250">
        <f t="shared" si="35"/>
        <v>-15288.956709052036</v>
      </c>
      <c r="AK36" s="250">
        <f t="shared" si="35"/>
        <v>-15288.956709052038</v>
      </c>
      <c r="AL36" s="250">
        <f t="shared" si="35"/>
        <v>-14030.606362627999</v>
      </c>
      <c r="AM36" s="250">
        <f t="shared" si="35"/>
        <v>-14030.606362627997</v>
      </c>
      <c r="AN36" s="250">
        <f t="shared" si="35"/>
        <v>-14030.606362627997</v>
      </c>
      <c r="AO36" s="250">
        <f t="shared" si="35"/>
        <v>-14030.606362627997</v>
      </c>
      <c r="AP36" s="250">
        <f t="shared" si="35"/>
        <v>-12772.256016203957</v>
      </c>
      <c r="AQ36" s="250">
        <f t="shared" si="35"/>
        <v>-12772.256016203959</v>
      </c>
      <c r="AR36" s="250">
        <f t="shared" si="35"/>
        <v>-12772.256016203959</v>
      </c>
      <c r="AS36" s="250">
        <f t="shared" si="35"/>
        <v>-12772.256016203961</v>
      </c>
      <c r="AT36" s="250">
        <f t="shared" si="35"/>
        <v>-11513.905669779926</v>
      </c>
      <c r="AU36" s="250">
        <f t="shared" si="35"/>
        <v>-11513.905669779926</v>
      </c>
      <c r="AV36" s="250">
        <f t="shared" si="35"/>
        <v>-11513.905669779926</v>
      </c>
      <c r="AW36" s="250">
        <f t="shared" si="35"/>
        <v>-11513.905669779928</v>
      </c>
      <c r="AX36" s="250">
        <f t="shared" si="35"/>
        <v>-7675.9371131866219</v>
      </c>
      <c r="AY36" s="250">
        <f t="shared" si="35"/>
        <v>-7675.9371131866237</v>
      </c>
      <c r="AZ36" s="250">
        <f t="shared" si="35"/>
        <v>-7675.9371131866264</v>
      </c>
      <c r="BA36" s="250">
        <f t="shared" si="35"/>
        <v>-7675.9371131866237</v>
      </c>
      <c r="BB36" s="250">
        <f t="shared" si="35"/>
        <v>-7675.937113186621</v>
      </c>
      <c r="BC36" s="250">
        <f t="shared" si="35"/>
        <v>-7675.9371131866237</v>
      </c>
      <c r="BD36" s="250">
        <f t="shared" si="35"/>
        <v>-7675.9371131866292</v>
      </c>
      <c r="BE36" s="250">
        <f t="shared" si="35"/>
        <v>-7675.9371131866237</v>
      </c>
      <c r="BF36" s="250">
        <f t="shared" si="35"/>
        <v>-7675.9371131866183</v>
      </c>
      <c r="BG36" s="250">
        <f t="shared" si="35"/>
        <v>-7675.9371131866237</v>
      </c>
      <c r="BH36" s="250">
        <f t="shared" si="35"/>
        <v>-7675.9371131866446</v>
      </c>
    </row>
    <row r="37" spans="2:60">
      <c r="B37" s="247" t="s">
        <v>17</v>
      </c>
      <c r="C37" s="248" t="s">
        <v>161</v>
      </c>
      <c r="D37" s="249"/>
      <c r="E37" s="250">
        <f ca="1">SUM(OFFSET($R$37,,(COLUMNS(E$37:$E37)-1)*4,,4))</f>
        <v>199715</v>
      </c>
      <c r="F37" s="250">
        <f ca="1">SUM(OFFSET($R$37,,(COLUMNS($E$37:F37)-1)*4,,4))</f>
        <v>251017.75411981126</v>
      </c>
      <c r="G37" s="250">
        <f ca="1">SUM(OFFSET($R$37,,(COLUMNS($E$37:G37)-1)*4,,4))</f>
        <v>273296.31872953847</v>
      </c>
      <c r="H37" s="250">
        <f ca="1">SUM(OFFSET($R$37,,(COLUMNS($E$37:H37)-1)*4,,4))</f>
        <v>266929.6382232568</v>
      </c>
      <c r="I37" s="250">
        <f ca="1">SUM(OFFSET($R$37,,(COLUMNS($E$37:I37)-1)*4,,4))</f>
        <v>238057.62484204152</v>
      </c>
      <c r="J37" s="250">
        <f ca="1">SUM(OFFSET($R$37,,(COLUMNS($E$37:J37)-1)*4,,4))</f>
        <v>212314.68398395373</v>
      </c>
      <c r="K37" s="250">
        <f ca="1">SUM(OFFSET($R$37,,(COLUMNS($E$37:K37)-1)*4,,4))</f>
        <v>185885.40682842382</v>
      </c>
      <c r="L37" s="250">
        <f ca="1">SUM(OFFSET($R$37,,(COLUMNS($E$37:L37)-1)*4,,4))</f>
        <v>167571.57364335749</v>
      </c>
      <c r="M37" s="250">
        <f ca="1">SUM(OFFSET($R$37,,(COLUMNS($E$37:M37)-1)*4,,4))</f>
        <v>152219.69941698437</v>
      </c>
      <c r="N37" s="250">
        <f ca="1">SUM(OFFSET($R$37,,(COLUMNS($E$37:N37)-1)*4,,4))</f>
        <v>152219.69941698437</v>
      </c>
      <c r="O37" s="250">
        <f ca="1">SUM(OFFSET($R$37,,(COLUMNS($E$37:O37)-1)*4,,4))</f>
        <v>114164.77456273834</v>
      </c>
      <c r="R37" s="249"/>
      <c r="S37" s="249"/>
      <c r="T37" s="266">
        <f>T28+T35-T36</f>
        <v>120414</v>
      </c>
      <c r="U37" s="266">
        <f t="shared" ref="U37:BH37" si="36">U28+U35-U36</f>
        <v>79301</v>
      </c>
      <c r="V37" s="195">
        <f t="shared" si="36"/>
        <v>77296</v>
      </c>
      <c r="W37" s="195">
        <f t="shared" si="36"/>
        <v>58690</v>
      </c>
      <c r="X37" s="195">
        <f t="shared" si="36"/>
        <v>52955</v>
      </c>
      <c r="Y37" s="195">
        <f t="shared" si="36"/>
        <v>62076.754119811252</v>
      </c>
      <c r="Z37" s="195">
        <f t="shared" ca="1" si="36"/>
        <v>67465.051987364131</v>
      </c>
      <c r="AA37" s="195">
        <f t="shared" ca="1" si="36"/>
        <v>68649.032630520902</v>
      </c>
      <c r="AB37" s="195">
        <f t="shared" ca="1" si="36"/>
        <v>68591.117055826733</v>
      </c>
      <c r="AC37" s="195">
        <f t="shared" ca="1" si="36"/>
        <v>68591.117055826733</v>
      </c>
      <c r="AD37" s="195">
        <f t="shared" ca="1" si="36"/>
        <v>67351.978722485044</v>
      </c>
      <c r="AE37" s="195">
        <f t="shared" ca="1" si="36"/>
        <v>67351.978722485044</v>
      </c>
      <c r="AF37" s="195">
        <f t="shared" ca="1" si="36"/>
        <v>66112.840389143355</v>
      </c>
      <c r="AG37" s="195">
        <f t="shared" ca="1" si="36"/>
        <v>66112.840389143355</v>
      </c>
      <c r="AH37" s="195">
        <f t="shared" ca="1" si="36"/>
        <v>60039.718901345746</v>
      </c>
      <c r="AI37" s="195">
        <f t="shared" ca="1" si="36"/>
        <v>60039.718901345732</v>
      </c>
      <c r="AJ37" s="195">
        <f t="shared" ca="1" si="36"/>
        <v>58989.093519675014</v>
      </c>
      <c r="AK37" s="195">
        <f t="shared" ca="1" si="36"/>
        <v>58989.093519675022</v>
      </c>
      <c r="AL37" s="195">
        <f t="shared" ca="1" si="36"/>
        <v>53078.670995988439</v>
      </c>
      <c r="AM37" s="195">
        <f t="shared" ca="1" si="36"/>
        <v>53078.670995988432</v>
      </c>
      <c r="AN37" s="195">
        <f t="shared" ca="1" si="36"/>
        <v>53078.670995988432</v>
      </c>
      <c r="AO37" s="195">
        <f t="shared" ca="1" si="36"/>
        <v>53078.670995988432</v>
      </c>
      <c r="AP37" s="195">
        <f t="shared" ca="1" si="36"/>
        <v>46471.351707105947</v>
      </c>
      <c r="AQ37" s="195">
        <f t="shared" ca="1" si="36"/>
        <v>46471.351707105954</v>
      </c>
      <c r="AR37" s="195">
        <f t="shared" ca="1" si="36"/>
        <v>46471.351707105954</v>
      </c>
      <c r="AS37" s="195">
        <f t="shared" ca="1" si="36"/>
        <v>46471.351707105961</v>
      </c>
      <c r="AT37" s="195">
        <f t="shared" ca="1" si="36"/>
        <v>41892.893410839373</v>
      </c>
      <c r="AU37" s="195">
        <f t="shared" ca="1" si="36"/>
        <v>41892.893410839373</v>
      </c>
      <c r="AV37" s="195">
        <f t="shared" ca="1" si="36"/>
        <v>41892.893410839373</v>
      </c>
      <c r="AW37" s="195">
        <f t="shared" ca="1" si="36"/>
        <v>41892.893410839388</v>
      </c>
      <c r="AX37" s="195">
        <f t="shared" ca="1" si="36"/>
        <v>38054.924854246085</v>
      </c>
      <c r="AY37" s="195">
        <f t="shared" ca="1" si="36"/>
        <v>38054.924854246085</v>
      </c>
      <c r="AZ37" s="195">
        <f t="shared" ca="1" si="36"/>
        <v>38054.924854246106</v>
      </c>
      <c r="BA37" s="195">
        <f t="shared" ca="1" si="36"/>
        <v>38054.924854246085</v>
      </c>
      <c r="BB37" s="195">
        <f t="shared" ca="1" si="36"/>
        <v>38054.924854246085</v>
      </c>
      <c r="BC37" s="195">
        <f t="shared" ca="1" si="36"/>
        <v>38054.924854246085</v>
      </c>
      <c r="BD37" s="195">
        <f t="shared" ca="1" si="36"/>
        <v>38054.924854246121</v>
      </c>
      <c r="BE37" s="195">
        <f t="shared" ca="1" si="36"/>
        <v>38054.924854246085</v>
      </c>
      <c r="BF37" s="195">
        <f t="shared" ca="1" si="36"/>
        <v>38054.92485424607</v>
      </c>
      <c r="BG37" s="195">
        <f t="shared" ca="1" si="36"/>
        <v>38054.924854246085</v>
      </c>
      <c r="BH37" s="195">
        <f t="shared" ca="1" si="36"/>
        <v>38054.924854246186</v>
      </c>
    </row>
    <row r="38" spans="2:60">
      <c r="B38" s="174" t="s">
        <v>76</v>
      </c>
      <c r="C38" s="196" t="s">
        <v>161</v>
      </c>
      <c r="E38" s="89">
        <f ca="1">SUM(OFFSET($R$38,,(COLUMNS(E$38:$E38)-1)*4,,4))</f>
        <v>-8246</v>
      </c>
      <c r="F38" s="89">
        <f ca="1">SUM(OFFSET($R$38,,(COLUMNS($E$38:F38)-1)*4,,4))</f>
        <v>-20000</v>
      </c>
      <c r="G38" s="89">
        <f ca="1">SUM(OFFSET($R$38,,(COLUMNS($E$38:G38)-1)*4,,4))</f>
        <v>-22063.076073968103</v>
      </c>
      <c r="H38" s="89">
        <f ca="1">SUM(OFFSET($R$38,,(COLUMNS($E$38:H38)-1)*4,,4))</f>
        <v>-22063.076073968103</v>
      </c>
      <c r="I38" s="89">
        <f ca="1">SUM(OFFSET($R$38,,(COLUMNS($E$38:I38)-1)*4,,4))</f>
        <v>-20385.275612069381</v>
      </c>
      <c r="J38" s="89">
        <f ca="1">SUM(OFFSET($R$38,,(COLUMNS($E$38:J38)-1)*4,,4))</f>
        <v>-18707.475150170663</v>
      </c>
      <c r="K38" s="89">
        <f ca="1">SUM(OFFSET($R$38,,(COLUMNS($E$38:K38)-1)*4,,4))</f>
        <v>-17029.674688271945</v>
      </c>
      <c r="L38" s="89">
        <f ca="1">SUM(OFFSET($R$38,,(COLUMNS($E$38:L38)-1)*4,,4))</f>
        <v>-15351.874226373238</v>
      </c>
      <c r="M38" s="89">
        <f ca="1">SUM(OFFSET($R$38,,(COLUMNS($E$38:M38)-1)*4,,4))</f>
        <v>-15351.874226373247</v>
      </c>
      <c r="N38" s="89">
        <f ca="1">SUM(OFFSET($R$38,,(COLUMNS($E$38:N38)-1)*4,,4))</f>
        <v>-15351.874226373249</v>
      </c>
      <c r="O38" s="89">
        <f ca="1">SUM(OFFSET($R$38,,(COLUMNS($E$38:O38)-1)*4,,4))</f>
        <v>-3837.9685565933091</v>
      </c>
      <c r="R38" s="168"/>
      <c r="S38" s="168"/>
      <c r="T38" s="198">
        <v>-4781</v>
      </c>
      <c r="U38" s="198">
        <v>-3465</v>
      </c>
      <c r="V38" s="198">
        <v>-2805</v>
      </c>
      <c r="W38" s="198">
        <v>-5215</v>
      </c>
      <c r="X38" s="198">
        <v>-2130</v>
      </c>
      <c r="Y38" s="198">
        <f>(20000+SUM(V38:X38))*-1</f>
        <v>-9850</v>
      </c>
      <c r="Z38" s="89">
        <f>-Z47*Z$19/10^3</f>
        <v>-5515.7690184920257</v>
      </c>
      <c r="AA38" s="89">
        <f t="shared" ref="AA38:AW39" si="37">-AA47*AA$19/10^3</f>
        <v>-5515.7690184920257</v>
      </c>
      <c r="AB38" s="89">
        <f t="shared" si="37"/>
        <v>-5515.7690184920257</v>
      </c>
      <c r="AC38" s="89">
        <f t="shared" si="37"/>
        <v>-5515.7690184920257</v>
      </c>
      <c r="AD38" s="89">
        <f t="shared" si="37"/>
        <v>-5515.7690184920257</v>
      </c>
      <c r="AE38" s="89">
        <f t="shared" si="37"/>
        <v>-5515.7690184920257</v>
      </c>
      <c r="AF38" s="89">
        <f t="shared" si="37"/>
        <v>-5515.7690184920257</v>
      </c>
      <c r="AG38" s="89">
        <f t="shared" si="37"/>
        <v>-5515.7690184920257</v>
      </c>
      <c r="AH38" s="89">
        <f t="shared" si="37"/>
        <v>-5096.3189030173462</v>
      </c>
      <c r="AI38" s="89">
        <f t="shared" si="37"/>
        <v>-5096.3189030173453</v>
      </c>
      <c r="AJ38" s="89">
        <f t="shared" si="37"/>
        <v>-5096.3189030173453</v>
      </c>
      <c r="AK38" s="89">
        <f t="shared" si="37"/>
        <v>-5096.3189030173462</v>
      </c>
      <c r="AL38" s="89">
        <f t="shared" si="37"/>
        <v>-4676.8687875426667</v>
      </c>
      <c r="AM38" s="89">
        <f t="shared" si="37"/>
        <v>-4676.8687875426658</v>
      </c>
      <c r="AN38" s="89">
        <f t="shared" si="37"/>
        <v>-4676.8687875426658</v>
      </c>
      <c r="AO38" s="89">
        <f t="shared" si="37"/>
        <v>-4676.8687875426658</v>
      </c>
      <c r="AP38" s="89">
        <f t="shared" si="37"/>
        <v>-4257.4186720679854</v>
      </c>
      <c r="AQ38" s="89">
        <f t="shared" si="37"/>
        <v>-4257.4186720679872</v>
      </c>
      <c r="AR38" s="89">
        <f t="shared" si="37"/>
        <v>-4257.4186720679872</v>
      </c>
      <c r="AS38" s="89">
        <f t="shared" si="37"/>
        <v>-4257.4186720679872</v>
      </c>
      <c r="AT38" s="89">
        <f t="shared" si="37"/>
        <v>-3837.9685565933091</v>
      </c>
      <c r="AU38" s="89">
        <f t="shared" si="37"/>
        <v>-3837.9685565933091</v>
      </c>
      <c r="AV38" s="89">
        <f t="shared" si="37"/>
        <v>-3837.9685565933091</v>
      </c>
      <c r="AW38" s="89">
        <f t="shared" si="37"/>
        <v>-3837.9685565933096</v>
      </c>
      <c r="AX38" s="89">
        <f t="shared" ref="AX38:BH38" si="38">-AX47*AX$19/10^3</f>
        <v>-3837.968556593311</v>
      </c>
      <c r="AY38" s="89">
        <f t="shared" si="38"/>
        <v>-3837.9685565933119</v>
      </c>
      <c r="AZ38" s="89">
        <f t="shared" si="38"/>
        <v>-3837.9685565933132</v>
      </c>
      <c r="BA38" s="89">
        <f t="shared" si="38"/>
        <v>-3837.9685565933119</v>
      </c>
      <c r="BB38" s="89">
        <f t="shared" si="38"/>
        <v>-3837.9685565933105</v>
      </c>
      <c r="BC38" s="89">
        <f t="shared" si="38"/>
        <v>-3837.9685565933119</v>
      </c>
      <c r="BD38" s="89">
        <f t="shared" si="38"/>
        <v>-3837.9685565933146</v>
      </c>
      <c r="BE38" s="89">
        <f t="shared" si="38"/>
        <v>-3837.9685565933119</v>
      </c>
      <c r="BF38" s="89">
        <f t="shared" si="38"/>
        <v>-3837.9685565933091</v>
      </c>
      <c r="BG38" s="89">
        <f t="shared" si="38"/>
        <v>0</v>
      </c>
      <c r="BH38" s="89">
        <f t="shared" si="38"/>
        <v>0</v>
      </c>
    </row>
    <row r="39" spans="2:60">
      <c r="B39" s="174" t="s">
        <v>182</v>
      </c>
      <c r="C39" s="196" t="s">
        <v>161</v>
      </c>
      <c r="E39" s="89">
        <f ca="1">SUM(OFFSET($R$39,,(COLUMNS(E$39:$E39)-1)*4,,4))</f>
        <v>-27579</v>
      </c>
      <c r="F39" s="89">
        <f ca="1">SUM(OFFSET($R$39,,(COLUMNS($E$39:F39)-1)*4,,4))</f>
        <v>-65000</v>
      </c>
      <c r="G39" s="89">
        <f ca="1">SUM(OFFSET($R$39,,(COLUMNS($E$39:G39)-1)*4,,4))</f>
        <v>-27578.845092460127</v>
      </c>
      <c r="H39" s="89">
        <f ca="1">SUM(OFFSET($R$39,,(COLUMNS($E$39:H39)-1)*4,,4))</f>
        <v>-27578.845092460127</v>
      </c>
      <c r="I39" s="89">
        <f ca="1">SUM(OFFSET($R$39,,(COLUMNS($E$39:I39)-1)*4,,4))</f>
        <v>-18346.748050862443</v>
      </c>
      <c r="J39" s="89">
        <f ca="1">SUM(OFFSET($R$39,,(COLUMNS($E$39:J39)-1)*4,,4))</f>
        <v>-16836.727635153598</v>
      </c>
      <c r="K39" s="89">
        <f ca="1">SUM(OFFSET($R$39,,(COLUMNS($E$39:K39)-1)*4,,4))</f>
        <v>-15326.707219444752</v>
      </c>
      <c r="L39" s="89">
        <f ca="1">SUM(OFFSET($R$39,,(COLUMNS($E$39:L39)-1)*4,,4))</f>
        <v>-13816.686803735915</v>
      </c>
      <c r="M39" s="89">
        <f ca="1">SUM(OFFSET($R$39,,(COLUMNS($E$39:M39)-1)*4,,4))</f>
        <v>0</v>
      </c>
      <c r="N39" s="89">
        <f ca="1">SUM(OFFSET($R$39,,(COLUMNS($E$39:N39)-1)*4,,4))</f>
        <v>0</v>
      </c>
      <c r="O39" s="89">
        <f ca="1">SUM(OFFSET($R$39,,(COLUMNS($E$39:O39)-1)*4,,4))</f>
        <v>0</v>
      </c>
      <c r="T39" s="198">
        <v>-9953</v>
      </c>
      <c r="U39" s="198">
        <v>-17626</v>
      </c>
      <c r="V39" s="198">
        <v>-24072</v>
      </c>
      <c r="W39" s="198">
        <v>-21093</v>
      </c>
      <c r="X39" s="198">
        <v>-11222</v>
      </c>
      <c r="Y39" s="198">
        <f>(65000+SUM(V39:X39))*-1</f>
        <v>-8613</v>
      </c>
      <c r="Z39" s="89">
        <f>-Z48*Z$19/10^3</f>
        <v>-6894.7112731150319</v>
      </c>
      <c r="AA39" s="89">
        <f t="shared" si="37"/>
        <v>-6894.7112731150319</v>
      </c>
      <c r="AB39" s="89">
        <f t="shared" si="37"/>
        <v>-6894.7112731150319</v>
      </c>
      <c r="AC39" s="89">
        <f t="shared" si="37"/>
        <v>-6894.7112731150319</v>
      </c>
      <c r="AD39" s="89">
        <f t="shared" si="37"/>
        <v>-6894.7112731150319</v>
      </c>
      <c r="AE39" s="89">
        <f t="shared" si="37"/>
        <v>-6894.7112731150319</v>
      </c>
      <c r="AF39" s="89">
        <f t="shared" si="37"/>
        <v>-6894.7112731150319</v>
      </c>
      <c r="AG39" s="89">
        <f t="shared" si="37"/>
        <v>-6894.7112731150319</v>
      </c>
      <c r="AH39" s="89">
        <f t="shared" si="37"/>
        <v>-4586.6870127156117</v>
      </c>
      <c r="AI39" s="89">
        <f t="shared" si="37"/>
        <v>-4586.6870127156108</v>
      </c>
      <c r="AJ39" s="89">
        <f t="shared" si="37"/>
        <v>-4586.6870127156108</v>
      </c>
      <c r="AK39" s="89">
        <f t="shared" si="37"/>
        <v>-4586.6870127156117</v>
      </c>
      <c r="AL39" s="89">
        <f t="shared" si="37"/>
        <v>-4209.1819087883996</v>
      </c>
      <c r="AM39" s="89">
        <f t="shared" si="37"/>
        <v>-4209.1819087883987</v>
      </c>
      <c r="AN39" s="89">
        <f t="shared" si="37"/>
        <v>-4209.1819087883987</v>
      </c>
      <c r="AO39" s="89">
        <f t="shared" si="37"/>
        <v>-4209.1819087883987</v>
      </c>
      <c r="AP39" s="89">
        <f t="shared" si="37"/>
        <v>-3831.6768048611871</v>
      </c>
      <c r="AQ39" s="89">
        <f t="shared" si="37"/>
        <v>-3831.676804861188</v>
      </c>
      <c r="AR39" s="89">
        <f t="shared" si="37"/>
        <v>-3831.676804861188</v>
      </c>
      <c r="AS39" s="89">
        <f t="shared" si="37"/>
        <v>-3831.6768048611884</v>
      </c>
      <c r="AT39" s="89">
        <f t="shared" si="37"/>
        <v>-3454.1717009339782</v>
      </c>
      <c r="AU39" s="89">
        <f t="shared" si="37"/>
        <v>-3454.1717009339782</v>
      </c>
      <c r="AV39" s="89">
        <f t="shared" si="37"/>
        <v>-3454.1717009339782</v>
      </c>
      <c r="AW39" s="89">
        <f t="shared" si="37"/>
        <v>-3454.1717009339791</v>
      </c>
      <c r="AX39" s="89">
        <f t="shared" ref="AX39:BH39" si="39">-AX48*AX$19/10^3</f>
        <v>0</v>
      </c>
      <c r="AY39" s="89">
        <f t="shared" si="39"/>
        <v>0</v>
      </c>
      <c r="AZ39" s="89">
        <f t="shared" si="39"/>
        <v>0</v>
      </c>
      <c r="BA39" s="89">
        <f t="shared" si="39"/>
        <v>0</v>
      </c>
      <c r="BB39" s="89">
        <f t="shared" si="39"/>
        <v>0</v>
      </c>
      <c r="BC39" s="89">
        <f t="shared" si="39"/>
        <v>0</v>
      </c>
      <c r="BD39" s="89">
        <f t="shared" si="39"/>
        <v>0</v>
      </c>
      <c r="BE39" s="89">
        <f t="shared" si="39"/>
        <v>0</v>
      </c>
      <c r="BF39" s="89">
        <f t="shared" si="39"/>
        <v>0</v>
      </c>
      <c r="BG39" s="89">
        <f t="shared" si="39"/>
        <v>0</v>
      </c>
      <c r="BH39" s="89">
        <f t="shared" si="39"/>
        <v>0</v>
      </c>
    </row>
    <row r="40" spans="2:60">
      <c r="B40" s="164" t="s">
        <v>184</v>
      </c>
      <c r="C40" s="244" t="s">
        <v>161</v>
      </c>
      <c r="D40" s="188"/>
      <c r="E40" s="246">
        <f ca="1">SUM(OFFSET($R$40,,(COLUMNS(E$40:$E40)-1)*4,,4))</f>
        <v>-35825</v>
      </c>
      <c r="F40" s="246">
        <f ca="1">SUM(OFFSET($R$40,,(COLUMNS($E$40:F40)-1)*4,,4))</f>
        <v>-85000</v>
      </c>
      <c r="G40" s="246">
        <f ca="1">SUM(OFFSET($R$40,,(COLUMNS($E$40:G40)-1)*4,,4))</f>
        <v>-49641.921166428234</v>
      </c>
      <c r="H40" s="246">
        <f ca="1">SUM(OFFSET($R$40,,(COLUMNS($E$40:H40)-1)*4,,4))</f>
        <v>-49641.921166428234</v>
      </c>
      <c r="I40" s="246">
        <f ca="1">SUM(OFFSET($R$40,,(COLUMNS($E$40:I40)-1)*4,,4))</f>
        <v>-38732.023662931824</v>
      </c>
      <c r="J40" s="246">
        <f ca="1">SUM(OFFSET($R$40,,(COLUMNS($E$40:J40)-1)*4,,4))</f>
        <v>-35544.202785324262</v>
      </c>
      <c r="K40" s="246">
        <f ca="1">SUM(OFFSET($R$40,,(COLUMNS($E$40:K40)-1)*4,,4))</f>
        <v>-32356.381907716695</v>
      </c>
      <c r="L40" s="246">
        <f ca="1">SUM(OFFSET($R$40,,(COLUMNS($E$40:L40)-1)*4,,4))</f>
        <v>-29168.561030109151</v>
      </c>
      <c r="M40" s="246">
        <f ca="1">SUM(OFFSET($R$40,,(COLUMNS($E$40:M40)-1)*4,,4))</f>
        <v>-15351.874226373247</v>
      </c>
      <c r="N40" s="246">
        <f ca="1">SUM(OFFSET($R$40,,(COLUMNS($E$40:N40)-1)*4,,4))</f>
        <v>-15351.874226373249</v>
      </c>
      <c r="O40" s="246">
        <f ca="1">SUM(OFFSET($R$40,,(COLUMNS($E$40:O40)-1)*4,,4))</f>
        <v>-3837.9685565933091</v>
      </c>
      <c r="T40" s="246">
        <f t="shared" ref="T40:Y40" si="40">SUM(T38:T39)</f>
        <v>-14734</v>
      </c>
      <c r="U40" s="254">
        <f t="shared" si="40"/>
        <v>-21091</v>
      </c>
      <c r="V40" s="254">
        <f t="shared" si="40"/>
        <v>-26877</v>
      </c>
      <c r="W40" s="254">
        <f t="shared" si="40"/>
        <v>-26308</v>
      </c>
      <c r="X40" s="254">
        <f t="shared" si="40"/>
        <v>-13352</v>
      </c>
      <c r="Y40" s="254">
        <f t="shared" si="40"/>
        <v>-18463</v>
      </c>
      <c r="Z40" s="254">
        <f t="shared" ref="Z40:AW40" si="41">SUM(Z38:Z39)</f>
        <v>-12410.480291607058</v>
      </c>
      <c r="AA40" s="254">
        <f t="shared" si="41"/>
        <v>-12410.480291607058</v>
      </c>
      <c r="AB40" s="254">
        <f t="shared" si="41"/>
        <v>-12410.480291607058</v>
      </c>
      <c r="AC40" s="254">
        <f t="shared" si="41"/>
        <v>-12410.480291607058</v>
      </c>
      <c r="AD40" s="254">
        <f t="shared" si="41"/>
        <v>-12410.480291607058</v>
      </c>
      <c r="AE40" s="254">
        <f t="shared" si="41"/>
        <v>-12410.480291607058</v>
      </c>
      <c r="AF40" s="254">
        <f t="shared" si="41"/>
        <v>-12410.480291607058</v>
      </c>
      <c r="AG40" s="254">
        <f t="shared" si="41"/>
        <v>-12410.480291607058</v>
      </c>
      <c r="AH40" s="254">
        <f t="shared" si="41"/>
        <v>-9683.0059157329579</v>
      </c>
      <c r="AI40" s="254">
        <f t="shared" si="41"/>
        <v>-9683.0059157329561</v>
      </c>
      <c r="AJ40" s="254">
        <f t="shared" si="41"/>
        <v>-9683.0059157329561</v>
      </c>
      <c r="AK40" s="254">
        <f t="shared" si="41"/>
        <v>-9683.0059157329579</v>
      </c>
      <c r="AL40" s="254">
        <f t="shared" si="41"/>
        <v>-8886.0506963310654</v>
      </c>
      <c r="AM40" s="254">
        <f t="shared" si="41"/>
        <v>-8886.0506963310654</v>
      </c>
      <c r="AN40" s="254">
        <f t="shared" si="41"/>
        <v>-8886.0506963310654</v>
      </c>
      <c r="AO40" s="254">
        <f t="shared" si="41"/>
        <v>-8886.0506963310654</v>
      </c>
      <c r="AP40" s="254">
        <f t="shared" si="41"/>
        <v>-8089.0954769291729</v>
      </c>
      <c r="AQ40" s="254">
        <f t="shared" si="41"/>
        <v>-8089.0954769291748</v>
      </c>
      <c r="AR40" s="254">
        <f t="shared" si="41"/>
        <v>-8089.0954769291748</v>
      </c>
      <c r="AS40" s="254">
        <f t="shared" si="41"/>
        <v>-8089.0954769291757</v>
      </c>
      <c r="AT40" s="254">
        <f t="shared" si="41"/>
        <v>-7292.1402575272878</v>
      </c>
      <c r="AU40" s="254">
        <f t="shared" si="41"/>
        <v>-7292.1402575272878</v>
      </c>
      <c r="AV40" s="254">
        <f t="shared" si="41"/>
        <v>-7292.1402575272878</v>
      </c>
      <c r="AW40" s="254">
        <f t="shared" si="41"/>
        <v>-7292.1402575272887</v>
      </c>
      <c r="AX40" s="254">
        <f t="shared" ref="AX40:BH40" si="42">SUM(AX38:AX39)</f>
        <v>-3837.968556593311</v>
      </c>
      <c r="AY40" s="254">
        <f t="shared" si="42"/>
        <v>-3837.9685565933119</v>
      </c>
      <c r="AZ40" s="254">
        <f t="shared" si="42"/>
        <v>-3837.9685565933132</v>
      </c>
      <c r="BA40" s="254">
        <f t="shared" si="42"/>
        <v>-3837.9685565933119</v>
      </c>
      <c r="BB40" s="254">
        <f t="shared" si="42"/>
        <v>-3837.9685565933105</v>
      </c>
      <c r="BC40" s="254">
        <f t="shared" si="42"/>
        <v>-3837.9685565933119</v>
      </c>
      <c r="BD40" s="254">
        <f t="shared" si="42"/>
        <v>-3837.9685565933146</v>
      </c>
      <c r="BE40" s="254">
        <f t="shared" si="42"/>
        <v>-3837.9685565933119</v>
      </c>
      <c r="BF40" s="254">
        <f t="shared" si="42"/>
        <v>-3837.9685565933091</v>
      </c>
      <c r="BG40" s="254">
        <f t="shared" si="42"/>
        <v>0</v>
      </c>
      <c r="BH40" s="254">
        <f t="shared" si="42"/>
        <v>0</v>
      </c>
    </row>
    <row r="41" spans="2:60">
      <c r="B41" s="247" t="s">
        <v>183</v>
      </c>
      <c r="C41" s="248" t="s">
        <v>161</v>
      </c>
      <c r="D41" s="249"/>
      <c r="E41" s="89">
        <f ca="1">SUM(OFFSET($R$41,,(COLUMNS(E$41:$E41)-1)*4,,4))</f>
        <v>-101207</v>
      </c>
      <c r="F41" s="89">
        <f ca="1">SUM(OFFSET($R$41,,(COLUMNS($E$41:F41)-1)*4,,4))</f>
        <v>-223694.96828388397</v>
      </c>
      <c r="G41" s="89">
        <f ca="1">SUM(OFFSET($R$41,,(COLUMNS($E$41:G41)-1)*4,,4))</f>
        <v>-275522.69861041807</v>
      </c>
      <c r="H41" s="250">
        <f ca="1">SUM(OFFSET($R$41,,(COLUMNS($E$41:H41)-1)*4,,4))</f>
        <v>-268099.95657046966</v>
      </c>
      <c r="I41" s="250">
        <f ca="1">SUM(OFFSET($R$41,,(COLUMNS($E$41:I41)-1)*4,,4))</f>
        <v>-235900.0331385716</v>
      </c>
      <c r="J41" s="250">
        <f ca="1">SUM(OFFSET($R$41,,(COLUMNS($E$41:J41)-1)*4,,4))</f>
        <v>-208603.5068948862</v>
      </c>
      <c r="K41" s="250">
        <f ca="1">SUM(OFFSET($R$41,,(COLUMNS($E$41:K41)-1)*4,,4))</f>
        <v>-180252.59896942298</v>
      </c>
      <c r="L41" s="250">
        <f ca="1">SUM(OFFSET($R$41,,(COLUMNS($E$41:L41)-1)*4,,4))</f>
        <v>-162493.72222366714</v>
      </c>
      <c r="M41" s="250">
        <f ca="1">SUM(OFFSET($R$41,,(COLUMNS($E$41:M41)-1)*4,,4))</f>
        <v>-162493.72222366722</v>
      </c>
      <c r="N41" s="250">
        <f ca="1">SUM(OFFSET($R$41,,(COLUMNS($E$41:N41)-1)*4,,4))</f>
        <v>-162493.72222366725</v>
      </c>
      <c r="O41" s="250">
        <f ca="1">SUM(OFFSET($R$41,,(COLUMNS($E$41:O41)-1)*4,,4))</f>
        <v>-114194.35455456388</v>
      </c>
      <c r="R41" s="249"/>
      <c r="S41" s="249"/>
      <c r="T41" s="89">
        <f t="shared" ref="T41:Y41" si="43">T35+T38</f>
        <v>-56392</v>
      </c>
      <c r="U41" s="250">
        <f t="shared" si="43"/>
        <v>-44815</v>
      </c>
      <c r="V41" s="250">
        <f t="shared" si="43"/>
        <v>-57739</v>
      </c>
      <c r="W41" s="250">
        <f t="shared" si="43"/>
        <v>-50557</v>
      </c>
      <c r="X41" s="250">
        <f t="shared" si="43"/>
        <v>-50195</v>
      </c>
      <c r="Y41" s="250">
        <f t="shared" si="43"/>
        <v>-65203.968283883973</v>
      </c>
      <c r="Z41" s="250">
        <f t="shared" ref="Z41:AW41" ca="1" si="44">Z35+Z38</f>
        <v>-67671.288965690488</v>
      </c>
      <c r="AA41" s="250">
        <f t="shared" ca="1" si="44"/>
        <v>-69245.192831779743</v>
      </c>
      <c r="AB41" s="250">
        <f t="shared" ca="1" si="44"/>
        <v>-69303.108406473912</v>
      </c>
      <c r="AC41" s="250">
        <f t="shared" ca="1" si="44"/>
        <v>-69303.108406473912</v>
      </c>
      <c r="AD41" s="250">
        <f t="shared" ca="1" si="44"/>
        <v>-67784.362230569575</v>
      </c>
      <c r="AE41" s="250">
        <f t="shared" ca="1" si="44"/>
        <v>-67784.362230569575</v>
      </c>
      <c r="AF41" s="250">
        <f t="shared" ca="1" si="44"/>
        <v>-66265.616054665254</v>
      </c>
      <c r="AG41" s="250">
        <f t="shared" ca="1" si="44"/>
        <v>-66265.616054665254</v>
      </c>
      <c r="AH41" s="250">
        <f t="shared" ca="1" si="44"/>
        <v>-59723.775319561879</v>
      </c>
      <c r="AI41" s="250">
        <f t="shared" ca="1" si="44"/>
        <v>-59723.775319561879</v>
      </c>
      <c r="AJ41" s="250">
        <f t="shared" ca="1" si="44"/>
        <v>-58226.24124972392</v>
      </c>
      <c r="AK41" s="250">
        <f t="shared" ca="1" si="44"/>
        <v>-58226.241249723927</v>
      </c>
      <c r="AL41" s="250">
        <f t="shared" ca="1" si="44"/>
        <v>-52150.876723721565</v>
      </c>
      <c r="AM41" s="250">
        <f t="shared" ca="1" si="44"/>
        <v>-52150.876723721551</v>
      </c>
      <c r="AN41" s="250">
        <f t="shared" ca="1" si="44"/>
        <v>-52150.876723721551</v>
      </c>
      <c r="AO41" s="250">
        <f t="shared" ca="1" si="44"/>
        <v>-52150.876723721551</v>
      </c>
      <c r="AP41" s="250">
        <f t="shared" ca="1" si="44"/>
        <v>-45063.149742355745</v>
      </c>
      <c r="AQ41" s="250">
        <f t="shared" ca="1" si="44"/>
        <v>-45063.149742355752</v>
      </c>
      <c r="AR41" s="250">
        <f t="shared" ca="1" si="44"/>
        <v>-45063.149742355752</v>
      </c>
      <c r="AS41" s="250">
        <f t="shared" ca="1" si="44"/>
        <v>-45063.149742355759</v>
      </c>
      <c r="AT41" s="250">
        <f t="shared" ca="1" si="44"/>
        <v>-40623.430555916777</v>
      </c>
      <c r="AU41" s="250">
        <f t="shared" ca="1" si="44"/>
        <v>-40623.430555916777</v>
      </c>
      <c r="AV41" s="250">
        <f t="shared" ca="1" si="44"/>
        <v>-40623.430555916777</v>
      </c>
      <c r="AW41" s="250">
        <f t="shared" ca="1" si="44"/>
        <v>-40623.430555916784</v>
      </c>
      <c r="AX41" s="250">
        <f t="shared" ref="AX41:BH41" ca="1" si="45">AX35+AX38</f>
        <v>-40623.430555916791</v>
      </c>
      <c r="AY41" s="250">
        <f t="shared" ca="1" si="45"/>
        <v>-40623.430555916806</v>
      </c>
      <c r="AZ41" s="250">
        <f t="shared" ca="1" si="45"/>
        <v>-40623.430555916821</v>
      </c>
      <c r="BA41" s="250">
        <f t="shared" ca="1" si="45"/>
        <v>-40623.430555916806</v>
      </c>
      <c r="BB41" s="250">
        <f t="shared" ca="1" si="45"/>
        <v>-40623.430555916791</v>
      </c>
      <c r="BC41" s="250">
        <f t="shared" ca="1" si="45"/>
        <v>-40623.430555916806</v>
      </c>
      <c r="BD41" s="250">
        <f t="shared" ca="1" si="45"/>
        <v>-40623.430555916842</v>
      </c>
      <c r="BE41" s="250">
        <f t="shared" ca="1" si="45"/>
        <v>-40623.430555916806</v>
      </c>
      <c r="BF41" s="250">
        <f t="shared" ca="1" si="45"/>
        <v>-40623.430555916777</v>
      </c>
      <c r="BG41" s="250">
        <f t="shared" ca="1" si="45"/>
        <v>-36785.461999323496</v>
      </c>
      <c r="BH41" s="250">
        <f t="shared" ca="1" si="45"/>
        <v>-36785.46199932359</v>
      </c>
    </row>
    <row r="42" spans="2:60">
      <c r="B42" s="251" t="s">
        <v>185</v>
      </c>
      <c r="C42" s="248" t="s">
        <v>161</v>
      </c>
      <c r="D42" s="249"/>
      <c r="E42" s="250">
        <f ca="1">SUM(OFFSET($R$42,,(COLUMNS(E$42:$E42)-1)*4,,4))</f>
        <v>-128786</v>
      </c>
      <c r="F42" s="250">
        <f ca="1">SUM(OFFSET($R$42,,(COLUMNS($E$42:F42)-1)*4,,4))</f>
        <v>-288694.96828388399</v>
      </c>
      <c r="G42" s="250">
        <f ca="1">SUM(OFFSET($R$42,,(COLUMNS($E$42:G42)-1)*4,,4))</f>
        <v>-303101.54370287817</v>
      </c>
      <c r="H42" s="250">
        <f ca="1">SUM(OFFSET($R$42,,(COLUMNS($E$42:H42)-1)*4,,4))</f>
        <v>-295678.80166292976</v>
      </c>
      <c r="I42" s="250">
        <f ca="1">SUM(OFFSET($R$42,,(COLUMNS($E$42:I42)-1)*4,,4))</f>
        <v>-254246.78118943406</v>
      </c>
      <c r="J42" s="250">
        <f ca="1">SUM(OFFSET($R$42,,(COLUMNS($E$42:J42)-1)*4,,4))</f>
        <v>-225440.23453003983</v>
      </c>
      <c r="K42" s="250">
        <f ca="1">SUM(OFFSET($R$42,,(COLUMNS($E$42:K42)-1)*4,,4))</f>
        <v>-195579.30618886775</v>
      </c>
      <c r="L42" s="250">
        <f ca="1">SUM(OFFSET($R$42,,(COLUMNS($E$42:L42)-1)*4,,4))</f>
        <v>-176310.40902740305</v>
      </c>
      <c r="M42" s="250">
        <f ca="1">SUM(OFFSET($R$42,,(COLUMNS($E$42:M42)-1)*4,,4))</f>
        <v>-162493.72222366722</v>
      </c>
      <c r="N42" s="250">
        <f ca="1">SUM(OFFSET($R$42,,(COLUMNS($E$42:N42)-1)*4,,4))</f>
        <v>-162493.72222366725</v>
      </c>
      <c r="O42" s="250">
        <f ca="1">SUM(OFFSET($R$42,,(COLUMNS($E$42:O42)-1)*4,,4))</f>
        <v>-114194.35455456388</v>
      </c>
      <c r="R42" s="249"/>
      <c r="S42" s="249"/>
      <c r="T42" s="250">
        <f t="shared" ref="T42:Y42" si="46">T41+T39</f>
        <v>-66345</v>
      </c>
      <c r="U42" s="250">
        <f t="shared" si="46"/>
        <v>-62441</v>
      </c>
      <c r="V42" s="250">
        <f t="shared" si="46"/>
        <v>-81811</v>
      </c>
      <c r="W42" s="250">
        <f t="shared" si="46"/>
        <v>-71650</v>
      </c>
      <c r="X42" s="250">
        <f t="shared" si="46"/>
        <v>-61417</v>
      </c>
      <c r="Y42" s="250">
        <f t="shared" si="46"/>
        <v>-73816.968283883965</v>
      </c>
      <c r="Z42" s="250">
        <f t="shared" ref="Z42:AW42" ca="1" si="47">Z41+Z39</f>
        <v>-74566.000238805515</v>
      </c>
      <c r="AA42" s="250">
        <f t="shared" ca="1" si="47"/>
        <v>-76139.904104894769</v>
      </c>
      <c r="AB42" s="250">
        <f t="shared" ca="1" si="47"/>
        <v>-76197.819679588938</v>
      </c>
      <c r="AC42" s="250">
        <f t="shared" ca="1" si="47"/>
        <v>-76197.819679588938</v>
      </c>
      <c r="AD42" s="250">
        <f t="shared" ca="1" si="47"/>
        <v>-74679.073503684602</v>
      </c>
      <c r="AE42" s="250">
        <f t="shared" ca="1" si="47"/>
        <v>-74679.073503684602</v>
      </c>
      <c r="AF42" s="250">
        <f t="shared" ca="1" si="47"/>
        <v>-73160.32732778028</v>
      </c>
      <c r="AG42" s="250">
        <f t="shared" ca="1" si="47"/>
        <v>-73160.32732778028</v>
      </c>
      <c r="AH42" s="250">
        <f t="shared" ca="1" si="47"/>
        <v>-64310.462332277493</v>
      </c>
      <c r="AI42" s="250">
        <f t="shared" ca="1" si="47"/>
        <v>-64310.462332277486</v>
      </c>
      <c r="AJ42" s="250">
        <f t="shared" ca="1" si="47"/>
        <v>-62812.928262439527</v>
      </c>
      <c r="AK42" s="250">
        <f t="shared" ca="1" si="47"/>
        <v>-62812.928262439542</v>
      </c>
      <c r="AL42" s="250">
        <f t="shared" ca="1" si="47"/>
        <v>-56360.058632509965</v>
      </c>
      <c r="AM42" s="250">
        <f t="shared" ca="1" si="47"/>
        <v>-56360.05863250995</v>
      </c>
      <c r="AN42" s="250">
        <f t="shared" ca="1" si="47"/>
        <v>-56360.05863250995</v>
      </c>
      <c r="AO42" s="250">
        <f t="shared" ca="1" si="47"/>
        <v>-56360.05863250995</v>
      </c>
      <c r="AP42" s="250">
        <f t="shared" ca="1" si="47"/>
        <v>-48894.82654721693</v>
      </c>
      <c r="AQ42" s="250">
        <f t="shared" ca="1" si="47"/>
        <v>-48894.826547216937</v>
      </c>
      <c r="AR42" s="250">
        <f t="shared" ca="1" si="47"/>
        <v>-48894.826547216937</v>
      </c>
      <c r="AS42" s="250">
        <f t="shared" ca="1" si="47"/>
        <v>-48894.826547216944</v>
      </c>
      <c r="AT42" s="250">
        <f t="shared" ca="1" si="47"/>
        <v>-44077.602256850754</v>
      </c>
      <c r="AU42" s="250">
        <f t="shared" ca="1" si="47"/>
        <v>-44077.602256850754</v>
      </c>
      <c r="AV42" s="250">
        <f t="shared" ca="1" si="47"/>
        <v>-44077.602256850754</v>
      </c>
      <c r="AW42" s="250">
        <f t="shared" ca="1" si="47"/>
        <v>-44077.602256850761</v>
      </c>
      <c r="AX42" s="250">
        <f t="shared" ref="AX42:BH42" ca="1" si="48">AX41+AX39</f>
        <v>-40623.430555916791</v>
      </c>
      <c r="AY42" s="250">
        <f t="shared" ca="1" si="48"/>
        <v>-40623.430555916806</v>
      </c>
      <c r="AZ42" s="250">
        <f t="shared" ca="1" si="48"/>
        <v>-40623.430555916821</v>
      </c>
      <c r="BA42" s="250">
        <f t="shared" ca="1" si="48"/>
        <v>-40623.430555916806</v>
      </c>
      <c r="BB42" s="250">
        <f t="shared" ca="1" si="48"/>
        <v>-40623.430555916791</v>
      </c>
      <c r="BC42" s="250">
        <f t="shared" ca="1" si="48"/>
        <v>-40623.430555916806</v>
      </c>
      <c r="BD42" s="250">
        <f t="shared" ca="1" si="48"/>
        <v>-40623.430555916842</v>
      </c>
      <c r="BE42" s="250">
        <f t="shared" ca="1" si="48"/>
        <v>-40623.430555916806</v>
      </c>
      <c r="BF42" s="250">
        <f t="shared" ca="1" si="48"/>
        <v>-40623.430555916777</v>
      </c>
      <c r="BG42" s="250">
        <f t="shared" ca="1" si="48"/>
        <v>-36785.461999323496</v>
      </c>
      <c r="BH42" s="250">
        <f t="shared" ca="1" si="48"/>
        <v>-36785.46199932359</v>
      </c>
    </row>
    <row r="43" spans="2:60">
      <c r="B43" s="251" t="s">
        <v>186</v>
      </c>
      <c r="C43" s="247" t="s">
        <v>187</v>
      </c>
      <c r="D43" s="249"/>
      <c r="E43" s="195">
        <f t="shared" ref="E43:O43" ca="1" si="49">-E35/E22*1000</f>
        <v>433.5806868374043</v>
      </c>
      <c r="F43" s="195">
        <f t="shared" ca="1" si="49"/>
        <v>989.65273845852562</v>
      </c>
      <c r="G43" s="195">
        <f t="shared" ca="1" si="49"/>
        <v>1159.9982724780318</v>
      </c>
      <c r="H43" s="195">
        <f t="shared" ca="1" si="49"/>
        <v>1195.3710717380563</v>
      </c>
      <c r="I43" s="195">
        <f t="shared" ca="1" si="49"/>
        <v>976.81192234470382</v>
      </c>
      <c r="J43" s="195">
        <f t="shared" ca="1" si="49"/>
        <v>860.69608384649086</v>
      </c>
      <c r="K43" s="195">
        <f t="shared" ca="1" si="49"/>
        <v>800.6902991515733</v>
      </c>
      <c r="L43" s="195">
        <f t="shared" ca="1" si="49"/>
        <v>786.54038995717451</v>
      </c>
      <c r="M43" s="195">
        <f t="shared" ca="1" si="49"/>
        <v>864.03205399236504</v>
      </c>
      <c r="N43" s="195">
        <f t="shared" ca="1" si="49"/>
        <v>958.46178666912601</v>
      </c>
      <c r="O43" s="195">
        <f t="shared" ca="1" si="49"/>
        <v>718.8463400018444</v>
      </c>
      <c r="R43" s="249"/>
      <c r="S43" s="249"/>
      <c r="T43" s="195">
        <f t="shared" ref="T43:Y43" si="50">-T35/T22*1000</f>
        <v>761.15682977907557</v>
      </c>
      <c r="U43" s="195">
        <f t="shared" si="50"/>
        <v>739.75347514177861</v>
      </c>
      <c r="V43" s="195">
        <f t="shared" si="50"/>
        <v>907.19027644746836</v>
      </c>
      <c r="W43" s="195">
        <f t="shared" si="50"/>
        <v>911.04904659527017</v>
      </c>
      <c r="X43" s="195">
        <f t="shared" si="50"/>
        <v>985.70608260530742</v>
      </c>
      <c r="Y43" s="195">
        <f t="shared" si="50"/>
        <v>1003.558490181617</v>
      </c>
      <c r="Z43" s="195">
        <f t="shared" ref="Z43:AW43" ca="1" si="51">-Z35/Z22*1000</f>
        <v>1126.8695215266896</v>
      </c>
      <c r="AA43" s="195">
        <f t="shared" ca="1" si="51"/>
        <v>1155.40414400295</v>
      </c>
      <c r="AB43" s="195">
        <f t="shared" ca="1" si="51"/>
        <v>1156.4541440029502</v>
      </c>
      <c r="AC43" s="195">
        <f t="shared" ca="1" si="51"/>
        <v>1156.4541440029502</v>
      </c>
      <c r="AD43" s="195">
        <f t="shared" ca="1" si="51"/>
        <v>1128.9195215266896</v>
      </c>
      <c r="AE43" s="195">
        <f t="shared" ca="1" si="51"/>
        <v>1128.9195215266896</v>
      </c>
      <c r="AF43" s="195">
        <f t="shared" ca="1" si="51"/>
        <v>1101.3848990504289</v>
      </c>
      <c r="AG43" s="195">
        <f t="shared" ca="1" si="51"/>
        <v>1101.3848990504289</v>
      </c>
      <c r="AH43" s="195">
        <f t="shared" ca="1" si="51"/>
        <v>1071.9002765741679</v>
      </c>
      <c r="AI43" s="195">
        <f t="shared" ca="1" si="51"/>
        <v>1071.9002765741682</v>
      </c>
      <c r="AJ43" s="195">
        <f t="shared" ca="1" si="51"/>
        <v>1042.5156540979074</v>
      </c>
      <c r="AK43" s="195">
        <f t="shared" ca="1" si="51"/>
        <v>1042.5156540979074</v>
      </c>
      <c r="AL43" s="195">
        <f t="shared" ca="1" si="51"/>
        <v>1015.0810316216465</v>
      </c>
      <c r="AM43" s="195">
        <f t="shared" ca="1" si="51"/>
        <v>1015.0810316216465</v>
      </c>
      <c r="AN43" s="195">
        <f t="shared" ca="1" si="51"/>
        <v>1015.0810316216465</v>
      </c>
      <c r="AO43" s="195">
        <f t="shared" ca="1" si="51"/>
        <v>1015.0810316216465</v>
      </c>
      <c r="AP43" s="195">
        <f t="shared" ca="1" si="51"/>
        <v>958.46178666912522</v>
      </c>
      <c r="AQ43" s="195">
        <f t="shared" ca="1" si="51"/>
        <v>958.46178666912522</v>
      </c>
      <c r="AR43" s="195">
        <f t="shared" ca="1" si="51"/>
        <v>958.46178666912522</v>
      </c>
      <c r="AS43" s="195">
        <f t="shared" ca="1" si="51"/>
        <v>958.46178666912522</v>
      </c>
      <c r="AT43" s="195">
        <f t="shared" ca="1" si="51"/>
        <v>958.46178666912522</v>
      </c>
      <c r="AU43" s="195">
        <f t="shared" ca="1" si="51"/>
        <v>958.46178666912522</v>
      </c>
      <c r="AV43" s="195">
        <f t="shared" ca="1" si="51"/>
        <v>958.46178666912522</v>
      </c>
      <c r="AW43" s="195">
        <f t="shared" ca="1" si="51"/>
        <v>958.46178666912522</v>
      </c>
      <c r="AX43" s="195">
        <f t="shared" ref="AX43:BH43" ca="1" si="52">-AX35/AX22*1000</f>
        <v>958.4617866691251</v>
      </c>
      <c r="AY43" s="195">
        <f t="shared" ca="1" si="52"/>
        <v>958.46178666912533</v>
      </c>
      <c r="AZ43" s="195">
        <f t="shared" ca="1" si="52"/>
        <v>958.46178666912533</v>
      </c>
      <c r="BA43" s="195">
        <f t="shared" ca="1" si="52"/>
        <v>958.46178666912533</v>
      </c>
      <c r="BB43" s="195">
        <f t="shared" ca="1" si="52"/>
        <v>958.46178666912533</v>
      </c>
      <c r="BC43" s="195">
        <f t="shared" ca="1" si="52"/>
        <v>958.46178666912533</v>
      </c>
      <c r="BD43" s="195">
        <f t="shared" ca="1" si="52"/>
        <v>958.46178666912533</v>
      </c>
      <c r="BE43" s="195">
        <f t="shared" ca="1" si="52"/>
        <v>958.46178666912533</v>
      </c>
      <c r="BF43" s="195">
        <f t="shared" ca="1" si="52"/>
        <v>958.46178666912522</v>
      </c>
      <c r="BG43" s="195">
        <f t="shared" ca="1" si="52"/>
        <v>958.46178666912533</v>
      </c>
      <c r="BH43" s="195">
        <f t="shared" ca="1" si="52"/>
        <v>958.46178666912522</v>
      </c>
    </row>
    <row r="44" spans="2:60">
      <c r="B44" s="251" t="s">
        <v>188</v>
      </c>
      <c r="C44" s="247" t="s">
        <v>187</v>
      </c>
      <c r="D44" s="249"/>
      <c r="E44" s="195">
        <f ca="1">-E41/E22*1000</f>
        <v>472.0409695759854</v>
      </c>
      <c r="F44" s="195">
        <f ca="1">-F41/F22*1000</f>
        <v>1086.8228106302913</v>
      </c>
      <c r="G44" s="195">
        <f ca="1">-G41/G22*1000</f>
        <v>1260.9734490179317</v>
      </c>
      <c r="H44" s="195">
        <f ca="1">-H41/H22*1000</f>
        <v>1302.564606459988</v>
      </c>
      <c r="I44" s="195">
        <f t="shared" ref="I44:N44" ca="1" si="53">-I41/I22*1000</f>
        <v>1069.2073596070613</v>
      </c>
      <c r="J44" s="195">
        <f t="shared" ca="1" si="53"/>
        <v>945.48695837120556</v>
      </c>
      <c r="K44" s="195">
        <f t="shared" ca="1" si="53"/>
        <v>884.229393801779</v>
      </c>
      <c r="L44" s="195">
        <f t="shared" ca="1" si="53"/>
        <v>868.60317022623292</v>
      </c>
      <c r="M44" s="195">
        <f t="shared" ca="1" si="53"/>
        <v>954.17983724359669</v>
      </c>
      <c r="N44" s="195">
        <f t="shared" ca="1" si="53"/>
        <v>1058.4617866691262</v>
      </c>
      <c r="O44" s="195">
        <f ca="1">-O41/O22*1000</f>
        <v>743.84634000184451</v>
      </c>
      <c r="R44" s="249"/>
      <c r="S44" s="249"/>
      <c r="T44" s="195">
        <f t="shared" ref="T44:Y44" si="54">-T41/T22*1000</f>
        <v>831.66681414624077</v>
      </c>
      <c r="U44" s="195">
        <f t="shared" si="54"/>
        <v>801.7424906524501</v>
      </c>
      <c r="V44" s="195">
        <f t="shared" si="54"/>
        <v>953.51256729530667</v>
      </c>
      <c r="W44" s="195">
        <f t="shared" si="54"/>
        <v>1015.8331491490686</v>
      </c>
      <c r="X44" s="195">
        <f t="shared" si="54"/>
        <v>1029.3876379147698</v>
      </c>
      <c r="Y44" s="195">
        <f t="shared" si="54"/>
        <v>1182.1373967126401</v>
      </c>
      <c r="Z44" s="195">
        <f t="shared" ref="Z44:AW44" ca="1" si="55">-Z41/Z22*1000</f>
        <v>1226.8695215266894</v>
      </c>
      <c r="AA44" s="195">
        <f t="shared" ca="1" si="55"/>
        <v>1255.4041440029503</v>
      </c>
      <c r="AB44" s="195">
        <f t="shared" ca="1" si="55"/>
        <v>1256.4541440029502</v>
      </c>
      <c r="AC44" s="195">
        <f t="shared" ca="1" si="55"/>
        <v>1256.4541440029502</v>
      </c>
      <c r="AD44" s="195">
        <f t="shared" ca="1" si="55"/>
        <v>1228.9195215266896</v>
      </c>
      <c r="AE44" s="195">
        <f t="shared" ca="1" si="55"/>
        <v>1228.9195215266896</v>
      </c>
      <c r="AF44" s="195">
        <f t="shared" ca="1" si="55"/>
        <v>1201.3848990504291</v>
      </c>
      <c r="AG44" s="195">
        <f t="shared" ca="1" si="55"/>
        <v>1201.3848990504291</v>
      </c>
      <c r="AH44" s="195">
        <f t="shared" ca="1" si="55"/>
        <v>1171.9002765741679</v>
      </c>
      <c r="AI44" s="195">
        <f t="shared" ca="1" si="55"/>
        <v>1171.9002765741682</v>
      </c>
      <c r="AJ44" s="195">
        <f t="shared" ca="1" si="55"/>
        <v>1142.5156540979074</v>
      </c>
      <c r="AK44" s="195">
        <f t="shared" ca="1" si="55"/>
        <v>1142.5156540979074</v>
      </c>
      <c r="AL44" s="195">
        <f t="shared" ca="1" si="55"/>
        <v>1115.0810316216466</v>
      </c>
      <c r="AM44" s="195">
        <f t="shared" ca="1" si="55"/>
        <v>1115.0810316216466</v>
      </c>
      <c r="AN44" s="195">
        <f t="shared" ca="1" si="55"/>
        <v>1115.0810316216466</v>
      </c>
      <c r="AO44" s="195">
        <f t="shared" ca="1" si="55"/>
        <v>1115.0810316216466</v>
      </c>
      <c r="AP44" s="195">
        <f t="shared" ca="1" si="55"/>
        <v>1058.4617866691253</v>
      </c>
      <c r="AQ44" s="195">
        <f t="shared" ca="1" si="55"/>
        <v>1058.4617866691253</v>
      </c>
      <c r="AR44" s="195">
        <f t="shared" ca="1" si="55"/>
        <v>1058.4617866691253</v>
      </c>
      <c r="AS44" s="195">
        <f t="shared" ca="1" si="55"/>
        <v>1058.4617866691253</v>
      </c>
      <c r="AT44" s="195">
        <f t="shared" ca="1" si="55"/>
        <v>1058.4617866691253</v>
      </c>
      <c r="AU44" s="195">
        <f t="shared" ca="1" si="55"/>
        <v>1058.4617866691253</v>
      </c>
      <c r="AV44" s="195">
        <f t="shared" ca="1" si="55"/>
        <v>1058.4617866691253</v>
      </c>
      <c r="AW44" s="195">
        <f t="shared" ca="1" si="55"/>
        <v>1058.4617866691253</v>
      </c>
      <c r="AX44" s="195">
        <f t="shared" ref="AX44:BH44" ca="1" si="56">-AX41/AX22*1000</f>
        <v>1058.4617866691251</v>
      </c>
      <c r="AY44" s="195">
        <f t="shared" ca="1" si="56"/>
        <v>1058.4617866691253</v>
      </c>
      <c r="AZ44" s="195">
        <f t="shared" ca="1" si="56"/>
        <v>1058.4617866691253</v>
      </c>
      <c r="BA44" s="195">
        <f t="shared" ca="1" si="56"/>
        <v>1058.4617866691253</v>
      </c>
      <c r="BB44" s="195">
        <f t="shared" ca="1" si="56"/>
        <v>1058.4617866691253</v>
      </c>
      <c r="BC44" s="195">
        <f t="shared" ca="1" si="56"/>
        <v>1058.4617866691253</v>
      </c>
      <c r="BD44" s="195">
        <f t="shared" ca="1" si="56"/>
        <v>1058.4617866691253</v>
      </c>
      <c r="BE44" s="195">
        <f t="shared" ca="1" si="56"/>
        <v>1058.4617866691253</v>
      </c>
      <c r="BF44" s="195">
        <f t="shared" ca="1" si="56"/>
        <v>1058.4617866691253</v>
      </c>
      <c r="BG44" s="195">
        <f t="shared" ca="1" si="56"/>
        <v>958.46178666912533</v>
      </c>
      <c r="BH44" s="195">
        <f t="shared" ca="1" si="56"/>
        <v>958.46178666912522</v>
      </c>
    </row>
    <row r="45" spans="2:60">
      <c r="U45" s="167"/>
      <c r="V45" s="167"/>
      <c r="W45" s="167"/>
      <c r="X45" s="167"/>
      <c r="Y45" s="167"/>
      <c r="Z45" s="167"/>
    </row>
    <row r="46" spans="2:60">
      <c r="B46" s="164" t="s">
        <v>241</v>
      </c>
      <c r="C46" s="164"/>
      <c r="D46" s="188"/>
      <c r="E46" s="188"/>
      <c r="F46" s="188"/>
      <c r="G46" s="245"/>
      <c r="H46" s="245"/>
      <c r="I46" s="188"/>
      <c r="J46" s="188"/>
      <c r="K46" s="188"/>
      <c r="L46" s="188"/>
      <c r="M46" s="188"/>
      <c r="N46" s="188"/>
      <c r="O46" s="188"/>
      <c r="R46" s="188"/>
      <c r="S46" s="188"/>
      <c r="T46" s="284"/>
      <c r="U46" s="284"/>
      <c r="V46" s="284"/>
      <c r="W46" s="284"/>
      <c r="X46" s="284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</row>
    <row r="47" spans="2:60">
      <c r="B47" s="243" t="s">
        <v>242</v>
      </c>
      <c r="C47" s="193" t="s">
        <v>187</v>
      </c>
      <c r="E47" s="186">
        <f ca="1">AVERAGE(OFFSET($R$47,,(COLUMNS(E$47:$E47)-1)*4,,4))</f>
        <v>68.263143099022031</v>
      </c>
      <c r="F47" s="186">
        <f ca="1">AVERAGE(OFFSET($R$47,,(COLUMNS($E$47:F47)-1)*4,,4))</f>
        <v>95.389377970688031</v>
      </c>
      <c r="G47" s="186">
        <f ca="1">AVERAGE(OFFSET($R$47,,(COLUMNS($E$47:G47)-1)*4,,4))</f>
        <v>100</v>
      </c>
      <c r="H47" s="186">
        <f ca="1">AVERAGE(OFFSET($R$47,,(COLUMNS($E$47:H47)-1)*4,,4))</f>
        <v>100</v>
      </c>
      <c r="I47" s="186">
        <f ca="1">AVERAGE(OFFSET($R$47,,(COLUMNS($E$47:I47)-1)*4,,4))</f>
        <v>100</v>
      </c>
      <c r="J47" s="186">
        <f ca="1">AVERAGE(OFFSET($R$47,,(COLUMNS($E$47:J47)-1)*4,,4))</f>
        <v>100</v>
      </c>
      <c r="K47" s="186">
        <f ca="1">AVERAGE(OFFSET($R$47,,(COLUMNS($E$47:K47)-1)*4,,4))</f>
        <v>100</v>
      </c>
      <c r="L47" s="186">
        <f ca="1">AVERAGE(OFFSET($R$47,,(COLUMNS($E$47:L47)-1)*4,,4))</f>
        <v>100</v>
      </c>
      <c r="M47" s="186">
        <f ca="1">AVERAGE(OFFSET($R$47,,(COLUMNS($E$47:M47)-1)*4,,4))</f>
        <v>100</v>
      </c>
      <c r="N47" s="186">
        <f ca="1">AVERAGE(OFFSET($R$47,,(COLUMNS($E$47:N47)-1)*4,,4))</f>
        <v>100</v>
      </c>
      <c r="O47" s="186">
        <f ca="1">AVERAGE(OFFSET($R$47,,(COLUMNS($E$47:O47)-1)*4,,4))</f>
        <v>33.333333333333336</v>
      </c>
      <c r="T47" s="186">
        <f>-T38/T$19*10^3</f>
        <v>80.1132745735447</v>
      </c>
      <c r="U47" s="186">
        <f t="shared" ref="U47:Y48" si="57">-U38/U$19*10^3</f>
        <v>56.413011624499369</v>
      </c>
      <c r="V47" s="186">
        <f t="shared" si="57"/>
        <v>53.531555945724151</v>
      </c>
      <c r="W47" s="186">
        <f t="shared" si="57"/>
        <v>106.06707751133891</v>
      </c>
      <c r="X47" s="186">
        <f t="shared" si="57"/>
        <v>43.379971894666092</v>
      </c>
      <c r="Y47" s="186">
        <f t="shared" si="57"/>
        <v>178.57890653102302</v>
      </c>
      <c r="Z47" s="269">
        <v>100</v>
      </c>
      <c r="AA47" s="269">
        <f>Z47</f>
        <v>100</v>
      </c>
      <c r="AB47" s="269">
        <f t="shared" ref="AB47:BF47" si="58">AA47</f>
        <v>100</v>
      </c>
      <c r="AC47" s="269">
        <f t="shared" si="58"/>
        <v>100</v>
      </c>
      <c r="AD47" s="269">
        <f t="shared" si="58"/>
        <v>100</v>
      </c>
      <c r="AE47" s="269">
        <f t="shared" si="58"/>
        <v>100</v>
      </c>
      <c r="AF47" s="269">
        <f t="shared" si="58"/>
        <v>100</v>
      </c>
      <c r="AG47" s="269">
        <f t="shared" si="58"/>
        <v>100</v>
      </c>
      <c r="AH47" s="269">
        <f t="shared" si="58"/>
        <v>100</v>
      </c>
      <c r="AI47" s="269">
        <f t="shared" si="58"/>
        <v>100</v>
      </c>
      <c r="AJ47" s="269">
        <f t="shared" si="58"/>
        <v>100</v>
      </c>
      <c r="AK47" s="269">
        <f t="shared" si="58"/>
        <v>100</v>
      </c>
      <c r="AL47" s="269">
        <f t="shared" si="58"/>
        <v>100</v>
      </c>
      <c r="AM47" s="269">
        <f t="shared" si="58"/>
        <v>100</v>
      </c>
      <c r="AN47" s="269">
        <f t="shared" si="58"/>
        <v>100</v>
      </c>
      <c r="AO47" s="269">
        <f t="shared" si="58"/>
        <v>100</v>
      </c>
      <c r="AP47" s="269">
        <f t="shared" si="58"/>
        <v>100</v>
      </c>
      <c r="AQ47" s="269">
        <f t="shared" si="58"/>
        <v>100</v>
      </c>
      <c r="AR47" s="269">
        <f t="shared" si="58"/>
        <v>100</v>
      </c>
      <c r="AS47" s="269">
        <f t="shared" si="58"/>
        <v>100</v>
      </c>
      <c r="AT47" s="269">
        <f t="shared" si="58"/>
        <v>100</v>
      </c>
      <c r="AU47" s="269">
        <f t="shared" si="58"/>
        <v>100</v>
      </c>
      <c r="AV47" s="269">
        <f t="shared" si="58"/>
        <v>100</v>
      </c>
      <c r="AW47" s="269">
        <f t="shared" si="58"/>
        <v>100</v>
      </c>
      <c r="AX47" s="269">
        <f t="shared" si="58"/>
        <v>100</v>
      </c>
      <c r="AY47" s="269">
        <f t="shared" si="58"/>
        <v>100</v>
      </c>
      <c r="AZ47" s="269">
        <f t="shared" si="58"/>
        <v>100</v>
      </c>
      <c r="BA47" s="269">
        <f t="shared" si="58"/>
        <v>100</v>
      </c>
      <c r="BB47" s="269">
        <f t="shared" si="58"/>
        <v>100</v>
      </c>
      <c r="BC47" s="269">
        <f t="shared" si="58"/>
        <v>100</v>
      </c>
      <c r="BD47" s="269">
        <f t="shared" si="58"/>
        <v>100</v>
      </c>
      <c r="BE47" s="269">
        <f t="shared" si="58"/>
        <v>100</v>
      </c>
      <c r="BF47" s="269">
        <f t="shared" si="58"/>
        <v>100</v>
      </c>
      <c r="BG47" s="269">
        <v>0</v>
      </c>
      <c r="BH47" s="269">
        <v>0</v>
      </c>
    </row>
    <row r="48" spans="2:60">
      <c r="B48" s="243" t="s">
        <v>243</v>
      </c>
      <c r="C48" s="193" t="s">
        <v>187</v>
      </c>
      <c r="E48" s="186">
        <f ca="1">AVERAGE(OFFSET($R$48,,(COLUMNS(E$48:$E48)-1)*4,,4))</f>
        <v>226.87197982804463</v>
      </c>
      <c r="F48" s="186">
        <f ca="1">AVERAGE(OFFSET($R$48,,(COLUMNS($E$48:F48)-1)*4,,4))</f>
        <v>318.27673861078119</v>
      </c>
      <c r="G48" s="186">
        <f ca="1">AVERAGE(OFFSET($R$48,,(COLUMNS($E$48:G48)-1)*4,,4))</f>
        <v>125</v>
      </c>
      <c r="H48" s="186">
        <f ca="1">AVERAGE(OFFSET($R$48,,(COLUMNS($E$48:H48)-1)*4,,4))</f>
        <v>125</v>
      </c>
      <c r="I48" s="186">
        <f ca="1">AVERAGE(OFFSET($R$48,,(COLUMNS($E$48:I48)-1)*4,,4))</f>
        <v>90</v>
      </c>
      <c r="J48" s="186">
        <f ca="1">AVERAGE(OFFSET($R$48,,(COLUMNS($E$48:J48)-1)*4,,4))</f>
        <v>90</v>
      </c>
      <c r="K48" s="186">
        <f ca="1">AVERAGE(OFFSET($R$48,,(COLUMNS($E$48:K48)-1)*4,,4))</f>
        <v>90</v>
      </c>
      <c r="L48" s="186">
        <f ca="1">AVERAGE(OFFSET($R$48,,(COLUMNS($E$48:L48)-1)*4,,4))</f>
        <v>90</v>
      </c>
      <c r="M48" s="186">
        <f ca="1">AVERAGE(OFFSET($R$48,,(COLUMNS($E$48:M48)-1)*4,,4))</f>
        <v>0</v>
      </c>
      <c r="N48" s="186">
        <f ca="1">AVERAGE(OFFSET($R$48,,(COLUMNS($E$48:N48)-1)*4,,4))</f>
        <v>0</v>
      </c>
      <c r="O48" s="186">
        <f ca="1">AVERAGE(OFFSET($R$48,,(COLUMNS($E$48:O48)-1)*4,,4))</f>
        <v>0</v>
      </c>
      <c r="T48" s="186">
        <f>-T39/T$19*10^3</f>
        <v>166.77837729146418</v>
      </c>
      <c r="U48" s="186">
        <f t="shared" si="57"/>
        <v>286.96558236462505</v>
      </c>
      <c r="V48" s="186">
        <f t="shared" si="57"/>
        <v>459.3980801160327</v>
      </c>
      <c r="W48" s="186">
        <f t="shared" si="57"/>
        <v>429.00726096772223</v>
      </c>
      <c r="X48" s="186">
        <f t="shared" si="57"/>
        <v>228.54931671452718</v>
      </c>
      <c r="Y48" s="186">
        <f t="shared" si="57"/>
        <v>156.15229664484275</v>
      </c>
      <c r="Z48" s="269">
        <v>125</v>
      </c>
      <c r="AA48" s="269">
        <f>Z48</f>
        <v>125</v>
      </c>
      <c r="AB48" s="269">
        <f t="shared" ref="AB48:AG48" si="59">AA48</f>
        <v>125</v>
      </c>
      <c r="AC48" s="269">
        <f t="shared" si="59"/>
        <v>125</v>
      </c>
      <c r="AD48" s="269">
        <f t="shared" si="59"/>
        <v>125</v>
      </c>
      <c r="AE48" s="269">
        <f t="shared" si="59"/>
        <v>125</v>
      </c>
      <c r="AF48" s="269">
        <f t="shared" si="59"/>
        <v>125</v>
      </c>
      <c r="AG48" s="269">
        <f t="shared" si="59"/>
        <v>125</v>
      </c>
      <c r="AH48" s="269">
        <v>90</v>
      </c>
      <c r="AI48" s="269">
        <f>AH48</f>
        <v>90</v>
      </c>
      <c r="AJ48" s="269">
        <f t="shared" ref="AJ48:AW48" si="60">AI48</f>
        <v>90</v>
      </c>
      <c r="AK48" s="269">
        <f t="shared" si="60"/>
        <v>90</v>
      </c>
      <c r="AL48" s="269">
        <f t="shared" si="60"/>
        <v>90</v>
      </c>
      <c r="AM48" s="269">
        <f t="shared" si="60"/>
        <v>90</v>
      </c>
      <c r="AN48" s="269">
        <f t="shared" si="60"/>
        <v>90</v>
      </c>
      <c r="AO48" s="269">
        <f t="shared" si="60"/>
        <v>90</v>
      </c>
      <c r="AP48" s="269">
        <f t="shared" si="60"/>
        <v>90</v>
      </c>
      <c r="AQ48" s="269">
        <f t="shared" si="60"/>
        <v>90</v>
      </c>
      <c r="AR48" s="269">
        <f t="shared" si="60"/>
        <v>90</v>
      </c>
      <c r="AS48" s="269">
        <f t="shared" si="60"/>
        <v>90</v>
      </c>
      <c r="AT48" s="269">
        <f t="shared" si="60"/>
        <v>90</v>
      </c>
      <c r="AU48" s="269">
        <f>AT48</f>
        <v>90</v>
      </c>
      <c r="AV48" s="269">
        <f t="shared" si="60"/>
        <v>90</v>
      </c>
      <c r="AW48" s="269">
        <f t="shared" si="60"/>
        <v>90</v>
      </c>
      <c r="AX48" s="269">
        <v>0</v>
      </c>
      <c r="AY48" s="269">
        <f>AX48</f>
        <v>0</v>
      </c>
      <c r="AZ48" s="269">
        <f t="shared" ref="AZ48:BH48" si="61">AY48</f>
        <v>0</v>
      </c>
      <c r="BA48" s="269">
        <f t="shared" si="61"/>
        <v>0</v>
      </c>
      <c r="BB48" s="269">
        <f t="shared" si="61"/>
        <v>0</v>
      </c>
      <c r="BC48" s="269">
        <f t="shared" si="61"/>
        <v>0</v>
      </c>
      <c r="BD48" s="269">
        <f t="shared" si="61"/>
        <v>0</v>
      </c>
      <c r="BE48" s="269">
        <f t="shared" si="61"/>
        <v>0</v>
      </c>
      <c r="BF48" s="269">
        <f t="shared" si="61"/>
        <v>0</v>
      </c>
      <c r="BG48" s="269">
        <f t="shared" si="61"/>
        <v>0</v>
      </c>
      <c r="BH48" s="269">
        <f t="shared" si="61"/>
        <v>0</v>
      </c>
    </row>
    <row r="50" spans="2:60">
      <c r="B50" s="164" t="s">
        <v>19</v>
      </c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R50" s="188"/>
      <c r="S50" s="188"/>
    </row>
    <row r="51" spans="2:60">
      <c r="B51" s="243" t="s">
        <v>411</v>
      </c>
      <c r="C51" s="193" t="s">
        <v>187</v>
      </c>
      <c r="E51" s="186">
        <f ca="1">AVERAGE(OFFSET($R$51,,(COLUMNS(E$51:$E51)-1)*4,,4))</f>
        <v>495.87727639684283</v>
      </c>
      <c r="F51" s="186">
        <f ca="1">AVERAGE(OFFSET($R$51,,(COLUMNS($E$51:F51)-1)*4,,4))</f>
        <v>337.41593705108511</v>
      </c>
      <c r="G51" s="186">
        <f ca="1">AVERAGE(OFFSET($R$51,,(COLUMNS($E$51:G51)-1)*4,,4))</f>
        <v>300</v>
      </c>
      <c r="H51" s="186">
        <f ca="1">AVERAGE(OFFSET($R$51,,(COLUMNS($E$51:H51)-1)*4,,4))</f>
        <v>300</v>
      </c>
      <c r="I51" s="186">
        <f ca="1">AVERAGE(OFFSET($R$51,,(COLUMNS($E$51:I51)-1)*4,,4))</f>
        <v>300</v>
      </c>
      <c r="J51" s="186">
        <f ca="1">AVERAGE(OFFSET($R$51,,(COLUMNS($E$51:J51)-1)*4,,4))</f>
        <v>300</v>
      </c>
      <c r="K51" s="186">
        <f ca="1">AVERAGE(OFFSET($R$51,,(COLUMNS($E$51:K51)-1)*4,,4))</f>
        <v>300</v>
      </c>
      <c r="L51" s="186">
        <f ca="1">AVERAGE(OFFSET($R$51,,(COLUMNS($E$51:L51)-1)*4,,4))</f>
        <v>300</v>
      </c>
      <c r="M51" s="186">
        <f ca="1">AVERAGE(OFFSET($R$51,,(COLUMNS($E$51:M51)-1)*4,,4))</f>
        <v>200</v>
      </c>
      <c r="N51" s="186">
        <f ca="1">AVERAGE(OFFSET($R$51,,(COLUMNS($E$51:N51)-1)*4,,4))</f>
        <v>200</v>
      </c>
      <c r="O51" s="186">
        <f ca="1">AVERAGE(OFFSET($R$51,,(COLUMNS($E$51:O51)-1)*4,,4))</f>
        <v>200</v>
      </c>
      <c r="T51" s="333">
        <f>-T36/T$19*10^3</f>
        <v>736.55283353999801</v>
      </c>
      <c r="U51" s="333">
        <f>-U36/U$19*10^3</f>
        <v>255.20171925368763</v>
      </c>
      <c r="V51" s="333">
        <f t="shared" ref="V51:X51" si="62">-V36/V$19*10^3</f>
        <v>469.77995763277926</v>
      </c>
      <c r="W51" s="333">
        <f t="shared" si="62"/>
        <v>289.78786584497732</v>
      </c>
      <c r="X51" s="333">
        <f t="shared" si="62"/>
        <v>290.09592472658397</v>
      </c>
      <c r="Y51" s="332">
        <v>300</v>
      </c>
      <c r="Z51" s="331">
        <f>Y51</f>
        <v>300</v>
      </c>
      <c r="AA51" s="331">
        <f t="shared" ref="AA51:AW51" si="63">Z51</f>
        <v>300</v>
      </c>
      <c r="AB51" s="331">
        <f t="shared" si="63"/>
        <v>300</v>
      </c>
      <c r="AC51" s="331">
        <f t="shared" si="63"/>
        <v>300</v>
      </c>
      <c r="AD51" s="331">
        <f t="shared" si="63"/>
        <v>300</v>
      </c>
      <c r="AE51" s="331">
        <f t="shared" si="63"/>
        <v>300</v>
      </c>
      <c r="AF51" s="331">
        <f t="shared" si="63"/>
        <v>300</v>
      </c>
      <c r="AG51" s="331">
        <f t="shared" si="63"/>
        <v>300</v>
      </c>
      <c r="AH51" s="331">
        <f t="shared" si="63"/>
        <v>300</v>
      </c>
      <c r="AI51" s="331">
        <f t="shared" si="63"/>
        <v>300</v>
      </c>
      <c r="AJ51" s="331">
        <f t="shared" si="63"/>
        <v>300</v>
      </c>
      <c r="AK51" s="331">
        <f t="shared" si="63"/>
        <v>300</v>
      </c>
      <c r="AL51" s="331">
        <f t="shared" si="63"/>
        <v>300</v>
      </c>
      <c r="AM51" s="331">
        <f t="shared" si="63"/>
        <v>300</v>
      </c>
      <c r="AN51" s="331">
        <f t="shared" si="63"/>
        <v>300</v>
      </c>
      <c r="AO51" s="331">
        <f t="shared" si="63"/>
        <v>300</v>
      </c>
      <c r="AP51" s="331">
        <f t="shared" si="63"/>
        <v>300</v>
      </c>
      <c r="AQ51" s="331">
        <f t="shared" si="63"/>
        <v>300</v>
      </c>
      <c r="AR51" s="331">
        <f t="shared" si="63"/>
        <v>300</v>
      </c>
      <c r="AS51" s="331">
        <f t="shared" si="63"/>
        <v>300</v>
      </c>
      <c r="AT51" s="331">
        <f t="shared" si="63"/>
        <v>300</v>
      </c>
      <c r="AU51" s="331">
        <f t="shared" si="63"/>
        <v>300</v>
      </c>
      <c r="AV51" s="331">
        <f t="shared" si="63"/>
        <v>300</v>
      </c>
      <c r="AW51" s="331">
        <f t="shared" si="63"/>
        <v>300</v>
      </c>
      <c r="AX51" s="331">
        <v>200</v>
      </c>
      <c r="AY51" s="331">
        <f>AX51</f>
        <v>200</v>
      </c>
      <c r="AZ51" s="331">
        <f t="shared" ref="AZ51:BH51" si="64">AY51</f>
        <v>200</v>
      </c>
      <c r="BA51" s="331">
        <f t="shared" si="64"/>
        <v>200</v>
      </c>
      <c r="BB51" s="331">
        <f t="shared" si="64"/>
        <v>200</v>
      </c>
      <c r="BC51" s="331">
        <f t="shared" si="64"/>
        <v>200</v>
      </c>
      <c r="BD51" s="331">
        <f t="shared" si="64"/>
        <v>200</v>
      </c>
      <c r="BE51" s="331">
        <f t="shared" si="64"/>
        <v>200</v>
      </c>
      <c r="BF51" s="331">
        <f t="shared" si="64"/>
        <v>200</v>
      </c>
      <c r="BG51" s="331">
        <f t="shared" si="64"/>
        <v>200</v>
      </c>
      <c r="BH51" s="331">
        <f t="shared" si="64"/>
        <v>200</v>
      </c>
    </row>
  </sheetData>
  <mergeCells count="1">
    <mergeCell ref="BJ4:BJ5"/>
  </mergeCells>
  <phoneticPr fontId="48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B69D2-8CFC-9144-941B-55FC67D0028E}">
  <dimension ref="B2:BP55"/>
  <sheetViews>
    <sheetView topLeftCell="A2" zoomScale="120" zoomScaleNormal="120" workbookViewId="0">
      <pane xSplit="3" ySplit="4" topLeftCell="D15" activePane="bottomRight" state="frozen"/>
      <selection activeCell="A2" sqref="A2"/>
      <selection pane="topRight" activeCell="D2" sqref="D2"/>
      <selection pane="bottomLeft" activeCell="A6" sqref="A6"/>
      <selection pane="bottomRight" activeCell="F5" sqref="F5"/>
    </sheetView>
  </sheetViews>
  <sheetFormatPr baseColWidth="10" defaultRowHeight="14"/>
  <cols>
    <col min="1" max="1" width="2.6640625" customWidth="1"/>
    <col min="2" max="2" width="34.33203125" bestFit="1" customWidth="1"/>
    <col min="3" max="3" width="8" customWidth="1"/>
    <col min="4" max="4" width="16.1640625" customWidth="1"/>
    <col min="5" max="5" width="12" bestFit="1" customWidth="1"/>
    <col min="17" max="17" width="2.33203125" customWidth="1"/>
    <col min="18" max="18" width="13.5" bestFit="1" customWidth="1"/>
    <col min="19" max="22" width="10.83203125" customWidth="1"/>
    <col min="67" max="67" width="2" customWidth="1"/>
  </cols>
  <sheetData>
    <row r="2" spans="2:68" ht="18">
      <c r="B2" s="158" t="s">
        <v>268</v>
      </c>
    </row>
    <row r="3" spans="2:68" ht="18">
      <c r="B3" s="158" t="s">
        <v>246</v>
      </c>
    </row>
    <row r="4" spans="2:68">
      <c r="B4" s="160"/>
      <c r="C4" s="183" t="s">
        <v>128</v>
      </c>
      <c r="D4" s="161" t="s">
        <v>129</v>
      </c>
      <c r="E4" s="162">
        <f>F4-1</f>
        <v>2019</v>
      </c>
      <c r="F4" s="162">
        <f>YEAR(SUMMARY!B7)</f>
        <v>2020</v>
      </c>
      <c r="G4" s="163">
        <f t="shared" ref="G4:P4" si="0">F4+1</f>
        <v>2021</v>
      </c>
      <c r="H4" s="163">
        <f t="shared" si="0"/>
        <v>2022</v>
      </c>
      <c r="I4" s="163">
        <f t="shared" si="0"/>
        <v>2023</v>
      </c>
      <c r="J4" s="163">
        <f t="shared" si="0"/>
        <v>2024</v>
      </c>
      <c r="K4" s="163">
        <f t="shared" si="0"/>
        <v>2025</v>
      </c>
      <c r="L4" s="163">
        <f t="shared" si="0"/>
        <v>2026</v>
      </c>
      <c r="M4" s="163">
        <f t="shared" si="0"/>
        <v>2027</v>
      </c>
      <c r="N4" s="163">
        <f t="shared" si="0"/>
        <v>2028</v>
      </c>
      <c r="O4" s="163">
        <f t="shared" si="0"/>
        <v>2029</v>
      </c>
      <c r="P4" s="163">
        <f t="shared" si="0"/>
        <v>2030</v>
      </c>
      <c r="R4" s="161" t="s">
        <v>222</v>
      </c>
      <c r="S4" s="287" t="s">
        <v>224</v>
      </c>
      <c r="T4" s="287" t="s">
        <v>225</v>
      </c>
      <c r="U4" s="287" t="s">
        <v>226</v>
      </c>
      <c r="V4" s="287" t="s">
        <v>227</v>
      </c>
      <c r="W4" s="287" t="s">
        <v>194</v>
      </c>
      <c r="X4" s="287" t="s">
        <v>195</v>
      </c>
      <c r="Y4" s="287" t="s">
        <v>196</v>
      </c>
      <c r="Z4" s="287" t="s">
        <v>197</v>
      </c>
      <c r="AA4" s="287" t="s">
        <v>198</v>
      </c>
      <c r="AB4" s="287" t="s">
        <v>199</v>
      </c>
      <c r="AC4" s="287" t="s">
        <v>200</v>
      </c>
      <c r="AD4" s="287" t="s">
        <v>201</v>
      </c>
      <c r="AE4" s="287" t="s">
        <v>202</v>
      </c>
      <c r="AF4" s="287" t="s">
        <v>203</v>
      </c>
      <c r="AG4" s="287" t="s">
        <v>204</v>
      </c>
      <c r="AH4" s="287" t="s">
        <v>205</v>
      </c>
      <c r="AI4" s="287" t="s">
        <v>206</v>
      </c>
      <c r="AJ4" s="287" t="s">
        <v>207</v>
      </c>
      <c r="AK4" s="287" t="s">
        <v>208</v>
      </c>
      <c r="AL4" s="287" t="s">
        <v>209</v>
      </c>
      <c r="AM4" s="287" t="s">
        <v>210</v>
      </c>
      <c r="AN4" s="287" t="s">
        <v>211</v>
      </c>
      <c r="AO4" s="287" t="s">
        <v>212</v>
      </c>
      <c r="AP4" s="287" t="s">
        <v>213</v>
      </c>
      <c r="AQ4" s="287" t="s">
        <v>214</v>
      </c>
      <c r="AR4" s="287" t="s">
        <v>215</v>
      </c>
      <c r="AS4" s="287" t="s">
        <v>216</v>
      </c>
      <c r="AT4" s="287" t="s">
        <v>217</v>
      </c>
      <c r="AU4" s="287" t="s">
        <v>218</v>
      </c>
      <c r="AV4" s="287" t="s">
        <v>219</v>
      </c>
      <c r="AW4" s="287" t="s">
        <v>220</v>
      </c>
      <c r="AX4" s="287" t="s">
        <v>221</v>
      </c>
      <c r="AY4" s="287" t="s">
        <v>228</v>
      </c>
      <c r="AZ4" s="287" t="s">
        <v>229</v>
      </c>
      <c r="BA4" s="287" t="s">
        <v>230</v>
      </c>
      <c r="BB4" s="287" t="s">
        <v>231</v>
      </c>
      <c r="BC4" s="287" t="s">
        <v>232</v>
      </c>
      <c r="BD4" s="287" t="s">
        <v>233</v>
      </c>
      <c r="BE4" s="287" t="s">
        <v>234</v>
      </c>
      <c r="BF4" s="287" t="s">
        <v>235</v>
      </c>
      <c r="BG4" s="287" t="s">
        <v>236</v>
      </c>
      <c r="BH4" s="287" t="s">
        <v>237</v>
      </c>
      <c r="BI4" s="287" t="s">
        <v>238</v>
      </c>
      <c r="BJ4" s="287" t="s">
        <v>239</v>
      </c>
      <c r="BK4" s="287" t="s">
        <v>248</v>
      </c>
      <c r="BL4" s="287" t="s">
        <v>249</v>
      </c>
      <c r="BM4" s="287" t="s">
        <v>250</v>
      </c>
      <c r="BN4" s="287" t="s">
        <v>251</v>
      </c>
      <c r="BP4" s="356" t="s">
        <v>154</v>
      </c>
    </row>
    <row r="5" spans="2:68">
      <c r="B5" s="164"/>
      <c r="C5" s="184"/>
      <c r="D5" s="165" t="s">
        <v>158</v>
      </c>
      <c r="E5" s="194">
        <v>11</v>
      </c>
      <c r="F5" s="194">
        <v>10</v>
      </c>
      <c r="G5" s="194">
        <v>9</v>
      </c>
      <c r="H5" s="194">
        <v>8</v>
      </c>
      <c r="I5" s="194">
        <v>7</v>
      </c>
      <c r="J5" s="194">
        <v>6</v>
      </c>
      <c r="K5" s="194">
        <v>5</v>
      </c>
      <c r="L5" s="194">
        <v>4</v>
      </c>
      <c r="M5" s="194">
        <v>3</v>
      </c>
      <c r="N5" s="194">
        <v>2</v>
      </c>
      <c r="O5" s="194">
        <v>1</v>
      </c>
      <c r="P5" s="194">
        <v>0</v>
      </c>
      <c r="R5" s="164" t="s">
        <v>158</v>
      </c>
      <c r="S5" s="164">
        <v>12</v>
      </c>
      <c r="T5" s="164">
        <v>11.75</v>
      </c>
      <c r="U5" s="164">
        <v>11.5</v>
      </c>
      <c r="V5" s="188">
        <v>11.25</v>
      </c>
      <c r="W5" s="164">
        <v>11</v>
      </c>
      <c r="X5" s="164">
        <v>10.75</v>
      </c>
      <c r="Y5" s="164">
        <v>10.5</v>
      </c>
      <c r="Z5" s="188">
        <v>10.25</v>
      </c>
      <c r="AA5" s="164">
        <v>10</v>
      </c>
      <c r="AB5" s="164">
        <v>9.75</v>
      </c>
      <c r="AC5" s="164">
        <v>9.5</v>
      </c>
      <c r="AD5" s="188">
        <v>9.25</v>
      </c>
      <c r="AE5" s="164">
        <v>9</v>
      </c>
      <c r="AF5" s="164">
        <v>8.75</v>
      </c>
      <c r="AG5" s="164">
        <v>8.5</v>
      </c>
      <c r="AH5" s="188">
        <v>8.25</v>
      </c>
      <c r="AI5" s="164">
        <v>8</v>
      </c>
      <c r="AJ5" s="164">
        <v>7.75</v>
      </c>
      <c r="AK5" s="164">
        <v>7.5</v>
      </c>
      <c r="AL5" s="188">
        <v>7.25</v>
      </c>
      <c r="AM5" s="164">
        <v>7</v>
      </c>
      <c r="AN5" s="164">
        <v>6.75</v>
      </c>
      <c r="AO5" s="164">
        <v>6.5</v>
      </c>
      <c r="AP5" s="188">
        <v>6.25</v>
      </c>
      <c r="AQ5" s="164">
        <v>6</v>
      </c>
      <c r="AR5" s="164">
        <v>5.75</v>
      </c>
      <c r="AS5" s="164">
        <v>5.5</v>
      </c>
      <c r="AT5" s="188">
        <v>5.25</v>
      </c>
      <c r="AU5" s="164">
        <v>5</v>
      </c>
      <c r="AV5" s="164">
        <v>4.75</v>
      </c>
      <c r="AW5" s="164">
        <v>4.5</v>
      </c>
      <c r="AX5" s="188">
        <v>4.25</v>
      </c>
      <c r="AY5" s="164">
        <v>4</v>
      </c>
      <c r="AZ5" s="164">
        <v>3.75</v>
      </c>
      <c r="BA5" s="164">
        <v>3.5</v>
      </c>
      <c r="BB5" s="188">
        <v>3.25</v>
      </c>
      <c r="BC5" s="164">
        <v>3</v>
      </c>
      <c r="BD5" s="164">
        <v>2.75</v>
      </c>
      <c r="BE5" s="164">
        <v>2.5</v>
      </c>
      <c r="BF5" s="188">
        <v>2.25</v>
      </c>
      <c r="BG5" s="164">
        <v>2</v>
      </c>
      <c r="BH5" s="164">
        <v>1.75</v>
      </c>
      <c r="BI5" s="164">
        <v>1.5</v>
      </c>
      <c r="BJ5" s="188">
        <v>1.25</v>
      </c>
      <c r="BK5" s="164">
        <v>1</v>
      </c>
      <c r="BL5" s="164">
        <v>0.75</v>
      </c>
      <c r="BM5" s="164">
        <v>0.5</v>
      </c>
      <c r="BN5" s="188">
        <v>0.25</v>
      </c>
      <c r="BP5" s="357"/>
    </row>
    <row r="6" spans="2:68" ht="18">
      <c r="B6" s="158" t="s">
        <v>127</v>
      </c>
      <c r="C6" s="178"/>
    </row>
    <row r="7" spans="2:68">
      <c r="C7" s="178"/>
    </row>
    <row r="8" spans="2:68">
      <c r="B8" s="197" t="s">
        <v>132</v>
      </c>
      <c r="C8" s="174" t="s">
        <v>153</v>
      </c>
      <c r="E8" s="186">
        <f ca="1">SUM(OFFSET($S$8,,(COLUMNS($E$8:E8)-1)*4,,4))</f>
        <v>3693</v>
      </c>
      <c r="F8" s="186">
        <f ca="1">SUM(OFFSET($S$8,,(COLUMNS($E$8:F8)-1)*4,,4))</f>
        <v>5353</v>
      </c>
      <c r="G8" s="186">
        <f ca="1">SUM(OFFSET($S$8,,(COLUMNS($E$8:G8)-1)*4,,4))</f>
        <v>5649.9459459459458</v>
      </c>
      <c r="H8" s="186">
        <f ca="1">SUM(OFFSET($S$8,,(COLUMNS($E$8:H8)-1)*4,,4))</f>
        <v>4103.7837837837833</v>
      </c>
      <c r="I8" s="186">
        <f ca="1">SUM(OFFSET($S$8,,(COLUMNS($E$8:I8)-1)*4,,4))</f>
        <v>4103.7837837837815</v>
      </c>
      <c r="J8" s="186">
        <f ca="1">SUM(OFFSET($S$8,,(COLUMNS($E$8:J8)-1)*4,,4))</f>
        <v>4103.7837837837815</v>
      </c>
      <c r="K8" s="186">
        <f ca="1">SUM(OFFSET($S$8,,(COLUMNS($E$8:K8)-1)*4,,4))</f>
        <v>4103.7837837837806</v>
      </c>
      <c r="L8" s="186">
        <f ca="1">SUM(OFFSET($S$8,,(COLUMNS($E$8:L8)-1)*4,,4))</f>
        <v>4103.7837837837797</v>
      </c>
      <c r="M8" s="186">
        <f ca="1">SUM(OFFSET($S$8,,(COLUMNS($E$8:M8)-1)*4,,4))</f>
        <v>4103.7837837837769</v>
      </c>
      <c r="N8" s="186">
        <f ca="1">SUM(OFFSET($S$8,,(COLUMNS($E$8:N8)-1)*4,,4))</f>
        <v>4103.7837837837724</v>
      </c>
      <c r="O8" s="186">
        <f ca="1">SUM(OFFSET($S$8,,(COLUMNS($E$8:O8)-1)*4,,4))</f>
        <v>4103.7837837837724</v>
      </c>
      <c r="P8" s="186">
        <f ca="1">SUM(OFFSET($S$8,,(COLUMNS($E$8:P8)-1)*4,,4))</f>
        <v>4103.7837837837696</v>
      </c>
      <c r="S8" s="168">
        <v>258</v>
      </c>
      <c r="T8" s="168">
        <v>934</v>
      </c>
      <c r="U8" s="168">
        <v>1183</v>
      </c>
      <c r="V8" s="168">
        <v>1318</v>
      </c>
      <c r="W8" s="168">
        <v>1410</v>
      </c>
      <c r="X8" s="168">
        <v>1180</v>
      </c>
      <c r="Y8" s="168">
        <v>1307</v>
      </c>
      <c r="Z8" s="168">
        <v>1456</v>
      </c>
      <c r="AA8" s="168">
        <v>1550</v>
      </c>
      <c r="AB8" s="168">
        <v>1544</v>
      </c>
      <c r="AC8" s="168">
        <v>1530</v>
      </c>
      <c r="AD8" s="186">
        <f>IF(AD9=0,((('Reserves and Resources'!$F$35*1000)-AC10)/AD5)/4,AD9)</f>
        <v>1025.9459459459458</v>
      </c>
      <c r="AE8" s="186">
        <f>IF(AE9=0,((('Reserves and Resources'!$F$35*1000)-AD10)/AE5)/4,AE9)</f>
        <v>1025.9459459459458</v>
      </c>
      <c r="AF8" s="186">
        <f>IF(AF9=0,((('Reserves and Resources'!$F$35*1000)-AE10)/AF5)/4,AF9)</f>
        <v>1025.9459459459456</v>
      </c>
      <c r="AG8" s="186">
        <f>IF(AG9=0,((('Reserves and Resources'!$F$35*1000)-AF10)/AG5)/4,AG9)</f>
        <v>1025.9459459459456</v>
      </c>
      <c r="AH8" s="186">
        <f>IF(AH9=0,((('Reserves and Resources'!$F$35*1000)-AG10)/AH5)/4,AH9)</f>
        <v>1025.9459459459456</v>
      </c>
      <c r="AI8" s="186">
        <f>IF(AI9=0,((('Reserves and Resources'!$F$35*1000)-AH10)/AI5)/4,AI9)</f>
        <v>1025.9459459459456</v>
      </c>
      <c r="AJ8" s="186">
        <f>IF(AJ9=0,((('Reserves and Resources'!$F$35*1000)-AI10)/AJ5)/4,AJ9)</f>
        <v>1025.9459459459456</v>
      </c>
      <c r="AK8" s="186">
        <f>IF(AK9=0,((('Reserves and Resources'!$F$35*1000)-AJ10)/AK5)/4,AK9)</f>
        <v>1025.9459459459456</v>
      </c>
      <c r="AL8" s="186">
        <f>IF(AL9=0,((('Reserves and Resources'!$F$35*1000)-AK10)/AL5)/4,AL9)</f>
        <v>1025.9459459459454</v>
      </c>
      <c r="AM8" s="186">
        <f>IF(AM9=0,((('Reserves and Resources'!$F$35*1000)-AL10)/AM5)/4,AM9)</f>
        <v>1025.9459459459454</v>
      </c>
      <c r="AN8" s="186">
        <f>IF(AN9=0,((('Reserves and Resources'!$F$35*1000)-AM10)/AN5)/4,AN9)</f>
        <v>1025.9459459459454</v>
      </c>
      <c r="AO8" s="186">
        <f>IF(AO9=0,((('Reserves and Resources'!$F$35*1000)-AN10)/AO5)/4,AO9)</f>
        <v>1025.9459459459454</v>
      </c>
      <c r="AP8" s="186">
        <f>IF(AP9=0,((('Reserves and Resources'!$F$35*1000)-AO10)/AP5)/4,AP9)</f>
        <v>1025.9459459459454</v>
      </c>
      <c r="AQ8" s="186">
        <f>IF(AQ9=0,((('Reserves and Resources'!$F$35*1000)-AP10)/AQ5)/4,AQ9)</f>
        <v>1025.9459459459451</v>
      </c>
      <c r="AR8" s="186">
        <f>IF(AR9=0,((('Reserves and Resources'!$F$35*1000)-AQ10)/AR5)/4,AR9)</f>
        <v>1025.9459459459451</v>
      </c>
      <c r="AS8" s="186">
        <f>IF(AS9=0,((('Reserves and Resources'!$F$35*1000)-AR10)/AS5)/4,AS9)</f>
        <v>1025.9459459459451</v>
      </c>
      <c r="AT8" s="186">
        <f>IF(AT9=0,((('Reserves and Resources'!$F$35*1000)-AS10)/AT5)/4,AT9)</f>
        <v>1025.9459459459449</v>
      </c>
      <c r="AU8" s="186">
        <f>IF(AU9=0,((('Reserves and Resources'!$F$35*1000)-AT10)/AU5)/4,AU9)</f>
        <v>1025.9459459459449</v>
      </c>
      <c r="AV8" s="186">
        <f>IF(AV9=0,((('Reserves and Resources'!$F$35*1000)-AU10)/AV5)/4,AV9)</f>
        <v>1025.9459459459449</v>
      </c>
      <c r="AW8" s="186">
        <f>IF(AW9=0,((('Reserves and Resources'!$F$35*1000)-AV10)/AW5)/4,AW9)</f>
        <v>1025.9459459459447</v>
      </c>
      <c r="AX8" s="186">
        <f>IF(AX9=0,((('Reserves and Resources'!$F$35*1000)-AW10)/AX5)/4,AX9)</f>
        <v>1025.9459459459447</v>
      </c>
      <c r="AY8" s="186">
        <f>IF(AY9=0,((('Reserves and Resources'!$F$35*1000)-AX10)/AY5)/4,AY9)</f>
        <v>1025.9459459459445</v>
      </c>
      <c r="AZ8" s="186">
        <f>IF(AZ9=0,((('Reserves and Resources'!$F$35*1000)-AY10)/AZ5)/4,AZ9)</f>
        <v>1025.9459459459442</v>
      </c>
      <c r="BA8" s="186">
        <f>IF(BA9=0,((('Reserves and Resources'!$F$35*1000)-AZ10)/BA5)/4,BA9)</f>
        <v>1025.9459459459442</v>
      </c>
      <c r="BB8" s="186">
        <f>IF(BB9=0,((('Reserves and Resources'!$F$35*1000)-BA10)/BB5)/4,BB9)</f>
        <v>1025.945945945944</v>
      </c>
      <c r="BC8" s="186">
        <f>IF(BC9=0,((('Reserves and Resources'!$F$35*1000)-BB10)/BC5)/4,BC9)</f>
        <v>1025.9459459459438</v>
      </c>
      <c r="BD8" s="186">
        <f>IF(BD9=0,((('Reserves and Resources'!$F$35*1000)-BC10)/BD5)/4,BD9)</f>
        <v>1025.9459459459433</v>
      </c>
      <c r="BE8" s="186">
        <f>IF(BE9=0,((('Reserves and Resources'!$F$35*1000)-BD10)/BE5)/4,BE9)</f>
        <v>1025.9459459459431</v>
      </c>
      <c r="BF8" s="186">
        <f>IF(BF9=0,((('Reserves and Resources'!$F$35*1000)-BE10)/BF5)/4,BF9)</f>
        <v>1025.9459459459426</v>
      </c>
      <c r="BG8" s="186">
        <f>IF(BG9=0,((('Reserves and Resources'!$F$35*1000)-BF10)/BG5)/4,BG9)</f>
        <v>1025.9459459459431</v>
      </c>
      <c r="BH8" s="186">
        <f>IF(BH9=0,((('Reserves and Resources'!$F$35*1000)-BG10)/BH5)/4,BH9)</f>
        <v>1025.9459459459435</v>
      </c>
      <c r="BI8" s="186">
        <f>IF(BI9=0,((('Reserves and Resources'!$F$35*1000)-BH10)/BI5)/4,BI9)</f>
        <v>1025.9459459459431</v>
      </c>
      <c r="BJ8" s="186">
        <f>IF(BJ9=0,((('Reserves and Resources'!$F$35*1000)-BI10)/BJ5)/4,BJ9)</f>
        <v>1025.9459459459424</v>
      </c>
      <c r="BK8" s="186">
        <f>IF(BK9=0,((('Reserves and Resources'!$F$35*1000)-BJ10)/BK5)/4,BK9)</f>
        <v>1025.9459459459431</v>
      </c>
      <c r="BL8" s="186">
        <f>IF(BL9=0,((('Reserves and Resources'!$F$35*1000)-BK10)/BL5)/4,BL9)</f>
        <v>1025.9459459459442</v>
      </c>
      <c r="BM8" s="186">
        <f>IF(BM9=0,((('Reserves and Resources'!$F$35*1000)-BL10)/BM5)/4,BM9)</f>
        <v>1025.9459459459431</v>
      </c>
      <c r="BN8" s="186">
        <f>IF(BN9=0,((('Reserves and Resources'!$F$35*1000)-BM10)/BN5)/4,BN9)</f>
        <v>1025.9459459459395</v>
      </c>
      <c r="BP8" s="156" t="s">
        <v>160</v>
      </c>
    </row>
    <row r="9" spans="2:68" ht="16">
      <c r="B9" s="166"/>
      <c r="C9" s="174"/>
      <c r="E9" s="168"/>
      <c r="F9" s="168"/>
      <c r="G9" s="253"/>
      <c r="H9" s="253"/>
      <c r="I9" s="253"/>
      <c r="J9" s="253"/>
      <c r="K9" s="253"/>
      <c r="L9" s="253"/>
      <c r="M9" s="253"/>
      <c r="N9" s="253"/>
      <c r="O9" s="253"/>
      <c r="P9" s="253"/>
      <c r="AD9" s="264"/>
      <c r="AE9" s="270"/>
      <c r="AF9" s="270"/>
      <c r="AG9" s="270"/>
      <c r="AH9" s="270"/>
      <c r="BP9" s="156" t="s">
        <v>159</v>
      </c>
    </row>
    <row r="10" spans="2:68">
      <c r="B10" s="159" t="s">
        <v>133</v>
      </c>
      <c r="C10" s="175" t="s">
        <v>153</v>
      </c>
      <c r="D10" s="159"/>
      <c r="E10" s="182">
        <f t="shared" ref="E10:P10" ca="1" si="1">IF(E8=0,0,E8+D10)</f>
        <v>3693</v>
      </c>
      <c r="F10" s="182">
        <f t="shared" ca="1" si="1"/>
        <v>9046</v>
      </c>
      <c r="G10" s="182">
        <f t="shared" ca="1" si="1"/>
        <v>14695.945945945947</v>
      </c>
      <c r="H10" s="182">
        <f t="shared" ca="1" si="1"/>
        <v>18799.72972972973</v>
      </c>
      <c r="I10" s="182">
        <f t="shared" ca="1" si="1"/>
        <v>22903.513513513513</v>
      </c>
      <c r="J10" s="182">
        <f t="shared" ca="1" si="1"/>
        <v>27007.297297297293</v>
      </c>
      <c r="K10" s="182">
        <f t="shared" ca="1" si="1"/>
        <v>31111.081081081073</v>
      </c>
      <c r="L10" s="182">
        <f t="shared" ca="1" si="1"/>
        <v>35214.864864864852</v>
      </c>
      <c r="M10" s="182">
        <f t="shared" ca="1" si="1"/>
        <v>39318.648648648632</v>
      </c>
      <c r="N10" s="182">
        <f t="shared" ca="1" si="1"/>
        <v>43422.432432432404</v>
      </c>
      <c r="O10" s="182">
        <f t="shared" ca="1" si="1"/>
        <v>47526.216216216177</v>
      </c>
      <c r="P10" s="182">
        <f t="shared" ca="1" si="1"/>
        <v>51629.999999999949</v>
      </c>
      <c r="S10" s="186">
        <f t="shared" ref="S10:X10" si="2">IF(S8=0,0,S8+R10)</f>
        <v>258</v>
      </c>
      <c r="T10" s="186">
        <f t="shared" si="2"/>
        <v>1192</v>
      </c>
      <c r="U10" s="186">
        <f t="shared" si="2"/>
        <v>2375</v>
      </c>
      <c r="V10" s="186">
        <f t="shared" si="2"/>
        <v>3693</v>
      </c>
      <c r="W10" s="186">
        <f t="shared" si="2"/>
        <v>5103</v>
      </c>
      <c r="X10" s="186">
        <f t="shared" si="2"/>
        <v>6283</v>
      </c>
      <c r="Y10" s="186">
        <f t="shared" ref="Y10:BN10" si="3">IF(Y8=0,0,Y8+X10)</f>
        <v>7590</v>
      </c>
      <c r="Z10" s="186">
        <f t="shared" si="3"/>
        <v>9046</v>
      </c>
      <c r="AA10" s="186">
        <f t="shared" si="3"/>
        <v>10596</v>
      </c>
      <c r="AB10" s="186">
        <f t="shared" si="3"/>
        <v>12140</v>
      </c>
      <c r="AC10" s="186">
        <f t="shared" si="3"/>
        <v>13670</v>
      </c>
      <c r="AD10" s="186">
        <f t="shared" si="3"/>
        <v>14695.945945945947</v>
      </c>
      <c r="AE10" s="186">
        <f t="shared" si="3"/>
        <v>15721.891891891893</v>
      </c>
      <c r="AF10" s="186">
        <f t="shared" si="3"/>
        <v>16747.83783783784</v>
      </c>
      <c r="AG10" s="186">
        <f t="shared" si="3"/>
        <v>17773.783783783787</v>
      </c>
      <c r="AH10" s="186">
        <f t="shared" si="3"/>
        <v>18799.729729729734</v>
      </c>
      <c r="AI10" s="186">
        <f t="shared" si="3"/>
        <v>19825.67567567568</v>
      </c>
      <c r="AJ10" s="186">
        <f t="shared" si="3"/>
        <v>20851.621621621627</v>
      </c>
      <c r="AK10" s="186">
        <f t="shared" si="3"/>
        <v>21877.567567567574</v>
      </c>
      <c r="AL10" s="186">
        <f t="shared" si="3"/>
        <v>22903.513513513521</v>
      </c>
      <c r="AM10" s="186">
        <f t="shared" si="3"/>
        <v>23929.459459459467</v>
      </c>
      <c r="AN10" s="186">
        <f t="shared" si="3"/>
        <v>24955.405405405414</v>
      </c>
      <c r="AO10" s="186">
        <f t="shared" si="3"/>
        <v>25981.351351351361</v>
      </c>
      <c r="AP10" s="186">
        <f t="shared" si="3"/>
        <v>27007.297297297308</v>
      </c>
      <c r="AQ10" s="186">
        <f t="shared" si="3"/>
        <v>28033.243243243254</v>
      </c>
      <c r="AR10" s="186">
        <f t="shared" si="3"/>
        <v>29059.189189189201</v>
      </c>
      <c r="AS10" s="186">
        <f t="shared" si="3"/>
        <v>30085.135135135148</v>
      </c>
      <c r="AT10" s="186">
        <f t="shared" si="3"/>
        <v>31111.081081081094</v>
      </c>
      <c r="AU10" s="186">
        <f t="shared" si="3"/>
        <v>32137.027027027041</v>
      </c>
      <c r="AV10" s="186">
        <f t="shared" si="3"/>
        <v>33162.972972972988</v>
      </c>
      <c r="AW10" s="186">
        <f t="shared" si="3"/>
        <v>34188.918918918935</v>
      </c>
      <c r="AX10" s="186">
        <f t="shared" si="3"/>
        <v>35214.864864864881</v>
      </c>
      <c r="AY10" s="186">
        <f t="shared" si="3"/>
        <v>36240.810810810828</v>
      </c>
      <c r="AZ10" s="186">
        <f t="shared" si="3"/>
        <v>37266.756756756775</v>
      </c>
      <c r="BA10" s="186">
        <f t="shared" si="3"/>
        <v>38292.702702702722</v>
      </c>
      <c r="BB10" s="186">
        <f t="shared" si="3"/>
        <v>39318.648648648668</v>
      </c>
      <c r="BC10" s="186">
        <f t="shared" si="3"/>
        <v>40344.594594594615</v>
      </c>
      <c r="BD10" s="186">
        <f t="shared" si="3"/>
        <v>41370.540540540562</v>
      </c>
      <c r="BE10" s="186">
        <f t="shared" si="3"/>
        <v>42396.486486486509</v>
      </c>
      <c r="BF10" s="186">
        <f t="shared" si="3"/>
        <v>43422.432432432448</v>
      </c>
      <c r="BG10" s="186">
        <f t="shared" si="3"/>
        <v>44448.378378378387</v>
      </c>
      <c r="BH10" s="186">
        <f t="shared" si="3"/>
        <v>45474.324324324334</v>
      </c>
      <c r="BI10" s="186">
        <f t="shared" si="3"/>
        <v>46500.270270270281</v>
      </c>
      <c r="BJ10" s="186">
        <f t="shared" si="3"/>
        <v>47526.21621621622</v>
      </c>
      <c r="BK10" s="186">
        <f t="shared" si="3"/>
        <v>48552.16216216216</v>
      </c>
      <c r="BL10" s="186">
        <f t="shared" si="3"/>
        <v>49578.108108108107</v>
      </c>
      <c r="BM10" s="186">
        <f t="shared" si="3"/>
        <v>50604.054054054053</v>
      </c>
      <c r="BN10" s="186">
        <f t="shared" si="3"/>
        <v>51629.999999999993</v>
      </c>
    </row>
    <row r="11" spans="2:68">
      <c r="C11" s="178"/>
    </row>
    <row r="12" spans="2:68">
      <c r="B12" t="s">
        <v>134</v>
      </c>
      <c r="C12" s="178" t="s">
        <v>139</v>
      </c>
      <c r="E12" s="181">
        <v>1.83</v>
      </c>
      <c r="F12" s="263">
        <f ca="1">AVERAGE(OFFSET($N$12,,(COLUMNS($E$12:F12)-1)*4,,4))</f>
        <v>2.0033333333333334</v>
      </c>
      <c r="G12" s="263">
        <f ca="1">AVERAGE(OFFSET($S$12,,(COLUMNS($E$12:G12)-1)*4,,4))</f>
        <v>1.73875</v>
      </c>
      <c r="H12" s="263">
        <f ca="1">AVERAGE(OFFSET($S$12,,(COLUMNS($E$12:H12)-1)*4,,4))</f>
        <v>1.7349999999999999</v>
      </c>
      <c r="I12" s="263">
        <f ca="1">AVERAGE(OFFSET($S$12,,(COLUMNS($E$12:I12)-1)*4,,4))</f>
        <v>1.7349999999999999</v>
      </c>
      <c r="J12" s="263">
        <f ca="1">AVERAGE(OFFSET($S$12,,(COLUMNS($E$12:J12)-1)*4,,4))</f>
        <v>1.7149999999999999</v>
      </c>
      <c r="K12" s="263">
        <f ca="1">AVERAGE(OFFSET($S$12,,(COLUMNS($E$12:K12)-1)*4,,4))</f>
        <v>1.6949999999999998</v>
      </c>
      <c r="L12" s="263">
        <f ca="1">AVERAGE(OFFSET($S$12,,(COLUMNS($E$12:L12)-1)*4,,4))</f>
        <v>1.6749999999999998</v>
      </c>
      <c r="M12" s="263">
        <f ca="1">AVERAGE(OFFSET($S$12,,(COLUMNS($E$12:M12)-1)*4,,4))</f>
        <v>1.6549999999999998</v>
      </c>
      <c r="N12" s="263">
        <f ca="1">AVERAGE(OFFSET($S$12,,(COLUMNS($E$12:N12)-1)*4,,4))</f>
        <v>1.6349999999999998</v>
      </c>
      <c r="O12" s="263">
        <f ca="1">AVERAGE(OFFSET($S$12,,(COLUMNS($E$12:O12)-1)*4,,4))</f>
        <v>1.6149999999999998</v>
      </c>
      <c r="P12" s="263">
        <f ca="1">AVERAGE(OFFSET($S$12,,(COLUMNS($E$12:P12)-1)*4,,4))</f>
        <v>1.5949999999999998</v>
      </c>
      <c r="S12" s="181">
        <v>2.04</v>
      </c>
      <c r="T12" s="181">
        <v>2.0299999999999998</v>
      </c>
      <c r="U12" s="181">
        <v>1.94</v>
      </c>
      <c r="V12" s="181">
        <v>1.69</v>
      </c>
      <c r="W12" s="181">
        <v>1.63</v>
      </c>
      <c r="X12" s="181">
        <v>1.59</v>
      </c>
      <c r="Y12" s="181">
        <v>1.34</v>
      </c>
      <c r="Z12" s="181">
        <v>1.72</v>
      </c>
      <c r="AA12" s="181">
        <v>1.76</v>
      </c>
      <c r="AB12" s="181">
        <v>1.96</v>
      </c>
      <c r="AC12" s="181">
        <v>1.5</v>
      </c>
      <c r="AD12" s="277">
        <f>AVERAGE(Z12:AC12)</f>
        <v>1.7349999999999999</v>
      </c>
      <c r="AE12" s="277">
        <f>AD12</f>
        <v>1.7349999999999999</v>
      </c>
      <c r="AF12" s="277">
        <f t="shared" ref="AF12:AX12" si="4">AE12</f>
        <v>1.7349999999999999</v>
      </c>
      <c r="AG12" s="277">
        <f t="shared" si="4"/>
        <v>1.7349999999999999</v>
      </c>
      <c r="AH12" s="277">
        <f t="shared" si="4"/>
        <v>1.7349999999999999</v>
      </c>
      <c r="AI12" s="277">
        <f t="shared" si="4"/>
        <v>1.7349999999999999</v>
      </c>
      <c r="AJ12" s="277">
        <f t="shared" si="4"/>
        <v>1.7349999999999999</v>
      </c>
      <c r="AK12" s="277">
        <f t="shared" si="4"/>
        <v>1.7349999999999999</v>
      </c>
      <c r="AL12" s="277">
        <f t="shared" si="4"/>
        <v>1.7349999999999999</v>
      </c>
      <c r="AM12" s="277">
        <f>AL12-0.02</f>
        <v>1.7149999999999999</v>
      </c>
      <c r="AN12" s="277">
        <f t="shared" si="4"/>
        <v>1.7149999999999999</v>
      </c>
      <c r="AO12" s="277">
        <f t="shared" si="4"/>
        <v>1.7149999999999999</v>
      </c>
      <c r="AP12" s="277">
        <f t="shared" si="4"/>
        <v>1.7149999999999999</v>
      </c>
      <c r="AQ12" s="277">
        <f>AP12-0.02</f>
        <v>1.6949999999999998</v>
      </c>
      <c r="AR12" s="277">
        <f t="shared" si="4"/>
        <v>1.6949999999999998</v>
      </c>
      <c r="AS12" s="277">
        <f t="shared" si="4"/>
        <v>1.6949999999999998</v>
      </c>
      <c r="AT12" s="277">
        <f t="shared" si="4"/>
        <v>1.6949999999999998</v>
      </c>
      <c r="AU12" s="277">
        <f>AT12-0.02</f>
        <v>1.6749999999999998</v>
      </c>
      <c r="AV12" s="277">
        <f t="shared" si="4"/>
        <v>1.6749999999999998</v>
      </c>
      <c r="AW12" s="277">
        <f t="shared" si="4"/>
        <v>1.6749999999999998</v>
      </c>
      <c r="AX12" s="277">
        <f t="shared" si="4"/>
        <v>1.6749999999999998</v>
      </c>
      <c r="AY12" s="277">
        <f>AX12-0.02</f>
        <v>1.6549999999999998</v>
      </c>
      <c r="AZ12" s="277">
        <f>AY12</f>
        <v>1.6549999999999998</v>
      </c>
      <c r="BA12" s="277">
        <f>AZ12</f>
        <v>1.6549999999999998</v>
      </c>
      <c r="BB12" s="277">
        <f>BA12</f>
        <v>1.6549999999999998</v>
      </c>
      <c r="BC12" s="263">
        <f>BB12-0.02</f>
        <v>1.6349999999999998</v>
      </c>
      <c r="BD12" s="263">
        <f>BC12</f>
        <v>1.6349999999999998</v>
      </c>
      <c r="BE12" s="263">
        <f>BD12</f>
        <v>1.6349999999999998</v>
      </c>
      <c r="BF12" s="263">
        <f>BE12</f>
        <v>1.6349999999999998</v>
      </c>
      <c r="BG12" s="263">
        <f>BF12-0.02</f>
        <v>1.6149999999999998</v>
      </c>
      <c r="BH12" s="263">
        <f>BG12</f>
        <v>1.6149999999999998</v>
      </c>
      <c r="BI12" s="263">
        <f>BH12</f>
        <v>1.6149999999999998</v>
      </c>
      <c r="BJ12" s="263">
        <f>BI12</f>
        <v>1.6149999999999998</v>
      </c>
      <c r="BK12" s="263">
        <f>BJ12-0.02</f>
        <v>1.5949999999999998</v>
      </c>
      <c r="BL12" s="263">
        <f>BK12</f>
        <v>1.5949999999999998</v>
      </c>
      <c r="BM12" s="263">
        <f>BL12</f>
        <v>1.5949999999999998</v>
      </c>
      <c r="BN12" s="263">
        <f>BM12</f>
        <v>1.5949999999999998</v>
      </c>
      <c r="BO12" s="263"/>
      <c r="BP12" s="156"/>
    </row>
    <row r="13" spans="2:68">
      <c r="C13" s="178"/>
    </row>
    <row r="14" spans="2:68">
      <c r="B14" t="s">
        <v>135</v>
      </c>
      <c r="C14" s="174" t="s">
        <v>156</v>
      </c>
      <c r="E14" s="186">
        <f ca="1">SUM(OFFSET($S$14,,(COLUMNS($E$14:E14)-1)*4,,4))</f>
        <v>223279.69521114987</v>
      </c>
      <c r="F14" s="186">
        <f ca="1">SUM(OFFSET($S$14,,(COLUMNS($E$14:F14)-1)*4,,4))</f>
        <v>271037.02155705949</v>
      </c>
      <c r="G14" s="186">
        <f ca="1">SUM(OFFSET($S$14,,(COLUMNS($E$14:G14)-1)*4,,4))</f>
        <v>316017.68984893069</v>
      </c>
      <c r="H14" s="186">
        <f ca="1">SUM(OFFSET($S$14,,(COLUMNS($E$14:H14)-1)*4,,4))</f>
        <v>228915.23027520574</v>
      </c>
      <c r="I14" s="186">
        <f ca="1">SUM(OFFSET($S$14,,(COLUMNS($E$14:I14)-1)*4,,4))</f>
        <v>228915.23027520571</v>
      </c>
      <c r="J14" s="186">
        <f ca="1">SUM(OFFSET($S$14,,(COLUMNS($E$14:J14)-1)*4,,4))</f>
        <v>226276.43799537624</v>
      </c>
      <c r="K14" s="186">
        <f ca="1">SUM(OFFSET($S$14,,(COLUMNS($E$14:K14)-1)*4,,4))</f>
        <v>223637.64571554671</v>
      </c>
      <c r="L14" s="186">
        <f ca="1">SUM(OFFSET($S$14,,(COLUMNS($E$14:L14)-1)*4,,4))</f>
        <v>220998.85343571717</v>
      </c>
      <c r="M14" s="186">
        <f ca="1">SUM(OFFSET($S$14,,(COLUMNS($E$14:M14)-1)*4,,4))</f>
        <v>218360.06115588758</v>
      </c>
      <c r="N14" s="186">
        <f ca="1">SUM(OFFSET($S$14,,(COLUMNS($E$14:N14)-1)*4,,4))</f>
        <v>215721.26887605793</v>
      </c>
      <c r="O14" s="186">
        <f ca="1">SUM(OFFSET($S$14,,(COLUMNS($E$14:O14)-1)*4,,4))</f>
        <v>213082.47659622843</v>
      </c>
      <c r="P14" s="186">
        <f ca="1">SUM(OFFSET($S$14,,(COLUMNS($E$14:P14)-1)*4,,4))</f>
        <v>210443.68431639884</v>
      </c>
      <c r="S14" s="186">
        <f>(S8*S12/31.1035*1000)</f>
        <v>16921.568312247819</v>
      </c>
      <c r="T14" s="186">
        <f>(T8*T12/31.1035*1000)</f>
        <v>60958.413040333071</v>
      </c>
      <c r="U14" s="186">
        <f>(U8*U12/31.1035*1000)</f>
        <v>73786.551352741648</v>
      </c>
      <c r="V14" s="186">
        <f>(V8*V12/31.1035*1000)</f>
        <v>71613.16250582732</v>
      </c>
      <c r="W14" s="186">
        <f>(W8*W12/31.1035*1000)</f>
        <v>73892.005722828617</v>
      </c>
      <c r="X14" s="186">
        <f t="shared" ref="X14:AW14" si="5">(X8*X12/31.1035*1000)</f>
        <v>60321.185718649023</v>
      </c>
      <c r="Y14" s="186">
        <f t="shared" si="5"/>
        <v>56308.13252527851</v>
      </c>
      <c r="Z14" s="186">
        <f t="shared" si="5"/>
        <v>80515.697590303345</v>
      </c>
      <c r="AA14" s="186">
        <f t="shared" si="5"/>
        <v>87707.171218673146</v>
      </c>
      <c r="AB14" s="186">
        <f t="shared" si="5"/>
        <v>97295.802723166184</v>
      </c>
      <c r="AC14" s="186">
        <f t="shared" si="5"/>
        <v>73785.908338289897</v>
      </c>
      <c r="AD14" s="186">
        <f t="shared" si="5"/>
        <v>57228.807568801451</v>
      </c>
      <c r="AE14" s="186">
        <f t="shared" si="5"/>
        <v>57228.807568801451</v>
      </c>
      <c r="AF14" s="186">
        <f t="shared" si="5"/>
        <v>57228.807568801436</v>
      </c>
      <c r="AG14" s="186">
        <f t="shared" si="5"/>
        <v>57228.807568801436</v>
      </c>
      <c r="AH14" s="186">
        <f t="shared" si="5"/>
        <v>57228.807568801436</v>
      </c>
      <c r="AI14" s="186">
        <f t="shared" si="5"/>
        <v>57228.807568801436</v>
      </c>
      <c r="AJ14" s="186">
        <f t="shared" si="5"/>
        <v>57228.807568801436</v>
      </c>
      <c r="AK14" s="186">
        <f t="shared" si="5"/>
        <v>57228.807568801436</v>
      </c>
      <c r="AL14" s="186">
        <f t="shared" si="5"/>
        <v>57228.807568801421</v>
      </c>
      <c r="AM14" s="186">
        <f t="shared" si="5"/>
        <v>56569.10949884406</v>
      </c>
      <c r="AN14" s="186">
        <f t="shared" si="5"/>
        <v>56569.10949884406</v>
      </c>
      <c r="AO14" s="186">
        <f t="shared" si="5"/>
        <v>56569.10949884406</v>
      </c>
      <c r="AP14" s="186">
        <f t="shared" si="5"/>
        <v>56569.10949884406</v>
      </c>
      <c r="AQ14" s="186">
        <f t="shared" si="5"/>
        <v>55909.411428886677</v>
      </c>
      <c r="AR14" s="186">
        <f t="shared" si="5"/>
        <v>55909.411428886677</v>
      </c>
      <c r="AS14" s="186">
        <f t="shared" si="5"/>
        <v>55909.411428886677</v>
      </c>
      <c r="AT14" s="186">
        <f t="shared" si="5"/>
        <v>55909.411428886662</v>
      </c>
      <c r="AU14" s="186">
        <f t="shared" si="5"/>
        <v>55249.713358929301</v>
      </c>
      <c r="AV14" s="186">
        <f t="shared" si="5"/>
        <v>55249.713358929301</v>
      </c>
      <c r="AW14" s="186">
        <f t="shared" si="5"/>
        <v>55249.713358929286</v>
      </c>
      <c r="AX14" s="186">
        <f>(AX8*AX12/31.1035*1000)</f>
        <v>55249.713358929286</v>
      </c>
      <c r="AY14" s="186">
        <f t="shared" ref="AY14:BN14" si="6">(AY8*AY12/31.1035*1000)</f>
        <v>54590.015288971903</v>
      </c>
      <c r="AZ14" s="186">
        <f t="shared" si="6"/>
        <v>54590.015288971896</v>
      </c>
      <c r="BA14" s="186">
        <f t="shared" si="6"/>
        <v>54590.015288971896</v>
      </c>
      <c r="BB14" s="186">
        <f t="shared" si="6"/>
        <v>54590.015288971881</v>
      </c>
      <c r="BC14" s="186">
        <f t="shared" si="6"/>
        <v>53930.317219014505</v>
      </c>
      <c r="BD14" s="186">
        <f t="shared" si="6"/>
        <v>53930.317219014483</v>
      </c>
      <c r="BE14" s="186">
        <f t="shared" si="6"/>
        <v>53930.317219014476</v>
      </c>
      <c r="BF14" s="186">
        <f t="shared" si="6"/>
        <v>53930.317219014447</v>
      </c>
      <c r="BG14" s="186">
        <f t="shared" si="6"/>
        <v>53270.619149057107</v>
      </c>
      <c r="BH14" s="186">
        <f t="shared" si="6"/>
        <v>53270.619149057136</v>
      </c>
      <c r="BI14" s="186">
        <f t="shared" si="6"/>
        <v>53270.619149057107</v>
      </c>
      <c r="BJ14" s="186">
        <f t="shared" si="6"/>
        <v>53270.619149057078</v>
      </c>
      <c r="BK14" s="186">
        <f t="shared" si="6"/>
        <v>52610.921079099746</v>
      </c>
      <c r="BL14" s="186">
        <f t="shared" si="6"/>
        <v>52610.921079099804</v>
      </c>
      <c r="BM14" s="186">
        <f t="shared" si="6"/>
        <v>52610.921079099746</v>
      </c>
      <c r="BN14" s="186">
        <f t="shared" si="6"/>
        <v>52610.921079099564</v>
      </c>
    </row>
    <row r="15" spans="2:68">
      <c r="B15" s="159" t="s">
        <v>133</v>
      </c>
      <c r="C15" s="174" t="s">
        <v>156</v>
      </c>
      <c r="D15" s="159"/>
      <c r="E15" s="182">
        <f ca="1">IF(E14=0,0,E14+D15)</f>
        <v>223279.69521114987</v>
      </c>
      <c r="F15" s="182">
        <f t="shared" ref="F15:P15" ca="1" si="7">IF(F14=0,0,F14+E15)</f>
        <v>494316.71676820936</v>
      </c>
      <c r="G15" s="182">
        <f t="shared" ca="1" si="7"/>
        <v>810334.40661714005</v>
      </c>
      <c r="H15" s="182">
        <f t="shared" ca="1" si="7"/>
        <v>1039249.6368923457</v>
      </c>
      <c r="I15" s="182">
        <f t="shared" ca="1" si="7"/>
        <v>1268164.8671675515</v>
      </c>
      <c r="J15" s="182">
        <f t="shared" ca="1" si="7"/>
        <v>1494441.3051629278</v>
      </c>
      <c r="K15" s="182">
        <f t="shared" ca="1" si="7"/>
        <v>1718078.9508784746</v>
      </c>
      <c r="L15" s="182">
        <f t="shared" ca="1" si="7"/>
        <v>1939077.8043141919</v>
      </c>
      <c r="M15" s="182">
        <f t="shared" ca="1" si="7"/>
        <v>2157437.8654700797</v>
      </c>
      <c r="N15" s="182">
        <f t="shared" ca="1" si="7"/>
        <v>2373159.1343461378</v>
      </c>
      <c r="O15" s="182">
        <f t="shared" ca="1" si="7"/>
        <v>2586241.6109423661</v>
      </c>
      <c r="P15" s="182">
        <f t="shared" ca="1" si="7"/>
        <v>2796685.2952587651</v>
      </c>
      <c r="S15" s="186">
        <f>IF(S14=0,0,S14+R15)</f>
        <v>16921.568312247819</v>
      </c>
      <c r="T15" s="186">
        <f>IF(T14=0,0,T14+S15)</f>
        <v>77879.981352580886</v>
      </c>
      <c r="U15" s="186">
        <f t="shared" ref="U15:BI15" si="8">IF(U14=0,0,U14+T15)</f>
        <v>151666.53270532255</v>
      </c>
      <c r="V15" s="186">
        <f t="shared" si="8"/>
        <v>223279.69521114987</v>
      </c>
      <c r="W15" s="186">
        <f t="shared" si="8"/>
        <v>297171.70093397849</v>
      </c>
      <c r="X15" s="186">
        <f t="shared" si="8"/>
        <v>357492.88665262749</v>
      </c>
      <c r="Y15" s="186">
        <f t="shared" si="8"/>
        <v>413801.01917790598</v>
      </c>
      <c r="Z15" s="186">
        <f t="shared" si="8"/>
        <v>494316.71676820936</v>
      </c>
      <c r="AA15" s="186">
        <f t="shared" si="8"/>
        <v>582023.88798688247</v>
      </c>
      <c r="AB15" s="186">
        <f t="shared" si="8"/>
        <v>679319.69071004866</v>
      </c>
      <c r="AC15" s="186">
        <f t="shared" si="8"/>
        <v>753105.5990483386</v>
      </c>
      <c r="AD15" s="186">
        <f t="shared" si="8"/>
        <v>810334.40661714005</v>
      </c>
      <c r="AE15" s="186">
        <f t="shared" si="8"/>
        <v>867563.2141859415</v>
      </c>
      <c r="AF15" s="186">
        <f t="shared" si="8"/>
        <v>924792.02175474295</v>
      </c>
      <c r="AG15" s="186">
        <f t="shared" si="8"/>
        <v>982020.8293235444</v>
      </c>
      <c r="AH15" s="186">
        <f t="shared" si="8"/>
        <v>1039249.6368923459</v>
      </c>
      <c r="AI15" s="186">
        <f t="shared" si="8"/>
        <v>1096478.4444611473</v>
      </c>
      <c r="AJ15" s="186">
        <f t="shared" si="8"/>
        <v>1153707.2520299486</v>
      </c>
      <c r="AK15" s="186">
        <f t="shared" si="8"/>
        <v>1210936.05959875</v>
      </c>
      <c r="AL15" s="186">
        <f t="shared" si="8"/>
        <v>1268164.8671675513</v>
      </c>
      <c r="AM15" s="186">
        <f t="shared" si="8"/>
        <v>1324733.9766663953</v>
      </c>
      <c r="AN15" s="186">
        <f t="shared" si="8"/>
        <v>1381303.0861652393</v>
      </c>
      <c r="AO15" s="186">
        <f t="shared" si="8"/>
        <v>1437872.1956640834</v>
      </c>
      <c r="AP15" s="186">
        <f t="shared" si="8"/>
        <v>1494441.3051629274</v>
      </c>
      <c r="AQ15" s="186">
        <f t="shared" si="8"/>
        <v>1550350.7165918141</v>
      </c>
      <c r="AR15" s="186">
        <f t="shared" si="8"/>
        <v>1606260.1280207008</v>
      </c>
      <c r="AS15" s="186">
        <f t="shared" si="8"/>
        <v>1662169.5394495875</v>
      </c>
      <c r="AT15" s="186">
        <f t="shared" si="8"/>
        <v>1718078.9508784742</v>
      </c>
      <c r="AU15" s="186">
        <f t="shared" si="8"/>
        <v>1773328.6642374035</v>
      </c>
      <c r="AV15" s="186">
        <f t="shared" si="8"/>
        <v>1828578.3775963329</v>
      </c>
      <c r="AW15" s="186">
        <f t="shared" si="8"/>
        <v>1883828.0909552623</v>
      </c>
      <c r="AX15" s="186">
        <f t="shared" si="8"/>
        <v>1939077.8043141917</v>
      </c>
      <c r="AY15" s="186">
        <f t="shared" si="8"/>
        <v>1993667.8196031635</v>
      </c>
      <c r="AZ15" s="186">
        <f t="shared" si="8"/>
        <v>2048257.8348921353</v>
      </c>
      <c r="BA15" s="186">
        <f t="shared" si="8"/>
        <v>2102847.8501811074</v>
      </c>
      <c r="BB15" s="186">
        <f t="shared" si="8"/>
        <v>2157437.8654700792</v>
      </c>
      <c r="BC15" s="186">
        <f t="shared" si="8"/>
        <v>2211368.1826890935</v>
      </c>
      <c r="BD15" s="186">
        <f t="shared" si="8"/>
        <v>2265298.4999081078</v>
      </c>
      <c r="BE15" s="186">
        <f t="shared" si="8"/>
        <v>2319228.8171271221</v>
      </c>
      <c r="BF15" s="186">
        <f t="shared" si="8"/>
        <v>2373159.1343461364</v>
      </c>
      <c r="BG15" s="186">
        <f t="shared" si="8"/>
        <v>2426429.7534951936</v>
      </c>
      <c r="BH15" s="186">
        <f t="shared" si="8"/>
        <v>2479700.3726442507</v>
      </c>
      <c r="BI15" s="186">
        <f t="shared" si="8"/>
        <v>2532970.9917933079</v>
      </c>
      <c r="BJ15" s="186">
        <f>IF(BJ14=0,0,BJ14+BI15)</f>
        <v>2586241.6109423651</v>
      </c>
      <c r="BK15" s="186">
        <f>IF(BK14=0,0,BK14+BJ15)</f>
        <v>2638852.5320214648</v>
      </c>
      <c r="BL15" s="186">
        <f>IF(BL14=0,0,BL14+BK15)</f>
        <v>2691463.4531005644</v>
      </c>
      <c r="BM15" s="186">
        <f>IF(BM14=0,0,BM14+BL15)</f>
        <v>2744074.3741796641</v>
      </c>
      <c r="BN15" s="186">
        <f>IF(BN14=0,0,BN14+BM15)</f>
        <v>2796685.2952587637</v>
      </c>
    </row>
    <row r="16" spans="2:68">
      <c r="C16" s="178"/>
    </row>
    <row r="17" spans="2:68">
      <c r="B17" t="s">
        <v>136</v>
      </c>
      <c r="C17" s="178" t="s">
        <v>140</v>
      </c>
      <c r="E17" s="273">
        <f ca="1">AVERAGE(OFFSET($S$17,,(COLUMNS($E$17:E17)-1)*4,,4))</f>
        <v>0.86499999999999999</v>
      </c>
      <c r="F17" s="273">
        <f ca="1">AVERAGE(OFFSET($S$17,,(COLUMNS($E$17:F17)-1)*4,,4))</f>
        <v>0.79499999999999993</v>
      </c>
      <c r="G17" s="273">
        <f ca="1">AVERAGE(OFFSET($S$17,,(COLUMNS($E$17:G17)-1)*4,,4))</f>
        <v>0.80750000000000011</v>
      </c>
      <c r="H17" s="273">
        <f ca="1">AVERAGE(OFFSET($S$17,,(COLUMNS($E$17:H17)-1)*4,,4))</f>
        <v>0.8</v>
      </c>
      <c r="I17" s="273">
        <f ca="1">AVERAGE(OFFSET($S$17,,(COLUMNS($E$17:I17)-1)*4,,4))</f>
        <v>0.8</v>
      </c>
      <c r="J17" s="273">
        <f ca="1">AVERAGE(OFFSET($S$17,,(COLUMNS($E$17:J17)-1)*4,,4))</f>
        <v>0.8</v>
      </c>
      <c r="K17" s="273">
        <f ca="1">AVERAGE(OFFSET($S$17,,(COLUMNS($E$17:K17)-1)*4,,4))</f>
        <v>0.8</v>
      </c>
      <c r="L17" s="273">
        <f ca="1">AVERAGE(OFFSET($S$17,,(COLUMNS($E$17:L17)-1)*4,,4))</f>
        <v>0.8</v>
      </c>
      <c r="M17" s="273">
        <f ca="1">AVERAGE(OFFSET($S$17,,(COLUMNS($E$17:M17)-1)*4,,4))</f>
        <v>0.8</v>
      </c>
      <c r="N17" s="273">
        <f ca="1">AVERAGE(OFFSET($S$17,,(COLUMNS($E$17:N17)-1)*4,,4))</f>
        <v>0.8</v>
      </c>
      <c r="O17" s="273">
        <f ca="1">AVERAGE(OFFSET($S$17,,(COLUMNS($E$17:O17)-1)*4,,4))</f>
        <v>0.8</v>
      </c>
      <c r="P17" s="273">
        <f ca="1">AVERAGE(OFFSET($S$17,,(COLUMNS($E$17:P17)-1)*4,,4))</f>
        <v>0.8</v>
      </c>
      <c r="S17" s="185">
        <v>0.88</v>
      </c>
      <c r="T17" s="185">
        <v>0.9</v>
      </c>
      <c r="U17" s="185">
        <v>0.88</v>
      </c>
      <c r="V17" s="185">
        <v>0.8</v>
      </c>
      <c r="W17" s="185">
        <v>0.84</v>
      </c>
      <c r="X17" s="185">
        <v>0.77</v>
      </c>
      <c r="Y17" s="185">
        <v>0.81</v>
      </c>
      <c r="Z17" s="185">
        <v>0.76</v>
      </c>
      <c r="AA17" s="185">
        <v>0.79</v>
      </c>
      <c r="AB17" s="185">
        <v>0.81</v>
      </c>
      <c r="AC17" s="185">
        <v>0.83</v>
      </c>
      <c r="AD17" s="187">
        <v>0.8</v>
      </c>
      <c r="AE17" s="187">
        <f>AD17</f>
        <v>0.8</v>
      </c>
      <c r="AF17" s="187">
        <f t="shared" ref="AF17:BN17" si="9">AE17</f>
        <v>0.8</v>
      </c>
      <c r="AG17" s="187">
        <f t="shared" si="9"/>
        <v>0.8</v>
      </c>
      <c r="AH17" s="187">
        <f t="shared" si="9"/>
        <v>0.8</v>
      </c>
      <c r="AI17" s="187">
        <f t="shared" si="9"/>
        <v>0.8</v>
      </c>
      <c r="AJ17" s="187">
        <f t="shared" si="9"/>
        <v>0.8</v>
      </c>
      <c r="AK17" s="187">
        <f t="shared" si="9"/>
        <v>0.8</v>
      </c>
      <c r="AL17" s="187">
        <f t="shared" si="9"/>
        <v>0.8</v>
      </c>
      <c r="AM17" s="187">
        <f t="shared" si="9"/>
        <v>0.8</v>
      </c>
      <c r="AN17" s="187">
        <f t="shared" si="9"/>
        <v>0.8</v>
      </c>
      <c r="AO17" s="187">
        <f t="shared" si="9"/>
        <v>0.8</v>
      </c>
      <c r="AP17" s="187">
        <f t="shared" si="9"/>
        <v>0.8</v>
      </c>
      <c r="AQ17" s="187">
        <f t="shared" si="9"/>
        <v>0.8</v>
      </c>
      <c r="AR17" s="187">
        <f t="shared" si="9"/>
        <v>0.8</v>
      </c>
      <c r="AS17" s="187">
        <f t="shared" si="9"/>
        <v>0.8</v>
      </c>
      <c r="AT17" s="187">
        <f t="shared" si="9"/>
        <v>0.8</v>
      </c>
      <c r="AU17" s="187">
        <f t="shared" si="9"/>
        <v>0.8</v>
      </c>
      <c r="AV17" s="187">
        <f t="shared" si="9"/>
        <v>0.8</v>
      </c>
      <c r="AW17" s="187">
        <f t="shared" si="9"/>
        <v>0.8</v>
      </c>
      <c r="AX17" s="187">
        <f t="shared" si="9"/>
        <v>0.8</v>
      </c>
      <c r="AY17" s="187">
        <f t="shared" si="9"/>
        <v>0.8</v>
      </c>
      <c r="AZ17" s="187">
        <f t="shared" si="9"/>
        <v>0.8</v>
      </c>
      <c r="BA17" s="187">
        <f t="shared" si="9"/>
        <v>0.8</v>
      </c>
      <c r="BB17" s="187">
        <f t="shared" si="9"/>
        <v>0.8</v>
      </c>
      <c r="BC17" s="187">
        <f t="shared" si="9"/>
        <v>0.8</v>
      </c>
      <c r="BD17" s="187">
        <f t="shared" si="9"/>
        <v>0.8</v>
      </c>
      <c r="BE17" s="187">
        <f t="shared" si="9"/>
        <v>0.8</v>
      </c>
      <c r="BF17" s="187">
        <f t="shared" si="9"/>
        <v>0.8</v>
      </c>
      <c r="BG17" s="187">
        <f t="shared" si="9"/>
        <v>0.8</v>
      </c>
      <c r="BH17" s="187">
        <f t="shared" si="9"/>
        <v>0.8</v>
      </c>
      <c r="BI17" s="187">
        <f t="shared" si="9"/>
        <v>0.8</v>
      </c>
      <c r="BJ17" s="187">
        <f t="shared" si="9"/>
        <v>0.8</v>
      </c>
      <c r="BK17" s="187">
        <f t="shared" si="9"/>
        <v>0.8</v>
      </c>
      <c r="BL17" s="187">
        <f t="shared" si="9"/>
        <v>0.8</v>
      </c>
      <c r="BM17" s="187">
        <f t="shared" si="9"/>
        <v>0.8</v>
      </c>
      <c r="BN17" s="187">
        <f t="shared" si="9"/>
        <v>0.8</v>
      </c>
      <c r="BP17" s="156"/>
    </row>
    <row r="18" spans="2:68">
      <c r="C18" s="178"/>
    </row>
    <row r="19" spans="2:68">
      <c r="B19" t="s">
        <v>137</v>
      </c>
      <c r="C19" s="174" t="s">
        <v>156</v>
      </c>
      <c r="E19" s="186">
        <f ca="1">SUM(OFFSET($S$19,,(COLUMNS($E$19:E19)-1)*4,,4))</f>
        <v>190438</v>
      </c>
      <c r="F19" s="186">
        <f ca="1">SUM(OFFSET($S$19,,(COLUMNS($E$19:F19)-1)*4,,4))</f>
        <v>212812</v>
      </c>
      <c r="G19" s="186">
        <f ca="1">SUM(OFFSET($S$19,,(COLUMNS($E$19:G19)-1)*4,,4))</f>
        <v>257646.04605504117</v>
      </c>
      <c r="H19" s="186">
        <f ca="1">SUM(OFFSET($S$19,,(COLUMNS($E$19:H19)-1)*4,,4))</f>
        <v>183132.18422016461</v>
      </c>
      <c r="I19" s="186">
        <f ca="1">SUM(OFFSET($S$19,,(COLUMNS($E$19:I19)-1)*4,,4))</f>
        <v>183132.18422016461</v>
      </c>
      <c r="J19" s="186">
        <f ca="1">SUM(OFFSET($S$19,,(COLUMNS($E$19:J19)-1)*4,,4))</f>
        <v>181021.150396301</v>
      </c>
      <c r="K19" s="186">
        <f ca="1">SUM(OFFSET($S$19,,(COLUMNS($E$19:K19)-1)*4,,4))</f>
        <v>178910.11657243737</v>
      </c>
      <c r="L19" s="186">
        <f ca="1">SUM(OFFSET($S$19,,(COLUMNS($E$19:L19)-1)*4,,4))</f>
        <v>176799.08274857374</v>
      </c>
      <c r="M19" s="186">
        <f ca="1">SUM(OFFSET($S$19,,(COLUMNS($E$19:M19)-1)*4,,4))</f>
        <v>174688.04892471008</v>
      </c>
      <c r="N19" s="186">
        <f ca="1">SUM(OFFSET($S$19,,(COLUMNS($E$19:N19)-1)*4,,4))</f>
        <v>172577.01510084636</v>
      </c>
      <c r="O19" s="186">
        <f ca="1">SUM(OFFSET($S$19,,(COLUMNS($E$19:O19)-1)*4,,4))</f>
        <v>170465.98127698275</v>
      </c>
      <c r="P19" s="186">
        <f ca="1">SUM(OFFSET($S$19,,(COLUMNS($E$19:P19)-1)*4,,4))</f>
        <v>168354.94745311909</v>
      </c>
      <c r="S19" s="168">
        <v>8784</v>
      </c>
      <c r="T19" s="168">
        <v>57503</v>
      </c>
      <c r="U19" s="168">
        <v>63764</v>
      </c>
      <c r="V19" s="168">
        <v>60387</v>
      </c>
      <c r="W19" s="168">
        <v>61005</v>
      </c>
      <c r="X19" s="168">
        <v>46790</v>
      </c>
      <c r="Y19" s="168">
        <v>44470</v>
      </c>
      <c r="Z19" s="168">
        <v>60547</v>
      </c>
      <c r="AA19" s="168">
        <v>70882</v>
      </c>
      <c r="AB19" s="168">
        <v>79487</v>
      </c>
      <c r="AC19" s="168">
        <v>61494</v>
      </c>
      <c r="AD19" s="186">
        <f>AD14*AD17</f>
        <v>45783.046055041166</v>
      </c>
      <c r="AE19" s="186">
        <f t="shared" ref="AE19:AW19" si="10">AE14*AE17</f>
        <v>45783.046055041166</v>
      </c>
      <c r="AF19" s="186">
        <f t="shared" si="10"/>
        <v>45783.046055041152</v>
      </c>
      <c r="AG19" s="186">
        <f t="shared" si="10"/>
        <v>45783.046055041152</v>
      </c>
      <c r="AH19" s="186">
        <f t="shared" si="10"/>
        <v>45783.046055041152</v>
      </c>
      <c r="AI19" s="186">
        <f t="shared" si="10"/>
        <v>45783.046055041152</v>
      </c>
      <c r="AJ19" s="186">
        <f t="shared" si="10"/>
        <v>45783.046055041152</v>
      </c>
      <c r="AK19" s="186">
        <f t="shared" si="10"/>
        <v>45783.046055041152</v>
      </c>
      <c r="AL19" s="186">
        <f t="shared" si="10"/>
        <v>45783.046055041137</v>
      </c>
      <c r="AM19" s="186">
        <f t="shared" si="10"/>
        <v>45255.287599075251</v>
      </c>
      <c r="AN19" s="186">
        <f t="shared" si="10"/>
        <v>45255.287599075251</v>
      </c>
      <c r="AO19" s="186">
        <f t="shared" si="10"/>
        <v>45255.287599075251</v>
      </c>
      <c r="AP19" s="186">
        <f t="shared" si="10"/>
        <v>45255.287599075251</v>
      </c>
      <c r="AQ19" s="186">
        <f t="shared" si="10"/>
        <v>44727.529143109343</v>
      </c>
      <c r="AR19" s="186">
        <f t="shared" si="10"/>
        <v>44727.529143109343</v>
      </c>
      <c r="AS19" s="186">
        <f t="shared" si="10"/>
        <v>44727.529143109343</v>
      </c>
      <c r="AT19" s="186">
        <f t="shared" si="10"/>
        <v>44727.529143109336</v>
      </c>
      <c r="AU19" s="186">
        <f t="shared" si="10"/>
        <v>44199.770687143442</v>
      </c>
      <c r="AV19" s="186">
        <f t="shared" si="10"/>
        <v>44199.770687143442</v>
      </c>
      <c r="AW19" s="186">
        <f t="shared" si="10"/>
        <v>44199.770687143435</v>
      </c>
      <c r="AX19" s="186">
        <f>AX14*AX17</f>
        <v>44199.770687143435</v>
      </c>
      <c r="AY19" s="186">
        <f t="shared" ref="AY19:BJ19" si="11">AY14*AY17</f>
        <v>43672.012231177527</v>
      </c>
      <c r="AZ19" s="186">
        <f t="shared" si="11"/>
        <v>43672.012231177519</v>
      </c>
      <c r="BA19" s="186">
        <f t="shared" si="11"/>
        <v>43672.012231177519</v>
      </c>
      <c r="BB19" s="186">
        <f t="shared" si="11"/>
        <v>43672.012231177505</v>
      </c>
      <c r="BC19" s="186">
        <f t="shared" si="11"/>
        <v>43144.253775211604</v>
      </c>
      <c r="BD19" s="186">
        <f t="shared" si="11"/>
        <v>43144.25377521159</v>
      </c>
      <c r="BE19" s="186">
        <f t="shared" si="11"/>
        <v>43144.253775211582</v>
      </c>
      <c r="BF19" s="186">
        <f t="shared" si="11"/>
        <v>43144.25377521156</v>
      </c>
      <c r="BG19" s="186">
        <f t="shared" si="11"/>
        <v>42616.495319245689</v>
      </c>
      <c r="BH19" s="186">
        <f t="shared" si="11"/>
        <v>42616.495319245711</v>
      </c>
      <c r="BI19" s="186">
        <f t="shared" si="11"/>
        <v>42616.495319245689</v>
      </c>
      <c r="BJ19" s="186">
        <f t="shared" si="11"/>
        <v>42616.495319245667</v>
      </c>
      <c r="BK19" s="186">
        <f>BK14*BK17</f>
        <v>42088.736863279802</v>
      </c>
      <c r="BL19" s="186">
        <f>BL14*BL17</f>
        <v>42088.736863279846</v>
      </c>
      <c r="BM19" s="186">
        <f>BM14*BM17</f>
        <v>42088.736863279802</v>
      </c>
      <c r="BN19" s="186">
        <f>BN14*BN17</f>
        <v>42088.736863279657</v>
      </c>
    </row>
    <row r="20" spans="2:68">
      <c r="B20" s="159" t="s">
        <v>138</v>
      </c>
      <c r="C20" s="174" t="s">
        <v>156</v>
      </c>
      <c r="D20" s="159"/>
      <c r="E20" s="182">
        <f ca="1">IF(E19=0,0,E19+D20)</f>
        <v>190438</v>
      </c>
      <c r="F20" s="182">
        <f t="shared" ref="F20:P20" ca="1" si="12">IF(F19=0,0,F19+E20)</f>
        <v>403250</v>
      </c>
      <c r="G20" s="182">
        <f t="shared" ca="1" si="12"/>
        <v>660896.04605504114</v>
      </c>
      <c r="H20" s="182">
        <f t="shared" ca="1" si="12"/>
        <v>844028.2302752058</v>
      </c>
      <c r="I20" s="182">
        <f t="shared" ca="1" si="12"/>
        <v>1027160.4144953704</v>
      </c>
      <c r="J20" s="182">
        <f t="shared" ca="1" si="12"/>
        <v>1208181.5648916713</v>
      </c>
      <c r="K20" s="182">
        <f t="shared" ca="1" si="12"/>
        <v>1387091.6814641086</v>
      </c>
      <c r="L20" s="182">
        <f t="shared" ca="1" si="12"/>
        <v>1563890.7642126824</v>
      </c>
      <c r="M20" s="182">
        <f t="shared" ca="1" si="12"/>
        <v>1738578.8131373925</v>
      </c>
      <c r="N20" s="182">
        <f t="shared" ca="1" si="12"/>
        <v>1911155.8282382388</v>
      </c>
      <c r="O20" s="182">
        <f t="shared" ca="1" si="12"/>
        <v>2081621.8095152215</v>
      </c>
      <c r="P20" s="182">
        <f t="shared" ca="1" si="12"/>
        <v>2249976.7569683408</v>
      </c>
      <c r="S20" s="186">
        <f>IF(S19=0,0,S19+R20)</f>
        <v>8784</v>
      </c>
      <c r="T20" s="186">
        <f>IF(T19=0,0,T19+S20)</f>
        <v>66287</v>
      </c>
      <c r="U20" s="186">
        <f t="shared" ref="U20:AW20" si="13">IF(U19=0,0,U19+T20)</f>
        <v>130051</v>
      </c>
      <c r="V20" s="186">
        <f t="shared" si="13"/>
        <v>190438</v>
      </c>
      <c r="W20" s="186">
        <f t="shared" si="13"/>
        <v>251443</v>
      </c>
      <c r="X20" s="186">
        <f t="shared" si="13"/>
        <v>298233</v>
      </c>
      <c r="Y20" s="186">
        <f t="shared" si="13"/>
        <v>342703</v>
      </c>
      <c r="Z20" s="186">
        <f t="shared" si="13"/>
        <v>403250</v>
      </c>
      <c r="AA20" s="186">
        <f t="shared" si="13"/>
        <v>474132</v>
      </c>
      <c r="AB20" s="186">
        <f t="shared" si="13"/>
        <v>553619</v>
      </c>
      <c r="AC20" s="186">
        <f t="shared" si="13"/>
        <v>615113</v>
      </c>
      <c r="AD20" s="186">
        <f t="shared" si="13"/>
        <v>660896.04605504114</v>
      </c>
      <c r="AE20" s="186">
        <f t="shared" si="13"/>
        <v>706679.09211008227</v>
      </c>
      <c r="AF20" s="186">
        <f t="shared" si="13"/>
        <v>752462.13816512341</v>
      </c>
      <c r="AG20" s="186">
        <f t="shared" si="13"/>
        <v>798245.18422016455</v>
      </c>
      <c r="AH20" s="186">
        <f t="shared" si="13"/>
        <v>844028.23027520569</v>
      </c>
      <c r="AI20" s="186">
        <f t="shared" si="13"/>
        <v>889811.27633024682</v>
      </c>
      <c r="AJ20" s="186">
        <f t="shared" si="13"/>
        <v>935594.32238528796</v>
      </c>
      <c r="AK20" s="186">
        <f t="shared" si="13"/>
        <v>981377.3684403291</v>
      </c>
      <c r="AL20" s="186">
        <f t="shared" si="13"/>
        <v>1027160.4144953702</v>
      </c>
      <c r="AM20" s="186">
        <f t="shared" si="13"/>
        <v>1072415.7020944455</v>
      </c>
      <c r="AN20" s="186">
        <f t="shared" si="13"/>
        <v>1117670.9896935208</v>
      </c>
      <c r="AO20" s="186">
        <f t="shared" si="13"/>
        <v>1162926.2772925962</v>
      </c>
      <c r="AP20" s="186">
        <f t="shared" si="13"/>
        <v>1208181.5648916715</v>
      </c>
      <c r="AQ20" s="186">
        <f t="shared" si="13"/>
        <v>1252909.094034781</v>
      </c>
      <c r="AR20" s="186">
        <f t="shared" si="13"/>
        <v>1297636.6231778904</v>
      </c>
      <c r="AS20" s="186">
        <f t="shared" si="13"/>
        <v>1342364.1523209999</v>
      </c>
      <c r="AT20" s="186">
        <f t="shared" si="13"/>
        <v>1387091.6814641091</v>
      </c>
      <c r="AU20" s="186">
        <f t="shared" si="13"/>
        <v>1431291.4521512527</v>
      </c>
      <c r="AV20" s="186">
        <f t="shared" si="13"/>
        <v>1475491.2228383962</v>
      </c>
      <c r="AW20" s="186">
        <f t="shared" si="13"/>
        <v>1519690.9935255395</v>
      </c>
      <c r="AX20" s="186">
        <f>IF(AX19=0,0,AX19+AW20)</f>
        <v>1563890.7642126828</v>
      </c>
      <c r="AY20" s="186">
        <f t="shared" ref="AY20:BI20" si="14">IF(AY19=0,0,AY19+AX20)</f>
        <v>1607562.7764438603</v>
      </c>
      <c r="AZ20" s="186">
        <f t="shared" si="14"/>
        <v>1651234.7886750377</v>
      </c>
      <c r="BA20" s="186">
        <f t="shared" si="14"/>
        <v>1694906.8009062151</v>
      </c>
      <c r="BB20" s="186">
        <f t="shared" si="14"/>
        <v>1738578.8131373925</v>
      </c>
      <c r="BC20" s="186">
        <f t="shared" si="14"/>
        <v>1781723.066912604</v>
      </c>
      <c r="BD20" s="186">
        <f t="shared" si="14"/>
        <v>1824867.3206878155</v>
      </c>
      <c r="BE20" s="186">
        <f t="shared" si="14"/>
        <v>1868011.5744630271</v>
      </c>
      <c r="BF20" s="186">
        <f t="shared" si="14"/>
        <v>1911155.8282382386</v>
      </c>
      <c r="BG20" s="186">
        <f t="shared" si="14"/>
        <v>1953772.3235574842</v>
      </c>
      <c r="BH20" s="186">
        <f t="shared" si="14"/>
        <v>1996388.8188767298</v>
      </c>
      <c r="BI20" s="186">
        <f t="shared" si="14"/>
        <v>2039005.3141959754</v>
      </c>
      <c r="BJ20" s="186">
        <f>IF(BJ19=0,0,BJ19+BI20)</f>
        <v>2081621.809515221</v>
      </c>
      <c r="BK20" s="186">
        <f>IF(BK19=0,0,BK19+BJ20)</f>
        <v>2123710.5463785008</v>
      </c>
      <c r="BL20" s="186">
        <f>IF(BL19=0,0,BL19+BK20)</f>
        <v>2165799.2832417805</v>
      </c>
      <c r="BM20" s="186">
        <f>IF(BM19=0,0,BM19+BL20)</f>
        <v>2207888.0201050602</v>
      </c>
      <c r="BN20" s="186">
        <f>IF(BN19=0,0,BN19+BM20)</f>
        <v>2249976.7569683399</v>
      </c>
    </row>
    <row r="21" spans="2:68">
      <c r="C21" s="174"/>
    </row>
    <row r="22" spans="2:68">
      <c r="B22" s="156" t="s">
        <v>155</v>
      </c>
      <c r="C22" s="174" t="s">
        <v>156</v>
      </c>
      <c r="E22" s="168">
        <v>227290</v>
      </c>
      <c r="F22" s="168">
        <v>276709</v>
      </c>
      <c r="G22" s="186">
        <f ca="1">G19</f>
        <v>257646.04605504117</v>
      </c>
      <c r="H22" s="186">
        <f t="shared" ref="H22:P22" ca="1" si="15">H19</f>
        <v>183132.18422016461</v>
      </c>
      <c r="I22" s="186">
        <f t="shared" ca="1" si="15"/>
        <v>183132.18422016461</v>
      </c>
      <c r="J22" s="186">
        <f t="shared" ca="1" si="15"/>
        <v>181021.150396301</v>
      </c>
      <c r="K22" s="186">
        <f t="shared" ca="1" si="15"/>
        <v>178910.11657243737</v>
      </c>
      <c r="L22" s="186">
        <f t="shared" ca="1" si="15"/>
        <v>176799.08274857374</v>
      </c>
      <c r="M22" s="186">
        <f t="shared" ca="1" si="15"/>
        <v>174688.04892471008</v>
      </c>
      <c r="N22" s="186">
        <f t="shared" ca="1" si="15"/>
        <v>172577.01510084636</v>
      </c>
      <c r="O22" s="186">
        <f t="shared" ca="1" si="15"/>
        <v>170465.98127698275</v>
      </c>
      <c r="P22" s="186">
        <f t="shared" ca="1" si="15"/>
        <v>168354.94745311909</v>
      </c>
      <c r="S22" s="168"/>
      <c r="T22" s="168">
        <v>61989</v>
      </c>
      <c r="U22" s="168">
        <v>65354</v>
      </c>
      <c r="V22" s="168">
        <v>56287</v>
      </c>
      <c r="W22" s="168">
        <v>63514</v>
      </c>
      <c r="X22" s="168">
        <v>46146</v>
      </c>
      <c r="Y22" s="168">
        <v>47478</v>
      </c>
      <c r="Z22" s="168">
        <v>50983</v>
      </c>
      <c r="AA22" s="168">
        <v>74483</v>
      </c>
      <c r="AB22" s="168">
        <v>83377</v>
      </c>
      <c r="AC22" s="168">
        <v>63403</v>
      </c>
      <c r="AD22" s="168">
        <f>AD19</f>
        <v>45783.046055041166</v>
      </c>
      <c r="AE22" s="168">
        <f>AE19</f>
        <v>45783.046055041166</v>
      </c>
      <c r="AF22" s="168">
        <f t="shared" ref="AF22:BJ22" si="16">AF19</f>
        <v>45783.046055041152</v>
      </c>
      <c r="AG22" s="168">
        <f t="shared" si="16"/>
        <v>45783.046055041152</v>
      </c>
      <c r="AH22" s="168">
        <f t="shared" si="16"/>
        <v>45783.046055041152</v>
      </c>
      <c r="AI22" s="168">
        <f t="shared" si="16"/>
        <v>45783.046055041152</v>
      </c>
      <c r="AJ22" s="168">
        <f t="shared" si="16"/>
        <v>45783.046055041152</v>
      </c>
      <c r="AK22" s="168">
        <f t="shared" si="16"/>
        <v>45783.046055041152</v>
      </c>
      <c r="AL22" s="168">
        <f t="shared" si="16"/>
        <v>45783.046055041137</v>
      </c>
      <c r="AM22" s="168">
        <f t="shared" si="16"/>
        <v>45255.287599075251</v>
      </c>
      <c r="AN22" s="168">
        <f t="shared" si="16"/>
        <v>45255.287599075251</v>
      </c>
      <c r="AO22" s="168">
        <f t="shared" si="16"/>
        <v>45255.287599075251</v>
      </c>
      <c r="AP22" s="168">
        <f t="shared" si="16"/>
        <v>45255.287599075251</v>
      </c>
      <c r="AQ22" s="168">
        <f t="shared" si="16"/>
        <v>44727.529143109343</v>
      </c>
      <c r="AR22" s="168">
        <f t="shared" si="16"/>
        <v>44727.529143109343</v>
      </c>
      <c r="AS22" s="168">
        <f t="shared" si="16"/>
        <v>44727.529143109343</v>
      </c>
      <c r="AT22" s="168">
        <f t="shared" si="16"/>
        <v>44727.529143109336</v>
      </c>
      <c r="AU22" s="168">
        <f t="shared" si="16"/>
        <v>44199.770687143442</v>
      </c>
      <c r="AV22" s="168">
        <f t="shared" si="16"/>
        <v>44199.770687143442</v>
      </c>
      <c r="AW22" s="168">
        <f t="shared" si="16"/>
        <v>44199.770687143435</v>
      </c>
      <c r="AX22" s="168">
        <f t="shared" si="16"/>
        <v>44199.770687143435</v>
      </c>
      <c r="AY22" s="168">
        <f t="shared" si="16"/>
        <v>43672.012231177527</v>
      </c>
      <c r="AZ22" s="168">
        <f t="shared" si="16"/>
        <v>43672.012231177519</v>
      </c>
      <c r="BA22" s="168">
        <f t="shared" si="16"/>
        <v>43672.012231177519</v>
      </c>
      <c r="BB22" s="168">
        <f t="shared" si="16"/>
        <v>43672.012231177505</v>
      </c>
      <c r="BC22" s="168">
        <f t="shared" si="16"/>
        <v>43144.253775211604</v>
      </c>
      <c r="BD22" s="168">
        <f t="shared" si="16"/>
        <v>43144.25377521159</v>
      </c>
      <c r="BE22" s="168">
        <f t="shared" si="16"/>
        <v>43144.253775211582</v>
      </c>
      <c r="BF22" s="168">
        <f t="shared" si="16"/>
        <v>43144.25377521156</v>
      </c>
      <c r="BG22" s="168">
        <f t="shared" si="16"/>
        <v>42616.495319245689</v>
      </c>
      <c r="BH22" s="168">
        <f t="shared" si="16"/>
        <v>42616.495319245711</v>
      </c>
      <c r="BI22" s="168">
        <f t="shared" si="16"/>
        <v>42616.495319245689</v>
      </c>
      <c r="BJ22" s="168">
        <f t="shared" si="16"/>
        <v>42616.495319245667</v>
      </c>
      <c r="BK22" s="168">
        <f>BK19</f>
        <v>42088.736863279802</v>
      </c>
      <c r="BL22" s="168">
        <f>BL19</f>
        <v>42088.736863279846</v>
      </c>
      <c r="BM22" s="168">
        <f>BM19</f>
        <v>42088.736863279802</v>
      </c>
      <c r="BN22" s="168">
        <f>BN19</f>
        <v>42088.736863279657</v>
      </c>
    </row>
    <row r="24" spans="2:68" ht="18">
      <c r="B24" s="158" t="s">
        <v>142</v>
      </c>
      <c r="C24" s="174"/>
      <c r="F24" s="168"/>
      <c r="G24" s="186"/>
      <c r="H24" s="186"/>
      <c r="I24" s="186"/>
      <c r="J24" s="186"/>
      <c r="K24" s="186"/>
      <c r="L24" s="186"/>
      <c r="M24" s="186"/>
      <c r="N24" s="186"/>
      <c r="O24" s="186"/>
      <c r="P24" s="186"/>
    </row>
    <row r="26" spans="2:68">
      <c r="B26" t="s">
        <v>141</v>
      </c>
      <c r="C26" s="156" t="s">
        <v>187</v>
      </c>
      <c r="E26" s="228">
        <f>Assumptions!E11</f>
        <v>1393</v>
      </c>
      <c r="F26" s="228">
        <f>Assumptions!F11</f>
        <v>1772</v>
      </c>
      <c r="G26" s="228">
        <f>Assumptions!G11</f>
        <v>1799</v>
      </c>
      <c r="H26" s="228">
        <f ca="1">Assumptions!H11</f>
        <v>2087.5</v>
      </c>
      <c r="I26" s="228">
        <f ca="1">Assumptions!I11</f>
        <v>2025</v>
      </c>
      <c r="J26" s="228">
        <f ca="1">Assumptions!J11</f>
        <v>1925</v>
      </c>
      <c r="K26" s="228">
        <f ca="1">Assumptions!K11</f>
        <v>1850</v>
      </c>
      <c r="L26" s="228">
        <f ca="1">Assumptions!L11</f>
        <v>1750</v>
      </c>
      <c r="M26" s="228">
        <f ca="1">L26</f>
        <v>1750</v>
      </c>
      <c r="N26" s="228">
        <f ca="1">M26</f>
        <v>1750</v>
      </c>
      <c r="O26" s="228">
        <f ca="1">N26</f>
        <v>1750</v>
      </c>
      <c r="P26" s="228">
        <f ca="1">O26</f>
        <v>1750</v>
      </c>
      <c r="W26" s="267">
        <f>Assumptions!O11</f>
        <v>1577</v>
      </c>
      <c r="X26" s="267">
        <f>Assumptions!P11</f>
        <v>1780</v>
      </c>
      <c r="Y26" s="267">
        <f>Assumptions!Q11</f>
        <v>1885</v>
      </c>
      <c r="Z26" s="267">
        <f>Assumptions!R11</f>
        <v>1898</v>
      </c>
      <c r="AA26" s="267">
        <f>Assumptions!S11</f>
        <v>1707</v>
      </c>
      <c r="AB26" s="267">
        <f>Assumptions!T11</f>
        <v>1770</v>
      </c>
      <c r="AC26" s="267">
        <f>Assumptions!U11</f>
        <v>1756</v>
      </c>
      <c r="AD26" s="267">
        <f>Assumptions!V11</f>
        <v>1829</v>
      </c>
      <c r="AE26" s="267">
        <f ca="1">Assumptions!W11</f>
        <v>2050</v>
      </c>
      <c r="AF26" s="267">
        <f ca="1">Assumptions!X11</f>
        <v>2100</v>
      </c>
      <c r="AG26" s="267">
        <f ca="1">Assumptions!Y11</f>
        <v>2100</v>
      </c>
      <c r="AH26" s="267">
        <f ca="1">Assumptions!Z11</f>
        <v>2100</v>
      </c>
      <c r="AI26" s="267">
        <f ca="1">Assumptions!AA11</f>
        <v>2050</v>
      </c>
      <c r="AJ26" s="267">
        <f ca="1">Assumptions!AB11</f>
        <v>2050</v>
      </c>
      <c r="AK26" s="267">
        <f ca="1">Assumptions!AC11</f>
        <v>2000</v>
      </c>
      <c r="AL26" s="267">
        <f ca="1">Assumptions!AD11</f>
        <v>2000</v>
      </c>
      <c r="AM26" s="267">
        <f ca="1">Assumptions!AE11</f>
        <v>1950</v>
      </c>
      <c r="AN26" s="267">
        <f ca="1">Assumptions!AF11</f>
        <v>1950</v>
      </c>
      <c r="AO26" s="267">
        <f ca="1">Assumptions!AG11</f>
        <v>1900</v>
      </c>
      <c r="AP26" s="267">
        <f ca="1">Assumptions!AH11</f>
        <v>1900</v>
      </c>
      <c r="AQ26" s="267">
        <f ca="1">Assumptions!AI11</f>
        <v>1850</v>
      </c>
      <c r="AR26" s="267">
        <f ca="1">Assumptions!AJ11</f>
        <v>1850</v>
      </c>
      <c r="AS26" s="267">
        <f ca="1">Assumptions!AK11</f>
        <v>1850</v>
      </c>
      <c r="AT26" s="267">
        <f ca="1">Assumptions!AL11</f>
        <v>1850</v>
      </c>
      <c r="AU26" s="267">
        <f ca="1">Assumptions!L11</f>
        <v>1750</v>
      </c>
      <c r="AV26" s="267">
        <f ca="1">AU26</f>
        <v>1750</v>
      </c>
      <c r="AW26" s="267">
        <f t="shared" ref="AW26:BN26" ca="1" si="17">AV26</f>
        <v>1750</v>
      </c>
      <c r="AX26" s="267">
        <f t="shared" ca="1" si="17"/>
        <v>1750</v>
      </c>
      <c r="AY26" s="267">
        <f t="shared" ca="1" si="17"/>
        <v>1750</v>
      </c>
      <c r="AZ26" s="267">
        <f t="shared" ca="1" si="17"/>
        <v>1750</v>
      </c>
      <c r="BA26" s="267">
        <f t="shared" ca="1" si="17"/>
        <v>1750</v>
      </c>
      <c r="BB26" s="267">
        <f t="shared" ca="1" si="17"/>
        <v>1750</v>
      </c>
      <c r="BC26" s="267">
        <f t="shared" ca="1" si="17"/>
        <v>1750</v>
      </c>
      <c r="BD26" s="267">
        <f t="shared" ca="1" si="17"/>
        <v>1750</v>
      </c>
      <c r="BE26" s="267">
        <f t="shared" ca="1" si="17"/>
        <v>1750</v>
      </c>
      <c r="BF26" s="267">
        <f t="shared" ca="1" si="17"/>
        <v>1750</v>
      </c>
      <c r="BG26" s="267">
        <f t="shared" ca="1" si="17"/>
        <v>1750</v>
      </c>
      <c r="BH26" s="267">
        <f t="shared" ca="1" si="17"/>
        <v>1750</v>
      </c>
      <c r="BI26" s="267">
        <f t="shared" ca="1" si="17"/>
        <v>1750</v>
      </c>
      <c r="BJ26" s="267">
        <f t="shared" ca="1" si="17"/>
        <v>1750</v>
      </c>
      <c r="BK26" s="267">
        <f t="shared" ca="1" si="17"/>
        <v>1750</v>
      </c>
      <c r="BL26" s="267">
        <f t="shared" ca="1" si="17"/>
        <v>1750</v>
      </c>
      <c r="BM26" s="267">
        <f t="shared" ca="1" si="17"/>
        <v>1750</v>
      </c>
      <c r="BN26" s="267">
        <f t="shared" ca="1" si="17"/>
        <v>1750</v>
      </c>
    </row>
    <row r="28" spans="2:68">
      <c r="B28" s="188" t="s">
        <v>7</v>
      </c>
      <c r="C28" s="244" t="s">
        <v>161</v>
      </c>
      <c r="D28" s="188"/>
      <c r="E28" s="266">
        <f ca="1">SUM(OFFSET($S$28,,(COLUMNS($E$28:E28)-1)*4,,4))</f>
        <v>262029</v>
      </c>
      <c r="F28" s="266">
        <f ca="1">SUM(OFFSET($S$28,,(COLUMNS($E$28:F28)-1)*4,,4))</f>
        <v>363930</v>
      </c>
      <c r="G28" s="266">
        <f ca="1">SUM(OFFSET($S$28,,(COLUMNS($E$28:G28)-1)*4,,4))</f>
        <v>478961.19123467029</v>
      </c>
      <c r="H28" s="266">
        <f ca="1">SUM(OFFSET($S$28,,(COLUMNS($E$28:H28)-1)*4,,4))</f>
        <v>382288.43455959368</v>
      </c>
      <c r="I28" s="266">
        <f ca="1">SUM(OFFSET($S$28,,(COLUMNS($E$28:I28)-1)*4,,4))</f>
        <v>370842.6730458333</v>
      </c>
      <c r="J28" s="266">
        <f ca="1">SUM(OFFSET($S$28,,(COLUMNS($E$28:J28)-1)*4,,4))</f>
        <v>348465.71451287949</v>
      </c>
      <c r="K28" s="266">
        <f ca="1">SUM(OFFSET($S$28,,(COLUMNS($E$28:K28)-1)*4,,4))</f>
        <v>330983.71565900918</v>
      </c>
      <c r="L28" s="266">
        <f ca="1">SUM(OFFSET($S$28,,(COLUMNS($E$28:L28)-1)*4,,4))</f>
        <v>309398.39481000404</v>
      </c>
      <c r="M28" s="266">
        <f ca="1">SUM(OFFSET($S$28,,(COLUMNS($E$28:M28)-1)*4,,4))</f>
        <v>305704.08561824262</v>
      </c>
      <c r="N28" s="266">
        <f ca="1">SUM(OFFSET($S$28,,(COLUMNS($E$28:N28)-1)*4,,4))</f>
        <v>302009.77642648108</v>
      </c>
      <c r="O28" s="266">
        <f ca="1">SUM(OFFSET($S$28,,(COLUMNS($E$28:O28)-1)*4,,4))</f>
        <v>298315.46723471984</v>
      </c>
      <c r="P28" s="266">
        <f ca="1">SUM(OFFSET($S$28,,(COLUMNS($E$28:P28)-1)*4,,4))</f>
        <v>294621.15804295841</v>
      </c>
      <c r="S28" s="167"/>
      <c r="T28" s="245">
        <v>82208</v>
      </c>
      <c r="U28" s="245">
        <v>96299</v>
      </c>
      <c r="V28" s="245">
        <v>83522</v>
      </c>
      <c r="W28" s="245">
        <v>100723</v>
      </c>
      <c r="X28" s="245">
        <v>79419</v>
      </c>
      <c r="Y28" s="245">
        <v>88755</v>
      </c>
      <c r="Z28" s="245">
        <v>95033</v>
      </c>
      <c r="AA28" s="245">
        <v>132156</v>
      </c>
      <c r="AB28" s="245">
        <v>150337</v>
      </c>
      <c r="AC28" s="245">
        <v>112731</v>
      </c>
      <c r="AD28" s="266">
        <f>AD22*AD26/1000</f>
        <v>83737.191234670303</v>
      </c>
      <c r="AE28" s="266">
        <f ca="1">AE22*AE26/1000</f>
        <v>93855.244412834392</v>
      </c>
      <c r="AF28" s="266">
        <f t="shared" ref="AF28:BJ28" ca="1" si="18">AF22*AF26/1000</f>
        <v>96144.396715586423</v>
      </c>
      <c r="AG28" s="266">
        <f t="shared" ca="1" si="18"/>
        <v>96144.396715586423</v>
      </c>
      <c r="AH28" s="266">
        <f t="shared" ca="1" si="18"/>
        <v>96144.396715586423</v>
      </c>
      <c r="AI28" s="266">
        <f t="shared" ca="1" si="18"/>
        <v>93855.244412834363</v>
      </c>
      <c r="AJ28" s="266">
        <f t="shared" ca="1" si="18"/>
        <v>93855.244412834363</v>
      </c>
      <c r="AK28" s="266">
        <f t="shared" ca="1" si="18"/>
        <v>91566.092110082303</v>
      </c>
      <c r="AL28" s="266">
        <f t="shared" ca="1" si="18"/>
        <v>91566.092110082274</v>
      </c>
      <c r="AM28" s="266">
        <f t="shared" ca="1" si="18"/>
        <v>88247.81081819674</v>
      </c>
      <c r="AN28" s="266">
        <f t="shared" ca="1" si="18"/>
        <v>88247.81081819674</v>
      </c>
      <c r="AO28" s="266">
        <f t="shared" ca="1" si="18"/>
        <v>85985.046438242978</v>
      </c>
      <c r="AP28" s="266">
        <f t="shared" ca="1" si="18"/>
        <v>85985.046438242978</v>
      </c>
      <c r="AQ28" s="266">
        <f t="shared" ca="1" si="18"/>
        <v>82745.928914752294</v>
      </c>
      <c r="AR28" s="266">
        <f t="shared" ca="1" si="18"/>
        <v>82745.928914752294</v>
      </c>
      <c r="AS28" s="266">
        <f t="shared" ca="1" si="18"/>
        <v>82745.928914752294</v>
      </c>
      <c r="AT28" s="266">
        <f t="shared" ca="1" si="18"/>
        <v>82745.92891475228</v>
      </c>
      <c r="AU28" s="266">
        <f t="shared" ca="1" si="18"/>
        <v>77349.598702501025</v>
      </c>
      <c r="AV28" s="266">
        <f t="shared" ca="1" si="18"/>
        <v>77349.598702501025</v>
      </c>
      <c r="AW28" s="266">
        <f t="shared" ca="1" si="18"/>
        <v>77349.598702501011</v>
      </c>
      <c r="AX28" s="266">
        <f t="shared" ca="1" si="18"/>
        <v>77349.598702501011</v>
      </c>
      <c r="AY28" s="266">
        <f t="shared" ca="1" si="18"/>
        <v>76426.02140456067</v>
      </c>
      <c r="AZ28" s="266">
        <f t="shared" ca="1" si="18"/>
        <v>76426.021404560655</v>
      </c>
      <c r="BA28" s="266">
        <f t="shared" ca="1" si="18"/>
        <v>76426.021404560655</v>
      </c>
      <c r="BB28" s="266">
        <f t="shared" ca="1" si="18"/>
        <v>76426.021404560641</v>
      </c>
      <c r="BC28" s="266">
        <f t="shared" ca="1" si="18"/>
        <v>75502.444106620314</v>
      </c>
      <c r="BD28" s="266">
        <f t="shared" ca="1" si="18"/>
        <v>75502.444106620285</v>
      </c>
      <c r="BE28" s="266">
        <f t="shared" ca="1" si="18"/>
        <v>75502.444106620271</v>
      </c>
      <c r="BF28" s="266">
        <f t="shared" ca="1" si="18"/>
        <v>75502.444106620242</v>
      </c>
      <c r="BG28" s="266">
        <f t="shared" ca="1" si="18"/>
        <v>74578.866808679959</v>
      </c>
      <c r="BH28" s="266">
        <f t="shared" ca="1" si="18"/>
        <v>74578.866808680003</v>
      </c>
      <c r="BI28" s="266">
        <f t="shared" ca="1" si="18"/>
        <v>74578.866808679959</v>
      </c>
      <c r="BJ28" s="266">
        <f t="shared" ca="1" si="18"/>
        <v>74578.86680867993</v>
      </c>
      <c r="BK28" s="266">
        <f ca="1">BK22*BK26/1000</f>
        <v>73655.289510739647</v>
      </c>
      <c r="BL28" s="266">
        <f ca="1">BL22*BL26/1000</f>
        <v>73655.289510739734</v>
      </c>
      <c r="BM28" s="266">
        <f ca="1">BM22*BM26/1000</f>
        <v>73655.289510739647</v>
      </c>
      <c r="BN28" s="266">
        <f ca="1">BN22*BN26/1000</f>
        <v>73655.2895107394</v>
      </c>
    </row>
    <row r="29" spans="2:68">
      <c r="B29" s="156" t="s">
        <v>162</v>
      </c>
      <c r="C29" s="196" t="s">
        <v>161</v>
      </c>
      <c r="E29" s="246">
        <f ca="1">SUM(OFFSET($S$29,,(COLUMNS($E$29:E29)-1)*4,,4))</f>
        <v>-107185</v>
      </c>
      <c r="F29" s="246">
        <f ca="1">SUM(OFFSET($S$29,,(COLUMNS($E$29:F29)-1)*4,,4))</f>
        <v>-139314</v>
      </c>
      <c r="G29" s="246">
        <f ca="1">SUM(OFFSET($S$29,,(COLUMNS($E$29:G29)-1)*4,,4))</f>
        <v>-178575.45838275278</v>
      </c>
      <c r="H29" s="246">
        <f ca="1">SUM(OFFSET($S$29,,(COLUMNS($E$29:H29)-1)*4,,4))</f>
        <v>-142962.86538824649</v>
      </c>
      <c r="I29" s="246">
        <f ca="1">SUM(OFFSET($S$29,,(COLUMNS($E$29:I29)-1)*4,,4))</f>
        <v>-138682.54007722111</v>
      </c>
      <c r="J29" s="246">
        <f ca="1">SUM(OFFSET($S$29,,(COLUMNS($E$29:J29)-1)*4,,4))</f>
        <v>-130314.3190656949</v>
      </c>
      <c r="K29" s="246">
        <f ca="1">SUM(OFFSET($S$29,,(COLUMNS($E$29:K29)-1)*4,,4))</f>
        <v>-123776.64640044002</v>
      </c>
      <c r="L29" s="246">
        <f ca="1">SUM(OFFSET($S$29,,(COLUMNS($E$29:L29)-1)*4,,4))</f>
        <v>-115704.47094356682</v>
      </c>
      <c r="M29" s="246">
        <f ca="1">SUM(OFFSET($S$29,,(COLUMNS($E$29:M29)-1)*4,,4))</f>
        <v>-114322.92502185251</v>
      </c>
      <c r="N29" s="246">
        <f ca="1">SUM(OFFSET($S$29,,(COLUMNS($E$29:N29)-1)*4,,4))</f>
        <v>-112941.37910013819</v>
      </c>
      <c r="O29" s="246">
        <f ca="1">SUM(OFFSET($S$29,,(COLUMNS($E$29:O29)-1)*4,,4))</f>
        <v>-111559.83317842396</v>
      </c>
      <c r="P29" s="246">
        <f ca="1">SUM(OFFSET($S$29,,(COLUMNS($E$29:P29)-1)*4,,4))</f>
        <v>-110178.28725670965</v>
      </c>
      <c r="S29" s="167"/>
      <c r="T29" s="198">
        <v>-30122</v>
      </c>
      <c r="U29" s="198">
        <v>-34963</v>
      </c>
      <c r="V29" s="198">
        <f>-35835-6265</f>
        <v>-42100</v>
      </c>
      <c r="W29" s="198">
        <v>-35230</v>
      </c>
      <c r="X29" s="198">
        <v>-29702</v>
      </c>
      <c r="Y29" s="198">
        <v>-29331</v>
      </c>
      <c r="Z29" s="198">
        <v>-45051</v>
      </c>
      <c r="AA29" s="198">
        <v>-46084</v>
      </c>
      <c r="AB29" s="198">
        <v>-51756</v>
      </c>
      <c r="AC29" s="198">
        <v>-46325</v>
      </c>
      <c r="AD29" s="89">
        <f>IF(AD31=0,(-AC29/AC28)*-AD28,AC29*(1+AD31))</f>
        <v>-34410.458382752768</v>
      </c>
      <c r="AE29" s="89">
        <f>IF(AE31=0,(-AD29/AD28)*-AE28,AD29*(1+AE31))</f>
        <v>-35098.667550407823</v>
      </c>
      <c r="AF29" s="89">
        <f ca="1">IF(AF31=0,(-AE29/AE28)*-AF28,AE29*(1+AF31))</f>
        <v>-35954.732612612883</v>
      </c>
      <c r="AG29" s="89">
        <f ca="1">IF(AG31=0,(-AF29/AF28)*-AG28,AF29*(1+AG31))</f>
        <v>-35954.732612612883</v>
      </c>
      <c r="AH29" s="89">
        <f ca="1">IF(AH31=0,(-AG29/AG28)*-AH28,AG29*(1+AH31))</f>
        <v>-35954.732612612883</v>
      </c>
      <c r="AI29" s="89">
        <f t="shared" ref="AI29:BJ29" ca="1" si="19">IF(AI31=0,(-AH29/AH28)*-AI28,AH29*(1+AI31))</f>
        <v>-35098.667550407816</v>
      </c>
      <c r="AJ29" s="89">
        <f t="shared" ca="1" si="19"/>
        <v>-35098.667550407816</v>
      </c>
      <c r="AK29" s="89">
        <f t="shared" ca="1" si="19"/>
        <v>-34242.602488202749</v>
      </c>
      <c r="AL29" s="89">
        <f t="shared" ca="1" si="19"/>
        <v>-34242.602488202741</v>
      </c>
      <c r="AM29" s="89">
        <f t="shared" ca="1" si="19"/>
        <v>-33001.678204948708</v>
      </c>
      <c r="AN29" s="89">
        <f t="shared" ca="1" si="19"/>
        <v>-33001.678204948708</v>
      </c>
      <c r="AO29" s="89">
        <f t="shared" ca="1" si="19"/>
        <v>-32155.481327898739</v>
      </c>
      <c r="AP29" s="89">
        <f t="shared" ca="1" si="19"/>
        <v>-32155.481327898739</v>
      </c>
      <c r="AQ29" s="89">
        <f t="shared" ca="1" si="19"/>
        <v>-30944.161600110005</v>
      </c>
      <c r="AR29" s="89">
        <f t="shared" ca="1" si="19"/>
        <v>-30944.161600110005</v>
      </c>
      <c r="AS29" s="89">
        <f t="shared" ca="1" si="19"/>
        <v>-30944.161600110005</v>
      </c>
      <c r="AT29" s="89">
        <f t="shared" ca="1" si="19"/>
        <v>-30944.161600109997</v>
      </c>
      <c r="AU29" s="89">
        <f t="shared" ca="1" si="19"/>
        <v>-28926.117735891708</v>
      </c>
      <c r="AV29" s="89">
        <f t="shared" ca="1" si="19"/>
        <v>-28926.117735891708</v>
      </c>
      <c r="AW29" s="89">
        <f t="shared" ca="1" si="19"/>
        <v>-28926.117735891701</v>
      </c>
      <c r="AX29" s="89">
        <f t="shared" ca="1" si="19"/>
        <v>-28926.117735891701</v>
      </c>
      <c r="AY29" s="89">
        <f t="shared" ca="1" si="19"/>
        <v>-28580.731255463132</v>
      </c>
      <c r="AZ29" s="89">
        <f t="shared" ca="1" si="19"/>
        <v>-28580.731255463128</v>
      </c>
      <c r="BA29" s="89">
        <f t="shared" ca="1" si="19"/>
        <v>-28580.731255463128</v>
      </c>
      <c r="BB29" s="89">
        <f t="shared" ca="1" si="19"/>
        <v>-28580.731255463121</v>
      </c>
      <c r="BC29" s="89">
        <f t="shared" ca="1" si="19"/>
        <v>-28235.344775034559</v>
      </c>
      <c r="BD29" s="89">
        <f t="shared" ca="1" si="19"/>
        <v>-28235.344775034548</v>
      </c>
      <c r="BE29" s="89">
        <f t="shared" ca="1" si="19"/>
        <v>-28235.344775034544</v>
      </c>
      <c r="BF29" s="89">
        <f t="shared" ca="1" si="19"/>
        <v>-28235.344775034533</v>
      </c>
      <c r="BG29" s="89">
        <f t="shared" ca="1" si="19"/>
        <v>-27889.958294605985</v>
      </c>
      <c r="BH29" s="89">
        <f t="shared" ca="1" si="19"/>
        <v>-27889.958294606</v>
      </c>
      <c r="BI29" s="89">
        <f t="shared" ca="1" si="19"/>
        <v>-27889.958294605985</v>
      </c>
      <c r="BJ29" s="89">
        <f t="shared" ca="1" si="19"/>
        <v>-27889.958294605975</v>
      </c>
      <c r="BK29" s="89">
        <f ca="1">IF(BK31=0,(-BJ29/BJ28)*-BK28,BJ29*(1+BK31))</f>
        <v>-27544.571814177427</v>
      </c>
      <c r="BL29" s="89">
        <f ca="1">IF(BL31=0,(-BK29/BK28)*-BL28,BK29*(1+BL31))</f>
        <v>-27544.57181417746</v>
      </c>
      <c r="BM29" s="89">
        <f ca="1">IF(BM31=0,(-BL29/BL28)*-BM28,BL29*(1+BM31))</f>
        <v>-27544.571814177427</v>
      </c>
      <c r="BN29" s="89">
        <f ca="1">IF(BN31=0,(-BM29/BM28)*-BN28,BM29*(1+BN31))</f>
        <v>-27544.571814177332</v>
      </c>
    </row>
    <row r="30" spans="2:68">
      <c r="B30" s="242" t="s">
        <v>223</v>
      </c>
      <c r="C30" s="159" t="s">
        <v>140</v>
      </c>
      <c r="E30" s="259"/>
      <c r="F30" s="259">
        <f ca="1">F29/E29-1</f>
        <v>0.29975276391286099</v>
      </c>
      <c r="G30" s="259">
        <f t="shared" ref="G30:P30" ca="1" si="20">G29/F29-1</f>
        <v>0.28181990598757323</v>
      </c>
      <c r="H30" s="259">
        <f t="shared" ca="1" si="20"/>
        <v>-0.19942602033351875</v>
      </c>
      <c r="I30" s="259">
        <f t="shared" ca="1" si="20"/>
        <v>-2.9940119760479278E-2</v>
      </c>
      <c r="J30" s="259">
        <f t="shared" ca="1" si="20"/>
        <v>-6.0340840360052717E-2</v>
      </c>
      <c r="K30" s="259">
        <f t="shared" ca="1" si="20"/>
        <v>-5.0168490401726884E-2</v>
      </c>
      <c r="L30" s="259">
        <f t="shared" ca="1" si="20"/>
        <v>-6.5215658136012489E-2</v>
      </c>
      <c r="M30" s="259">
        <f t="shared" ca="1" si="20"/>
        <v>-1.1940298507463365E-2</v>
      </c>
      <c r="N30" s="259">
        <f t="shared" ca="1" si="20"/>
        <v>-1.2084592145015893E-2</v>
      </c>
      <c r="O30" s="259">
        <f t="shared" ca="1" si="20"/>
        <v>-1.2232415902140747E-2</v>
      </c>
      <c r="P30" s="259">
        <f t="shared" ca="1" si="20"/>
        <v>-1.2383900928793268E-2</v>
      </c>
      <c r="S30" s="167"/>
      <c r="T30" s="198"/>
      <c r="X30" s="259">
        <f t="shared" ref="X30:AH30" si="21">X29/T29-1</f>
        <v>-1.3943297257818177E-2</v>
      </c>
      <c r="Y30" s="259">
        <f t="shared" si="21"/>
        <v>-0.16108457512227214</v>
      </c>
      <c r="Z30" s="259">
        <f t="shared" si="21"/>
        <v>7.0095011876484481E-2</v>
      </c>
      <c r="AA30" s="259">
        <f t="shared" si="21"/>
        <v>0.30808969628157823</v>
      </c>
      <c r="AB30" s="259">
        <f t="shared" si="21"/>
        <v>0.74250892195811735</v>
      </c>
      <c r="AC30" s="259">
        <f t="shared" si="21"/>
        <v>0.57938699669291882</v>
      </c>
      <c r="AD30" s="259">
        <f t="shared" si="21"/>
        <v>-0.23618879974356244</v>
      </c>
      <c r="AE30" s="259">
        <f t="shared" si="21"/>
        <v>-0.23837627917698501</v>
      </c>
      <c r="AF30" s="259">
        <f t="shared" ca="1" si="21"/>
        <v>-0.30530310277817296</v>
      </c>
      <c r="AG30" s="259">
        <f t="shared" ca="1" si="21"/>
        <v>-0.22385898299810292</v>
      </c>
      <c r="AH30" s="259">
        <f t="shared" ca="1" si="21"/>
        <v>4.4878048780487623E-2</v>
      </c>
      <c r="AI30" s="259">
        <f t="shared" ref="AI30:BJ30" ca="1" si="22">AI29/AE29-1</f>
        <v>0</v>
      </c>
      <c r="AJ30" s="259">
        <f t="shared" ca="1" si="22"/>
        <v>-2.3809523809523725E-2</v>
      </c>
      <c r="AK30" s="259">
        <f t="shared" ca="1" si="22"/>
        <v>-4.7619047619047561E-2</v>
      </c>
      <c r="AL30" s="259">
        <f t="shared" ca="1" si="22"/>
        <v>-4.7619047619047783E-2</v>
      </c>
      <c r="AM30" s="259">
        <f t="shared" ca="1" si="22"/>
        <v>-5.9745554227876752E-2</v>
      </c>
      <c r="AN30" s="259">
        <f t="shared" ca="1" si="22"/>
        <v>-5.9745554227876752E-2</v>
      </c>
      <c r="AO30" s="259">
        <f t="shared" ca="1" si="22"/>
        <v>-6.0951008645533378E-2</v>
      </c>
      <c r="AP30" s="259">
        <f t="shared" ca="1" si="22"/>
        <v>-6.0951008645533267E-2</v>
      </c>
      <c r="AQ30" s="259">
        <f t="shared" ca="1" si="22"/>
        <v>-6.2345817447858498E-2</v>
      </c>
      <c r="AR30" s="259">
        <f t="shared" ca="1" si="22"/>
        <v>-6.2345817447858498E-2</v>
      </c>
      <c r="AS30" s="259">
        <f t="shared" ca="1" si="22"/>
        <v>-3.7670707380696777E-2</v>
      </c>
      <c r="AT30" s="259">
        <f t="shared" ca="1" si="22"/>
        <v>-3.7670707380696999E-2</v>
      </c>
      <c r="AU30" s="259">
        <f t="shared" ca="1" si="22"/>
        <v>-6.5215658136012378E-2</v>
      </c>
      <c r="AV30" s="259">
        <f t="shared" ca="1" si="22"/>
        <v>-6.5215658136012378E-2</v>
      </c>
      <c r="AW30" s="259">
        <f t="shared" ca="1" si="22"/>
        <v>-6.52156581360126E-2</v>
      </c>
      <c r="AX30" s="259">
        <f t="shared" ca="1" si="22"/>
        <v>-6.5215658136012378E-2</v>
      </c>
      <c r="AY30" s="259">
        <f t="shared" ca="1" si="22"/>
        <v>-1.1940298507463365E-2</v>
      </c>
      <c r="AZ30" s="259">
        <f t="shared" ca="1" si="22"/>
        <v>-1.1940298507463476E-2</v>
      </c>
      <c r="BA30" s="259">
        <f t="shared" ca="1" si="22"/>
        <v>-1.1940298507463254E-2</v>
      </c>
      <c r="BB30" s="259">
        <f t="shared" ca="1" si="22"/>
        <v>-1.1940298507463476E-2</v>
      </c>
      <c r="BC30" s="259">
        <f t="shared" ca="1" si="22"/>
        <v>-1.2084592145015671E-2</v>
      </c>
      <c r="BD30" s="259">
        <f t="shared" ca="1" si="22"/>
        <v>-1.2084592145015893E-2</v>
      </c>
      <c r="BE30" s="259">
        <f t="shared" ca="1" si="22"/>
        <v>-1.2084592145016004E-2</v>
      </c>
      <c r="BF30" s="259">
        <f t="shared" ca="1" si="22"/>
        <v>-1.2084592145016115E-2</v>
      </c>
      <c r="BG30" s="259">
        <f t="shared" ca="1" si="22"/>
        <v>-1.2232415902141192E-2</v>
      </c>
      <c r="BH30" s="259">
        <f t="shared" ca="1" si="22"/>
        <v>-1.2232415902140303E-2</v>
      </c>
      <c r="BI30" s="259">
        <f t="shared" ca="1" si="22"/>
        <v>-1.2232415902140747E-2</v>
      </c>
      <c r="BJ30" s="259">
        <f t="shared" ca="1" si="22"/>
        <v>-1.2232415902140747E-2</v>
      </c>
      <c r="BK30" s="259">
        <f ca="1">BK29/BG29-1</f>
        <v>-1.2383900928792602E-2</v>
      </c>
      <c r="BL30" s="259">
        <f ca="1">BL29/BH29-1</f>
        <v>-1.2383900928791935E-2</v>
      </c>
      <c r="BM30" s="259">
        <f ca="1">BM29/BI29-1</f>
        <v>-1.2383900928792602E-2</v>
      </c>
      <c r="BN30" s="259">
        <f ca="1">BN29/BJ29-1</f>
        <v>-1.2383900928795599E-2</v>
      </c>
    </row>
    <row r="31" spans="2:68">
      <c r="B31" s="242" t="s">
        <v>240</v>
      </c>
      <c r="C31" s="159" t="s">
        <v>140</v>
      </c>
      <c r="F31" s="259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S31" s="167"/>
      <c r="AD31" s="275"/>
      <c r="AE31" s="276">
        <v>0.02</v>
      </c>
      <c r="AF31" s="249"/>
      <c r="AG31" s="249"/>
      <c r="AH31" s="261"/>
    </row>
    <row r="32" spans="2:68">
      <c r="B32" s="243" t="s">
        <v>178</v>
      </c>
      <c r="C32" s="156" t="s">
        <v>140</v>
      </c>
      <c r="E32" s="240">
        <f ca="1">-E33/E28</f>
        <v>3.9232298715027723E-2</v>
      </c>
      <c r="F32" s="240">
        <f ca="1">-F33/F28</f>
        <v>5.4532465034484653E-2</v>
      </c>
      <c r="G32" s="240">
        <f ca="1">-G33/G28</f>
        <v>5.5036364514606653E-2</v>
      </c>
      <c r="H32" s="240">
        <f t="shared" ref="H32:O32" ca="1" si="23">-H33/H28</f>
        <v>0.06</v>
      </c>
      <c r="I32" s="240">
        <f t="shared" ca="1" si="23"/>
        <v>5.9999999999999991E-2</v>
      </c>
      <c r="J32" s="240">
        <f t="shared" ca="1" si="23"/>
        <v>5.9999999999999984E-2</v>
      </c>
      <c r="K32" s="240">
        <f t="shared" ca="1" si="23"/>
        <v>6.0000000000000005E-2</v>
      </c>
      <c r="L32" s="240">
        <f t="shared" ca="1" si="23"/>
        <v>6.0000000000000005E-2</v>
      </c>
      <c r="M32" s="240">
        <f t="shared" ca="1" si="23"/>
        <v>0.06</v>
      </c>
      <c r="N32" s="240">
        <f t="shared" ca="1" si="23"/>
        <v>6.0000000000000005E-2</v>
      </c>
      <c r="O32" s="240">
        <f t="shared" ca="1" si="23"/>
        <v>0.06</v>
      </c>
      <c r="P32" s="240">
        <f ca="1">-P33/P28</f>
        <v>0.06</v>
      </c>
      <c r="Q32" s="240"/>
      <c r="S32" s="167"/>
      <c r="T32" s="240">
        <f t="shared" ref="T32:AC32" si="24">-T33/T28</f>
        <v>3.6833398209420005E-2</v>
      </c>
      <c r="U32" s="240">
        <f t="shared" si="24"/>
        <v>4.0166564554149055E-2</v>
      </c>
      <c r="V32" s="240">
        <f t="shared" si="24"/>
        <v>4.0516271162089029E-2</v>
      </c>
      <c r="W32" s="240">
        <f t="shared" si="24"/>
        <v>4.7288106986487694E-2</v>
      </c>
      <c r="X32" s="240">
        <f t="shared" si="24"/>
        <v>5.6069706241579469E-2</v>
      </c>
      <c r="Y32" s="240">
        <f t="shared" si="24"/>
        <v>5.9016393442622953E-2</v>
      </c>
      <c r="Z32" s="240">
        <f t="shared" si="24"/>
        <v>5.6738185682868057E-2</v>
      </c>
      <c r="AA32" s="240">
        <f t="shared" si="24"/>
        <v>5.4397832864190802E-2</v>
      </c>
      <c r="AB32" s="240">
        <f t="shared" si="24"/>
        <v>5.5282465394413886E-2</v>
      </c>
      <c r="AC32" s="240">
        <f t="shared" si="24"/>
        <v>5.474093195305639E-2</v>
      </c>
      <c r="AD32" s="241">
        <v>5.6000000000000001E-2</v>
      </c>
      <c r="AE32" s="241">
        <v>0.06</v>
      </c>
      <c r="AF32" s="241">
        <v>0.06</v>
      </c>
      <c r="AG32" s="241">
        <v>0.06</v>
      </c>
      <c r="AH32" s="241">
        <v>0.06</v>
      </c>
      <c r="AI32" s="241">
        <v>0.06</v>
      </c>
      <c r="AJ32" s="241">
        <v>0.06</v>
      </c>
      <c r="AK32" s="241">
        <v>0.06</v>
      </c>
      <c r="AL32" s="241">
        <v>0.06</v>
      </c>
      <c r="AM32" s="241">
        <v>0.06</v>
      </c>
      <c r="AN32" s="241">
        <v>0.06</v>
      </c>
      <c r="AO32" s="241">
        <v>0.06</v>
      </c>
      <c r="AP32" s="241">
        <v>0.06</v>
      </c>
      <c r="AQ32" s="241">
        <v>0.06</v>
      </c>
      <c r="AR32" s="241">
        <v>0.06</v>
      </c>
      <c r="AS32" s="241">
        <v>0.06</v>
      </c>
      <c r="AT32" s="241">
        <v>0.06</v>
      </c>
      <c r="AU32" s="241">
        <v>0.06</v>
      </c>
      <c r="AV32" s="241">
        <v>0.06</v>
      </c>
      <c r="AW32" s="241">
        <v>0.06</v>
      </c>
      <c r="AX32" s="241">
        <v>0.06</v>
      </c>
      <c r="AY32" s="241">
        <v>0.06</v>
      </c>
      <c r="AZ32" s="241">
        <v>0.06</v>
      </c>
      <c r="BA32" s="241">
        <v>0.06</v>
      </c>
      <c r="BB32" s="241">
        <v>0.06</v>
      </c>
      <c r="BC32" s="241">
        <v>0.06</v>
      </c>
      <c r="BD32" s="241">
        <v>0.06</v>
      </c>
      <c r="BE32" s="241">
        <v>0.06</v>
      </c>
      <c r="BF32" s="241">
        <v>0.06</v>
      </c>
      <c r="BG32" s="241">
        <v>0.06</v>
      </c>
      <c r="BH32" s="241">
        <v>0.06</v>
      </c>
      <c r="BI32" s="241">
        <v>0.06</v>
      </c>
      <c r="BJ32" s="241">
        <v>0.06</v>
      </c>
      <c r="BK32" s="241">
        <v>0.06</v>
      </c>
      <c r="BL32" s="241">
        <v>0.06</v>
      </c>
      <c r="BM32" s="241">
        <v>0.06</v>
      </c>
      <c r="BN32" s="241">
        <v>0.06</v>
      </c>
      <c r="BP32" s="156"/>
    </row>
    <row r="33" spans="2:66">
      <c r="B33" s="156" t="s">
        <v>192</v>
      </c>
      <c r="C33" s="196" t="s">
        <v>161</v>
      </c>
      <c r="E33" s="198">
        <f ca="1">SUM(OFFSET($S$33,,(COLUMNS(E$33:$E33)-1)*4,,4))</f>
        <v>-10280</v>
      </c>
      <c r="F33" s="198">
        <f ca="1">SUM(OFFSET($S$33,,(COLUMNS($E$33:F33)-1)*4,,4))</f>
        <v>-19846</v>
      </c>
      <c r="G33" s="89">
        <f ca="1">SUM(OFFSET($S$33,,(COLUMNS($E$33:G33)-1)*4,,4))</f>
        <v>-26360.282709141538</v>
      </c>
      <c r="H33" s="89">
        <f ca="1">SUM(OFFSET($S$33,,(COLUMNS($E$33:H33)-1)*4,,4))</f>
        <v>-22937.306073575619</v>
      </c>
      <c r="I33" s="89">
        <f ca="1">SUM(OFFSET($S$33,,(COLUMNS($E$33:I33)-1)*4,,4))</f>
        <v>-22250.560382749994</v>
      </c>
      <c r="J33" s="89">
        <f ca="1">SUM(OFFSET($S$33,,(COLUMNS($E$33:J33)-1)*4,,4))</f>
        <v>-20907.942870772764</v>
      </c>
      <c r="K33" s="89">
        <f ca="1">SUM(OFFSET($S$33,,(COLUMNS($E$33:K33)-1)*4,,4))</f>
        <v>-19859.022939540551</v>
      </c>
      <c r="L33" s="89">
        <f ca="1">SUM(OFFSET($S$33,,(COLUMNS($E$33:L33)-1)*4,,4))</f>
        <v>-18563.903688600243</v>
      </c>
      <c r="M33" s="89">
        <f ca="1">SUM(OFFSET($S$33,,(COLUMNS($E$33:M33)-1)*4,,4))</f>
        <v>-18342.245137094556</v>
      </c>
      <c r="N33" s="89">
        <f ca="1">SUM(OFFSET($S$33,,(COLUMNS($E$33:N33)-1)*4,,4))</f>
        <v>-18120.586585588866</v>
      </c>
      <c r="O33" s="89">
        <f ca="1">SUM(OFFSET($S$33,,(COLUMNS($E$33:O33)-1)*4,,4))</f>
        <v>-17898.92803408319</v>
      </c>
      <c r="P33" s="89">
        <f ca="1">SUM(OFFSET($S$33,,(COLUMNS($E$33:P33)-1)*4,,4))</f>
        <v>-17677.269482577503</v>
      </c>
      <c r="Q33" s="89"/>
      <c r="S33" s="279"/>
      <c r="T33" s="198">
        <v>-3028</v>
      </c>
      <c r="U33" s="198">
        <v>-3868</v>
      </c>
      <c r="V33" s="198">
        <v>-3384</v>
      </c>
      <c r="W33" s="198">
        <v>-4763</v>
      </c>
      <c r="X33" s="198">
        <v>-4453</v>
      </c>
      <c r="Y33" s="198">
        <v>-5238</v>
      </c>
      <c r="Z33" s="198">
        <v>-5392</v>
      </c>
      <c r="AA33" s="198">
        <v>-7189</v>
      </c>
      <c r="AB33" s="198">
        <v>-8311</v>
      </c>
      <c r="AC33" s="198">
        <v>-6171</v>
      </c>
      <c r="AD33" s="89">
        <f>-AD28*AD32</f>
        <v>-4689.2827091415375</v>
      </c>
      <c r="AE33" s="89">
        <f ca="1">-AE28*AE32</f>
        <v>-5631.3146647700632</v>
      </c>
      <c r="AF33" s="89">
        <f ca="1">-AF28*AF32</f>
        <v>-5768.6638029351852</v>
      </c>
      <c r="AG33" s="89">
        <f ca="1">-AG28*AG32</f>
        <v>-5768.6638029351852</v>
      </c>
      <c r="AH33" s="89">
        <f ca="1">-AH28*AH32</f>
        <v>-5768.6638029351852</v>
      </c>
      <c r="AI33" s="89">
        <f t="shared" ref="AI33:BJ33" ca="1" si="25">-AI28*AI32</f>
        <v>-5631.3146647700614</v>
      </c>
      <c r="AJ33" s="89">
        <f t="shared" ca="1" si="25"/>
        <v>-5631.3146647700614</v>
      </c>
      <c r="AK33" s="89">
        <f t="shared" ca="1" si="25"/>
        <v>-5493.9655266049376</v>
      </c>
      <c r="AL33" s="89">
        <f t="shared" ca="1" si="25"/>
        <v>-5493.9655266049358</v>
      </c>
      <c r="AM33" s="89">
        <f t="shared" ca="1" si="25"/>
        <v>-5294.8686490918044</v>
      </c>
      <c r="AN33" s="89">
        <f t="shared" ca="1" si="25"/>
        <v>-5294.8686490918044</v>
      </c>
      <c r="AO33" s="89">
        <f t="shared" ca="1" si="25"/>
        <v>-5159.1027862945784</v>
      </c>
      <c r="AP33" s="89">
        <f t="shared" ca="1" si="25"/>
        <v>-5159.1027862945784</v>
      </c>
      <c r="AQ33" s="89">
        <f t="shared" ca="1" si="25"/>
        <v>-4964.7557348851378</v>
      </c>
      <c r="AR33" s="89">
        <f t="shared" ca="1" si="25"/>
        <v>-4964.7557348851378</v>
      </c>
      <c r="AS33" s="89">
        <f t="shared" ca="1" si="25"/>
        <v>-4964.7557348851378</v>
      </c>
      <c r="AT33" s="89">
        <f t="shared" ca="1" si="25"/>
        <v>-4964.7557348851369</v>
      </c>
      <c r="AU33" s="89">
        <f t="shared" ca="1" si="25"/>
        <v>-4640.9759221500617</v>
      </c>
      <c r="AV33" s="89">
        <f t="shared" ca="1" si="25"/>
        <v>-4640.9759221500617</v>
      </c>
      <c r="AW33" s="89">
        <f t="shared" ca="1" si="25"/>
        <v>-4640.9759221500608</v>
      </c>
      <c r="AX33" s="89">
        <f t="shared" ca="1" si="25"/>
        <v>-4640.9759221500608</v>
      </c>
      <c r="AY33" s="89">
        <f t="shared" ca="1" si="25"/>
        <v>-4585.56128427364</v>
      </c>
      <c r="AZ33" s="89">
        <f t="shared" ca="1" si="25"/>
        <v>-4585.5612842736391</v>
      </c>
      <c r="BA33" s="89">
        <f t="shared" ca="1" si="25"/>
        <v>-4585.5612842736391</v>
      </c>
      <c r="BB33" s="89">
        <f t="shared" ca="1" si="25"/>
        <v>-4585.5612842736382</v>
      </c>
      <c r="BC33" s="89">
        <f t="shared" ca="1" si="25"/>
        <v>-4530.1466463972183</v>
      </c>
      <c r="BD33" s="89">
        <f t="shared" ca="1" si="25"/>
        <v>-4530.1466463972165</v>
      </c>
      <c r="BE33" s="89">
        <f t="shared" ca="1" si="25"/>
        <v>-4530.1466463972165</v>
      </c>
      <c r="BF33" s="89">
        <f t="shared" ca="1" si="25"/>
        <v>-4530.1466463972147</v>
      </c>
      <c r="BG33" s="89">
        <f t="shared" ca="1" si="25"/>
        <v>-4474.7320085207975</v>
      </c>
      <c r="BH33" s="89">
        <f t="shared" ca="1" si="25"/>
        <v>-4474.7320085208003</v>
      </c>
      <c r="BI33" s="89">
        <f t="shared" ca="1" si="25"/>
        <v>-4474.7320085207975</v>
      </c>
      <c r="BJ33" s="89">
        <f t="shared" ca="1" si="25"/>
        <v>-4474.7320085207957</v>
      </c>
      <c r="BK33" s="89">
        <f ca="1">-BK28*BK32</f>
        <v>-4419.3173706443786</v>
      </c>
      <c r="BL33" s="89">
        <f ca="1">-BL28*BL32</f>
        <v>-4419.317370644384</v>
      </c>
      <c r="BM33" s="89">
        <f ca="1">-BM28*BM32</f>
        <v>-4419.3173706443786</v>
      </c>
      <c r="BN33" s="89">
        <f ca="1">-BN28*BN32</f>
        <v>-4419.317370644364</v>
      </c>
    </row>
    <row r="34" spans="2:66">
      <c r="B34" s="156" t="s">
        <v>180</v>
      </c>
      <c r="C34" s="196" t="s">
        <v>161</v>
      </c>
      <c r="E34" s="168">
        <v>7542</v>
      </c>
      <c r="F34" s="258">
        <v>0</v>
      </c>
      <c r="G34" s="293">
        <f ca="1">SUM(OFFSET($S$34,,(COLUMNS($E$34:G34)-1)*4,,4))</f>
        <v>1000</v>
      </c>
      <c r="H34" s="293">
        <f ca="1">SUM(OFFSET($S$34,,(COLUMNS($E$34:H34)-1)*4,,4))</f>
        <v>4000</v>
      </c>
      <c r="I34" s="293">
        <f ca="1">SUM(OFFSET($S$34,,(COLUMNS($E$34:I34)-1)*4,,4))</f>
        <v>4000</v>
      </c>
      <c r="J34" s="293">
        <f ca="1">SUM(OFFSET($S$34,,(COLUMNS($E$34:J34)-1)*4,,4))</f>
        <v>4000</v>
      </c>
      <c r="K34" s="293">
        <f ca="1">SUM(OFFSET($S$34,,(COLUMNS($E$34:K34)-1)*4,,4))</f>
        <v>4000</v>
      </c>
      <c r="L34" s="293">
        <f ca="1">SUM(OFFSET($S$34,,(COLUMNS($E$34:L34)-1)*4,,4))</f>
        <v>4000</v>
      </c>
      <c r="M34" s="293">
        <f ca="1">SUM(OFFSET($S$34,,(COLUMNS($E$34:M34)-1)*4,,4))</f>
        <v>4000</v>
      </c>
      <c r="N34" s="293">
        <f ca="1">SUM(OFFSET($S$34,,(COLUMNS($E$34:N34)-1)*4,,4))</f>
        <v>4000</v>
      </c>
      <c r="O34" s="293">
        <f ca="1">SUM(OFFSET($S$34,,(COLUMNS($E$34:O34)-1)*4,,4))</f>
        <v>4000</v>
      </c>
      <c r="P34" s="293">
        <f ca="1">SUM(OFFSET($S$34,,(COLUMNS($E$34:P34)-1)*4,,4))</f>
        <v>4000</v>
      </c>
      <c r="Q34" s="293"/>
      <c r="S34" s="167"/>
      <c r="T34" s="268">
        <v>3143</v>
      </c>
      <c r="U34" s="268">
        <v>-1710</v>
      </c>
      <c r="V34" s="268">
        <v>1939</v>
      </c>
      <c r="W34" s="268">
        <v>220</v>
      </c>
      <c r="X34" s="268">
        <v>-220</v>
      </c>
      <c r="Y34" s="265">
        <v>0</v>
      </c>
      <c r="Z34" s="265">
        <v>0</v>
      </c>
      <c r="AA34" s="168">
        <v>0</v>
      </c>
      <c r="AB34">
        <v>0</v>
      </c>
      <c r="AC34" s="268">
        <v>0</v>
      </c>
      <c r="AD34" s="268">
        <v>1000</v>
      </c>
      <c r="AE34" s="268">
        <f t="shared" ref="AE34:BJ34" si="26">AD34</f>
        <v>1000</v>
      </c>
      <c r="AF34" s="268">
        <f t="shared" si="26"/>
        <v>1000</v>
      </c>
      <c r="AG34" s="268">
        <f t="shared" si="26"/>
        <v>1000</v>
      </c>
      <c r="AH34" s="268">
        <f t="shared" si="26"/>
        <v>1000</v>
      </c>
      <c r="AI34" s="268">
        <f t="shared" si="26"/>
        <v>1000</v>
      </c>
      <c r="AJ34" s="268">
        <f t="shared" si="26"/>
        <v>1000</v>
      </c>
      <c r="AK34" s="268">
        <f t="shared" si="26"/>
        <v>1000</v>
      </c>
      <c r="AL34" s="268">
        <f t="shared" si="26"/>
        <v>1000</v>
      </c>
      <c r="AM34" s="268">
        <f t="shared" si="26"/>
        <v>1000</v>
      </c>
      <c r="AN34" s="268">
        <f t="shared" si="26"/>
        <v>1000</v>
      </c>
      <c r="AO34" s="268">
        <f t="shared" si="26"/>
        <v>1000</v>
      </c>
      <c r="AP34" s="268">
        <f t="shared" si="26"/>
        <v>1000</v>
      </c>
      <c r="AQ34" s="268">
        <f t="shared" si="26"/>
        <v>1000</v>
      </c>
      <c r="AR34" s="268">
        <f t="shared" si="26"/>
        <v>1000</v>
      </c>
      <c r="AS34" s="268">
        <f t="shared" si="26"/>
        <v>1000</v>
      </c>
      <c r="AT34" s="268">
        <f t="shared" si="26"/>
        <v>1000</v>
      </c>
      <c r="AU34" s="268">
        <f t="shared" si="26"/>
        <v>1000</v>
      </c>
      <c r="AV34" s="268">
        <f t="shared" si="26"/>
        <v>1000</v>
      </c>
      <c r="AW34" s="268">
        <f t="shared" si="26"/>
        <v>1000</v>
      </c>
      <c r="AX34" s="268">
        <f t="shared" si="26"/>
        <v>1000</v>
      </c>
      <c r="AY34" s="268">
        <f t="shared" si="26"/>
        <v>1000</v>
      </c>
      <c r="AZ34" s="268">
        <f t="shared" si="26"/>
        <v>1000</v>
      </c>
      <c r="BA34" s="268">
        <f t="shared" si="26"/>
        <v>1000</v>
      </c>
      <c r="BB34" s="268">
        <f t="shared" si="26"/>
        <v>1000</v>
      </c>
      <c r="BC34" s="268">
        <f t="shared" si="26"/>
        <v>1000</v>
      </c>
      <c r="BD34" s="268">
        <f t="shared" si="26"/>
        <v>1000</v>
      </c>
      <c r="BE34" s="268">
        <f t="shared" si="26"/>
        <v>1000</v>
      </c>
      <c r="BF34" s="268">
        <f t="shared" si="26"/>
        <v>1000</v>
      </c>
      <c r="BG34" s="268">
        <f t="shared" si="26"/>
        <v>1000</v>
      </c>
      <c r="BH34" s="268">
        <f t="shared" si="26"/>
        <v>1000</v>
      </c>
      <c r="BI34" s="268">
        <f t="shared" si="26"/>
        <v>1000</v>
      </c>
      <c r="BJ34" s="268">
        <f t="shared" si="26"/>
        <v>1000</v>
      </c>
      <c r="BK34" s="268">
        <f>BJ34</f>
        <v>1000</v>
      </c>
      <c r="BL34" s="268">
        <f>BK34</f>
        <v>1000</v>
      </c>
      <c r="BM34" s="268">
        <f>BL34</f>
        <v>1000</v>
      </c>
      <c r="BN34" s="268">
        <f>BM34</f>
        <v>1000</v>
      </c>
    </row>
    <row r="35" spans="2:66">
      <c r="B35" s="164" t="s">
        <v>181</v>
      </c>
      <c r="C35" s="244" t="s">
        <v>161</v>
      </c>
      <c r="D35" s="188"/>
      <c r="E35" s="246">
        <f ca="1">SUM(OFFSET($S$35,,(COLUMNS($E$35:E35)-1)*4,,4))</f>
        <v>-114093</v>
      </c>
      <c r="F35" s="246">
        <f ca="1">SUM(OFFSET($S$35,,(COLUMNS($E$35:F35)-1)*4,,4))</f>
        <v>-159160</v>
      </c>
      <c r="G35" s="246">
        <f ca="1">SUM(OFFSET($S$35,,(COLUMNS($E$35:G35)-1)*4,,4))</f>
        <v>-203935.74109189431</v>
      </c>
      <c r="H35" s="246">
        <f ca="1">SUM(OFFSET($S$35,,(COLUMNS($E$35:H35)-1)*4,,4))</f>
        <v>-161900.17146182209</v>
      </c>
      <c r="I35" s="246">
        <f ca="1">SUM(OFFSET($S$35,,(COLUMNS($E$35:I35)-1)*4,,4))</f>
        <v>-156933.10045997112</v>
      </c>
      <c r="J35" s="246">
        <f ca="1">SUM(OFFSET($S$35,,(COLUMNS($E$35:J35)-1)*4,,4))</f>
        <v>-147222.26193646766</v>
      </c>
      <c r="K35" s="246">
        <f ca="1">SUM(OFFSET($S$35,,(COLUMNS($E$35:K35)-1)*4,,4))</f>
        <v>-139635.66933998058</v>
      </c>
      <c r="L35" s="246">
        <f ca="1">SUM(OFFSET($S$35,,(COLUMNS($E$35:L35)-1)*4,,4))</f>
        <v>-130268.37463216706</v>
      </c>
      <c r="M35" s="246">
        <f ca="1">SUM(OFFSET($S$35,,(COLUMNS($E$35:M35)-1)*4,,4))</f>
        <v>-128665.17015894706</v>
      </c>
      <c r="N35" s="246">
        <f ca="1">SUM(OFFSET($S$35,,(COLUMNS($E$35:N35)-1)*4,,4))</f>
        <v>-127061.96568572705</v>
      </c>
      <c r="O35" s="246">
        <f ca="1">SUM(OFFSET($S$35,,(COLUMNS($E$35:O35)-1)*4,,4))</f>
        <v>-125458.76121250715</v>
      </c>
      <c r="P35" s="246">
        <f ca="1">SUM(OFFSET($S$35,,(COLUMNS($E$35:P35)-1)*4,,4))</f>
        <v>-123855.55673928716</v>
      </c>
      <c r="Q35" s="246"/>
      <c r="S35" s="167"/>
      <c r="T35" s="246">
        <f t="shared" ref="T35:AH35" si="27">T29+T33+T34</f>
        <v>-30007</v>
      </c>
      <c r="U35" s="246">
        <f t="shared" si="27"/>
        <v>-40541</v>
      </c>
      <c r="V35" s="246">
        <f t="shared" si="27"/>
        <v>-43545</v>
      </c>
      <c r="W35" s="246">
        <f t="shared" si="27"/>
        <v>-39773</v>
      </c>
      <c r="X35" s="246">
        <f t="shared" si="27"/>
        <v>-34375</v>
      </c>
      <c r="Y35" s="246">
        <f t="shared" si="27"/>
        <v>-34569</v>
      </c>
      <c r="Z35" s="246">
        <f t="shared" si="27"/>
        <v>-50443</v>
      </c>
      <c r="AA35" s="246">
        <f t="shared" si="27"/>
        <v>-53273</v>
      </c>
      <c r="AB35" s="246">
        <f t="shared" si="27"/>
        <v>-60067</v>
      </c>
      <c r="AC35" s="246">
        <f t="shared" si="27"/>
        <v>-52496</v>
      </c>
      <c r="AD35" s="246">
        <f t="shared" si="27"/>
        <v>-38099.741091894306</v>
      </c>
      <c r="AE35" s="246">
        <f t="shared" ca="1" si="27"/>
        <v>-39729.982215177886</v>
      </c>
      <c r="AF35" s="246">
        <f t="shared" ca="1" si="27"/>
        <v>-40723.396415548064</v>
      </c>
      <c r="AG35" s="246">
        <f t="shared" ca="1" si="27"/>
        <v>-40723.396415548064</v>
      </c>
      <c r="AH35" s="246">
        <f t="shared" ca="1" si="27"/>
        <v>-40723.396415548064</v>
      </c>
      <c r="AI35" s="246">
        <f t="shared" ref="AI35:BJ35" ca="1" si="28">AI29+AI33+AI34</f>
        <v>-39729.982215177879</v>
      </c>
      <c r="AJ35" s="246">
        <f t="shared" ca="1" si="28"/>
        <v>-39729.982215177879</v>
      </c>
      <c r="AK35" s="246">
        <f t="shared" ca="1" si="28"/>
        <v>-38736.568014807686</v>
      </c>
      <c r="AL35" s="246">
        <f t="shared" ca="1" si="28"/>
        <v>-38736.568014807679</v>
      </c>
      <c r="AM35" s="246">
        <f t="shared" ca="1" si="28"/>
        <v>-37296.546854040513</v>
      </c>
      <c r="AN35" s="246">
        <f t="shared" ca="1" si="28"/>
        <v>-37296.546854040513</v>
      </c>
      <c r="AO35" s="246">
        <f t="shared" ca="1" si="28"/>
        <v>-36314.58411419332</v>
      </c>
      <c r="AP35" s="246">
        <f t="shared" ca="1" si="28"/>
        <v>-36314.58411419332</v>
      </c>
      <c r="AQ35" s="246">
        <f t="shared" ca="1" si="28"/>
        <v>-34908.917334995145</v>
      </c>
      <c r="AR35" s="246">
        <f t="shared" ca="1" si="28"/>
        <v>-34908.917334995145</v>
      </c>
      <c r="AS35" s="246">
        <f t="shared" ca="1" si="28"/>
        <v>-34908.917334995145</v>
      </c>
      <c r="AT35" s="246">
        <f t="shared" ca="1" si="28"/>
        <v>-34908.917334995131</v>
      </c>
      <c r="AU35" s="246">
        <f t="shared" ca="1" si="28"/>
        <v>-32567.093658041769</v>
      </c>
      <c r="AV35" s="246">
        <f t="shared" ca="1" si="28"/>
        <v>-32567.093658041769</v>
      </c>
      <c r="AW35" s="246">
        <f t="shared" ca="1" si="28"/>
        <v>-32567.093658041762</v>
      </c>
      <c r="AX35" s="246">
        <f t="shared" ca="1" si="28"/>
        <v>-32567.093658041762</v>
      </c>
      <c r="AY35" s="246">
        <f t="shared" ca="1" si="28"/>
        <v>-32166.292539736773</v>
      </c>
      <c r="AZ35" s="246">
        <f t="shared" ca="1" si="28"/>
        <v>-32166.292539736765</v>
      </c>
      <c r="BA35" s="246">
        <f t="shared" ca="1" si="28"/>
        <v>-32166.292539736765</v>
      </c>
      <c r="BB35" s="246">
        <f t="shared" ca="1" si="28"/>
        <v>-32166.292539736758</v>
      </c>
      <c r="BC35" s="246">
        <f t="shared" ca="1" si="28"/>
        <v>-31765.491421431776</v>
      </c>
      <c r="BD35" s="246">
        <f t="shared" ca="1" si="28"/>
        <v>-31765.491421431765</v>
      </c>
      <c r="BE35" s="246">
        <f t="shared" ca="1" si="28"/>
        <v>-31765.491421431761</v>
      </c>
      <c r="BF35" s="246">
        <f t="shared" ca="1" si="28"/>
        <v>-31765.491421431747</v>
      </c>
      <c r="BG35" s="246">
        <f t="shared" ca="1" si="28"/>
        <v>-31364.690303126783</v>
      </c>
      <c r="BH35" s="246">
        <f t="shared" ca="1" si="28"/>
        <v>-31364.690303126801</v>
      </c>
      <c r="BI35" s="246">
        <f t="shared" ca="1" si="28"/>
        <v>-31364.690303126783</v>
      </c>
      <c r="BJ35" s="246">
        <f t="shared" ca="1" si="28"/>
        <v>-31364.690303126772</v>
      </c>
      <c r="BK35" s="246">
        <f ca="1">BK29+BK33+BK34</f>
        <v>-30963.889184821805</v>
      </c>
      <c r="BL35" s="246">
        <f ca="1">BL29+BL33+BL34</f>
        <v>-30963.889184821845</v>
      </c>
      <c r="BM35" s="246">
        <f ca="1">BM29+BM33+BM34</f>
        <v>-30963.889184821805</v>
      </c>
      <c r="BN35" s="246">
        <f ca="1">BN29+BN33+BN34</f>
        <v>-30963.889184821695</v>
      </c>
    </row>
    <row r="36" spans="2:66">
      <c r="B36" s="164" t="s">
        <v>19</v>
      </c>
      <c r="C36" s="244" t="s">
        <v>161</v>
      </c>
      <c r="D36" s="188"/>
      <c r="E36" s="246">
        <f ca="1">SUM(OFFSET($S$36,,(COLUMNS($E$36:E36)-1)*4,,4))</f>
        <v>-32197</v>
      </c>
      <c r="F36" s="246">
        <f ca="1">SUM(OFFSET($S$36,,(COLUMNS($E$36:F36)-1)*4,,4))</f>
        <v>-36243</v>
      </c>
      <c r="G36" s="246">
        <f ca="1">SUM(OFFSET($S$36,,(COLUMNS($E$36:G36)-1)*4,,4))</f>
        <v>-54292.646566237658</v>
      </c>
      <c r="H36" s="246">
        <f ca="1">SUM(OFFSET($S$36,,(COLUMNS($E$36:H36)-1)*4,,4))</f>
        <v>-34062.586264950616</v>
      </c>
      <c r="I36" s="246">
        <f ca="1">SUM(OFFSET($S$36,,(COLUMNS($E$36:I36)-1)*4,,4))</f>
        <v>-34062.586264950616</v>
      </c>
      <c r="J36" s="246">
        <f ca="1">SUM(OFFSET($S$36,,(COLUMNS($E$36:J36)-1)*4,,4))</f>
        <v>-33669.933973711988</v>
      </c>
      <c r="K36" s="246">
        <f ca="1">SUM(OFFSET($S$36,,(COLUMNS($E$36:K36)-1)*4,,4))</f>
        <v>-33277.281682473353</v>
      </c>
      <c r="L36" s="246">
        <f ca="1">SUM(OFFSET($S$36,,(COLUMNS($E$36:L36)-1)*4,,4))</f>
        <v>-32884.629391234717</v>
      </c>
      <c r="M36" s="246">
        <f ca="1">SUM(OFFSET($S$36,,(COLUMNS($E$36:M36)-1)*4,,4))</f>
        <v>-32491.977099996071</v>
      </c>
      <c r="N36" s="246">
        <f ca="1">SUM(OFFSET($S$36,,(COLUMNS($E$36:N36)-1)*4,,4))</f>
        <v>-22435.011963110024</v>
      </c>
      <c r="O36" s="246">
        <f ca="1">SUM(OFFSET($S$36,,(COLUMNS($E$36:O36)-1)*4,,4))</f>
        <v>-22160.57756600776</v>
      </c>
      <c r="P36" s="246">
        <f ca="1">SUM(OFFSET($S$36,,(COLUMNS($E$36:P36)-1)*4,,4))</f>
        <v>-21886.143168905488</v>
      </c>
      <c r="Q36" s="246"/>
      <c r="S36" s="167"/>
      <c r="T36" s="268">
        <v>-10498</v>
      </c>
      <c r="U36" s="268">
        <v>-9203</v>
      </c>
      <c r="V36" s="268">
        <f>-32197-SUM(T36:U36)</f>
        <v>-12496</v>
      </c>
      <c r="W36" s="268">
        <v>-10679</v>
      </c>
      <c r="X36" s="268">
        <v>-8466</v>
      </c>
      <c r="Y36" s="268">
        <v>-8080</v>
      </c>
      <c r="Z36" s="268">
        <f>-36243-SUM(W36:Y36)</f>
        <v>-9018</v>
      </c>
      <c r="AA36" s="268">
        <v>-14336</v>
      </c>
      <c r="AB36" s="268">
        <v>-19460</v>
      </c>
      <c r="AC36" s="268">
        <v>-11981</v>
      </c>
      <c r="AD36" s="254">
        <f>-AD51*AD$19/10^3</f>
        <v>-8515.6465662376559</v>
      </c>
      <c r="AE36" s="254">
        <f t="shared" ref="AE36:BN36" si="29">-AE51*AE$19/10^3</f>
        <v>-8515.6465662376559</v>
      </c>
      <c r="AF36" s="254">
        <f t="shared" si="29"/>
        <v>-8515.646566237654</v>
      </c>
      <c r="AG36" s="254">
        <f t="shared" si="29"/>
        <v>-8515.646566237654</v>
      </c>
      <c r="AH36" s="254">
        <f t="shared" si="29"/>
        <v>-8515.646566237654</v>
      </c>
      <c r="AI36" s="254">
        <f t="shared" si="29"/>
        <v>-8515.646566237654</v>
      </c>
      <c r="AJ36" s="254">
        <f t="shared" si="29"/>
        <v>-8515.646566237654</v>
      </c>
      <c r="AK36" s="254">
        <f t="shared" si="29"/>
        <v>-8515.646566237654</v>
      </c>
      <c r="AL36" s="254">
        <f t="shared" si="29"/>
        <v>-8515.6465662376504</v>
      </c>
      <c r="AM36" s="254">
        <f t="shared" si="29"/>
        <v>-8417.483493427997</v>
      </c>
      <c r="AN36" s="254">
        <f t="shared" si="29"/>
        <v>-8417.483493427997</v>
      </c>
      <c r="AO36" s="254">
        <f t="shared" si="29"/>
        <v>-8417.483493427997</v>
      </c>
      <c r="AP36" s="254">
        <f t="shared" si="29"/>
        <v>-8417.483493427997</v>
      </c>
      <c r="AQ36" s="254">
        <f t="shared" si="29"/>
        <v>-8319.3204206183382</v>
      </c>
      <c r="AR36" s="254">
        <f t="shared" si="29"/>
        <v>-8319.3204206183382</v>
      </c>
      <c r="AS36" s="254">
        <f t="shared" si="29"/>
        <v>-8319.3204206183382</v>
      </c>
      <c r="AT36" s="254">
        <f t="shared" si="29"/>
        <v>-8319.3204206183364</v>
      </c>
      <c r="AU36" s="254">
        <f t="shared" si="29"/>
        <v>-8221.1573478086812</v>
      </c>
      <c r="AV36" s="254">
        <f t="shared" si="29"/>
        <v>-8221.1573478086812</v>
      </c>
      <c r="AW36" s="254">
        <f t="shared" si="29"/>
        <v>-8221.1573478086793</v>
      </c>
      <c r="AX36" s="254">
        <f t="shared" si="29"/>
        <v>-8221.1573478086793</v>
      </c>
      <c r="AY36" s="254">
        <f t="shared" si="29"/>
        <v>-8122.9942749990196</v>
      </c>
      <c r="AZ36" s="254">
        <f t="shared" si="29"/>
        <v>-8122.9942749990187</v>
      </c>
      <c r="BA36" s="254">
        <f t="shared" si="29"/>
        <v>-8122.9942749990187</v>
      </c>
      <c r="BB36" s="254">
        <f t="shared" si="29"/>
        <v>-8122.9942749990159</v>
      </c>
      <c r="BC36" s="254">
        <f t="shared" si="29"/>
        <v>-5608.7529907775088</v>
      </c>
      <c r="BD36" s="254">
        <f t="shared" si="29"/>
        <v>-5608.7529907775061</v>
      </c>
      <c r="BE36" s="254">
        <f t="shared" si="29"/>
        <v>-5608.7529907775051</v>
      </c>
      <c r="BF36" s="254">
        <f t="shared" si="29"/>
        <v>-5608.7529907775024</v>
      </c>
      <c r="BG36" s="254">
        <f t="shared" si="29"/>
        <v>-5540.1443915019399</v>
      </c>
      <c r="BH36" s="254">
        <f t="shared" si="29"/>
        <v>-5540.1443915019427</v>
      </c>
      <c r="BI36" s="254">
        <f t="shared" si="29"/>
        <v>-5540.1443915019399</v>
      </c>
      <c r="BJ36" s="254">
        <f t="shared" si="29"/>
        <v>-5540.1443915019372</v>
      </c>
      <c r="BK36" s="254">
        <f t="shared" si="29"/>
        <v>-5471.5357922263738</v>
      </c>
      <c r="BL36" s="254">
        <f t="shared" si="29"/>
        <v>-5471.5357922263802</v>
      </c>
      <c r="BM36" s="254">
        <f t="shared" si="29"/>
        <v>-5471.5357922263738</v>
      </c>
      <c r="BN36" s="254">
        <f t="shared" si="29"/>
        <v>-5471.5357922263556</v>
      </c>
    </row>
    <row r="37" spans="2:66">
      <c r="B37" s="247" t="s">
        <v>17</v>
      </c>
      <c r="C37" s="248" t="s">
        <v>161</v>
      </c>
      <c r="D37" s="249"/>
      <c r="E37" s="250">
        <f ca="1">SUM(OFFSET($S$37,,(COLUMNS($E$37:E37)-1)*4,,4))</f>
        <v>180133</v>
      </c>
      <c r="F37" s="250">
        <f ca="1">SUM(OFFSET($S$37,,(COLUMNS($E$37:F37)-1)*4,,4))</f>
        <v>241013</v>
      </c>
      <c r="G37" s="250">
        <f ca="1">SUM(OFFSET($S$37,,(COLUMNS($E$37:G37)-1)*4,,4))</f>
        <v>329318.09670901368</v>
      </c>
      <c r="H37" s="250">
        <f ca="1">SUM(OFFSET($S$37,,(COLUMNS($E$37:H37)-1)*4,,4))</f>
        <v>254450.84936272222</v>
      </c>
      <c r="I37" s="250">
        <f ca="1">SUM(OFFSET($S$37,,(COLUMNS($E$37:I37)-1)*4,,4))</f>
        <v>247972.15885081279</v>
      </c>
      <c r="J37" s="250">
        <f ca="1">SUM(OFFSET($S$37,,(COLUMNS($E$37:J37)-1)*4,,4))</f>
        <v>234913.38655012375</v>
      </c>
      <c r="K37" s="250">
        <f ca="1">SUM(OFFSET($S$37,,(COLUMNS($E$37:K37)-1)*4,,4))</f>
        <v>224625.32800150194</v>
      </c>
      <c r="L37" s="250">
        <f ca="1">SUM(OFFSET($S$37,,(COLUMNS($E$37:L37)-1)*4,,4))</f>
        <v>212014.64956907174</v>
      </c>
      <c r="M37" s="250">
        <f ca="1">SUM(OFFSET($S$37,,(COLUMNS($E$37:M37)-1)*4,,4))</f>
        <v>209530.89255929162</v>
      </c>
      <c r="N37" s="250">
        <f ca="1">SUM(OFFSET($S$37,,(COLUMNS($E$37:N37)-1)*4,,4))</f>
        <v>197382.82270386408</v>
      </c>
      <c r="O37" s="250">
        <f ca="1">SUM(OFFSET($S$37,,(COLUMNS($E$37:O37)-1)*4,,4))</f>
        <v>195017.28358822045</v>
      </c>
      <c r="P37" s="250">
        <f ca="1">SUM(OFFSET($S$37,,(COLUMNS($E$37:P37)-1)*4,,4))</f>
        <v>192651.74447257677</v>
      </c>
      <c r="Q37" s="195"/>
      <c r="S37" s="254"/>
      <c r="T37" s="266">
        <f>T28+T35-T36</f>
        <v>62699</v>
      </c>
      <c r="U37" s="266">
        <f t="shared" ref="U37:BN37" si="30">U28+U35-U36</f>
        <v>64961</v>
      </c>
      <c r="V37" s="266">
        <f t="shared" si="30"/>
        <v>52473</v>
      </c>
      <c r="W37" s="266">
        <f t="shared" si="30"/>
        <v>71629</v>
      </c>
      <c r="X37" s="266">
        <f t="shared" si="30"/>
        <v>53510</v>
      </c>
      <c r="Y37" s="266">
        <f t="shared" si="30"/>
        <v>62266</v>
      </c>
      <c r="Z37" s="266">
        <f t="shared" si="30"/>
        <v>53608</v>
      </c>
      <c r="AA37" s="195">
        <f t="shared" si="30"/>
        <v>93219</v>
      </c>
      <c r="AB37" s="195">
        <f t="shared" si="30"/>
        <v>109730</v>
      </c>
      <c r="AC37" s="195">
        <f t="shared" si="30"/>
        <v>72216</v>
      </c>
      <c r="AD37" s="195">
        <f t="shared" si="30"/>
        <v>54153.096709013655</v>
      </c>
      <c r="AE37" s="195">
        <f t="shared" ca="1" si="30"/>
        <v>62640.908763894164</v>
      </c>
      <c r="AF37" s="195">
        <f t="shared" ca="1" si="30"/>
        <v>63936.646866276016</v>
      </c>
      <c r="AG37" s="195">
        <f t="shared" ca="1" si="30"/>
        <v>63936.646866276016</v>
      </c>
      <c r="AH37" s="195">
        <f t="shared" ca="1" si="30"/>
        <v>63936.646866276016</v>
      </c>
      <c r="AI37" s="195">
        <f t="shared" ca="1" si="30"/>
        <v>62640.908763894142</v>
      </c>
      <c r="AJ37" s="195">
        <f t="shared" ca="1" si="30"/>
        <v>62640.908763894142</v>
      </c>
      <c r="AK37" s="195">
        <f t="shared" ca="1" si="30"/>
        <v>61345.170661512268</v>
      </c>
      <c r="AL37" s="195">
        <f t="shared" ca="1" si="30"/>
        <v>61345.170661512246</v>
      </c>
      <c r="AM37" s="195">
        <f t="shared" ca="1" si="30"/>
        <v>59368.747457584221</v>
      </c>
      <c r="AN37" s="195">
        <f t="shared" ca="1" si="30"/>
        <v>59368.747457584221</v>
      </c>
      <c r="AO37" s="195">
        <f t="shared" ca="1" si="30"/>
        <v>58087.945817477652</v>
      </c>
      <c r="AP37" s="195">
        <f t="shared" ca="1" si="30"/>
        <v>58087.945817477652</v>
      </c>
      <c r="AQ37" s="195">
        <f t="shared" ca="1" si="30"/>
        <v>56156.332000375485</v>
      </c>
      <c r="AR37" s="195">
        <f t="shared" ca="1" si="30"/>
        <v>56156.332000375485</v>
      </c>
      <c r="AS37" s="195">
        <f t="shared" ca="1" si="30"/>
        <v>56156.332000375485</v>
      </c>
      <c r="AT37" s="195">
        <f t="shared" ca="1" si="30"/>
        <v>56156.332000375485</v>
      </c>
      <c r="AU37" s="195">
        <f t="shared" ca="1" si="30"/>
        <v>53003.662392267936</v>
      </c>
      <c r="AV37" s="195">
        <f t="shared" ca="1" si="30"/>
        <v>53003.662392267936</v>
      </c>
      <c r="AW37" s="195">
        <f t="shared" ca="1" si="30"/>
        <v>53003.662392267928</v>
      </c>
      <c r="AX37" s="195">
        <f t="shared" ca="1" si="30"/>
        <v>53003.662392267928</v>
      </c>
      <c r="AY37" s="195">
        <f t="shared" ca="1" si="30"/>
        <v>52382.72313982292</v>
      </c>
      <c r="AZ37" s="195">
        <f t="shared" ca="1" si="30"/>
        <v>52382.723139822905</v>
      </c>
      <c r="BA37" s="195">
        <f t="shared" ca="1" si="30"/>
        <v>52382.723139822905</v>
      </c>
      <c r="BB37" s="195">
        <f t="shared" ca="1" si="30"/>
        <v>52382.723139822898</v>
      </c>
      <c r="BC37" s="195">
        <f t="shared" ca="1" si="30"/>
        <v>49345.705675966048</v>
      </c>
      <c r="BD37" s="195">
        <f t="shared" ca="1" si="30"/>
        <v>49345.705675966019</v>
      </c>
      <c r="BE37" s="195">
        <f t="shared" ca="1" si="30"/>
        <v>49345.705675966012</v>
      </c>
      <c r="BF37" s="195">
        <f t="shared" ca="1" si="30"/>
        <v>49345.705675965997</v>
      </c>
      <c r="BG37" s="195">
        <f t="shared" ca="1" si="30"/>
        <v>48754.320897055113</v>
      </c>
      <c r="BH37" s="195">
        <f t="shared" ca="1" si="30"/>
        <v>48754.320897055142</v>
      </c>
      <c r="BI37" s="195">
        <f t="shared" ca="1" si="30"/>
        <v>48754.320897055113</v>
      </c>
      <c r="BJ37" s="195">
        <f t="shared" ca="1" si="30"/>
        <v>48754.320897055091</v>
      </c>
      <c r="BK37" s="195">
        <f t="shared" ca="1" si="30"/>
        <v>48162.936118144215</v>
      </c>
      <c r="BL37" s="195">
        <f t="shared" ca="1" si="30"/>
        <v>48162.936118144265</v>
      </c>
      <c r="BM37" s="195">
        <f t="shared" ca="1" si="30"/>
        <v>48162.936118144215</v>
      </c>
      <c r="BN37" s="195">
        <f t="shared" ca="1" si="30"/>
        <v>48162.936118144062</v>
      </c>
    </row>
    <row r="38" spans="2:66">
      <c r="B38" s="174" t="s">
        <v>76</v>
      </c>
      <c r="C38" s="196" t="s">
        <v>161</v>
      </c>
      <c r="E38" s="198">
        <v>-23081</v>
      </c>
      <c r="F38" s="198">
        <v>-37073</v>
      </c>
      <c r="G38" s="89">
        <f ca="1">SUM(OFFSET($S$38,,(COLUMNS($E$38:G38)-1)*4,,4))</f>
        <v>-28000</v>
      </c>
      <c r="H38" s="89">
        <f ca="1">SUM(OFFSET($S$38,,(COLUMNS($E$38:H38)-1)*4,,4))</f>
        <v>-19228.879343117285</v>
      </c>
      <c r="I38" s="89">
        <f ca="1">SUM(OFFSET($S$38,,(COLUMNS($E$38:I38)-1)*4,,4))</f>
        <v>-19228.879343117285</v>
      </c>
      <c r="J38" s="89">
        <f ca="1">SUM(OFFSET($S$38,,(COLUMNS($E$38:J38)-1)*4,,4))</f>
        <v>-19007.220791611606</v>
      </c>
      <c r="K38" s="89">
        <f ca="1">SUM(OFFSET($S$38,,(COLUMNS($E$38:K38)-1)*4,,4))</f>
        <v>-18785.562240105923</v>
      </c>
      <c r="L38" s="89">
        <f ca="1">SUM(OFFSET($S$38,,(COLUMNS($E$38:L38)-1)*4,,4))</f>
        <v>-18563.903688600243</v>
      </c>
      <c r="M38" s="89">
        <f ca="1">SUM(OFFSET($S$38,,(COLUMNS($E$38:M38)-1)*4,,4))</f>
        <v>-18342.245137094556</v>
      </c>
      <c r="N38" s="89">
        <f ca="1">SUM(OFFSET($S$38,,(COLUMNS($E$38:N38)-1)*4,,4))</f>
        <v>-18120.586585588866</v>
      </c>
      <c r="O38" s="89">
        <f ca="1">SUM(OFFSET($S$38,,(COLUMNS($E$38:O38)-1)*4,,4))</f>
        <v>-17898.928034083187</v>
      </c>
      <c r="P38" s="89">
        <f ca="1">SUM(OFFSET($S$38,,(COLUMNS($E$38:P38)-1)*4,,4))</f>
        <v>-8838.6347412887626</v>
      </c>
      <c r="Q38" s="198"/>
      <c r="S38" s="255"/>
      <c r="T38" s="198">
        <v>0</v>
      </c>
      <c r="U38" s="198">
        <v>-486</v>
      </c>
      <c r="V38" s="198">
        <v>0</v>
      </c>
      <c r="W38" s="198">
        <v>-1123</v>
      </c>
      <c r="X38" s="198">
        <v>-2253</v>
      </c>
      <c r="Y38" s="198">
        <v>-2249</v>
      </c>
      <c r="Z38" s="198">
        <v>-3296</v>
      </c>
      <c r="AA38" s="198">
        <v>-5238</v>
      </c>
      <c r="AB38" s="198">
        <v>-7102</v>
      </c>
      <c r="AC38" s="198">
        <v>-5526</v>
      </c>
      <c r="AD38" s="89">
        <f>(28000+SUM(AA38:AC38))*-1</f>
        <v>-10134</v>
      </c>
      <c r="AE38" s="89">
        <f>-AE47*AE$19/10^3</f>
        <v>-4807.2198357793222</v>
      </c>
      <c r="AF38" s="89">
        <f t="shared" ref="AF38:BJ39" si="31">-AF47*AF$19/10^3</f>
        <v>-4807.2198357793213</v>
      </c>
      <c r="AG38" s="89">
        <f t="shared" si="31"/>
        <v>-4807.2198357793213</v>
      </c>
      <c r="AH38" s="89">
        <f t="shared" si="31"/>
        <v>-4807.2198357793213</v>
      </c>
      <c r="AI38" s="89">
        <f t="shared" si="31"/>
        <v>-4807.2198357793213</v>
      </c>
      <c r="AJ38" s="89">
        <f t="shared" si="31"/>
        <v>-4807.2198357793213</v>
      </c>
      <c r="AK38" s="89">
        <f t="shared" si="31"/>
        <v>-4807.2198357793213</v>
      </c>
      <c r="AL38" s="89">
        <f t="shared" si="31"/>
        <v>-4807.2198357793195</v>
      </c>
      <c r="AM38" s="89">
        <f t="shared" si="31"/>
        <v>-4751.8051979029015</v>
      </c>
      <c r="AN38" s="89">
        <f t="shared" si="31"/>
        <v>-4751.8051979029015</v>
      </c>
      <c r="AO38" s="89">
        <f t="shared" si="31"/>
        <v>-4751.8051979029015</v>
      </c>
      <c r="AP38" s="89">
        <f t="shared" si="31"/>
        <v>-4751.8051979029015</v>
      </c>
      <c r="AQ38" s="89">
        <f t="shared" si="31"/>
        <v>-4696.3905600264807</v>
      </c>
      <c r="AR38" s="89">
        <f t="shared" si="31"/>
        <v>-4696.3905600264807</v>
      </c>
      <c r="AS38" s="89">
        <f t="shared" si="31"/>
        <v>-4696.3905600264807</v>
      </c>
      <c r="AT38" s="89">
        <f t="shared" si="31"/>
        <v>-4696.3905600264798</v>
      </c>
      <c r="AU38" s="89">
        <f t="shared" si="31"/>
        <v>-4640.9759221500617</v>
      </c>
      <c r="AV38" s="89">
        <f t="shared" si="31"/>
        <v>-4640.9759221500617</v>
      </c>
      <c r="AW38" s="89">
        <f t="shared" si="31"/>
        <v>-4640.9759221500608</v>
      </c>
      <c r="AX38" s="89">
        <f t="shared" si="31"/>
        <v>-4640.9759221500608</v>
      </c>
      <c r="AY38" s="89">
        <f t="shared" si="31"/>
        <v>-4585.56128427364</v>
      </c>
      <c r="AZ38" s="89">
        <f t="shared" si="31"/>
        <v>-4585.5612842736391</v>
      </c>
      <c r="BA38" s="89">
        <f t="shared" si="31"/>
        <v>-4585.5612842736391</v>
      </c>
      <c r="BB38" s="89">
        <f t="shared" si="31"/>
        <v>-4585.5612842736382</v>
      </c>
      <c r="BC38" s="89">
        <f t="shared" si="31"/>
        <v>-4530.1466463972183</v>
      </c>
      <c r="BD38" s="89">
        <f t="shared" si="31"/>
        <v>-4530.1466463972174</v>
      </c>
      <c r="BE38" s="89">
        <f t="shared" si="31"/>
        <v>-4530.1466463972165</v>
      </c>
      <c r="BF38" s="89">
        <f t="shared" si="31"/>
        <v>-4530.1466463972138</v>
      </c>
      <c r="BG38" s="89">
        <f t="shared" si="31"/>
        <v>-4474.7320085207966</v>
      </c>
      <c r="BH38" s="89">
        <f t="shared" si="31"/>
        <v>-4474.7320085207994</v>
      </c>
      <c r="BI38" s="89">
        <f t="shared" si="31"/>
        <v>-4474.7320085207966</v>
      </c>
      <c r="BJ38" s="89">
        <f t="shared" si="31"/>
        <v>-4474.7320085207948</v>
      </c>
      <c r="BK38" s="89">
        <f t="shared" ref="BK38:BN39" si="32">-BK47*BK$19/10^3</f>
        <v>-4419.3173706443795</v>
      </c>
      <c r="BL38" s="89">
        <f t="shared" si="32"/>
        <v>-4419.317370644384</v>
      </c>
      <c r="BM38" s="89">
        <f t="shared" si="32"/>
        <v>0</v>
      </c>
      <c r="BN38" s="89">
        <f t="shared" si="32"/>
        <v>0</v>
      </c>
    </row>
    <row r="39" spans="2:66">
      <c r="B39" s="174" t="s">
        <v>182</v>
      </c>
      <c r="C39" s="196" t="s">
        <v>161</v>
      </c>
      <c r="E39" s="198">
        <v>-17287</v>
      </c>
      <c r="F39" s="198">
        <v>-19732</v>
      </c>
      <c r="G39" s="89">
        <f ca="1">SUM(OFFSET($S$39,,(COLUMNS($E$39:G39)-1)*4,,4))</f>
        <v>-40000</v>
      </c>
      <c r="H39" s="89">
        <f ca="1">SUM(OFFSET($S$39,,(COLUMNS($E$39:H39)-1)*4,,4))</f>
        <v>-20144.540264218107</v>
      </c>
      <c r="I39" s="89">
        <f ca="1">SUM(OFFSET($S$39,,(COLUMNS($E$39:I39)-1)*4,,4))</f>
        <v>-20144.540264218107</v>
      </c>
      <c r="J39" s="89">
        <f ca="1">SUM(OFFSET($S$39,,(COLUMNS($E$39:J39)-1)*4,,4))</f>
        <v>-16291.90353566709</v>
      </c>
      <c r="K39" s="89">
        <f ca="1">SUM(OFFSET($S$39,,(COLUMNS($E$39:K39)-1)*4,,4))</f>
        <v>0</v>
      </c>
      <c r="L39" s="89">
        <f ca="1">SUM(OFFSET($S$39,,(COLUMNS($E$39:L39)-1)*4,,4))</f>
        <v>0</v>
      </c>
      <c r="M39" s="89">
        <f ca="1">SUM(OFFSET($S$39,,(COLUMNS($E$39:M39)-1)*4,,4))</f>
        <v>0</v>
      </c>
      <c r="N39" s="89">
        <f ca="1">SUM(OFFSET($S$39,,(COLUMNS($E$39:N39)-1)*4,,4))</f>
        <v>0</v>
      </c>
      <c r="O39" s="89">
        <f ca="1">SUM(OFFSET($S$39,,(COLUMNS($E$39:O39)-1)*4,,4))</f>
        <v>0</v>
      </c>
      <c r="P39" s="89">
        <f ca="1">SUM(OFFSET($S$39,,(COLUMNS($E$39:P39)-1)*4,,4))</f>
        <v>0</v>
      </c>
      <c r="Q39" s="198"/>
      <c r="S39" s="167"/>
      <c r="T39" s="198">
        <v>0</v>
      </c>
      <c r="U39" s="198">
        <v>-117</v>
      </c>
      <c r="V39" s="198">
        <v>-1286</v>
      </c>
      <c r="W39" s="198">
        <v>-10947</v>
      </c>
      <c r="X39" s="198">
        <v>-10746</v>
      </c>
      <c r="Y39" s="198">
        <v>-3697</v>
      </c>
      <c r="Z39" s="198">
        <v>-11992</v>
      </c>
      <c r="AA39" s="198">
        <v>-12047</v>
      </c>
      <c r="AB39" s="198">
        <v>-8376</v>
      </c>
      <c r="AC39" s="198">
        <v>-3944</v>
      </c>
      <c r="AD39" s="89">
        <f>(40000+SUM(AA39:AC39))*-1</f>
        <v>-15633</v>
      </c>
      <c r="AE39" s="89">
        <f>-AE48*AE$19/10^3</f>
        <v>-5036.1350660545286</v>
      </c>
      <c r="AF39" s="89">
        <f t="shared" si="31"/>
        <v>-5036.1350660545268</v>
      </c>
      <c r="AG39" s="89">
        <f t="shared" si="31"/>
        <v>-5036.1350660545268</v>
      </c>
      <c r="AH39" s="89">
        <f t="shared" si="31"/>
        <v>-5036.1350660545268</v>
      </c>
      <c r="AI39" s="89">
        <f t="shared" si="31"/>
        <v>-5036.1350660545268</v>
      </c>
      <c r="AJ39" s="89">
        <f t="shared" si="31"/>
        <v>-5036.1350660545268</v>
      </c>
      <c r="AK39" s="89">
        <f t="shared" si="31"/>
        <v>-5036.1350660545268</v>
      </c>
      <c r="AL39" s="89">
        <f t="shared" si="31"/>
        <v>-5036.1350660545249</v>
      </c>
      <c r="AM39" s="89">
        <f t="shared" si="31"/>
        <v>-4072.9758839167725</v>
      </c>
      <c r="AN39" s="89">
        <f t="shared" si="31"/>
        <v>-4072.9758839167725</v>
      </c>
      <c r="AO39" s="89">
        <f t="shared" si="31"/>
        <v>-4072.9758839167725</v>
      </c>
      <c r="AP39" s="89">
        <f t="shared" si="31"/>
        <v>-4072.9758839167725</v>
      </c>
      <c r="AQ39" s="89">
        <f t="shared" si="31"/>
        <v>0</v>
      </c>
      <c r="AR39" s="89">
        <f t="shared" si="31"/>
        <v>0</v>
      </c>
      <c r="AS39" s="89">
        <f t="shared" si="31"/>
        <v>0</v>
      </c>
      <c r="AT39" s="89">
        <f t="shared" si="31"/>
        <v>0</v>
      </c>
      <c r="AU39" s="89">
        <f t="shared" si="31"/>
        <v>0</v>
      </c>
      <c r="AV39" s="89">
        <f t="shared" si="31"/>
        <v>0</v>
      </c>
      <c r="AW39" s="89">
        <f t="shared" si="31"/>
        <v>0</v>
      </c>
      <c r="AX39" s="89">
        <f t="shared" si="31"/>
        <v>0</v>
      </c>
      <c r="AY39" s="89">
        <f t="shared" si="31"/>
        <v>0</v>
      </c>
      <c r="AZ39" s="89">
        <f t="shared" si="31"/>
        <v>0</v>
      </c>
      <c r="BA39" s="89">
        <f t="shared" si="31"/>
        <v>0</v>
      </c>
      <c r="BB39" s="89">
        <f t="shared" si="31"/>
        <v>0</v>
      </c>
      <c r="BC39" s="89">
        <f t="shared" si="31"/>
        <v>0</v>
      </c>
      <c r="BD39" s="89">
        <f t="shared" si="31"/>
        <v>0</v>
      </c>
      <c r="BE39" s="89">
        <f t="shared" si="31"/>
        <v>0</v>
      </c>
      <c r="BF39" s="89">
        <f t="shared" si="31"/>
        <v>0</v>
      </c>
      <c r="BG39" s="89">
        <f t="shared" si="31"/>
        <v>0</v>
      </c>
      <c r="BH39" s="89">
        <f t="shared" si="31"/>
        <v>0</v>
      </c>
      <c r="BI39" s="89">
        <f t="shared" si="31"/>
        <v>0</v>
      </c>
      <c r="BJ39" s="89">
        <f t="shared" si="31"/>
        <v>0</v>
      </c>
      <c r="BK39" s="89">
        <f t="shared" si="32"/>
        <v>0</v>
      </c>
      <c r="BL39" s="89">
        <f t="shared" si="32"/>
        <v>0</v>
      </c>
      <c r="BM39" s="89">
        <f t="shared" si="32"/>
        <v>0</v>
      </c>
      <c r="BN39" s="89">
        <f t="shared" si="32"/>
        <v>0</v>
      </c>
    </row>
    <row r="40" spans="2:66">
      <c r="B40" s="164" t="s">
        <v>184</v>
      </c>
      <c r="C40" s="244" t="s">
        <v>161</v>
      </c>
      <c r="D40" s="188"/>
      <c r="E40" s="246">
        <f>SUM(E38:E39)</f>
        <v>-40368</v>
      </c>
      <c r="F40" s="246">
        <f>SUM(F38:F39)</f>
        <v>-56805</v>
      </c>
      <c r="G40" s="246">
        <f t="shared" ref="G40:O40" ca="1" si="33">SUM(G38:G39)</f>
        <v>-68000</v>
      </c>
      <c r="H40" s="246">
        <f t="shared" ca="1" si="33"/>
        <v>-39373.419607335396</v>
      </c>
      <c r="I40" s="246">
        <f t="shared" ca="1" si="33"/>
        <v>-39373.419607335396</v>
      </c>
      <c r="J40" s="246">
        <f t="shared" ca="1" si="33"/>
        <v>-35299.124327278696</v>
      </c>
      <c r="K40" s="246">
        <f t="shared" ca="1" si="33"/>
        <v>-18785.562240105923</v>
      </c>
      <c r="L40" s="246">
        <f t="shared" ca="1" si="33"/>
        <v>-18563.903688600243</v>
      </c>
      <c r="M40" s="246">
        <f t="shared" ca="1" si="33"/>
        <v>-18342.245137094556</v>
      </c>
      <c r="N40" s="246">
        <f t="shared" ca="1" si="33"/>
        <v>-18120.586585588866</v>
      </c>
      <c r="O40" s="246">
        <f t="shared" ca="1" si="33"/>
        <v>-17898.928034083187</v>
      </c>
      <c r="P40" s="246">
        <f ca="1">SUM(P38:P39)</f>
        <v>-8838.6347412887626</v>
      </c>
      <c r="Q40" s="246"/>
      <c r="S40" s="167"/>
      <c r="T40" s="246">
        <f t="shared" ref="T40:AE40" si="34">SUM(T38:T39)</f>
        <v>0</v>
      </c>
      <c r="U40" s="246">
        <f t="shared" si="34"/>
        <v>-603</v>
      </c>
      <c r="V40" s="246">
        <f t="shared" si="34"/>
        <v>-1286</v>
      </c>
      <c r="W40" s="246">
        <f t="shared" si="34"/>
        <v>-12070</v>
      </c>
      <c r="X40" s="246">
        <f t="shared" si="34"/>
        <v>-12999</v>
      </c>
      <c r="Y40" s="246">
        <f t="shared" si="34"/>
        <v>-5946</v>
      </c>
      <c r="Z40" s="254">
        <f t="shared" si="34"/>
        <v>-15288</v>
      </c>
      <c r="AA40" s="254">
        <f t="shared" si="34"/>
        <v>-17285</v>
      </c>
      <c r="AB40" s="254">
        <f t="shared" si="34"/>
        <v>-15478</v>
      </c>
      <c r="AC40" s="254">
        <f t="shared" si="34"/>
        <v>-9470</v>
      </c>
      <c r="AD40" s="254">
        <f t="shared" si="34"/>
        <v>-25767</v>
      </c>
      <c r="AE40" s="254">
        <f t="shared" si="34"/>
        <v>-9843.3549018338508</v>
      </c>
      <c r="AF40" s="254">
        <f t="shared" ref="AF40:BJ40" si="35">SUM(AF38:AF39)</f>
        <v>-9843.354901833849</v>
      </c>
      <c r="AG40" s="254">
        <f t="shared" si="35"/>
        <v>-9843.354901833849</v>
      </c>
      <c r="AH40" s="254">
        <f t="shared" si="35"/>
        <v>-9843.354901833849</v>
      </c>
      <c r="AI40" s="254">
        <f t="shared" si="35"/>
        <v>-9843.354901833849</v>
      </c>
      <c r="AJ40" s="254">
        <f t="shared" si="35"/>
        <v>-9843.354901833849</v>
      </c>
      <c r="AK40" s="254">
        <f t="shared" si="35"/>
        <v>-9843.354901833849</v>
      </c>
      <c r="AL40" s="254">
        <f t="shared" si="35"/>
        <v>-9843.3549018338454</v>
      </c>
      <c r="AM40" s="254">
        <f t="shared" si="35"/>
        <v>-8824.781081819674</v>
      </c>
      <c r="AN40" s="254">
        <f t="shared" si="35"/>
        <v>-8824.781081819674</v>
      </c>
      <c r="AO40" s="254">
        <f t="shared" si="35"/>
        <v>-8824.781081819674</v>
      </c>
      <c r="AP40" s="254">
        <f t="shared" si="35"/>
        <v>-8824.781081819674</v>
      </c>
      <c r="AQ40" s="254">
        <f t="shared" si="35"/>
        <v>-4696.3905600264807</v>
      </c>
      <c r="AR40" s="254">
        <f t="shared" si="35"/>
        <v>-4696.3905600264807</v>
      </c>
      <c r="AS40" s="254">
        <f t="shared" si="35"/>
        <v>-4696.3905600264807</v>
      </c>
      <c r="AT40" s="254">
        <f t="shared" si="35"/>
        <v>-4696.3905600264798</v>
      </c>
      <c r="AU40" s="254">
        <f t="shared" si="35"/>
        <v>-4640.9759221500617</v>
      </c>
      <c r="AV40" s="254">
        <f t="shared" si="35"/>
        <v>-4640.9759221500617</v>
      </c>
      <c r="AW40" s="254">
        <f t="shared" si="35"/>
        <v>-4640.9759221500608</v>
      </c>
      <c r="AX40" s="254">
        <f t="shared" si="35"/>
        <v>-4640.9759221500608</v>
      </c>
      <c r="AY40" s="254">
        <f t="shared" si="35"/>
        <v>-4585.56128427364</v>
      </c>
      <c r="AZ40" s="254">
        <f t="shared" si="35"/>
        <v>-4585.5612842736391</v>
      </c>
      <c r="BA40" s="254">
        <f t="shared" si="35"/>
        <v>-4585.5612842736391</v>
      </c>
      <c r="BB40" s="254">
        <f t="shared" si="35"/>
        <v>-4585.5612842736382</v>
      </c>
      <c r="BC40" s="254">
        <f t="shared" si="35"/>
        <v>-4530.1466463972183</v>
      </c>
      <c r="BD40" s="254">
        <f t="shared" si="35"/>
        <v>-4530.1466463972174</v>
      </c>
      <c r="BE40" s="254">
        <f t="shared" si="35"/>
        <v>-4530.1466463972165</v>
      </c>
      <c r="BF40" s="254">
        <f t="shared" si="35"/>
        <v>-4530.1466463972138</v>
      </c>
      <c r="BG40" s="254">
        <f t="shared" si="35"/>
        <v>-4474.7320085207966</v>
      </c>
      <c r="BH40" s="254">
        <f t="shared" si="35"/>
        <v>-4474.7320085207994</v>
      </c>
      <c r="BI40" s="254">
        <f t="shared" si="35"/>
        <v>-4474.7320085207966</v>
      </c>
      <c r="BJ40" s="254">
        <f t="shared" si="35"/>
        <v>-4474.7320085207948</v>
      </c>
      <c r="BK40" s="254">
        <f>SUM(BK38:BK39)</f>
        <v>-4419.3173706443795</v>
      </c>
      <c r="BL40" s="254">
        <f>SUM(BL38:BL39)</f>
        <v>-4419.317370644384</v>
      </c>
      <c r="BM40" s="254">
        <f>SUM(BM38:BM39)</f>
        <v>0</v>
      </c>
      <c r="BN40" s="254">
        <f>SUM(BN38:BN39)</f>
        <v>0</v>
      </c>
    </row>
    <row r="41" spans="2:66">
      <c r="B41" s="247" t="s">
        <v>183</v>
      </c>
      <c r="C41" s="248" t="s">
        <v>161</v>
      </c>
      <c r="D41" s="249"/>
      <c r="E41" s="250">
        <f ca="1">E35+E38</f>
        <v>-137174</v>
      </c>
      <c r="F41" s="250">
        <f t="shared" ref="F41:O41" ca="1" si="36">F35+F38</f>
        <v>-196233</v>
      </c>
      <c r="G41" s="250">
        <f t="shared" ca="1" si="36"/>
        <v>-231935.74109189431</v>
      </c>
      <c r="H41" s="250">
        <f t="shared" ca="1" si="36"/>
        <v>-181129.05080493938</v>
      </c>
      <c r="I41" s="250">
        <f t="shared" ca="1" si="36"/>
        <v>-176161.97980308841</v>
      </c>
      <c r="J41" s="250">
        <f t="shared" ca="1" si="36"/>
        <v>-166229.48272807928</v>
      </c>
      <c r="K41" s="250">
        <f t="shared" ca="1" si="36"/>
        <v>-158421.23158008652</v>
      </c>
      <c r="L41" s="250">
        <f t="shared" ca="1" si="36"/>
        <v>-148832.27832076731</v>
      </c>
      <c r="M41" s="250">
        <f t="shared" ca="1" si="36"/>
        <v>-147007.41529604161</v>
      </c>
      <c r="N41" s="250">
        <f t="shared" ca="1" si="36"/>
        <v>-145182.55227131592</v>
      </c>
      <c r="O41" s="250">
        <f t="shared" ca="1" si="36"/>
        <v>-143357.68924659034</v>
      </c>
      <c r="P41" s="250">
        <f ca="1">P35+P38</f>
        <v>-132694.19148057592</v>
      </c>
      <c r="Q41" s="250"/>
      <c r="S41" s="254"/>
      <c r="T41" s="89">
        <f t="shared" ref="T41:AD41" si="37">T35+T38</f>
        <v>-30007</v>
      </c>
      <c r="U41" s="89">
        <f t="shared" si="37"/>
        <v>-41027</v>
      </c>
      <c r="V41" s="89">
        <f t="shared" si="37"/>
        <v>-43545</v>
      </c>
      <c r="W41" s="89">
        <f t="shared" si="37"/>
        <v>-40896</v>
      </c>
      <c r="X41" s="89">
        <f t="shared" si="37"/>
        <v>-36628</v>
      </c>
      <c r="Y41" s="89">
        <f t="shared" si="37"/>
        <v>-36818</v>
      </c>
      <c r="Z41" s="250">
        <f t="shared" si="37"/>
        <v>-53739</v>
      </c>
      <c r="AA41" s="250">
        <f t="shared" si="37"/>
        <v>-58511</v>
      </c>
      <c r="AB41" s="250">
        <f t="shared" si="37"/>
        <v>-67169</v>
      </c>
      <c r="AC41" s="250">
        <f t="shared" si="37"/>
        <v>-58022</v>
      </c>
      <c r="AD41" s="250">
        <f t="shared" si="37"/>
        <v>-48233.741091894306</v>
      </c>
      <c r="AE41" s="250">
        <f t="shared" ref="AE41:BJ41" ca="1" si="38">AE35+AE38</f>
        <v>-44537.20205095721</v>
      </c>
      <c r="AF41" s="250">
        <f t="shared" ca="1" si="38"/>
        <v>-45530.616251327388</v>
      </c>
      <c r="AG41" s="250">
        <f t="shared" ca="1" si="38"/>
        <v>-45530.616251327388</v>
      </c>
      <c r="AH41" s="250">
        <f t="shared" ca="1" si="38"/>
        <v>-45530.616251327388</v>
      </c>
      <c r="AI41" s="250">
        <f t="shared" ca="1" si="38"/>
        <v>-44537.202050957203</v>
      </c>
      <c r="AJ41" s="250">
        <f t="shared" ca="1" si="38"/>
        <v>-44537.202050957203</v>
      </c>
      <c r="AK41" s="250">
        <f t="shared" ca="1" si="38"/>
        <v>-43543.78785058701</v>
      </c>
      <c r="AL41" s="250">
        <f t="shared" ca="1" si="38"/>
        <v>-43543.787850586996</v>
      </c>
      <c r="AM41" s="250">
        <f t="shared" ca="1" si="38"/>
        <v>-42048.352051943417</v>
      </c>
      <c r="AN41" s="250">
        <f t="shared" ca="1" si="38"/>
        <v>-42048.352051943417</v>
      </c>
      <c r="AO41" s="250">
        <f t="shared" ca="1" si="38"/>
        <v>-41066.389312096224</v>
      </c>
      <c r="AP41" s="250">
        <f t="shared" ca="1" si="38"/>
        <v>-41066.389312096224</v>
      </c>
      <c r="AQ41" s="250">
        <f t="shared" ca="1" si="38"/>
        <v>-39605.30789502163</v>
      </c>
      <c r="AR41" s="250">
        <f t="shared" ca="1" si="38"/>
        <v>-39605.30789502163</v>
      </c>
      <c r="AS41" s="250">
        <f t="shared" ca="1" si="38"/>
        <v>-39605.30789502163</v>
      </c>
      <c r="AT41" s="250">
        <f t="shared" ca="1" si="38"/>
        <v>-39605.307895021608</v>
      </c>
      <c r="AU41" s="250">
        <f t="shared" ca="1" si="38"/>
        <v>-37208.069580191834</v>
      </c>
      <c r="AV41" s="250">
        <f t="shared" ca="1" si="38"/>
        <v>-37208.069580191834</v>
      </c>
      <c r="AW41" s="250">
        <f t="shared" ca="1" si="38"/>
        <v>-37208.069580191819</v>
      </c>
      <c r="AX41" s="250">
        <f t="shared" ca="1" si="38"/>
        <v>-37208.069580191819</v>
      </c>
      <c r="AY41" s="250">
        <f t="shared" ca="1" si="38"/>
        <v>-36751.85382401041</v>
      </c>
      <c r="AZ41" s="250">
        <f t="shared" ca="1" si="38"/>
        <v>-36751.853824010403</v>
      </c>
      <c r="BA41" s="250">
        <f t="shared" ca="1" si="38"/>
        <v>-36751.853824010403</v>
      </c>
      <c r="BB41" s="250">
        <f t="shared" ca="1" si="38"/>
        <v>-36751.853824010395</v>
      </c>
      <c r="BC41" s="250">
        <f t="shared" ca="1" si="38"/>
        <v>-36295.638067828993</v>
      </c>
      <c r="BD41" s="250">
        <f t="shared" ca="1" si="38"/>
        <v>-36295.638067828986</v>
      </c>
      <c r="BE41" s="250">
        <f t="shared" ca="1" si="38"/>
        <v>-36295.638067828979</v>
      </c>
      <c r="BF41" s="250">
        <f t="shared" ca="1" si="38"/>
        <v>-36295.638067828957</v>
      </c>
      <c r="BG41" s="250">
        <f t="shared" ca="1" si="38"/>
        <v>-35839.422311647577</v>
      </c>
      <c r="BH41" s="250">
        <f t="shared" ca="1" si="38"/>
        <v>-35839.422311647599</v>
      </c>
      <c r="BI41" s="250">
        <f t="shared" ca="1" si="38"/>
        <v>-35839.422311647577</v>
      </c>
      <c r="BJ41" s="250">
        <f t="shared" ca="1" si="38"/>
        <v>-35839.42231164757</v>
      </c>
      <c r="BK41" s="250">
        <f ca="1">BK35+BK38</f>
        <v>-35383.206555466182</v>
      </c>
      <c r="BL41" s="250">
        <f ca="1">BL35+BL38</f>
        <v>-35383.206555466226</v>
      </c>
      <c r="BM41" s="250">
        <f ca="1">BM35+BM38</f>
        <v>-30963.889184821805</v>
      </c>
      <c r="BN41" s="250">
        <f ca="1">BN35+BN38</f>
        <v>-30963.889184821695</v>
      </c>
    </row>
    <row r="42" spans="2:66">
      <c r="B42" s="251" t="s">
        <v>185</v>
      </c>
      <c r="C42" s="248" t="s">
        <v>161</v>
      </c>
      <c r="D42" s="249"/>
      <c r="E42" s="250">
        <f ca="1">E41+E39</f>
        <v>-154461</v>
      </c>
      <c r="F42" s="250">
        <f t="shared" ref="F42:O42" ca="1" si="39">F41+F39</f>
        <v>-215965</v>
      </c>
      <c r="G42" s="250">
        <f t="shared" ca="1" si="39"/>
        <v>-271935.74109189434</v>
      </c>
      <c r="H42" s="250">
        <f t="shared" ca="1" si="39"/>
        <v>-201273.5910691575</v>
      </c>
      <c r="I42" s="250">
        <f t="shared" ca="1" si="39"/>
        <v>-196306.52006730653</v>
      </c>
      <c r="J42" s="250">
        <f t="shared" ca="1" si="39"/>
        <v>-182521.38626374636</v>
      </c>
      <c r="K42" s="250">
        <f t="shared" ca="1" si="39"/>
        <v>-158421.23158008652</v>
      </c>
      <c r="L42" s="250">
        <f t="shared" ca="1" si="39"/>
        <v>-148832.27832076731</v>
      </c>
      <c r="M42" s="250">
        <f t="shared" ca="1" si="39"/>
        <v>-147007.41529604161</v>
      </c>
      <c r="N42" s="250">
        <f t="shared" ca="1" si="39"/>
        <v>-145182.55227131592</v>
      </c>
      <c r="O42" s="250">
        <f t="shared" ca="1" si="39"/>
        <v>-143357.68924659034</v>
      </c>
      <c r="P42" s="250">
        <f ca="1">P41+P39</f>
        <v>-132694.19148057592</v>
      </c>
      <c r="Q42" s="250"/>
      <c r="S42" s="254"/>
      <c r="T42" s="250">
        <f t="shared" ref="T42:AD42" si="40">T41+T39</f>
        <v>-30007</v>
      </c>
      <c r="U42" s="250">
        <f t="shared" si="40"/>
        <v>-41144</v>
      </c>
      <c r="V42" s="250">
        <f t="shared" si="40"/>
        <v>-44831</v>
      </c>
      <c r="W42" s="250">
        <f t="shared" si="40"/>
        <v>-51843</v>
      </c>
      <c r="X42" s="250">
        <f t="shared" si="40"/>
        <v>-47374</v>
      </c>
      <c r="Y42" s="250">
        <f t="shared" si="40"/>
        <v>-40515</v>
      </c>
      <c r="Z42" s="250">
        <f t="shared" si="40"/>
        <v>-65731</v>
      </c>
      <c r="AA42" s="250">
        <f t="shared" si="40"/>
        <v>-70558</v>
      </c>
      <c r="AB42" s="250">
        <f t="shared" si="40"/>
        <v>-75545</v>
      </c>
      <c r="AC42" s="250">
        <f t="shared" si="40"/>
        <v>-61966</v>
      </c>
      <c r="AD42" s="250">
        <f t="shared" si="40"/>
        <v>-63866.741091894306</v>
      </c>
      <c r="AE42" s="250">
        <f t="shared" ref="AE42:BJ42" ca="1" si="41">AE41+AE39</f>
        <v>-49573.337117011739</v>
      </c>
      <c r="AF42" s="250">
        <f t="shared" ca="1" si="41"/>
        <v>-50566.751317381917</v>
      </c>
      <c r="AG42" s="250">
        <f t="shared" ca="1" si="41"/>
        <v>-50566.751317381917</v>
      </c>
      <c r="AH42" s="250">
        <f t="shared" ca="1" si="41"/>
        <v>-50566.751317381917</v>
      </c>
      <c r="AI42" s="250">
        <f t="shared" ca="1" si="41"/>
        <v>-49573.337117011732</v>
      </c>
      <c r="AJ42" s="250">
        <f t="shared" ca="1" si="41"/>
        <v>-49573.337117011732</v>
      </c>
      <c r="AK42" s="250">
        <f t="shared" ca="1" si="41"/>
        <v>-48579.922916641539</v>
      </c>
      <c r="AL42" s="250">
        <f t="shared" ca="1" si="41"/>
        <v>-48579.922916641517</v>
      </c>
      <c r="AM42" s="250">
        <f t="shared" ca="1" si="41"/>
        <v>-46121.327935860187</v>
      </c>
      <c r="AN42" s="250">
        <f t="shared" ca="1" si="41"/>
        <v>-46121.327935860187</v>
      </c>
      <c r="AO42" s="250">
        <f t="shared" ca="1" si="41"/>
        <v>-45139.365196012994</v>
      </c>
      <c r="AP42" s="250">
        <f t="shared" ca="1" si="41"/>
        <v>-45139.365196012994</v>
      </c>
      <c r="AQ42" s="250">
        <f t="shared" ca="1" si="41"/>
        <v>-39605.30789502163</v>
      </c>
      <c r="AR42" s="250">
        <f t="shared" ca="1" si="41"/>
        <v>-39605.30789502163</v>
      </c>
      <c r="AS42" s="250">
        <f t="shared" ca="1" si="41"/>
        <v>-39605.30789502163</v>
      </c>
      <c r="AT42" s="250">
        <f t="shared" ca="1" si="41"/>
        <v>-39605.307895021608</v>
      </c>
      <c r="AU42" s="250">
        <f t="shared" ca="1" si="41"/>
        <v>-37208.069580191834</v>
      </c>
      <c r="AV42" s="250">
        <f t="shared" ca="1" si="41"/>
        <v>-37208.069580191834</v>
      </c>
      <c r="AW42" s="250">
        <f t="shared" ca="1" si="41"/>
        <v>-37208.069580191819</v>
      </c>
      <c r="AX42" s="250">
        <f t="shared" ca="1" si="41"/>
        <v>-37208.069580191819</v>
      </c>
      <c r="AY42" s="250">
        <f t="shared" ca="1" si="41"/>
        <v>-36751.85382401041</v>
      </c>
      <c r="AZ42" s="250">
        <f t="shared" ca="1" si="41"/>
        <v>-36751.853824010403</v>
      </c>
      <c r="BA42" s="250">
        <f t="shared" ca="1" si="41"/>
        <v>-36751.853824010403</v>
      </c>
      <c r="BB42" s="250">
        <f t="shared" ca="1" si="41"/>
        <v>-36751.853824010395</v>
      </c>
      <c r="BC42" s="250">
        <f t="shared" ca="1" si="41"/>
        <v>-36295.638067828993</v>
      </c>
      <c r="BD42" s="250">
        <f t="shared" ca="1" si="41"/>
        <v>-36295.638067828986</v>
      </c>
      <c r="BE42" s="250">
        <f t="shared" ca="1" si="41"/>
        <v>-36295.638067828979</v>
      </c>
      <c r="BF42" s="250">
        <f t="shared" ca="1" si="41"/>
        <v>-36295.638067828957</v>
      </c>
      <c r="BG42" s="250">
        <f t="shared" ca="1" si="41"/>
        <v>-35839.422311647577</v>
      </c>
      <c r="BH42" s="250">
        <f t="shared" ca="1" si="41"/>
        <v>-35839.422311647599</v>
      </c>
      <c r="BI42" s="250">
        <f t="shared" ca="1" si="41"/>
        <v>-35839.422311647577</v>
      </c>
      <c r="BJ42" s="250">
        <f t="shared" ca="1" si="41"/>
        <v>-35839.42231164757</v>
      </c>
      <c r="BK42" s="250">
        <f ca="1">BK41+BK39</f>
        <v>-35383.206555466182</v>
      </c>
      <c r="BL42" s="250">
        <f ca="1">BL41+BL39</f>
        <v>-35383.206555466226</v>
      </c>
      <c r="BM42" s="250">
        <f ca="1">BM41+BM39</f>
        <v>-30963.889184821805</v>
      </c>
      <c r="BN42" s="250">
        <f ca="1">BN41+BN39</f>
        <v>-30963.889184821695</v>
      </c>
    </row>
    <row r="43" spans="2:66">
      <c r="B43" s="251" t="s">
        <v>186</v>
      </c>
      <c r="C43" s="247" t="s">
        <v>187</v>
      </c>
      <c r="D43" s="249"/>
      <c r="E43" s="195">
        <f t="shared" ref="E43:P43" ca="1" si="42">-E35/E22*1000</f>
        <v>501.97105020018472</v>
      </c>
      <c r="F43" s="195">
        <f t="shared" ca="1" si="42"/>
        <v>575.18909757181734</v>
      </c>
      <c r="G43" s="195">
        <f t="shared" ca="1" si="42"/>
        <v>791.53452658973583</v>
      </c>
      <c r="H43" s="195">
        <f t="shared" ca="1" si="42"/>
        <v>884.06181661210883</v>
      </c>
      <c r="I43" s="195">
        <f t="shared" ca="1" si="42"/>
        <v>856.93894346448405</v>
      </c>
      <c r="J43" s="195">
        <f t="shared" ca="1" si="42"/>
        <v>813.28762751844715</v>
      </c>
      <c r="K43" s="195">
        <f t="shared" ca="1" si="42"/>
        <v>780.47944976574149</v>
      </c>
      <c r="L43" s="195">
        <f t="shared" ca="1" si="42"/>
        <v>736.81589636650961</v>
      </c>
      <c r="M43" s="195">
        <f t="shared" ca="1" si="42"/>
        <v>736.54248788594168</v>
      </c>
      <c r="N43" s="195">
        <f t="shared" ca="1" si="42"/>
        <v>736.26239051288303</v>
      </c>
      <c r="O43" s="195">
        <f t="shared" ca="1" si="42"/>
        <v>735.97535574358778</v>
      </c>
      <c r="P43" s="195">
        <f t="shared" ca="1" si="42"/>
        <v>735.68112261017188</v>
      </c>
      <c r="Q43" s="195"/>
      <c r="S43" s="254"/>
      <c r="T43" s="195">
        <f>-T35/T22*1000</f>
        <v>484.06975431124874</v>
      </c>
      <c r="U43" s="195">
        <f>-U35/U22*1000</f>
        <v>620.32928359396522</v>
      </c>
      <c r="V43" s="195">
        <f>-V35/V22*1000</f>
        <v>773.62446035496646</v>
      </c>
      <c r="W43" s="195">
        <f>-W35/W22*1000</f>
        <v>626.20839499952763</v>
      </c>
      <c r="X43" s="195">
        <f>-X35/X22*1000</f>
        <v>744.91830277813892</v>
      </c>
      <c r="Y43" s="195">
        <f t="shared" ref="Y43:AD43" si="43">-Y35/Y22*1000</f>
        <v>728.105648932137</v>
      </c>
      <c r="Z43" s="195">
        <f t="shared" si="43"/>
        <v>989.40823411725478</v>
      </c>
      <c r="AA43" s="195">
        <f t="shared" si="43"/>
        <v>715.23703395405653</v>
      </c>
      <c r="AB43" s="195">
        <f t="shared" si="43"/>
        <v>720.42649651582565</v>
      </c>
      <c r="AC43" s="195">
        <f t="shared" si="43"/>
        <v>827.973439742599</v>
      </c>
      <c r="AD43" s="195">
        <f t="shared" si="43"/>
        <v>832.18012724819891</v>
      </c>
      <c r="AE43" s="195">
        <f ca="1">-AE35/AE22*1000</f>
        <v>867.78809272353385</v>
      </c>
      <c r="AF43" s="195">
        <f ca="1">-AF35/AF22*1000</f>
        <v>889.48639124163367</v>
      </c>
      <c r="AG43" s="195">
        <f ca="1">-AG35/AG22*1000</f>
        <v>889.48639124163367</v>
      </c>
      <c r="AH43" s="195">
        <f ca="1">-AH35/AH22*1000</f>
        <v>889.48639124163367</v>
      </c>
      <c r="AI43" s="195">
        <f t="shared" ref="AI43:BJ43" ca="1" si="44">-AI35/AI22*1000</f>
        <v>867.78809272353396</v>
      </c>
      <c r="AJ43" s="195">
        <f t="shared" ca="1" si="44"/>
        <v>867.78809272353396</v>
      </c>
      <c r="AK43" s="195">
        <f t="shared" ca="1" si="44"/>
        <v>846.08979420543426</v>
      </c>
      <c r="AL43" s="195">
        <f t="shared" ca="1" si="44"/>
        <v>846.08979420543437</v>
      </c>
      <c r="AM43" s="195">
        <f t="shared" ca="1" si="44"/>
        <v>824.13677677749706</v>
      </c>
      <c r="AN43" s="195">
        <f t="shared" ca="1" si="44"/>
        <v>824.13677677749706</v>
      </c>
      <c r="AO43" s="195">
        <f t="shared" ca="1" si="44"/>
        <v>802.43847825939724</v>
      </c>
      <c r="AP43" s="195">
        <f t="shared" ca="1" si="44"/>
        <v>802.43847825939724</v>
      </c>
      <c r="AQ43" s="195">
        <f t="shared" ca="1" si="44"/>
        <v>780.47944976574149</v>
      </c>
      <c r="AR43" s="195">
        <f t="shared" ca="1" si="44"/>
        <v>780.47944976574149</v>
      </c>
      <c r="AS43" s="195">
        <f t="shared" ca="1" si="44"/>
        <v>780.47944976574149</v>
      </c>
      <c r="AT43" s="195">
        <f t="shared" ca="1" si="44"/>
        <v>780.47944976574126</v>
      </c>
      <c r="AU43" s="195">
        <f t="shared" ca="1" si="44"/>
        <v>736.81589636650961</v>
      </c>
      <c r="AV43" s="195">
        <f t="shared" ca="1" si="44"/>
        <v>736.81589636650961</v>
      </c>
      <c r="AW43" s="195">
        <f t="shared" ca="1" si="44"/>
        <v>736.81589636650949</v>
      </c>
      <c r="AX43" s="195">
        <f t="shared" ca="1" si="44"/>
        <v>736.81589636650949</v>
      </c>
      <c r="AY43" s="195">
        <f t="shared" ca="1" si="44"/>
        <v>736.54248788594168</v>
      </c>
      <c r="AZ43" s="195">
        <f t="shared" ca="1" si="44"/>
        <v>736.54248788594168</v>
      </c>
      <c r="BA43" s="195">
        <f t="shared" ca="1" si="44"/>
        <v>736.54248788594168</v>
      </c>
      <c r="BB43" s="195">
        <f t="shared" ca="1" si="44"/>
        <v>736.5424878859418</v>
      </c>
      <c r="BC43" s="195">
        <f t="shared" ca="1" si="44"/>
        <v>736.26239051288314</v>
      </c>
      <c r="BD43" s="195">
        <f t="shared" ca="1" si="44"/>
        <v>736.26239051288314</v>
      </c>
      <c r="BE43" s="195">
        <f t="shared" ca="1" si="44"/>
        <v>736.26239051288314</v>
      </c>
      <c r="BF43" s="195">
        <f t="shared" ca="1" si="44"/>
        <v>736.26239051288314</v>
      </c>
      <c r="BG43" s="195">
        <f t="shared" ca="1" si="44"/>
        <v>735.97535574358767</v>
      </c>
      <c r="BH43" s="195">
        <f t="shared" ca="1" si="44"/>
        <v>735.97535574358767</v>
      </c>
      <c r="BI43" s="195">
        <f t="shared" ca="1" si="44"/>
        <v>735.97535574358767</v>
      </c>
      <c r="BJ43" s="195">
        <f t="shared" ca="1" si="44"/>
        <v>735.97535574358778</v>
      </c>
      <c r="BK43" s="195">
        <f ca="1">-BK35/BK22*1000</f>
        <v>735.68112261017166</v>
      </c>
      <c r="BL43" s="195">
        <f ca="1">-BL35/BL22*1000</f>
        <v>735.68112261017188</v>
      </c>
      <c r="BM43" s="195">
        <f ca="1">-BM35/BM22*1000</f>
        <v>735.68112261017166</v>
      </c>
      <c r="BN43" s="195">
        <f ca="1">-BN35/BN22*1000</f>
        <v>735.68112261017166</v>
      </c>
    </row>
    <row r="44" spans="2:66">
      <c r="B44" s="251" t="s">
        <v>188</v>
      </c>
      <c r="C44" s="247" t="s">
        <v>187</v>
      </c>
      <c r="D44" s="249"/>
      <c r="E44" s="195">
        <f ca="1">-E41/E22*1000</f>
        <v>603.51973250032995</v>
      </c>
      <c r="F44" s="195">
        <f ca="1">-F41/F22*1000</f>
        <v>709.16739245922611</v>
      </c>
      <c r="G44" s="195">
        <f ca="1">-G41/G22*1000</f>
        <v>900.21075286498149</v>
      </c>
      <c r="H44" s="195">
        <f t="shared" ref="H44:O44" ca="1" si="45">-H41/H22*1000</f>
        <v>989.06181661210894</v>
      </c>
      <c r="I44" s="195">
        <f t="shared" ca="1" si="45"/>
        <v>961.93894346448417</v>
      </c>
      <c r="J44" s="195">
        <f t="shared" ca="1" si="45"/>
        <v>918.28762751844727</v>
      </c>
      <c r="K44" s="195">
        <f t="shared" ca="1" si="45"/>
        <v>885.47944976574161</v>
      </c>
      <c r="L44" s="195">
        <f t="shared" ca="1" si="45"/>
        <v>841.81589636650961</v>
      </c>
      <c r="M44" s="195">
        <f t="shared" ca="1" si="45"/>
        <v>841.54248788594168</v>
      </c>
      <c r="N44" s="195">
        <f t="shared" ca="1" si="45"/>
        <v>841.26239051288303</v>
      </c>
      <c r="O44" s="195">
        <f t="shared" ca="1" si="45"/>
        <v>840.97535574358767</v>
      </c>
      <c r="P44" s="195">
        <f ca="1">-P41/P22*1000</f>
        <v>788.18112261017188</v>
      </c>
      <c r="Q44" s="195"/>
      <c r="S44" s="167"/>
      <c r="T44" s="195">
        <f>-T41/T22*1000</f>
        <v>484.06975431124874</v>
      </c>
      <c r="U44" s="195">
        <f>-U41/U22*1000</f>
        <v>627.76570676622703</v>
      </c>
      <c r="V44" s="195">
        <f>-V41/V22*1000</f>
        <v>773.62446035496646</v>
      </c>
      <c r="W44" s="195">
        <f>-W41/W22*1000</f>
        <v>643.88953616525487</v>
      </c>
      <c r="X44" s="195">
        <f>-X41/X22*1000</f>
        <v>793.7416027391323</v>
      </c>
      <c r="Y44" s="195">
        <f t="shared" ref="Y44:AD44" si="46">-Y41/Y22*1000</f>
        <v>775.47495682210706</v>
      </c>
      <c r="Z44" s="195">
        <f>-Z41/Z22*1000</f>
        <v>1054.0572347645293</v>
      </c>
      <c r="AA44" s="195">
        <f t="shared" si="46"/>
        <v>785.56180604970257</v>
      </c>
      <c r="AB44" s="195">
        <f t="shared" si="46"/>
        <v>805.60586252803535</v>
      </c>
      <c r="AC44" s="195">
        <f t="shared" si="46"/>
        <v>915.13019888648807</v>
      </c>
      <c r="AD44" s="195">
        <f t="shared" si="46"/>
        <v>1053.528440067244</v>
      </c>
      <c r="AE44" s="195">
        <f ca="1">-AE41/AE22*1000</f>
        <v>972.78809272353396</v>
      </c>
      <c r="AF44" s="195">
        <f ca="1">-AF41/AF22*1000</f>
        <v>994.48639124163378</v>
      </c>
      <c r="AG44" s="195">
        <f ca="1">-AG41/AG22*1000</f>
        <v>994.48639124163378</v>
      </c>
      <c r="AH44" s="195">
        <f ca="1">-AH41/AH22*1000</f>
        <v>994.48639124163378</v>
      </c>
      <c r="AI44" s="195">
        <f t="shared" ref="AI44:BJ44" ca="1" si="47">-AI41/AI22*1000</f>
        <v>972.78809272353408</v>
      </c>
      <c r="AJ44" s="195">
        <f t="shared" ca="1" si="47"/>
        <v>972.78809272353408</v>
      </c>
      <c r="AK44" s="195">
        <f t="shared" ca="1" si="47"/>
        <v>951.08979420543426</v>
      </c>
      <c r="AL44" s="195">
        <f t="shared" ca="1" si="47"/>
        <v>951.08979420543426</v>
      </c>
      <c r="AM44" s="195">
        <f t="shared" ca="1" si="47"/>
        <v>929.13677677749718</v>
      </c>
      <c r="AN44" s="195">
        <f t="shared" ca="1" si="47"/>
        <v>929.13677677749718</v>
      </c>
      <c r="AO44" s="195">
        <f t="shared" ca="1" si="47"/>
        <v>907.43847825939736</v>
      </c>
      <c r="AP44" s="195">
        <f t="shared" ca="1" si="47"/>
        <v>907.43847825939736</v>
      </c>
      <c r="AQ44" s="195">
        <f t="shared" ca="1" si="47"/>
        <v>885.47944976574161</v>
      </c>
      <c r="AR44" s="195">
        <f t="shared" ca="1" si="47"/>
        <v>885.47944976574161</v>
      </c>
      <c r="AS44" s="195">
        <f t="shared" ca="1" si="47"/>
        <v>885.47944976574161</v>
      </c>
      <c r="AT44" s="195">
        <f t="shared" ca="1" si="47"/>
        <v>885.47944976574126</v>
      </c>
      <c r="AU44" s="195">
        <f t="shared" ca="1" si="47"/>
        <v>841.81589636650972</v>
      </c>
      <c r="AV44" s="195">
        <f t="shared" ca="1" si="47"/>
        <v>841.81589636650972</v>
      </c>
      <c r="AW44" s="195">
        <f t="shared" ca="1" si="47"/>
        <v>841.81589636650949</v>
      </c>
      <c r="AX44" s="195">
        <f t="shared" ca="1" si="47"/>
        <v>841.81589636650949</v>
      </c>
      <c r="AY44" s="195">
        <f t="shared" ca="1" si="47"/>
        <v>841.54248788594168</v>
      </c>
      <c r="AZ44" s="195">
        <f t="shared" ca="1" si="47"/>
        <v>841.54248788594168</v>
      </c>
      <c r="BA44" s="195">
        <f t="shared" ca="1" si="47"/>
        <v>841.54248788594168</v>
      </c>
      <c r="BB44" s="195">
        <f t="shared" ca="1" si="47"/>
        <v>841.5424878859418</v>
      </c>
      <c r="BC44" s="195">
        <f t="shared" ca="1" si="47"/>
        <v>841.26239051288314</v>
      </c>
      <c r="BD44" s="195">
        <f t="shared" ca="1" si="47"/>
        <v>841.26239051288326</v>
      </c>
      <c r="BE44" s="195">
        <f t="shared" ca="1" si="47"/>
        <v>841.26239051288314</v>
      </c>
      <c r="BF44" s="195">
        <f t="shared" ca="1" si="47"/>
        <v>841.26239051288314</v>
      </c>
      <c r="BG44" s="195">
        <f t="shared" ca="1" si="47"/>
        <v>840.97535574358756</v>
      </c>
      <c r="BH44" s="195">
        <f t="shared" ca="1" si="47"/>
        <v>840.97535574358767</v>
      </c>
      <c r="BI44" s="195">
        <f t="shared" ca="1" si="47"/>
        <v>840.97535574358756</v>
      </c>
      <c r="BJ44" s="195">
        <f t="shared" ca="1" si="47"/>
        <v>840.97535574358778</v>
      </c>
      <c r="BK44" s="195">
        <f ca="1">-BK41/BK22*1000</f>
        <v>840.68112261017166</v>
      </c>
      <c r="BL44" s="195">
        <f ca="1">-BL41/BL22*1000</f>
        <v>840.68112261017188</v>
      </c>
      <c r="BM44" s="195">
        <f ca="1">-BM41/BM22*1000</f>
        <v>735.68112261017166</v>
      </c>
      <c r="BN44" s="195">
        <f ca="1">-BN41/BN22*1000</f>
        <v>735.68112261017166</v>
      </c>
    </row>
    <row r="45" spans="2:66">
      <c r="S45" s="167"/>
    </row>
    <row r="46" spans="2:66">
      <c r="B46" s="164" t="s">
        <v>241</v>
      </c>
      <c r="C46" s="164"/>
      <c r="D46" s="188"/>
      <c r="E46" s="245"/>
      <c r="F46" s="245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8"/>
      <c r="BN46" s="188"/>
    </row>
    <row r="47" spans="2:66">
      <c r="B47" s="243" t="s">
        <v>242</v>
      </c>
      <c r="C47" s="193" t="s">
        <v>187</v>
      </c>
      <c r="E47" s="186">
        <f ca="1">AVERAGE(OFFSET($S$47,,(COLUMNS($E$47:E47)-1)*4,,4))</f>
        <v>2.5406185308324445</v>
      </c>
      <c r="F47" s="186">
        <f ca="1">AVERAGE(OFFSET($S$47,,(COLUMNS($E$47:F47)-1)*4,,4))</f>
        <v>42.89252768930141</v>
      </c>
      <c r="G47" s="186">
        <f ca="1">AVERAGE(OFFSET($S$47,,(COLUMNS($E$47:G47)-1)*4,,4))</f>
        <v>118.61403637507679</v>
      </c>
      <c r="H47" s="186">
        <f ca="1">AVERAGE(OFFSET($S$47,,(COLUMNS($E$47:H47)-1)*4,,4))</f>
        <v>105</v>
      </c>
      <c r="I47" s="186">
        <f ca="1">AVERAGE(OFFSET($S$47,,(COLUMNS($E$47:I47)-1)*4,,4))</f>
        <v>105</v>
      </c>
      <c r="J47" s="186">
        <f ca="1">AVERAGE(OFFSET($S$47,,(COLUMNS($E$47:J47)-1)*4,,4))</f>
        <v>105</v>
      </c>
      <c r="K47" s="186">
        <f ca="1">AVERAGE(OFFSET($S$47,,(COLUMNS($E$47:K47)-1)*4,,4))</f>
        <v>105</v>
      </c>
      <c r="L47" s="186">
        <f ca="1">AVERAGE(OFFSET($S$47,,(COLUMNS($E$47:L47)-1)*4,,4))</f>
        <v>105</v>
      </c>
      <c r="M47" s="186">
        <f ca="1">AVERAGE(OFFSET($S$47,,(COLUMNS($E$47:M47)-1)*4,,4))</f>
        <v>105</v>
      </c>
      <c r="N47" s="186">
        <f ca="1">AVERAGE(OFFSET($S$47,,(COLUMNS($E$47:N47)-1)*4,,4))</f>
        <v>105</v>
      </c>
      <c r="O47" s="186">
        <f ca="1">AVERAGE(OFFSET($S$47,,(COLUMNS($E$47:O47)-1)*4,,4))</f>
        <v>105</v>
      </c>
      <c r="P47" s="186">
        <f ca="1">AVERAGE(OFFSET($S$47,,(COLUMNS($E$47:P47)-1)*4,,4))</f>
        <v>52.5</v>
      </c>
      <c r="Q47" s="186"/>
      <c r="T47" s="186">
        <f>-T38/T$19*10^3</f>
        <v>0</v>
      </c>
      <c r="U47" s="186">
        <f t="shared" ref="U47:AD48" si="48">-U38/U$19*10^3</f>
        <v>7.6218555924973339</v>
      </c>
      <c r="V47" s="186">
        <f t="shared" si="48"/>
        <v>0</v>
      </c>
      <c r="W47" s="186">
        <f t="shared" si="48"/>
        <v>18.408327186296205</v>
      </c>
      <c r="X47" s="186">
        <f t="shared" si="48"/>
        <v>48.151314383415261</v>
      </c>
      <c r="Y47" s="186">
        <f t="shared" si="48"/>
        <v>50.573420283337086</v>
      </c>
      <c r="Z47" s="186">
        <f t="shared" si="48"/>
        <v>54.437048904157095</v>
      </c>
      <c r="AA47" s="186">
        <f t="shared" si="48"/>
        <v>73.897463389859197</v>
      </c>
      <c r="AB47" s="186">
        <f t="shared" si="48"/>
        <v>89.347943688905104</v>
      </c>
      <c r="AC47" s="186">
        <f t="shared" si="48"/>
        <v>89.862425602497808</v>
      </c>
      <c r="AD47" s="186">
        <f t="shared" si="48"/>
        <v>221.34831281904508</v>
      </c>
      <c r="AE47" s="269">
        <v>105</v>
      </c>
      <c r="AF47" s="269">
        <f>AE47</f>
        <v>105</v>
      </c>
      <c r="AG47" s="269">
        <f>AF47</f>
        <v>105</v>
      </c>
      <c r="AH47" s="269">
        <f t="shared" ref="AH47:BJ47" si="49">AG47</f>
        <v>105</v>
      </c>
      <c r="AI47" s="269">
        <f t="shared" si="49"/>
        <v>105</v>
      </c>
      <c r="AJ47" s="269">
        <f t="shared" si="49"/>
        <v>105</v>
      </c>
      <c r="AK47" s="269">
        <f t="shared" si="49"/>
        <v>105</v>
      </c>
      <c r="AL47" s="269">
        <f t="shared" si="49"/>
        <v>105</v>
      </c>
      <c r="AM47" s="269">
        <f t="shared" si="49"/>
        <v>105</v>
      </c>
      <c r="AN47" s="269">
        <f t="shared" si="49"/>
        <v>105</v>
      </c>
      <c r="AO47" s="269">
        <f t="shared" si="49"/>
        <v>105</v>
      </c>
      <c r="AP47" s="269">
        <f t="shared" si="49"/>
        <v>105</v>
      </c>
      <c r="AQ47" s="269">
        <f t="shared" si="49"/>
        <v>105</v>
      </c>
      <c r="AR47" s="269">
        <f t="shared" si="49"/>
        <v>105</v>
      </c>
      <c r="AS47" s="269">
        <f t="shared" si="49"/>
        <v>105</v>
      </c>
      <c r="AT47" s="269">
        <f t="shared" si="49"/>
        <v>105</v>
      </c>
      <c r="AU47" s="269">
        <f t="shared" si="49"/>
        <v>105</v>
      </c>
      <c r="AV47" s="269">
        <f t="shared" si="49"/>
        <v>105</v>
      </c>
      <c r="AW47" s="269">
        <f t="shared" si="49"/>
        <v>105</v>
      </c>
      <c r="AX47" s="269">
        <f t="shared" si="49"/>
        <v>105</v>
      </c>
      <c r="AY47" s="269">
        <f t="shared" si="49"/>
        <v>105</v>
      </c>
      <c r="AZ47" s="269">
        <f t="shared" si="49"/>
        <v>105</v>
      </c>
      <c r="BA47" s="269">
        <f t="shared" si="49"/>
        <v>105</v>
      </c>
      <c r="BB47" s="269">
        <f t="shared" si="49"/>
        <v>105</v>
      </c>
      <c r="BC47" s="269">
        <f t="shared" si="49"/>
        <v>105</v>
      </c>
      <c r="BD47" s="269">
        <f t="shared" si="49"/>
        <v>105</v>
      </c>
      <c r="BE47" s="269">
        <f t="shared" si="49"/>
        <v>105</v>
      </c>
      <c r="BF47" s="269">
        <f t="shared" si="49"/>
        <v>105</v>
      </c>
      <c r="BG47" s="269">
        <f t="shared" si="49"/>
        <v>105</v>
      </c>
      <c r="BH47" s="269">
        <f t="shared" si="49"/>
        <v>105</v>
      </c>
      <c r="BI47" s="269">
        <f t="shared" si="49"/>
        <v>105</v>
      </c>
      <c r="BJ47" s="269">
        <f t="shared" si="49"/>
        <v>105</v>
      </c>
      <c r="BK47" s="269">
        <f>BJ47</f>
        <v>105</v>
      </c>
      <c r="BL47" s="269">
        <f>BK47</f>
        <v>105</v>
      </c>
      <c r="BM47" s="269">
        <v>0</v>
      </c>
      <c r="BN47" s="269">
        <v>0</v>
      </c>
    </row>
    <row r="48" spans="2:66">
      <c r="B48" s="243" t="s">
        <v>243</v>
      </c>
      <c r="C48" s="193" t="s">
        <v>187</v>
      </c>
      <c r="E48" s="186">
        <f ca="1">AVERAGE(OFFSET($S$48,,(COLUMNS($E$48:E48)-1)*4,,4))</f>
        <v>7.7102884867536261</v>
      </c>
      <c r="F48" s="186">
        <f ca="1">AVERAGE(OFFSET($S$48,,(COLUMNS($E$48:F48)-1)*4,,4))</f>
        <v>172.57611851619617</v>
      </c>
      <c r="G48" s="186">
        <f ca="1">AVERAGE(OFFSET($S$48,,(COLUMNS($E$48:G48)-1)*4,,4))</f>
        <v>170.23221486508743</v>
      </c>
      <c r="H48" s="186">
        <f ca="1">AVERAGE(OFFSET($S$48,,(COLUMNS($E$48:H48)-1)*4,,4))</f>
        <v>110</v>
      </c>
      <c r="I48" s="186">
        <f ca="1">AVERAGE(OFFSET($S$48,,(COLUMNS($E$48:I48)-1)*4,,4))</f>
        <v>110</v>
      </c>
      <c r="J48" s="186">
        <f ca="1">AVERAGE(OFFSET($S$48,,(COLUMNS($E$48:J48)-1)*4,,4))</f>
        <v>90</v>
      </c>
      <c r="K48" s="258">
        <f ca="1">AVERAGE(OFFSET($S$48,,(COLUMNS($E$48:K48)-1)*4,,4))</f>
        <v>0</v>
      </c>
      <c r="L48" s="258">
        <f ca="1">AVERAGE(OFFSET($S$48,,(COLUMNS($E$48:L48)-1)*4,,4))</f>
        <v>0</v>
      </c>
      <c r="M48" s="258">
        <f ca="1">AVERAGE(OFFSET($S$48,,(COLUMNS($E$48:M48)-1)*4,,4))</f>
        <v>0</v>
      </c>
      <c r="N48" s="258">
        <f ca="1">AVERAGE(OFFSET($S$48,,(COLUMNS($E$48:N48)-1)*4,,4))</f>
        <v>0</v>
      </c>
      <c r="O48" s="258">
        <f ca="1">AVERAGE(OFFSET($S$48,,(COLUMNS($E$48:O48)-1)*4,,4))</f>
        <v>0</v>
      </c>
      <c r="P48" s="258">
        <f ca="1">AVERAGE(OFFSET($S$48,,(COLUMNS($E$48:P48)-1)*4,,4))</f>
        <v>0</v>
      </c>
      <c r="Q48" s="258"/>
      <c r="T48" s="186">
        <f>-T39/T$19*10^3</f>
        <v>0</v>
      </c>
      <c r="U48" s="186">
        <f t="shared" si="48"/>
        <v>1.8348911611567655</v>
      </c>
      <c r="V48" s="186">
        <f t="shared" si="48"/>
        <v>21.295974299104113</v>
      </c>
      <c r="W48" s="186">
        <f t="shared" si="48"/>
        <v>179.44430784361936</v>
      </c>
      <c r="X48" s="186">
        <f t="shared" si="48"/>
        <v>229.66445821756787</v>
      </c>
      <c r="Y48" s="186">
        <f t="shared" si="48"/>
        <v>83.134697548909386</v>
      </c>
      <c r="Z48" s="186">
        <f t="shared" si="48"/>
        <v>198.0610104546881</v>
      </c>
      <c r="AA48" s="186">
        <f t="shared" si="48"/>
        <v>169.95852261505038</v>
      </c>
      <c r="AB48" s="186">
        <f t="shared" si="48"/>
        <v>105.37572181614603</v>
      </c>
      <c r="AC48" s="186">
        <f t="shared" si="48"/>
        <v>64.136338504569551</v>
      </c>
      <c r="AD48" s="186">
        <f t="shared" si="48"/>
        <v>341.45827652458377</v>
      </c>
      <c r="AE48" s="269">
        <v>110</v>
      </c>
      <c r="AF48" s="269">
        <f>AE48</f>
        <v>110</v>
      </c>
      <c r="AG48" s="269">
        <f t="shared" ref="AG48:AP48" si="50">AF48</f>
        <v>110</v>
      </c>
      <c r="AH48" s="269">
        <f t="shared" si="50"/>
        <v>110</v>
      </c>
      <c r="AI48" s="269">
        <f t="shared" si="50"/>
        <v>110</v>
      </c>
      <c r="AJ48" s="269">
        <f t="shared" si="50"/>
        <v>110</v>
      </c>
      <c r="AK48" s="269">
        <f t="shared" si="50"/>
        <v>110</v>
      </c>
      <c r="AL48" s="269">
        <f t="shared" si="50"/>
        <v>110</v>
      </c>
      <c r="AM48" s="269">
        <v>90</v>
      </c>
      <c r="AN48" s="269">
        <f t="shared" si="50"/>
        <v>90</v>
      </c>
      <c r="AO48" s="269">
        <f t="shared" si="50"/>
        <v>90</v>
      </c>
      <c r="AP48" s="269">
        <f t="shared" si="50"/>
        <v>90</v>
      </c>
      <c r="AQ48" s="269">
        <v>0</v>
      </c>
      <c r="AR48" s="269">
        <v>0</v>
      </c>
      <c r="AS48" s="269">
        <v>0</v>
      </c>
      <c r="AT48" s="269">
        <v>0</v>
      </c>
      <c r="AU48" s="269">
        <v>0</v>
      </c>
      <c r="AV48" s="269">
        <v>0</v>
      </c>
      <c r="AW48" s="269">
        <v>0</v>
      </c>
      <c r="AX48" s="269">
        <v>0</v>
      </c>
      <c r="AY48" s="269">
        <v>0</v>
      </c>
      <c r="AZ48" s="269">
        <v>0</v>
      </c>
      <c r="BA48" s="269">
        <v>0</v>
      </c>
      <c r="BB48" s="269">
        <v>0</v>
      </c>
      <c r="BC48" s="269">
        <v>0</v>
      </c>
      <c r="BD48" s="269">
        <v>0</v>
      </c>
      <c r="BE48" s="269">
        <v>0</v>
      </c>
      <c r="BF48" s="269">
        <v>0</v>
      </c>
      <c r="BG48" s="269">
        <v>0</v>
      </c>
      <c r="BH48" s="269">
        <v>0</v>
      </c>
      <c r="BI48" s="269">
        <v>0</v>
      </c>
      <c r="BJ48" s="269">
        <v>0</v>
      </c>
      <c r="BK48" s="269">
        <v>0</v>
      </c>
      <c r="BL48" s="269">
        <v>0</v>
      </c>
      <c r="BM48" s="269">
        <v>0</v>
      </c>
      <c r="BN48" s="269">
        <v>0</v>
      </c>
    </row>
    <row r="49" spans="2:66">
      <c r="T49" s="168"/>
      <c r="U49" s="168"/>
    </row>
    <row r="50" spans="2:66">
      <c r="B50" s="164" t="s">
        <v>19</v>
      </c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T50" s="168"/>
      <c r="U50" s="168"/>
    </row>
    <row r="51" spans="2:66">
      <c r="B51" s="243" t="s">
        <v>411</v>
      </c>
      <c r="C51" s="193" t="s">
        <v>187</v>
      </c>
      <c r="E51" s="186">
        <f ca="1">AVERAGE(OFFSET($S$51,,(COLUMNS($E$51:E51)-1)*4,,4))</f>
        <v>177.94181067073978</v>
      </c>
      <c r="F51" s="186">
        <f ca="1">AVERAGE(OFFSET($S$51,,(COLUMNS($E$51:F51)-1)*4,,4))</f>
        <v>171.65624798966243</v>
      </c>
      <c r="G51" s="186">
        <f ca="1">AVERAGE(OFFSET($S$51,,(COLUMNS($E$51:G51)-1)*4,,4))</f>
        <v>206.97588831455138</v>
      </c>
      <c r="H51" s="186">
        <f ca="1">AVERAGE(OFFSET($S$51,,(COLUMNS($E$51:H51)-1)*4,,4))</f>
        <v>186</v>
      </c>
      <c r="I51" s="186">
        <f ca="1">AVERAGE(OFFSET($S$51,,(COLUMNS($E$51:I51)-1)*4,,4))</f>
        <v>186</v>
      </c>
      <c r="J51" s="186">
        <f ca="1">AVERAGE(OFFSET($S$51,,(COLUMNS($E$51:J51)-1)*4,,4))</f>
        <v>186</v>
      </c>
      <c r="K51" s="186">
        <f ca="1">AVERAGE(OFFSET($S$51,,(COLUMNS($E$51:K51)-1)*4,,4))</f>
        <v>186</v>
      </c>
      <c r="L51" s="186">
        <f ca="1">AVERAGE(OFFSET($S$51,,(COLUMNS($E$51:L51)-1)*4,,4))</f>
        <v>186</v>
      </c>
      <c r="M51" s="186">
        <f ca="1">AVERAGE(OFFSET($S$51,,(COLUMNS($E$51:M51)-1)*4,,4))</f>
        <v>186</v>
      </c>
      <c r="N51" s="186">
        <f ca="1">AVERAGE(OFFSET($S$51,,(COLUMNS($E$51:N51)-1)*4,,4))</f>
        <v>130</v>
      </c>
      <c r="O51" s="186">
        <f ca="1">AVERAGE(OFFSET($S$51,,(COLUMNS($E$51:O51)-1)*4,,4))</f>
        <v>130</v>
      </c>
      <c r="P51" s="186">
        <f ca="1">AVERAGE(OFFSET($S$51,,(COLUMNS($E$51:P51)-1)*4,,4))</f>
        <v>130</v>
      </c>
      <c r="T51" s="186">
        <f>-T36/T$19*10^3</f>
        <v>182.56438794497677</v>
      </c>
      <c r="U51" s="186">
        <f t="shared" ref="U51:AC51" si="51">-U36/U$19*10^3</f>
        <v>144.32908851389499</v>
      </c>
      <c r="V51" s="186">
        <f t="shared" si="51"/>
        <v>206.93195555334756</v>
      </c>
      <c r="W51" s="186">
        <f t="shared" si="51"/>
        <v>175.05122530940088</v>
      </c>
      <c r="X51" s="186">
        <f t="shared" si="51"/>
        <v>180.93609745672151</v>
      </c>
      <c r="Y51" s="186">
        <f t="shared" si="51"/>
        <v>181.69552507308299</v>
      </c>
      <c r="Z51" s="186">
        <f t="shared" si="51"/>
        <v>148.94214411944441</v>
      </c>
      <c r="AA51" s="186">
        <f t="shared" si="51"/>
        <v>202.25162946869446</v>
      </c>
      <c r="AB51" s="186">
        <f t="shared" si="51"/>
        <v>244.81990765785599</v>
      </c>
      <c r="AC51" s="186">
        <f t="shared" si="51"/>
        <v>194.83201613165514</v>
      </c>
      <c r="AD51" s="269">
        <v>186</v>
      </c>
      <c r="AE51" s="330">
        <f>AD51</f>
        <v>186</v>
      </c>
      <c r="AF51" s="330">
        <f t="shared" ref="AF51:BB51" si="52">AE51</f>
        <v>186</v>
      </c>
      <c r="AG51" s="330">
        <f t="shared" si="52"/>
        <v>186</v>
      </c>
      <c r="AH51" s="330">
        <f t="shared" si="52"/>
        <v>186</v>
      </c>
      <c r="AI51" s="330">
        <f t="shared" si="52"/>
        <v>186</v>
      </c>
      <c r="AJ51" s="330">
        <f t="shared" si="52"/>
        <v>186</v>
      </c>
      <c r="AK51" s="330">
        <f t="shared" si="52"/>
        <v>186</v>
      </c>
      <c r="AL51" s="330">
        <f t="shared" si="52"/>
        <v>186</v>
      </c>
      <c r="AM51" s="330">
        <f t="shared" si="52"/>
        <v>186</v>
      </c>
      <c r="AN51" s="330">
        <f t="shared" si="52"/>
        <v>186</v>
      </c>
      <c r="AO51" s="330">
        <f t="shared" si="52"/>
        <v>186</v>
      </c>
      <c r="AP51" s="330">
        <f t="shared" si="52"/>
        <v>186</v>
      </c>
      <c r="AQ51" s="330">
        <f t="shared" si="52"/>
        <v>186</v>
      </c>
      <c r="AR51" s="330">
        <f t="shared" si="52"/>
        <v>186</v>
      </c>
      <c r="AS51" s="330">
        <f t="shared" si="52"/>
        <v>186</v>
      </c>
      <c r="AT51" s="330">
        <f t="shared" si="52"/>
        <v>186</v>
      </c>
      <c r="AU51" s="330">
        <f t="shared" si="52"/>
        <v>186</v>
      </c>
      <c r="AV51" s="330">
        <f t="shared" si="52"/>
        <v>186</v>
      </c>
      <c r="AW51" s="330">
        <f t="shared" si="52"/>
        <v>186</v>
      </c>
      <c r="AX51" s="330">
        <f t="shared" si="52"/>
        <v>186</v>
      </c>
      <c r="AY51" s="330">
        <f t="shared" si="52"/>
        <v>186</v>
      </c>
      <c r="AZ51" s="330">
        <f t="shared" si="52"/>
        <v>186</v>
      </c>
      <c r="BA51" s="330">
        <f t="shared" si="52"/>
        <v>186</v>
      </c>
      <c r="BB51" s="330">
        <f t="shared" si="52"/>
        <v>186</v>
      </c>
      <c r="BC51" s="269">
        <v>130</v>
      </c>
      <c r="BD51" s="330">
        <f>BC51</f>
        <v>130</v>
      </c>
      <c r="BE51" s="330">
        <f t="shared" ref="BE51:BN51" si="53">BD51</f>
        <v>130</v>
      </c>
      <c r="BF51" s="330">
        <f t="shared" si="53"/>
        <v>130</v>
      </c>
      <c r="BG51" s="330">
        <f t="shared" si="53"/>
        <v>130</v>
      </c>
      <c r="BH51" s="330">
        <f t="shared" si="53"/>
        <v>130</v>
      </c>
      <c r="BI51" s="330">
        <f t="shared" si="53"/>
        <v>130</v>
      </c>
      <c r="BJ51" s="330">
        <f t="shared" si="53"/>
        <v>130</v>
      </c>
      <c r="BK51" s="330">
        <f t="shared" si="53"/>
        <v>130</v>
      </c>
      <c r="BL51" s="330">
        <f t="shared" si="53"/>
        <v>130</v>
      </c>
      <c r="BM51" s="330">
        <f t="shared" si="53"/>
        <v>130</v>
      </c>
      <c r="BN51" s="330">
        <f t="shared" si="53"/>
        <v>130</v>
      </c>
    </row>
    <row r="52" spans="2:66">
      <c r="T52" s="265"/>
      <c r="U52" s="168"/>
    </row>
    <row r="53" spans="2:66">
      <c r="T53" s="168"/>
      <c r="U53" s="168"/>
    </row>
    <row r="54" spans="2:66">
      <c r="T54" s="168"/>
      <c r="U54" s="168"/>
    </row>
    <row r="55" spans="2:66">
      <c r="T55" s="168"/>
      <c r="U55" s="168"/>
    </row>
  </sheetData>
  <mergeCells count="1">
    <mergeCell ref="BP4:BP5"/>
  </mergeCells>
  <phoneticPr fontId="48" type="noConversion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45FB0-2A51-284C-A6BD-5FE9F90A7B4B}">
  <dimension ref="B2:AI51"/>
  <sheetViews>
    <sheetView zoomScale="120" zoomScaleNormal="120" workbookViewId="0">
      <pane xSplit="3" ySplit="5" topLeftCell="D19" activePane="bottomRight" state="frozen"/>
      <selection pane="topRight" activeCell="D1" sqref="D1"/>
      <selection pane="bottomLeft" activeCell="A6" sqref="A6"/>
      <selection pane="bottomRight" activeCell="H5" sqref="H5"/>
    </sheetView>
  </sheetViews>
  <sheetFormatPr baseColWidth="10" defaultRowHeight="14" outlineLevelCol="1"/>
  <cols>
    <col min="1" max="1" width="2.6640625" customWidth="1"/>
    <col min="2" max="2" width="34.33203125" bestFit="1" customWidth="1"/>
    <col min="3" max="3" width="8" customWidth="1"/>
    <col min="4" max="4" width="18.83203125" bestFit="1" customWidth="1"/>
    <col min="5" max="5" width="10.83203125" customWidth="1"/>
    <col min="6" max="6" width="10.83203125" outlineLevel="1"/>
    <col min="7" max="7" width="12" customWidth="1" outlineLevel="1"/>
    <col min="8" max="11" width="10.83203125" outlineLevel="1"/>
    <col min="12" max="12" width="2.33203125" customWidth="1"/>
    <col min="13" max="13" width="13.5" bestFit="1" customWidth="1"/>
    <col min="14" max="17" width="10.83203125" customWidth="1"/>
    <col min="34" max="34" width="2" customWidth="1"/>
    <col min="35" max="35" width="10.1640625" customWidth="1"/>
  </cols>
  <sheetData>
    <row r="2" spans="2:35" ht="18">
      <c r="B2" s="158" t="s">
        <v>253</v>
      </c>
    </row>
    <row r="3" spans="2:35" ht="18">
      <c r="B3" s="158" t="s">
        <v>247</v>
      </c>
    </row>
    <row r="4" spans="2:35">
      <c r="B4" s="160"/>
      <c r="C4" s="183" t="s">
        <v>128</v>
      </c>
      <c r="D4" s="161" t="s">
        <v>129</v>
      </c>
      <c r="E4" s="162">
        <f>F4-1</f>
        <v>2017</v>
      </c>
      <c r="F4" s="162">
        <f>G4-1</f>
        <v>2018</v>
      </c>
      <c r="G4" s="162">
        <f>H4-1</f>
        <v>2019</v>
      </c>
      <c r="H4" s="162">
        <f>YEAR(SUMMARY!B7)</f>
        <v>2020</v>
      </c>
      <c r="I4" s="163">
        <f>H4+1</f>
        <v>2021</v>
      </c>
      <c r="J4" s="163">
        <f>I4+1</f>
        <v>2022</v>
      </c>
      <c r="K4" s="163">
        <f>J4+1</f>
        <v>2023</v>
      </c>
      <c r="M4" s="161" t="s">
        <v>222</v>
      </c>
      <c r="N4" s="287" t="s">
        <v>224</v>
      </c>
      <c r="O4" s="287" t="s">
        <v>225</v>
      </c>
      <c r="P4" s="287" t="s">
        <v>226</v>
      </c>
      <c r="Q4" s="287" t="s">
        <v>227</v>
      </c>
      <c r="R4" s="287" t="s">
        <v>194</v>
      </c>
      <c r="S4" s="287" t="s">
        <v>195</v>
      </c>
      <c r="T4" s="287" t="s">
        <v>196</v>
      </c>
      <c r="U4" s="287" t="s">
        <v>197</v>
      </c>
      <c r="V4" s="287" t="s">
        <v>198</v>
      </c>
      <c r="W4" s="287" t="s">
        <v>199</v>
      </c>
      <c r="X4" s="287" t="s">
        <v>200</v>
      </c>
      <c r="Y4" s="287" t="s">
        <v>201</v>
      </c>
      <c r="Z4" s="287" t="s">
        <v>202</v>
      </c>
      <c r="AA4" s="287" t="s">
        <v>203</v>
      </c>
      <c r="AB4" s="287" t="s">
        <v>204</v>
      </c>
      <c r="AC4" s="287" t="s">
        <v>205</v>
      </c>
      <c r="AD4" s="287" t="s">
        <v>206</v>
      </c>
      <c r="AE4" s="287" t="s">
        <v>207</v>
      </c>
      <c r="AF4" s="287" t="s">
        <v>208</v>
      </c>
      <c r="AG4" s="287" t="s">
        <v>209</v>
      </c>
      <c r="AI4" s="356" t="s">
        <v>154</v>
      </c>
    </row>
    <row r="5" spans="2:35">
      <c r="B5" s="164"/>
      <c r="C5" s="184"/>
      <c r="D5" s="165" t="s">
        <v>158</v>
      </c>
      <c r="E5" s="194">
        <v>6</v>
      </c>
      <c r="F5" s="194">
        <v>5</v>
      </c>
      <c r="G5" s="194">
        <v>4</v>
      </c>
      <c r="H5" s="194">
        <v>3</v>
      </c>
      <c r="I5" s="194">
        <v>2</v>
      </c>
      <c r="J5" s="194">
        <v>1</v>
      </c>
      <c r="K5" s="194">
        <v>0</v>
      </c>
      <c r="M5" s="164" t="s">
        <v>158</v>
      </c>
      <c r="N5" s="188">
        <v>5</v>
      </c>
      <c r="O5" s="188">
        <v>4.75</v>
      </c>
      <c r="P5" s="188">
        <v>4.5</v>
      </c>
      <c r="Q5" s="188">
        <v>4.25</v>
      </c>
      <c r="R5" s="188">
        <v>4</v>
      </c>
      <c r="S5" s="188">
        <v>3.75</v>
      </c>
      <c r="T5" s="188">
        <v>3.5</v>
      </c>
      <c r="U5" s="188">
        <v>3.25</v>
      </c>
      <c r="V5" s="188">
        <v>3</v>
      </c>
      <c r="W5" s="188">
        <v>2.75</v>
      </c>
      <c r="X5" s="188">
        <v>2.5</v>
      </c>
      <c r="Y5" s="188">
        <v>2.25</v>
      </c>
      <c r="Z5" s="188">
        <v>2</v>
      </c>
      <c r="AA5" s="188">
        <v>1.75</v>
      </c>
      <c r="AB5" s="188">
        <v>1.5</v>
      </c>
      <c r="AC5" s="188">
        <v>1.25</v>
      </c>
      <c r="AD5" s="188">
        <v>1</v>
      </c>
      <c r="AE5" s="188">
        <v>0.75</v>
      </c>
      <c r="AF5" s="188">
        <v>0.5</v>
      </c>
      <c r="AG5" s="188">
        <v>0.25</v>
      </c>
      <c r="AI5" s="357"/>
    </row>
    <row r="6" spans="2:35" ht="18">
      <c r="B6" s="158" t="s">
        <v>127</v>
      </c>
      <c r="C6" s="178"/>
    </row>
    <row r="7" spans="2:35">
      <c r="C7" s="178"/>
    </row>
    <row r="8" spans="2:35">
      <c r="B8" s="197" t="s">
        <v>132</v>
      </c>
      <c r="C8" s="174" t="s">
        <v>153</v>
      </c>
      <c r="E8" s="168">
        <v>3552</v>
      </c>
      <c r="F8" s="168">
        <v>4097</v>
      </c>
      <c r="G8" s="186">
        <f ca="1">SUM(OFFSET($N$8,,(COLUMNS($G$8:G8)-1)*4,,4))</f>
        <v>4195</v>
      </c>
      <c r="H8" s="186">
        <f ca="1">SUM(OFFSET($N$8,,(COLUMNS($G$8:H8)-1)*4,,4))</f>
        <v>4871</v>
      </c>
      <c r="I8" s="186">
        <f ca="1">SUM(OFFSET($N$8,,(COLUMNS($G$8:I8)-1)*4,,4))</f>
        <v>5359.2222222222226</v>
      </c>
      <c r="J8" s="186">
        <f ca="1">SUM(OFFSET($N$8,,(COLUMNS($G$8:J8)-1)*4,,4))</f>
        <v>5792.8888888888878</v>
      </c>
      <c r="K8" s="186">
        <f ca="1">SUM(OFFSET($N$8,,(COLUMNS($G$8:K8)-1)*4,,4))</f>
        <v>5792.8888888888832</v>
      </c>
      <c r="N8" s="168">
        <v>1095</v>
      </c>
      <c r="O8" s="168">
        <v>1047</v>
      </c>
      <c r="P8" s="168">
        <v>919</v>
      </c>
      <c r="Q8" s="168">
        <v>1134</v>
      </c>
      <c r="R8" s="168">
        <v>1114</v>
      </c>
      <c r="S8" s="168">
        <v>1238</v>
      </c>
      <c r="T8" s="168">
        <v>1192</v>
      </c>
      <c r="U8" s="168">
        <v>1327</v>
      </c>
      <c r="V8" s="168">
        <v>1380</v>
      </c>
      <c r="W8" s="168">
        <v>1267</v>
      </c>
      <c r="X8" s="168">
        <v>1264</v>
      </c>
      <c r="Y8" s="186">
        <f>IF(Y9=0,((('Reserves and Resources'!$F$47*1000)-X10)/Y5)/4,Y9)</f>
        <v>1448.2222222222222</v>
      </c>
      <c r="Z8" s="186">
        <f>IF(Z9=0,((('Reserves and Resources'!$F$47*1000)-Y10)/Z5)/4,Z9)</f>
        <v>1448.2222222222222</v>
      </c>
      <c r="AA8" s="186">
        <f>IF(AA9=0,((('Reserves and Resources'!$F$47*1000)-Z10)/AA5)/4,AA9)</f>
        <v>1448.2222222222222</v>
      </c>
      <c r="AB8" s="186">
        <f>IF(AB9=0,((('Reserves and Resources'!$F$47*1000)-AA10)/AB5)/4,AB9)</f>
        <v>1448.2222222222219</v>
      </c>
      <c r="AC8" s="186">
        <f>IF(AC9=0,((('Reserves and Resources'!$F$47*1000)-AB10)/AC5)/4,AC9)</f>
        <v>1448.2222222222219</v>
      </c>
      <c r="AD8" s="186">
        <f>IF(AD9=0,((('Reserves and Resources'!$F$47*1000)-AC10)/AD5)/4,AD9)</f>
        <v>1448.2222222222217</v>
      </c>
      <c r="AE8" s="186">
        <f>IF(AE9=0,((('Reserves and Resources'!$F$47*1000)-AD10)/AE5)/4,AE9)</f>
        <v>1448.2222222222215</v>
      </c>
      <c r="AF8" s="186">
        <f>IF(AF9=0,((('Reserves and Resources'!$F$47*1000)-AE10)/AF5)/4,AF9)</f>
        <v>1448.2222222222208</v>
      </c>
      <c r="AG8" s="186">
        <f>IF(AG9=0,((('Reserves and Resources'!$F$47*1000)-AF10)/AG5)/4,AG9)</f>
        <v>1448.222222222219</v>
      </c>
      <c r="AH8" s="186"/>
      <c r="AI8" s="262" t="s">
        <v>160</v>
      </c>
    </row>
    <row r="9" spans="2:35" ht="16">
      <c r="B9" s="166"/>
      <c r="C9" s="174"/>
      <c r="F9" s="168"/>
      <c r="G9" s="168"/>
      <c r="H9" s="168"/>
      <c r="I9" s="253"/>
      <c r="J9" s="253"/>
      <c r="K9" s="253"/>
      <c r="Y9" s="264"/>
      <c r="Z9" s="270"/>
      <c r="AA9" s="270"/>
      <c r="AB9" s="270"/>
      <c r="AC9" s="270"/>
      <c r="AI9" s="156" t="s">
        <v>159</v>
      </c>
    </row>
    <row r="10" spans="2:35">
      <c r="B10" s="156" t="s">
        <v>133</v>
      </c>
      <c r="C10" s="174" t="s">
        <v>153</v>
      </c>
      <c r="D10" s="156"/>
      <c r="E10" s="186">
        <f t="shared" ref="E10:K10" si="0">IF(E8=0,0,E8+D10)</f>
        <v>3552</v>
      </c>
      <c r="F10" s="186">
        <f t="shared" si="0"/>
        <v>7649</v>
      </c>
      <c r="G10" s="186">
        <f t="shared" ca="1" si="0"/>
        <v>11844</v>
      </c>
      <c r="H10" s="186">
        <f t="shared" ca="1" si="0"/>
        <v>16715</v>
      </c>
      <c r="I10" s="186">
        <f t="shared" ca="1" si="0"/>
        <v>22074.222222222223</v>
      </c>
      <c r="J10" s="186">
        <f t="shared" ca="1" si="0"/>
        <v>27867.111111111109</v>
      </c>
      <c r="K10" s="186">
        <f t="shared" ca="1" si="0"/>
        <v>33659.999999999993</v>
      </c>
      <c r="N10" s="186">
        <f>IF(N8=0,0,N8+M10)+E8+F8</f>
        <v>8744</v>
      </c>
      <c r="O10" s="186">
        <f>IF(O8=0,0,O8+N10)</f>
        <v>9791</v>
      </c>
      <c r="P10" s="186">
        <f t="shared" ref="P10:AG10" si="1">IF(P8=0,0,P8+O10)</f>
        <v>10710</v>
      </c>
      <c r="Q10" s="186">
        <f t="shared" si="1"/>
        <v>11844</v>
      </c>
      <c r="R10" s="186">
        <f t="shared" si="1"/>
        <v>12958</v>
      </c>
      <c r="S10" s="186">
        <f>IF(S8=0,0,S8+R10)</f>
        <v>14196</v>
      </c>
      <c r="T10" s="186">
        <f>IF(T8=0,0,T8+S10)</f>
        <v>15388</v>
      </c>
      <c r="U10" s="186">
        <f>IF(U8=0,0,U8+T10)</f>
        <v>16715</v>
      </c>
      <c r="V10" s="186">
        <f>IF(V8=0,0,V8+U10)</f>
        <v>18095</v>
      </c>
      <c r="W10" s="186">
        <f t="shared" si="1"/>
        <v>19362</v>
      </c>
      <c r="X10" s="186">
        <f>IF(X8=0,0,X8+W10)</f>
        <v>20626</v>
      </c>
      <c r="Y10" s="186">
        <f>IF(Y8=0,0,Y8+X10)</f>
        <v>22074.222222222223</v>
      </c>
      <c r="Z10" s="186">
        <f t="shared" si="1"/>
        <v>23522.444444444445</v>
      </c>
      <c r="AA10" s="186">
        <f t="shared" si="1"/>
        <v>24970.666666666668</v>
      </c>
      <c r="AB10" s="186">
        <f t="shared" si="1"/>
        <v>26418.888888888891</v>
      </c>
      <c r="AC10" s="186">
        <f t="shared" si="1"/>
        <v>27867.111111111113</v>
      </c>
      <c r="AD10" s="186">
        <f t="shared" si="1"/>
        <v>29315.333333333336</v>
      </c>
      <c r="AE10" s="186">
        <f t="shared" si="1"/>
        <v>30763.555555555558</v>
      </c>
      <c r="AF10" s="186">
        <f t="shared" si="1"/>
        <v>32211.777777777781</v>
      </c>
      <c r="AG10" s="186">
        <f t="shared" si="1"/>
        <v>33660</v>
      </c>
      <c r="AH10" s="186"/>
    </row>
    <row r="11" spans="2:35">
      <c r="C11" s="178"/>
    </row>
    <row r="12" spans="2:35">
      <c r="B12" t="s">
        <v>134</v>
      </c>
      <c r="C12" s="178" t="s">
        <v>139</v>
      </c>
      <c r="E12">
        <v>1.07</v>
      </c>
      <c r="F12">
        <v>0.95</v>
      </c>
      <c r="G12">
        <v>6.65</v>
      </c>
      <c r="H12" s="263">
        <f ca="1">AVERAGE(OFFSET($R$12,,(COLUMNS($H$12:H12)-1)*4,,4))</f>
        <v>0.84250000000000003</v>
      </c>
      <c r="I12" s="263">
        <f ca="1">AVERAGE(OFFSET($R$12,,(COLUMNS($H$12:I12)-1)*4,,4))</f>
        <v>0.77375000000000005</v>
      </c>
      <c r="J12" s="263">
        <f ca="1">AVERAGE(OFFSET($R$12,,(COLUMNS($H$12:J12)-1)*4,,4))</f>
        <v>0.77499999999999991</v>
      </c>
      <c r="K12" s="263">
        <f ca="1">AVERAGE(OFFSET($R$12,,(COLUMNS($H$12:K12)-1)*4,,4))</f>
        <v>0.77499999999999991</v>
      </c>
      <c r="N12" s="181">
        <v>0.69</v>
      </c>
      <c r="O12" s="181">
        <v>0.86</v>
      </c>
      <c r="P12" s="181">
        <v>1.17</v>
      </c>
      <c r="Q12" s="181">
        <v>0.96</v>
      </c>
      <c r="R12">
        <v>1.02</v>
      </c>
      <c r="S12">
        <v>0.81</v>
      </c>
      <c r="T12">
        <v>0.76</v>
      </c>
      <c r="U12">
        <v>0.78</v>
      </c>
      <c r="V12">
        <v>0.71</v>
      </c>
      <c r="W12">
        <v>0.91</v>
      </c>
      <c r="X12" s="171">
        <v>0.7</v>
      </c>
      <c r="Y12" s="263">
        <f>AVERAGE(U12:X12)</f>
        <v>0.77499999999999991</v>
      </c>
      <c r="Z12" s="263">
        <f>Y12</f>
        <v>0.77499999999999991</v>
      </c>
      <c r="AA12" s="263">
        <f t="shared" ref="AA12:AG12" si="2">Z12</f>
        <v>0.77499999999999991</v>
      </c>
      <c r="AB12" s="263">
        <f t="shared" si="2"/>
        <v>0.77499999999999991</v>
      </c>
      <c r="AC12" s="263">
        <f t="shared" si="2"/>
        <v>0.77499999999999991</v>
      </c>
      <c r="AD12" s="263">
        <f t="shared" si="2"/>
        <v>0.77499999999999991</v>
      </c>
      <c r="AE12" s="263">
        <f t="shared" si="2"/>
        <v>0.77499999999999991</v>
      </c>
      <c r="AF12" s="263">
        <f t="shared" si="2"/>
        <v>0.77499999999999991</v>
      </c>
      <c r="AG12" s="263">
        <f t="shared" si="2"/>
        <v>0.77499999999999991</v>
      </c>
      <c r="AI12" s="156"/>
    </row>
    <row r="13" spans="2:35">
      <c r="C13" s="178"/>
    </row>
    <row r="14" spans="2:35">
      <c r="B14" t="s">
        <v>135</v>
      </c>
      <c r="C14" s="174" t="s">
        <v>156</v>
      </c>
      <c r="E14" s="186">
        <f>(E8*E12/31.1035*1000)</f>
        <v>122193.32229491859</v>
      </c>
      <c r="F14" s="186">
        <f>(F8*F12/31.1035*1000)</f>
        <v>125135.43491889979</v>
      </c>
      <c r="G14" s="186">
        <f ca="1">SUM(OFFSET($N$14,,(COLUMNS($G$14:G14)-1)*4,,4))</f>
        <v>122810.61616859837</v>
      </c>
      <c r="H14" s="186">
        <f ca="1">SUM(OFFSET($R$14,,(COLUMNS($H$14:H14)-1)*4,,4))</f>
        <v>131176.23418586332</v>
      </c>
      <c r="I14" s="186">
        <f ca="1">SUM(OFFSET($R$14,,(COLUMNS($H$14:I14)-1)*4,,4))</f>
        <v>133102.13391490417</v>
      </c>
      <c r="J14" s="186">
        <f ca="1">SUM(OFFSET($R$14,,(COLUMNS($H$14:J14)-1)*4,,4))</f>
        <v>144340.31182628602</v>
      </c>
      <c r="K14" s="186">
        <f ca="1">SUM(OFFSET($R$14,,(COLUMNS($H$14:K14)-1)*4,,4))</f>
        <v>144340.31182628591</v>
      </c>
      <c r="N14" s="186">
        <f>(N8*N12/31.1035*1000)</f>
        <v>24291.478450978182</v>
      </c>
      <c r="O14" s="186">
        <f>(O8*O12/31.1035*1000)</f>
        <v>28949.153632227884</v>
      </c>
      <c r="P14" s="186">
        <f>(P8*P12/31.1035*1000)</f>
        <v>34569.421447747038</v>
      </c>
      <c r="Q14" s="186">
        <f>(Q8*Q12/31.1035*1000)</f>
        <v>35000.562637645271</v>
      </c>
      <c r="R14" s="186">
        <f>(R8*R12/31.1035*1000)</f>
        <v>36532.22306171331</v>
      </c>
      <c r="S14" s="186">
        <f t="shared" ref="S14:AG14" si="3">(S8*S12/31.1035*1000)</f>
        <v>32240.101596283381</v>
      </c>
      <c r="T14" s="186">
        <f t="shared" si="3"/>
        <v>29125.982606459078</v>
      </c>
      <c r="U14" s="186">
        <f t="shared" si="3"/>
        <v>33277.926921407554</v>
      </c>
      <c r="V14" s="186">
        <f t="shared" si="3"/>
        <v>31501.277991222851</v>
      </c>
      <c r="W14" s="186">
        <f t="shared" si="3"/>
        <v>37068.818621698527</v>
      </c>
      <c r="X14" s="186">
        <f t="shared" si="3"/>
        <v>28446.959345411287</v>
      </c>
      <c r="Y14" s="186">
        <f t="shared" si="3"/>
        <v>36085.077956571513</v>
      </c>
      <c r="Z14" s="186">
        <f t="shared" si="3"/>
        <v>36085.077956571513</v>
      </c>
      <c r="AA14" s="186">
        <f t="shared" si="3"/>
        <v>36085.077956571513</v>
      </c>
      <c r="AB14" s="186">
        <f t="shared" si="3"/>
        <v>36085.077956571506</v>
      </c>
      <c r="AC14" s="186">
        <f t="shared" si="3"/>
        <v>36085.077956571506</v>
      </c>
      <c r="AD14" s="186">
        <f t="shared" si="3"/>
        <v>36085.077956571506</v>
      </c>
      <c r="AE14" s="186">
        <f t="shared" si="3"/>
        <v>36085.077956571498</v>
      </c>
      <c r="AF14" s="186">
        <f t="shared" si="3"/>
        <v>36085.077956571477</v>
      </c>
      <c r="AG14" s="186">
        <f t="shared" si="3"/>
        <v>36085.077956571433</v>
      </c>
    </row>
    <row r="15" spans="2:35">
      <c r="B15" s="156" t="s">
        <v>133</v>
      </c>
      <c r="C15" s="174" t="s">
        <v>156</v>
      </c>
      <c r="D15" s="156"/>
      <c r="E15" s="186">
        <f t="shared" ref="E15:K15" si="4">IF(E14=0,0,E14+D15)</f>
        <v>122193.32229491859</v>
      </c>
      <c r="F15" s="186">
        <f t="shared" si="4"/>
        <v>247328.75721381838</v>
      </c>
      <c r="G15" s="186">
        <f t="shared" ca="1" si="4"/>
        <v>370139.37338241673</v>
      </c>
      <c r="H15" s="186">
        <f t="shared" ca="1" si="4"/>
        <v>501315.60756828007</v>
      </c>
      <c r="I15" s="186">
        <f t="shared" ca="1" si="4"/>
        <v>634417.74148318428</v>
      </c>
      <c r="J15" s="186">
        <f t="shared" ca="1" si="4"/>
        <v>778758.0533094703</v>
      </c>
      <c r="K15" s="186">
        <f t="shared" ca="1" si="4"/>
        <v>923098.3651357562</v>
      </c>
      <c r="N15" s="186">
        <f>IF(N14=0,0,N14+M15)</f>
        <v>24291.478450978182</v>
      </c>
      <c r="O15" s="186">
        <f>IF(O14=0,0,O14+N15)</f>
        <v>53240.632083206066</v>
      </c>
      <c r="P15" s="186">
        <f>IF(P14=0,0,P14+O15)</f>
        <v>87810.053530953097</v>
      </c>
      <c r="Q15" s="186">
        <f>IF(Q14=0,0,Q14+P15)</f>
        <v>122810.61616859837</v>
      </c>
      <c r="R15" s="186">
        <f ca="1">IF(R14=0,0,R14+M15)+F14+G14</f>
        <v>284478.27414921147</v>
      </c>
      <c r="S15" s="186">
        <f ca="1">IF(S14=0,0,S14+R15)</f>
        <v>316718.37574549485</v>
      </c>
      <c r="T15" s="186">
        <f t="shared" ref="T15:AG15" ca="1" si="5">IF(T14=0,0,T14+S15)</f>
        <v>345844.35835195391</v>
      </c>
      <c r="U15" s="186">
        <f t="shared" ca="1" si="5"/>
        <v>379122.28527336149</v>
      </c>
      <c r="V15" s="186">
        <f t="shared" ca="1" si="5"/>
        <v>410623.56326458434</v>
      </c>
      <c r="W15" s="186">
        <f t="shared" ca="1" si="5"/>
        <v>447692.38188628288</v>
      </c>
      <c r="X15" s="186">
        <f t="shared" ca="1" si="5"/>
        <v>476139.34123169415</v>
      </c>
      <c r="Y15" s="186">
        <f t="shared" ca="1" si="5"/>
        <v>512224.41918826569</v>
      </c>
      <c r="Z15" s="186">
        <f t="shared" ca="1" si="5"/>
        <v>548309.49714483717</v>
      </c>
      <c r="AA15" s="186">
        <f t="shared" ca="1" si="5"/>
        <v>584394.57510140864</v>
      </c>
      <c r="AB15" s="186">
        <f t="shared" ca="1" si="5"/>
        <v>620479.65305798012</v>
      </c>
      <c r="AC15" s="186">
        <f t="shared" ca="1" si="5"/>
        <v>656564.73101455159</v>
      </c>
      <c r="AD15" s="186">
        <f t="shared" ca="1" si="5"/>
        <v>692649.80897112307</v>
      </c>
      <c r="AE15" s="186">
        <f t="shared" ca="1" si="5"/>
        <v>728734.88692769455</v>
      </c>
      <c r="AF15" s="186">
        <f t="shared" ca="1" si="5"/>
        <v>764819.96488426602</v>
      </c>
      <c r="AG15" s="186">
        <f t="shared" ca="1" si="5"/>
        <v>800905.0428408375</v>
      </c>
    </row>
    <row r="16" spans="2:35">
      <c r="C16" s="178"/>
    </row>
    <row r="17" spans="2:35">
      <c r="B17" t="s">
        <v>136</v>
      </c>
      <c r="C17" s="178" t="s">
        <v>140</v>
      </c>
      <c r="E17" s="185">
        <v>0.83</v>
      </c>
      <c r="F17" s="185">
        <v>0.82</v>
      </c>
      <c r="G17" s="185">
        <v>0.96</v>
      </c>
      <c r="H17" s="273">
        <f ca="1">AVERAGE(OFFSET($R$17,,(COLUMNS($H$17:H17)-1)*4,,4))</f>
        <v>0.7649999999999999</v>
      </c>
      <c r="I17" s="273">
        <f ca="1">AVERAGE(OFFSET($R$17,,(COLUMNS($H$17:I17)-1)*4,,4))</f>
        <v>0.65749999999999997</v>
      </c>
      <c r="J17" s="273">
        <f ca="1">AVERAGE(OFFSET($R$17,,(COLUMNS($H$17:J17)-1)*4,,4))</f>
        <v>0.65</v>
      </c>
      <c r="K17" s="273">
        <f ca="1">AVERAGE(OFFSET($R$17,,(COLUMNS($H$17:K17)-1)*4,,4))</f>
        <v>0.65</v>
      </c>
      <c r="N17" s="185">
        <v>0.8</v>
      </c>
      <c r="O17" s="185">
        <v>0.83</v>
      </c>
      <c r="P17" s="185">
        <v>0.79</v>
      </c>
      <c r="Q17" s="185">
        <v>0.84</v>
      </c>
      <c r="R17" s="185">
        <v>0.82</v>
      </c>
      <c r="S17" s="185">
        <v>0.8</v>
      </c>
      <c r="T17" s="185">
        <v>0.72</v>
      </c>
      <c r="U17" s="185">
        <v>0.72</v>
      </c>
      <c r="V17" s="185">
        <v>0.66</v>
      </c>
      <c r="W17" s="185">
        <v>0.68</v>
      </c>
      <c r="X17" s="185">
        <v>0.64</v>
      </c>
      <c r="Y17" s="187">
        <v>0.65</v>
      </c>
      <c r="Z17" s="187">
        <f>Y17</f>
        <v>0.65</v>
      </c>
      <c r="AA17" s="187">
        <f t="shared" ref="AA17:AG17" si="6">Z17</f>
        <v>0.65</v>
      </c>
      <c r="AB17" s="187">
        <f t="shared" si="6"/>
        <v>0.65</v>
      </c>
      <c r="AC17" s="187">
        <f t="shared" si="6"/>
        <v>0.65</v>
      </c>
      <c r="AD17" s="187">
        <f t="shared" si="6"/>
        <v>0.65</v>
      </c>
      <c r="AE17" s="187">
        <f t="shared" si="6"/>
        <v>0.65</v>
      </c>
      <c r="AF17" s="187">
        <f t="shared" si="6"/>
        <v>0.65</v>
      </c>
      <c r="AG17" s="187">
        <f t="shared" si="6"/>
        <v>0.65</v>
      </c>
      <c r="AI17" s="156"/>
    </row>
    <row r="18" spans="2:35">
      <c r="C18" s="178"/>
    </row>
    <row r="19" spans="2:35">
      <c r="B19" t="s">
        <v>137</v>
      </c>
      <c r="C19" s="174" t="s">
        <v>156</v>
      </c>
      <c r="E19" s="168">
        <v>97982</v>
      </c>
      <c r="F19" s="168">
        <v>108733</v>
      </c>
      <c r="G19" s="168">
        <v>205200</v>
      </c>
      <c r="H19" s="168">
        <v>154726</v>
      </c>
      <c r="I19" s="186">
        <f ca="1">SUM(OFFSET($N$19,,(COLUMNS($G$19:I19)-1)*4,,4))</f>
        <v>90652.300671771489</v>
      </c>
      <c r="J19" s="186">
        <f ca="1">SUM(OFFSET($N$19,,(COLUMNS($G$19:J19)-1)*4,,4))</f>
        <v>93821.202687085926</v>
      </c>
      <c r="K19" s="186">
        <f ca="1">SUM(OFFSET($N$19,,(COLUMNS($G$19:K19)-1)*4,,4))</f>
        <v>93821.202687085839</v>
      </c>
      <c r="N19" s="168">
        <v>22113</v>
      </c>
      <c r="O19" s="168">
        <v>21006</v>
      </c>
      <c r="P19" s="168">
        <v>26168</v>
      </c>
      <c r="Q19" s="168">
        <v>27247</v>
      </c>
      <c r="R19" s="168">
        <v>27568</v>
      </c>
      <c r="S19" s="168">
        <v>20327</v>
      </c>
      <c r="T19" s="168">
        <v>22389</v>
      </c>
      <c r="U19" s="168">
        <v>27901</v>
      </c>
      <c r="V19" s="168">
        <v>21573</v>
      </c>
      <c r="W19" s="168">
        <v>25057</v>
      </c>
      <c r="X19" s="168">
        <v>20567</v>
      </c>
      <c r="Y19" s="186">
        <f>Y14*Y17</f>
        <v>23455.300671771485</v>
      </c>
      <c r="Z19" s="186">
        <f t="shared" ref="Z19:AG19" si="7">Z14*Z17</f>
        <v>23455.300671771485</v>
      </c>
      <c r="AA19" s="186">
        <f t="shared" si="7"/>
        <v>23455.300671771485</v>
      </c>
      <c r="AB19" s="186">
        <f t="shared" si="7"/>
        <v>23455.300671771478</v>
      </c>
      <c r="AC19" s="186">
        <f t="shared" si="7"/>
        <v>23455.300671771478</v>
      </c>
      <c r="AD19" s="186">
        <f t="shared" si="7"/>
        <v>23455.300671771478</v>
      </c>
      <c r="AE19" s="186">
        <f t="shared" si="7"/>
        <v>23455.300671771474</v>
      </c>
      <c r="AF19" s="186">
        <f t="shared" si="7"/>
        <v>23455.30067177146</v>
      </c>
      <c r="AG19" s="186">
        <f t="shared" si="7"/>
        <v>23455.300671771431</v>
      </c>
    </row>
    <row r="20" spans="2:35">
      <c r="B20" s="156" t="s">
        <v>138</v>
      </c>
      <c r="C20" s="174" t="s">
        <v>156</v>
      </c>
      <c r="D20" s="156"/>
      <c r="E20" s="186">
        <f t="shared" ref="E20:K20" si="8">IF(E19=0,0,E19+D20)</f>
        <v>97982</v>
      </c>
      <c r="F20" s="186">
        <f t="shared" si="8"/>
        <v>206715</v>
      </c>
      <c r="G20" s="186">
        <f t="shared" si="8"/>
        <v>411915</v>
      </c>
      <c r="H20" s="186">
        <f t="shared" si="8"/>
        <v>566641</v>
      </c>
      <c r="I20" s="186">
        <f t="shared" ca="1" si="8"/>
        <v>657293.30067177152</v>
      </c>
      <c r="J20" s="186">
        <f t="shared" ca="1" si="8"/>
        <v>751114.50335885747</v>
      </c>
      <c r="K20" s="186">
        <f t="shared" ca="1" si="8"/>
        <v>844935.70604594331</v>
      </c>
      <c r="N20" s="186">
        <f>IF(N19=0,0,N19+M20)</f>
        <v>22113</v>
      </c>
      <c r="O20" s="186">
        <f>IF(O19=0,0,O19+N20)</f>
        <v>43119</v>
      </c>
      <c r="P20" s="186">
        <f>IF(P19=0,0,P19+O20)</f>
        <v>69287</v>
      </c>
      <c r="Q20" s="186">
        <f>IF(Q19=0,0,Q19+P20)</f>
        <v>96534</v>
      </c>
      <c r="R20" s="186">
        <f>IF(R19=0,0,R19+M20)+F19+G19</f>
        <v>341501</v>
      </c>
      <c r="S20" s="186">
        <f>IF(S19=0,0,S19+R20)</f>
        <v>361828</v>
      </c>
      <c r="T20" s="186">
        <f t="shared" ref="T20:AG20" si="9">IF(T19=0,0,T19+S20)</f>
        <v>384217</v>
      </c>
      <c r="U20" s="186">
        <f t="shared" si="9"/>
        <v>412118</v>
      </c>
      <c r="V20" s="186">
        <f t="shared" si="9"/>
        <v>433691</v>
      </c>
      <c r="W20" s="186">
        <f t="shared" si="9"/>
        <v>458748</v>
      </c>
      <c r="X20" s="186">
        <f t="shared" si="9"/>
        <v>479315</v>
      </c>
      <c r="Y20" s="186">
        <f>IF(Y19=0,0,Y19+X20)</f>
        <v>502770.30067177146</v>
      </c>
      <c r="Z20" s="186">
        <f t="shared" si="9"/>
        <v>526225.60134354292</v>
      </c>
      <c r="AA20" s="186">
        <f t="shared" si="9"/>
        <v>549680.90201531444</v>
      </c>
      <c r="AB20" s="186">
        <f t="shared" si="9"/>
        <v>573136.20268708596</v>
      </c>
      <c r="AC20" s="186">
        <f t="shared" si="9"/>
        <v>596591.50335885747</v>
      </c>
      <c r="AD20" s="186">
        <f t="shared" si="9"/>
        <v>620046.80403062899</v>
      </c>
      <c r="AE20" s="186">
        <f t="shared" si="9"/>
        <v>643502.10470240051</v>
      </c>
      <c r="AF20" s="186">
        <f t="shared" si="9"/>
        <v>666957.40537417191</v>
      </c>
      <c r="AG20" s="186">
        <f t="shared" si="9"/>
        <v>690412.70604594331</v>
      </c>
    </row>
    <row r="21" spans="2:35">
      <c r="C21" s="174"/>
    </row>
    <row r="22" spans="2:35">
      <c r="B22" s="156" t="s">
        <v>155</v>
      </c>
      <c r="C22" s="174" t="s">
        <v>156</v>
      </c>
      <c r="E22" s="168">
        <v>98570</v>
      </c>
      <c r="F22" s="168">
        <v>113061</v>
      </c>
      <c r="G22" s="168">
        <v>96615</v>
      </c>
      <c r="H22" s="168">
        <v>98313</v>
      </c>
      <c r="I22" s="186">
        <f ca="1">I19</f>
        <v>90652.300671771489</v>
      </c>
      <c r="J22" s="186">
        <f ca="1">J19</f>
        <v>93821.202687085926</v>
      </c>
      <c r="K22" s="186">
        <f ca="1">K19</f>
        <v>93821.202687085839</v>
      </c>
      <c r="N22" s="168">
        <v>23375</v>
      </c>
      <c r="O22" s="168">
        <v>20093</v>
      </c>
      <c r="P22" s="168">
        <v>25442</v>
      </c>
      <c r="Q22" s="168">
        <v>27705</v>
      </c>
      <c r="R22" s="168">
        <v>26946</v>
      </c>
      <c r="S22" s="168">
        <v>21184</v>
      </c>
      <c r="T22" s="168">
        <v>23324</v>
      </c>
      <c r="U22" s="168">
        <v>26859</v>
      </c>
      <c r="V22" s="168">
        <v>22396</v>
      </c>
      <c r="W22" s="168">
        <v>25615</v>
      </c>
      <c r="X22" s="168">
        <v>20693</v>
      </c>
      <c r="Y22" s="168">
        <f>Y19</f>
        <v>23455.300671771485</v>
      </c>
      <c r="Z22" s="168">
        <f>Z19</f>
        <v>23455.300671771485</v>
      </c>
      <c r="AA22" s="168">
        <f t="shared" ref="AA22:AG22" si="10">AA19</f>
        <v>23455.300671771485</v>
      </c>
      <c r="AB22" s="168">
        <f t="shared" si="10"/>
        <v>23455.300671771478</v>
      </c>
      <c r="AC22" s="168">
        <f t="shared" si="10"/>
        <v>23455.300671771478</v>
      </c>
      <c r="AD22" s="168">
        <f t="shared" si="10"/>
        <v>23455.300671771478</v>
      </c>
      <c r="AE22" s="168">
        <f t="shared" si="10"/>
        <v>23455.300671771474</v>
      </c>
      <c r="AF22" s="168">
        <f t="shared" si="10"/>
        <v>23455.30067177146</v>
      </c>
      <c r="AG22" s="168">
        <f t="shared" si="10"/>
        <v>23455.300671771431</v>
      </c>
    </row>
    <row r="24" spans="2:35" ht="18">
      <c r="B24" s="158" t="s">
        <v>142</v>
      </c>
      <c r="C24" s="174"/>
      <c r="H24" s="168"/>
      <c r="I24" s="186"/>
      <c r="J24" s="186"/>
      <c r="K24" s="186"/>
    </row>
    <row r="26" spans="2:35">
      <c r="B26" t="s">
        <v>141</v>
      </c>
      <c r="C26" s="156" t="s">
        <v>187</v>
      </c>
      <c r="G26" s="228">
        <f>Assumptions!E11</f>
        <v>1393</v>
      </c>
      <c r="H26" s="228">
        <f>Assumptions!F11</f>
        <v>1772</v>
      </c>
      <c r="I26" s="228">
        <f>Assumptions!G11</f>
        <v>1799</v>
      </c>
      <c r="J26" s="228">
        <f ca="1">Assumptions!H11</f>
        <v>2087.5</v>
      </c>
      <c r="K26" s="228">
        <f ca="1">Assumptions!I11</f>
        <v>2025</v>
      </c>
      <c r="R26" s="267">
        <f>Assumptions!O11</f>
        <v>1577</v>
      </c>
      <c r="S26" s="267">
        <f>Assumptions!P11</f>
        <v>1780</v>
      </c>
      <c r="T26" s="267">
        <f>Assumptions!Q11</f>
        <v>1885</v>
      </c>
      <c r="U26" s="267">
        <f>Assumptions!R11</f>
        <v>1898</v>
      </c>
      <c r="V26" s="267">
        <f>Assumptions!S11</f>
        <v>1707</v>
      </c>
      <c r="W26" s="267">
        <f>Assumptions!T11</f>
        <v>1770</v>
      </c>
      <c r="X26" s="267">
        <f>Assumptions!U11</f>
        <v>1756</v>
      </c>
      <c r="Y26" s="267">
        <f>Assumptions!V11</f>
        <v>1829</v>
      </c>
      <c r="Z26" s="267">
        <f ca="1">Assumptions!W11</f>
        <v>2050</v>
      </c>
      <c r="AA26" s="267">
        <f ca="1">Assumptions!X11</f>
        <v>2100</v>
      </c>
      <c r="AB26" s="267">
        <f ca="1">Assumptions!Y11</f>
        <v>2100</v>
      </c>
      <c r="AC26" s="267">
        <f ca="1">Assumptions!Z11</f>
        <v>2100</v>
      </c>
      <c r="AD26" s="267">
        <f ca="1">Assumptions!AA11</f>
        <v>2050</v>
      </c>
      <c r="AE26" s="267">
        <f ca="1">Assumptions!AB11</f>
        <v>2050</v>
      </c>
      <c r="AF26" s="267">
        <f ca="1">Assumptions!AC11</f>
        <v>2000</v>
      </c>
      <c r="AG26" s="267">
        <f ca="1">Assumptions!AD11</f>
        <v>2000</v>
      </c>
    </row>
    <row r="28" spans="2:35">
      <c r="B28" s="188" t="s">
        <v>7</v>
      </c>
      <c r="C28" s="244" t="s">
        <v>161</v>
      </c>
      <c r="D28" s="188"/>
      <c r="E28" s="296">
        <v>98570</v>
      </c>
      <c r="F28" s="296">
        <v>113061</v>
      </c>
      <c r="G28" s="266">
        <f ca="1">SUM(OFFSET($N$28,,(COLUMNS(G$28:$G28)-1)*4,,4))</f>
        <v>111185</v>
      </c>
      <c r="H28" s="266">
        <f ca="1">SUM(OFFSET($N$28,,(COLUMNS($G$28:H28)-1)*4,,4))</f>
        <v>145211</v>
      </c>
      <c r="I28" s="266">
        <f ca="1">SUM(OFFSET($N$28,,(COLUMNS($G$28:I28)-1)*4,,4))</f>
        <v>156315.74492867006</v>
      </c>
      <c r="J28" s="266">
        <f ca="1">SUM(OFFSET($N$28,,(COLUMNS($G$28:J28)-1)*4,,4))</f>
        <v>195851.7606092919</v>
      </c>
      <c r="K28" s="266">
        <f ca="1">SUM(OFFSET($N$28,,(COLUMNS($G$28:K28)-1)*4,,4))</f>
        <v>189987.93544134882</v>
      </c>
      <c r="N28" s="278">
        <v>24273</v>
      </c>
      <c r="O28" s="278">
        <v>21042</v>
      </c>
      <c r="P28" s="278">
        <v>31329</v>
      </c>
      <c r="Q28" s="278">
        <v>34541</v>
      </c>
      <c r="R28" s="278">
        <v>36762</v>
      </c>
      <c r="S28" s="278">
        <v>29973</v>
      </c>
      <c r="T28" s="245">
        <v>35844</v>
      </c>
      <c r="U28" s="245">
        <v>42632</v>
      </c>
      <c r="V28" s="245">
        <v>34800</v>
      </c>
      <c r="W28" s="245">
        <v>44283</v>
      </c>
      <c r="X28" s="245">
        <v>34333</v>
      </c>
      <c r="Y28" s="266">
        <f>Y22*Y26/1000</f>
        <v>42899.74492867005</v>
      </c>
      <c r="Z28" s="266">
        <f ca="1">Z22*Z26/1000</f>
        <v>48083.366377131541</v>
      </c>
      <c r="AA28" s="266">
        <f t="shared" ref="AA28:AG28" ca="1" si="11">AA22*AA26/1000</f>
        <v>49256.131410720118</v>
      </c>
      <c r="AB28" s="266">
        <f t="shared" ca="1" si="11"/>
        <v>49256.131410720103</v>
      </c>
      <c r="AC28" s="266">
        <f t="shared" ca="1" si="11"/>
        <v>49256.131410720103</v>
      </c>
      <c r="AD28" s="266">
        <f t="shared" ca="1" si="11"/>
        <v>48083.366377131526</v>
      </c>
      <c r="AE28" s="266">
        <f t="shared" ca="1" si="11"/>
        <v>48083.366377131519</v>
      </c>
      <c r="AF28" s="266">
        <f t="shared" ca="1" si="11"/>
        <v>46910.601343542919</v>
      </c>
      <c r="AG28" s="266">
        <f t="shared" ca="1" si="11"/>
        <v>46910.601343542861</v>
      </c>
    </row>
    <row r="29" spans="2:35">
      <c r="B29" s="156" t="s">
        <v>162</v>
      </c>
      <c r="C29" s="196" t="s">
        <v>161</v>
      </c>
      <c r="E29" s="295">
        <v>-69385</v>
      </c>
      <c r="F29" s="295">
        <v>-76287</v>
      </c>
      <c r="G29" s="89">
        <f ca="1">SUM(OFFSET($N$29,,(COLUMNS(G$29:$G29)-1)*4,,4))</f>
        <v>-79694</v>
      </c>
      <c r="H29" s="89">
        <f ca="1">SUM(OFFSET($R$29,,(COLUMNS($H$28:H29)-1)*4,,4))</f>
        <v>-100381</v>
      </c>
      <c r="I29" s="89">
        <f ca="1">SUM(OFFSET($R$29,,(COLUMNS($H$28:I29)-1)*4,,4))</f>
        <v>-102759.4</v>
      </c>
      <c r="J29" s="89">
        <f ca="1">SUM(OFFSET($R$29,,(COLUMNS($H$28:J29)-1)*4,,4))</f>
        <v>-106935.69710224165</v>
      </c>
      <c r="K29" s="89">
        <f ca="1">SUM(OFFSET($R$29,,(COLUMNS($H$28:K29)-1)*4,,4))</f>
        <v>-103734.02952433012</v>
      </c>
      <c r="N29" s="198">
        <v>-24412</v>
      </c>
      <c r="O29" s="198">
        <v>-16617</v>
      </c>
      <c r="P29" s="198">
        <v>-17407</v>
      </c>
      <c r="Q29" s="198">
        <f>-18197-3061</f>
        <v>-21258</v>
      </c>
      <c r="R29" s="198">
        <v>-18759</v>
      </c>
      <c r="S29" s="198">
        <v>-15296</v>
      </c>
      <c r="T29" s="198">
        <v>-20077</v>
      </c>
      <c r="U29" s="198">
        <f>-29624-16625</f>
        <v>-46249</v>
      </c>
      <c r="V29" s="198">
        <v>-26172</v>
      </c>
      <c r="W29" s="198">
        <v>-27138</v>
      </c>
      <c r="X29" s="198">
        <v>-26026</v>
      </c>
      <c r="Y29" s="89">
        <f>IF(Y31=0,(-X29/X28)*-Y28,X29*(1+Y31))</f>
        <v>-23423.4</v>
      </c>
      <c r="Z29" s="89">
        <f ca="1">IF(Z31=0,(-Y29/Y28)*-Z28,Y29*(1+Z31))</f>
        <v>-26253.674138873699</v>
      </c>
      <c r="AA29" s="89">
        <f t="shared" ref="AA29:AG29" ca="1" si="12">IF(AA31=0,(-Z29/Z28)*-AA28,Z29*(1+AA31))</f>
        <v>-26894.007654455985</v>
      </c>
      <c r="AB29" s="89">
        <f t="shared" ca="1" si="12"/>
        <v>-26894.007654455978</v>
      </c>
      <c r="AC29" s="89">
        <f t="shared" ca="1" si="12"/>
        <v>-26894.007654455978</v>
      </c>
      <c r="AD29" s="89">
        <f t="shared" ca="1" si="12"/>
        <v>-26253.674138873692</v>
      </c>
      <c r="AE29" s="89">
        <f t="shared" ca="1" si="12"/>
        <v>-26253.674138873688</v>
      </c>
      <c r="AF29" s="89">
        <f t="shared" ca="1" si="12"/>
        <v>-25613.340623291388</v>
      </c>
      <c r="AG29" s="89">
        <f t="shared" ca="1" si="12"/>
        <v>-25613.340623291355</v>
      </c>
    </row>
    <row r="30" spans="2:35">
      <c r="B30" s="242" t="s">
        <v>223</v>
      </c>
      <c r="C30" s="196" t="s">
        <v>140</v>
      </c>
      <c r="G30" s="274">
        <f ca="1">G29/F29-1</f>
        <v>4.4660295987520859E-2</v>
      </c>
      <c r="H30" s="274">
        <f ca="1">H29/G29-1</f>
        <v>0.25958039501091679</v>
      </c>
      <c r="I30" s="274">
        <f ca="1">I29/H29-1</f>
        <v>2.3693726900509082E-2</v>
      </c>
      <c r="J30" s="274">
        <f ca="1">J29/I29-1</f>
        <v>4.0641509217080429E-2</v>
      </c>
      <c r="K30" s="274">
        <f ca="1">K29/J29-1</f>
        <v>-2.9940119760480055E-2</v>
      </c>
      <c r="R30" s="259">
        <f t="shared" ref="R30:AG30" si="13">R29/N29-1</f>
        <v>-0.23156644273308213</v>
      </c>
      <c r="S30" s="259">
        <f t="shared" si="13"/>
        <v>-7.9496900764277512E-2</v>
      </c>
      <c r="T30" s="259">
        <f t="shared" si="13"/>
        <v>0.15338656862181876</v>
      </c>
      <c r="U30" s="259">
        <f t="shared" si="13"/>
        <v>1.1756044783140465</v>
      </c>
      <c r="V30" s="259">
        <f t="shared" si="13"/>
        <v>0.39517031824724125</v>
      </c>
      <c r="W30" s="259">
        <f t="shared" si="13"/>
        <v>0.77418933054393313</v>
      </c>
      <c r="X30" s="259">
        <f t="shared" si="13"/>
        <v>0.29630920954325846</v>
      </c>
      <c r="Y30" s="259">
        <f t="shared" si="13"/>
        <v>-0.49353715756016348</v>
      </c>
      <c r="Z30" s="259">
        <f t="shared" ca="1" si="13"/>
        <v>3.1206686104883197E-3</v>
      </c>
      <c r="AA30" s="259">
        <f t="shared" ca="1" si="13"/>
        <v>-8.9908005580372485E-3</v>
      </c>
      <c r="AB30" s="259">
        <f t="shared" ca="1" si="13"/>
        <v>3.3351558228539746E-2</v>
      </c>
      <c r="AC30" s="259">
        <f t="shared" ca="1" si="13"/>
        <v>0.14816839803171078</v>
      </c>
      <c r="AD30" s="259">
        <f t="shared" ca="1" si="13"/>
        <v>0</v>
      </c>
      <c r="AE30" s="259">
        <f t="shared" ca="1" si="13"/>
        <v>-2.380952380952428E-2</v>
      </c>
      <c r="AF30" s="259">
        <f t="shared" ca="1" si="13"/>
        <v>-4.7619047619048338E-2</v>
      </c>
      <c r="AG30" s="259">
        <f t="shared" ca="1" si="13"/>
        <v>-4.7619047619049559E-2</v>
      </c>
    </row>
    <row r="31" spans="2:35">
      <c r="B31" s="242" t="s">
        <v>240</v>
      </c>
      <c r="C31" s="159" t="s">
        <v>140</v>
      </c>
      <c r="Y31" s="275">
        <v>-0.1</v>
      </c>
      <c r="Z31" s="276"/>
      <c r="AA31" s="276"/>
      <c r="AB31" s="276"/>
      <c r="AC31" s="285"/>
    </row>
    <row r="32" spans="2:35">
      <c r="B32" s="243" t="s">
        <v>178</v>
      </c>
      <c r="C32" s="156" t="s">
        <v>140</v>
      </c>
      <c r="E32" s="240">
        <f>-E33/E28</f>
        <v>7.7031551181901192E-2</v>
      </c>
      <c r="F32" s="240">
        <f>-F33/F28</f>
        <v>7.3721265511538014E-2</v>
      </c>
      <c r="G32" s="240">
        <f ca="1">AVERAGE(OFFSET($N$32,,(COLUMNS(G$32:$G32)-1)*4,,4))</f>
        <v>7.8005024324615285E-2</v>
      </c>
      <c r="H32" s="240">
        <f ca="1">AVERAGE(OFFSET($N$32,,(COLUMNS($G$32:H32)-1)*4,,4))</f>
        <v>9.2526009533693832E-2</v>
      </c>
      <c r="I32" s="240">
        <f ca="1">AVERAGE(OFFSET($N$32,,(COLUMNS($G$32:I32)-1)*4,,4))</f>
        <v>9.2080128896243674E-2</v>
      </c>
      <c r="J32" s="240">
        <f ca="1">AVERAGE(OFFSET($N$32,,(COLUMNS($G$32:J32)-1)*4,,4))</f>
        <v>9.5000000000000001E-2</v>
      </c>
      <c r="K32" s="240">
        <f ca="1">AVERAGE(OFFSET($N$32,,(COLUMNS($G$32:K32)-1)*4,,4))</f>
        <v>9.5000000000000001E-2</v>
      </c>
      <c r="N32" s="240">
        <f t="shared" ref="N32:S32" si="14">-N33/N28</f>
        <v>7.4650846619700909E-2</v>
      </c>
      <c r="O32" s="240">
        <f t="shared" si="14"/>
        <v>8.6588727307290184E-2</v>
      </c>
      <c r="P32" s="240">
        <f t="shared" si="14"/>
        <v>7.7244725334354752E-2</v>
      </c>
      <c r="Q32" s="240">
        <f t="shared" si="14"/>
        <v>7.353579803711531E-2</v>
      </c>
      <c r="R32" s="240">
        <f t="shared" si="14"/>
        <v>8.8433708720961859E-2</v>
      </c>
      <c r="S32" s="240">
        <f t="shared" si="14"/>
        <v>9.4351583091448976E-2</v>
      </c>
      <c r="T32" s="240">
        <f>-T33/T28</f>
        <v>9.5134471599151879E-2</v>
      </c>
      <c r="U32" s="240">
        <f>-U33/U28</f>
        <v>9.2184274723212611E-2</v>
      </c>
      <c r="V32" s="240">
        <f>-V33/V28</f>
        <v>9.4971264367816097E-2</v>
      </c>
      <c r="W32" s="240">
        <f>-W33/W28</f>
        <v>8.7008558589074816E-2</v>
      </c>
      <c r="X32" s="240">
        <f>-X33/X28</f>
        <v>9.1340692628083767E-2</v>
      </c>
      <c r="Y32" s="241">
        <v>9.5000000000000001E-2</v>
      </c>
      <c r="Z32" s="241">
        <v>9.5000000000000001E-2</v>
      </c>
      <c r="AA32" s="241">
        <v>9.5000000000000001E-2</v>
      </c>
      <c r="AB32" s="241">
        <v>9.5000000000000001E-2</v>
      </c>
      <c r="AC32" s="241">
        <v>9.5000000000000001E-2</v>
      </c>
      <c r="AD32" s="241">
        <v>9.5000000000000001E-2</v>
      </c>
      <c r="AE32" s="241">
        <v>9.5000000000000001E-2</v>
      </c>
      <c r="AF32" s="241">
        <v>9.5000000000000001E-2</v>
      </c>
      <c r="AG32" s="241">
        <v>9.5000000000000001E-2</v>
      </c>
      <c r="AI32" s="156"/>
    </row>
    <row r="33" spans="2:33">
      <c r="B33" s="156" t="s">
        <v>179</v>
      </c>
      <c r="C33" s="196" t="s">
        <v>161</v>
      </c>
      <c r="E33" s="294">
        <v>-7593</v>
      </c>
      <c r="F33" s="294">
        <v>-8335</v>
      </c>
      <c r="G33" s="254">
        <f ca="1">SUM(OFFSET($N$33,,(COLUMNS(G$33:$G33)-1)*4,,4))</f>
        <v>-8594</v>
      </c>
      <c r="H33" s="254">
        <f ca="1">SUM(OFFSET($N$33,,(COLUMNS($G$33:H33)-1)*4,,4))</f>
        <v>-13419</v>
      </c>
      <c r="I33" s="254">
        <f ca="1">SUM(OFFSET($N$33,,(COLUMNS($G$33:I33)-1)*4,,4))</f>
        <v>-14369.475768223656</v>
      </c>
      <c r="J33" s="254">
        <f ca="1">SUM(OFFSET($N$33,,(COLUMNS($G$33:J33)-1)*4,,4))</f>
        <v>-18605.917257882727</v>
      </c>
      <c r="K33" s="254">
        <f ca="1">SUM(OFFSET($N$33,,(COLUMNS($G$33:K33)-1)*4,,4))</f>
        <v>-18048.853866928137</v>
      </c>
      <c r="N33" s="198">
        <v>-1812</v>
      </c>
      <c r="O33" s="198">
        <v>-1822</v>
      </c>
      <c r="P33" s="198">
        <v>-2420</v>
      </c>
      <c r="Q33" s="198">
        <v>-2540</v>
      </c>
      <c r="R33" s="198">
        <v>-3251</v>
      </c>
      <c r="S33" s="198">
        <v>-2828</v>
      </c>
      <c r="T33" s="198">
        <v>-3410</v>
      </c>
      <c r="U33" s="198">
        <v>-3930</v>
      </c>
      <c r="V33" s="198">
        <v>-3305</v>
      </c>
      <c r="W33" s="198">
        <v>-3853</v>
      </c>
      <c r="X33" s="198">
        <v>-3136</v>
      </c>
      <c r="Y33" s="89">
        <f>-Y28*Y32</f>
        <v>-4075.475768223655</v>
      </c>
      <c r="Z33" s="89">
        <f t="shared" ref="Z33:AG33" ca="1" si="15">-Z28*Z32</f>
        <v>-4567.919805827496</v>
      </c>
      <c r="AA33" s="89">
        <f t="shared" ca="1" si="15"/>
        <v>-4679.3324840184114</v>
      </c>
      <c r="AB33" s="89">
        <f t="shared" ca="1" si="15"/>
        <v>-4679.3324840184096</v>
      </c>
      <c r="AC33" s="89">
        <f t="shared" ca="1" si="15"/>
        <v>-4679.3324840184096</v>
      </c>
      <c r="AD33" s="89">
        <f t="shared" ca="1" si="15"/>
        <v>-4567.9198058274951</v>
      </c>
      <c r="AE33" s="89">
        <f t="shared" ca="1" si="15"/>
        <v>-4567.9198058274942</v>
      </c>
      <c r="AF33" s="89">
        <f t="shared" ca="1" si="15"/>
        <v>-4456.507127636577</v>
      </c>
      <c r="AG33" s="89">
        <f t="shared" ca="1" si="15"/>
        <v>-4456.5071276365716</v>
      </c>
    </row>
    <row r="34" spans="2:33">
      <c r="B34" s="156" t="s">
        <v>180</v>
      </c>
      <c r="C34" s="196" t="s">
        <v>161</v>
      </c>
      <c r="E34" s="294">
        <v>1081</v>
      </c>
      <c r="F34" s="294">
        <v>26669</v>
      </c>
      <c r="G34" s="254">
        <f ca="1">SUM(OFFSET($N$34,,(COLUMNS(G$34:$G34)-1)*4,,4))</f>
        <v>4032</v>
      </c>
      <c r="H34" s="254">
        <f ca="1">SUM(OFFSET($R$34,,(COLUMNS($H$34:H34)-1)*4,,4))</f>
        <v>19842</v>
      </c>
      <c r="I34" s="254">
        <f ca="1">SUM(OFFSET($R$34,,(COLUMNS($H$34:I34)-1)*4,,4))</f>
        <v>1624</v>
      </c>
      <c r="J34" s="254">
        <f ca="1">SUM(OFFSET($R$34,,(COLUMNS($H$34:J34)-1)*4,,4))</f>
        <v>4000</v>
      </c>
      <c r="K34" s="254">
        <f ca="1">SUM(OFFSET($R$34,,(COLUMNS($H$34:K34)-1)*4,,4))</f>
        <v>4000</v>
      </c>
      <c r="N34" s="198">
        <v>4521</v>
      </c>
      <c r="O34" s="198">
        <v>-1507</v>
      </c>
      <c r="P34" s="198">
        <v>-2044</v>
      </c>
      <c r="Q34" s="198">
        <v>3062</v>
      </c>
      <c r="R34" s="198">
        <v>-696</v>
      </c>
      <c r="S34" s="198">
        <v>-17</v>
      </c>
      <c r="T34" s="198">
        <v>0</v>
      </c>
      <c r="U34" s="198">
        <v>20555</v>
      </c>
      <c r="V34" s="198">
        <v>0</v>
      </c>
      <c r="W34" s="198">
        <v>624</v>
      </c>
      <c r="X34" s="268">
        <v>0</v>
      </c>
      <c r="Y34" s="268">
        <v>1000</v>
      </c>
      <c r="Z34" s="268">
        <f t="shared" ref="Z34:AG34" si="16">Y34</f>
        <v>1000</v>
      </c>
      <c r="AA34" s="268">
        <f t="shared" si="16"/>
        <v>1000</v>
      </c>
      <c r="AB34" s="268">
        <f t="shared" si="16"/>
        <v>1000</v>
      </c>
      <c r="AC34" s="268">
        <f t="shared" si="16"/>
        <v>1000</v>
      </c>
      <c r="AD34" s="268">
        <f t="shared" si="16"/>
        <v>1000</v>
      </c>
      <c r="AE34" s="268">
        <f t="shared" si="16"/>
        <v>1000</v>
      </c>
      <c r="AF34" s="268">
        <f t="shared" si="16"/>
        <v>1000</v>
      </c>
      <c r="AG34" s="268">
        <f t="shared" si="16"/>
        <v>1000</v>
      </c>
    </row>
    <row r="35" spans="2:33">
      <c r="B35" s="164" t="s">
        <v>181</v>
      </c>
      <c r="C35" s="244" t="s">
        <v>161</v>
      </c>
      <c r="D35" s="188"/>
      <c r="E35" s="246">
        <f t="shared" ref="E35:K35" si="17">E29+E33+E34</f>
        <v>-75897</v>
      </c>
      <c r="F35" s="246">
        <f t="shared" si="17"/>
        <v>-57953</v>
      </c>
      <c r="G35" s="246">
        <f t="shared" ca="1" si="17"/>
        <v>-84256</v>
      </c>
      <c r="H35" s="246">
        <f t="shared" ca="1" si="17"/>
        <v>-93958</v>
      </c>
      <c r="I35" s="246">
        <f t="shared" ca="1" si="17"/>
        <v>-115504.87576822365</v>
      </c>
      <c r="J35" s="246">
        <f t="shared" ca="1" si="17"/>
        <v>-121541.61436012438</v>
      </c>
      <c r="K35" s="246">
        <f t="shared" ca="1" si="17"/>
        <v>-117782.88339125826</v>
      </c>
      <c r="N35" s="246">
        <f>N29+N33+N34</f>
        <v>-21703</v>
      </c>
      <c r="O35" s="246">
        <f t="shared" ref="O35:S35" si="18">O29+O33+O34</f>
        <v>-19946</v>
      </c>
      <c r="P35" s="246">
        <f t="shared" si="18"/>
        <v>-21871</v>
      </c>
      <c r="Q35" s="246">
        <f t="shared" si="18"/>
        <v>-20736</v>
      </c>
      <c r="R35" s="246">
        <f t="shared" si="18"/>
        <v>-22706</v>
      </c>
      <c r="S35" s="246">
        <f t="shared" si="18"/>
        <v>-18141</v>
      </c>
      <c r="T35" s="246">
        <f t="shared" ref="T35:Y35" si="19">T29+T33+T34</f>
        <v>-23487</v>
      </c>
      <c r="U35" s="246">
        <f t="shared" si="19"/>
        <v>-29624</v>
      </c>
      <c r="V35" s="246">
        <f t="shared" si="19"/>
        <v>-29477</v>
      </c>
      <c r="W35" s="246">
        <f t="shared" si="19"/>
        <v>-30367</v>
      </c>
      <c r="X35" s="246">
        <f t="shared" si="19"/>
        <v>-29162</v>
      </c>
      <c r="Y35" s="246">
        <f t="shared" si="19"/>
        <v>-26498.875768223657</v>
      </c>
      <c r="Z35" s="246">
        <f t="shared" ref="Z35:AG35" ca="1" si="20">Z29+Z33+Z34</f>
        <v>-29821.593944701195</v>
      </c>
      <c r="AA35" s="246">
        <f t="shared" ca="1" si="20"/>
        <v>-30573.340138474396</v>
      </c>
      <c r="AB35" s="246">
        <f t="shared" ca="1" si="20"/>
        <v>-30573.340138474388</v>
      </c>
      <c r="AC35" s="246">
        <f t="shared" ca="1" si="20"/>
        <v>-30573.340138474388</v>
      </c>
      <c r="AD35" s="246">
        <f t="shared" ca="1" si="20"/>
        <v>-29821.593944701188</v>
      </c>
      <c r="AE35" s="246">
        <f t="shared" ca="1" si="20"/>
        <v>-29821.593944701184</v>
      </c>
      <c r="AF35" s="246">
        <f t="shared" ca="1" si="20"/>
        <v>-29069.847750927966</v>
      </c>
      <c r="AG35" s="246">
        <f t="shared" ca="1" si="20"/>
        <v>-29069.847750927926</v>
      </c>
    </row>
    <row r="36" spans="2:33">
      <c r="B36" s="164" t="s">
        <v>19</v>
      </c>
      <c r="C36" s="244" t="s">
        <v>161</v>
      </c>
      <c r="D36" s="188"/>
      <c r="E36" s="246">
        <v>-24236</v>
      </c>
      <c r="F36" s="246">
        <v>-39852</v>
      </c>
      <c r="G36" s="246">
        <f ca="1">SUM(OFFSET($N$36,,(COLUMNS($G$36:G36)-1)*4,,4))</f>
        <v>-47225</v>
      </c>
      <c r="H36" s="246">
        <f ca="1">SUM(OFFSET($N$36,,(COLUMNS($G$36:H36)-1)*4,,4))</f>
        <v>-58729</v>
      </c>
      <c r="I36" s="246">
        <f ca="1">SUM(OFFSET($N$36,,(COLUMNS($G$36:I36)-1)*4,,4))</f>
        <v>-51250.415369474315</v>
      </c>
      <c r="J36" s="246">
        <f ca="1">SUM(OFFSET($N$36,,(COLUMNS($G$36:J36)-1)*4,,4))</f>
        <v>-44565.071276365808</v>
      </c>
      <c r="K36" s="246">
        <f ca="1">SUM(OFFSET($N$36,,(COLUMNS($G$36:K36)-1)*4,,4))</f>
        <v>-30491.890873302898</v>
      </c>
      <c r="N36" s="329">
        <v>-10954</v>
      </c>
      <c r="O36" s="329">
        <v>-11564</v>
      </c>
      <c r="P36" s="329">
        <v>-14369</v>
      </c>
      <c r="Q36" s="329">
        <f>-47225-SUM(N36:P36)</f>
        <v>-10338</v>
      </c>
      <c r="R36" s="329">
        <v>-13668</v>
      </c>
      <c r="S36" s="329">
        <v>-11318</v>
      </c>
      <c r="T36" s="329">
        <v>-14904</v>
      </c>
      <c r="U36" s="329">
        <f>-58729-SUM(R36:T36)</f>
        <v>-18839</v>
      </c>
      <c r="V36" s="294">
        <v>-14494</v>
      </c>
      <c r="W36" s="294">
        <v>-13099</v>
      </c>
      <c r="X36" s="294">
        <v>-10757</v>
      </c>
      <c r="Y36" s="89">
        <f>-Y51*Y$19/10^3</f>
        <v>-12900.415369474316</v>
      </c>
      <c r="Z36" s="254">
        <f t="shared" ref="Z36:AG36" si="21">-Z51*Z$19/10^3</f>
        <v>-12900.415369474316</v>
      </c>
      <c r="AA36" s="254">
        <f t="shared" si="21"/>
        <v>-12900.415369474316</v>
      </c>
      <c r="AB36" s="254">
        <f t="shared" si="21"/>
        <v>-9382.1202687085897</v>
      </c>
      <c r="AC36" s="254">
        <f t="shared" si="21"/>
        <v>-9382.1202687085897</v>
      </c>
      <c r="AD36" s="254">
        <f t="shared" si="21"/>
        <v>-9382.1202687085897</v>
      </c>
      <c r="AE36" s="254">
        <f t="shared" si="21"/>
        <v>-7036.5902015314423</v>
      </c>
      <c r="AF36" s="254">
        <f t="shared" si="21"/>
        <v>-7036.5902015314377</v>
      </c>
      <c r="AG36" s="254">
        <f t="shared" si="21"/>
        <v>-7036.5902015314286</v>
      </c>
    </row>
    <row r="37" spans="2:33">
      <c r="B37" s="247" t="s">
        <v>17</v>
      </c>
      <c r="C37" s="248" t="s">
        <v>161</v>
      </c>
      <c r="D37" s="249"/>
      <c r="E37" s="250">
        <f>E28+E35+E36</f>
        <v>-1563</v>
      </c>
      <c r="F37" s="250">
        <f t="shared" ref="F37:K37" si="22">F28+F35+F36</f>
        <v>15256</v>
      </c>
      <c r="G37" s="250">
        <f t="shared" ca="1" si="22"/>
        <v>-20296</v>
      </c>
      <c r="H37" s="250">
        <f t="shared" ca="1" si="22"/>
        <v>-7476</v>
      </c>
      <c r="I37" s="250">
        <f t="shared" ca="1" si="22"/>
        <v>-10439.546209027903</v>
      </c>
      <c r="J37" s="250">
        <f t="shared" ca="1" si="22"/>
        <v>29745.074972801711</v>
      </c>
      <c r="K37" s="250">
        <f t="shared" ca="1" si="22"/>
        <v>41713.16117678766</v>
      </c>
      <c r="N37" s="266">
        <f t="shared" ref="N37:S37" si="23">N28+N35</f>
        <v>2570</v>
      </c>
      <c r="O37" s="266">
        <f t="shared" si="23"/>
        <v>1096</v>
      </c>
      <c r="P37" s="266">
        <f t="shared" si="23"/>
        <v>9458</v>
      </c>
      <c r="Q37" s="266">
        <f t="shared" si="23"/>
        <v>13805</v>
      </c>
      <c r="R37" s="266">
        <f t="shared" si="23"/>
        <v>14056</v>
      </c>
      <c r="S37" s="266">
        <f t="shared" si="23"/>
        <v>11832</v>
      </c>
      <c r="T37" s="266">
        <f t="shared" ref="T37:Y37" si="24">T28+T35</f>
        <v>12357</v>
      </c>
      <c r="U37" s="266">
        <f t="shared" si="24"/>
        <v>13008</v>
      </c>
      <c r="V37" s="195">
        <f t="shared" si="24"/>
        <v>5323</v>
      </c>
      <c r="W37" s="195">
        <f t="shared" si="24"/>
        <v>13916</v>
      </c>
      <c r="X37" s="195">
        <f t="shared" si="24"/>
        <v>5171</v>
      </c>
      <c r="Y37" s="195">
        <f t="shared" si="24"/>
        <v>16400.869160446393</v>
      </c>
      <c r="Z37" s="195">
        <f t="shared" ref="Z37:AG37" ca="1" si="25">Z28+Z35</f>
        <v>18261.772432430345</v>
      </c>
      <c r="AA37" s="195">
        <f t="shared" ca="1" si="25"/>
        <v>18682.791272245722</v>
      </c>
      <c r="AB37" s="195">
        <f t="shared" ca="1" si="25"/>
        <v>18682.791272245715</v>
      </c>
      <c r="AC37" s="195">
        <f t="shared" ca="1" si="25"/>
        <v>18682.791272245715</v>
      </c>
      <c r="AD37" s="195">
        <f t="shared" ca="1" si="25"/>
        <v>18261.772432430338</v>
      </c>
      <c r="AE37" s="195">
        <f t="shared" ca="1" si="25"/>
        <v>18261.772432430334</v>
      </c>
      <c r="AF37" s="195">
        <f t="shared" ca="1" si="25"/>
        <v>17840.753592614954</v>
      </c>
      <c r="AG37" s="195">
        <f t="shared" ca="1" si="25"/>
        <v>17840.753592614936</v>
      </c>
    </row>
    <row r="38" spans="2:33">
      <c r="B38" s="174" t="s">
        <v>76</v>
      </c>
      <c r="C38" s="196" t="s">
        <v>161</v>
      </c>
      <c r="E38" s="294">
        <v>-3834</v>
      </c>
      <c r="F38" s="294">
        <v>-3385</v>
      </c>
      <c r="G38" s="254">
        <f ca="1">SUM(OFFSET($N$38,,(COLUMNS(G$38:$G38)-1)*4,,4))</f>
        <v>-2994</v>
      </c>
      <c r="H38" s="89">
        <f ca="1">SUM(OFFSET($R$38,,(COLUMNS($H$38:H38)-1)*4,,4))</f>
        <v>-4995</v>
      </c>
      <c r="I38" s="89">
        <f ca="1">SUM(OFFSET($R$38,,(COLUMNS($H$38:I38)-1)*4,,4))</f>
        <v>-1000</v>
      </c>
      <c r="J38" s="89">
        <f ca="1">SUM(OFFSET($R$38,,(COLUMNS($H$38:J38)-1)*4,,4))</f>
        <v>-2814.6360806125781</v>
      </c>
      <c r="K38" s="89">
        <f ca="1">SUM(OFFSET($R$38,,(COLUMNS($H$38:K38)-1)*4,,4))</f>
        <v>-2110.9770604594328</v>
      </c>
      <c r="N38" s="198">
        <v>-671</v>
      </c>
      <c r="O38" s="198">
        <v>-1087</v>
      </c>
      <c r="P38" s="198">
        <v>-1043</v>
      </c>
      <c r="Q38" s="198">
        <v>-193</v>
      </c>
      <c r="R38" s="198">
        <v>-639</v>
      </c>
      <c r="S38" s="198">
        <v>-2028</v>
      </c>
      <c r="T38" s="198">
        <v>-1535</v>
      </c>
      <c r="U38" s="198">
        <v>-793</v>
      </c>
      <c r="V38" s="198">
        <v>-224</v>
      </c>
      <c r="W38" s="198">
        <v>-258</v>
      </c>
      <c r="X38" s="198">
        <v>-17</v>
      </c>
      <c r="Y38" s="198">
        <f>(1000+SUM(V38:X38))*-1</f>
        <v>-501</v>
      </c>
      <c r="Z38" s="89">
        <f>-Z47*Z$19/10^3</f>
        <v>-703.65902015314464</v>
      </c>
      <c r="AA38" s="89">
        <f t="shared" ref="AA38:AG39" si="26">-AA47*AA$19/10^3</f>
        <v>-703.65902015314464</v>
      </c>
      <c r="AB38" s="89">
        <f t="shared" si="26"/>
        <v>-703.65902015314441</v>
      </c>
      <c r="AC38" s="89">
        <f t="shared" si="26"/>
        <v>-703.65902015314441</v>
      </c>
      <c r="AD38" s="89">
        <f t="shared" si="26"/>
        <v>-703.65902015314441</v>
      </c>
      <c r="AE38" s="89">
        <f t="shared" si="26"/>
        <v>-703.6590201531443</v>
      </c>
      <c r="AF38" s="89">
        <f t="shared" si="26"/>
        <v>-703.65902015314384</v>
      </c>
      <c r="AG38" s="89">
        <f t="shared" si="26"/>
        <v>0</v>
      </c>
    </row>
    <row r="39" spans="2:33">
      <c r="B39" s="174" t="s">
        <v>182</v>
      </c>
      <c r="C39" s="196" t="s">
        <v>161</v>
      </c>
      <c r="E39" s="294">
        <v>-25062</v>
      </c>
      <c r="F39" s="294">
        <v>-25281</v>
      </c>
      <c r="G39" s="254">
        <f ca="1">SUM(OFFSET($N$39,,(COLUMNS(G$39:$G39)-1)*4,,4))</f>
        <v>-26941</v>
      </c>
      <c r="H39" s="89">
        <f ca="1">SUM(OFFSET($R$39,,(COLUMNS($H$39:H39)-1)*4,,4))</f>
        <v>-10394</v>
      </c>
      <c r="I39" s="89">
        <f ca="1">SUM(OFFSET($R$39,,(COLUMNS($H$39:I39)-1)*4,,4))</f>
        <v>-5000</v>
      </c>
      <c r="J39" s="89">
        <f ca="1">SUM(OFFSET($R$39,,(COLUMNS($H$39:J39)-1)*4,,4))</f>
        <v>-6098.3781746605837</v>
      </c>
      <c r="K39" s="89">
        <f ca="1">SUM(OFFSET($R$39,,(COLUMNS($H$39:K39)-1)*4,,4))</f>
        <v>0</v>
      </c>
      <c r="N39" s="198">
        <v>-2831</v>
      </c>
      <c r="O39" s="198">
        <v>-8681</v>
      </c>
      <c r="P39" s="198">
        <v>-4167</v>
      </c>
      <c r="Q39" s="198">
        <v>-11262</v>
      </c>
      <c r="R39" s="198">
        <v>-2074</v>
      </c>
      <c r="S39" s="198">
        <v>-3838</v>
      </c>
      <c r="T39" s="198">
        <v>-1706</v>
      </c>
      <c r="U39" s="198">
        <v>-2776</v>
      </c>
      <c r="V39" s="198">
        <v>-822</v>
      </c>
      <c r="W39" s="198">
        <v>-2073</v>
      </c>
      <c r="X39" s="198">
        <v>-239</v>
      </c>
      <c r="Y39" s="198">
        <f>(5000+SUM(V39:X39))*-1</f>
        <v>-1866</v>
      </c>
      <c r="Z39" s="89">
        <f>-Z48*Z$19/10^3</f>
        <v>-1524.5945436651464</v>
      </c>
      <c r="AA39" s="89">
        <f t="shared" si="26"/>
        <v>-1524.5945436651464</v>
      </c>
      <c r="AB39" s="89">
        <f t="shared" si="26"/>
        <v>-1524.5945436651459</v>
      </c>
      <c r="AC39" s="89">
        <f t="shared" si="26"/>
        <v>-1524.5945436651459</v>
      </c>
      <c r="AD39" s="89">
        <f t="shared" si="26"/>
        <v>0</v>
      </c>
      <c r="AE39" s="89">
        <f t="shared" si="26"/>
        <v>0</v>
      </c>
      <c r="AF39" s="89">
        <f t="shared" si="26"/>
        <v>0</v>
      </c>
      <c r="AG39" s="89">
        <f t="shared" si="26"/>
        <v>0</v>
      </c>
    </row>
    <row r="40" spans="2:33">
      <c r="B40" s="164" t="s">
        <v>184</v>
      </c>
      <c r="C40" s="244" t="s">
        <v>161</v>
      </c>
      <c r="D40" s="188"/>
      <c r="E40" s="246">
        <f t="shared" ref="E40:K40" si="27">SUM(E38:E39)</f>
        <v>-28896</v>
      </c>
      <c r="F40" s="246">
        <f t="shared" si="27"/>
        <v>-28666</v>
      </c>
      <c r="G40" s="246">
        <f t="shared" ca="1" si="27"/>
        <v>-29935</v>
      </c>
      <c r="H40" s="246">
        <f t="shared" ca="1" si="27"/>
        <v>-15389</v>
      </c>
      <c r="I40" s="246">
        <f t="shared" ca="1" si="27"/>
        <v>-6000</v>
      </c>
      <c r="J40" s="246">
        <f t="shared" ca="1" si="27"/>
        <v>-8913.0142552731613</v>
      </c>
      <c r="K40" s="246">
        <f t="shared" ca="1" si="27"/>
        <v>-2110.9770604594328</v>
      </c>
      <c r="N40" s="246">
        <f t="shared" ref="N40:S40" si="28">SUM(N38:N39)</f>
        <v>-3502</v>
      </c>
      <c r="O40" s="246">
        <f t="shared" si="28"/>
        <v>-9768</v>
      </c>
      <c r="P40" s="246">
        <f t="shared" si="28"/>
        <v>-5210</v>
      </c>
      <c r="Q40" s="246">
        <f t="shared" si="28"/>
        <v>-11455</v>
      </c>
      <c r="R40" s="246">
        <f t="shared" si="28"/>
        <v>-2713</v>
      </c>
      <c r="S40" s="246">
        <f t="shared" si="28"/>
        <v>-5866</v>
      </c>
      <c r="T40" s="246">
        <f t="shared" ref="T40:Y40" si="29">SUM(T38:T39)</f>
        <v>-3241</v>
      </c>
      <c r="U40" s="254">
        <f t="shared" si="29"/>
        <v>-3569</v>
      </c>
      <c r="V40" s="254">
        <f t="shared" si="29"/>
        <v>-1046</v>
      </c>
      <c r="W40" s="254">
        <f t="shared" si="29"/>
        <v>-2331</v>
      </c>
      <c r="X40" s="254">
        <f t="shared" si="29"/>
        <v>-256</v>
      </c>
      <c r="Y40" s="254">
        <f t="shared" si="29"/>
        <v>-2367</v>
      </c>
      <c r="Z40" s="254">
        <f t="shared" ref="Z40:AG40" si="30">SUM(Z38:Z39)</f>
        <v>-2228.2535638182908</v>
      </c>
      <c r="AA40" s="254">
        <f t="shared" si="30"/>
        <v>-2228.2535638182908</v>
      </c>
      <c r="AB40" s="254">
        <f t="shared" si="30"/>
        <v>-2228.2535638182903</v>
      </c>
      <c r="AC40" s="254">
        <f t="shared" si="30"/>
        <v>-2228.2535638182903</v>
      </c>
      <c r="AD40" s="254">
        <f t="shared" si="30"/>
        <v>-703.65902015314441</v>
      </c>
      <c r="AE40" s="254">
        <f t="shared" si="30"/>
        <v>-703.6590201531443</v>
      </c>
      <c r="AF40" s="254">
        <f t="shared" si="30"/>
        <v>-703.65902015314384</v>
      </c>
      <c r="AG40" s="254">
        <f t="shared" si="30"/>
        <v>0</v>
      </c>
    </row>
    <row r="41" spans="2:33">
      <c r="B41" s="247" t="s">
        <v>183</v>
      </c>
      <c r="C41" s="248" t="s">
        <v>161</v>
      </c>
      <c r="D41" s="249"/>
      <c r="E41" s="89">
        <f t="shared" ref="E41:K41" si="31">E35+E38</f>
        <v>-79731</v>
      </c>
      <c r="F41" s="89">
        <f t="shared" si="31"/>
        <v>-61338</v>
      </c>
      <c r="G41" s="89">
        <f t="shared" ca="1" si="31"/>
        <v>-87250</v>
      </c>
      <c r="H41" s="89">
        <f t="shared" ca="1" si="31"/>
        <v>-98953</v>
      </c>
      <c r="I41" s="250">
        <f t="shared" ca="1" si="31"/>
        <v>-116504.87576822365</v>
      </c>
      <c r="J41" s="250">
        <f t="shared" ca="1" si="31"/>
        <v>-124356.25044073696</v>
      </c>
      <c r="K41" s="250">
        <f t="shared" ca="1" si="31"/>
        <v>-119893.8604517177</v>
      </c>
      <c r="N41" s="89">
        <f t="shared" ref="N41:S41" si="32">N35+N38</f>
        <v>-22374</v>
      </c>
      <c r="O41" s="89">
        <f t="shared" si="32"/>
        <v>-21033</v>
      </c>
      <c r="P41" s="89">
        <f t="shared" si="32"/>
        <v>-22914</v>
      </c>
      <c r="Q41" s="89">
        <f t="shared" si="32"/>
        <v>-20929</v>
      </c>
      <c r="R41" s="89">
        <f t="shared" si="32"/>
        <v>-23345</v>
      </c>
      <c r="S41" s="89">
        <f t="shared" si="32"/>
        <v>-20169</v>
      </c>
      <c r="T41" s="89">
        <f t="shared" ref="T41:Y41" si="33">T35+T38</f>
        <v>-25022</v>
      </c>
      <c r="U41" s="250">
        <f t="shared" si="33"/>
        <v>-30417</v>
      </c>
      <c r="V41" s="250">
        <f t="shared" si="33"/>
        <v>-29701</v>
      </c>
      <c r="W41" s="250">
        <f t="shared" si="33"/>
        <v>-30625</v>
      </c>
      <c r="X41" s="250">
        <f t="shared" si="33"/>
        <v>-29179</v>
      </c>
      <c r="Y41" s="250">
        <f t="shared" si="33"/>
        <v>-26999.875768223657</v>
      </c>
      <c r="Z41" s="250">
        <f t="shared" ref="Z41:AG41" ca="1" si="34">Z35+Z38</f>
        <v>-30525.252964854339</v>
      </c>
      <c r="AA41" s="250">
        <f t="shared" ca="1" si="34"/>
        <v>-31276.999158627539</v>
      </c>
      <c r="AB41" s="250">
        <f t="shared" ca="1" si="34"/>
        <v>-31276.999158627532</v>
      </c>
      <c r="AC41" s="250">
        <f t="shared" ca="1" si="34"/>
        <v>-31276.999158627532</v>
      </c>
      <c r="AD41" s="250">
        <f t="shared" ca="1" si="34"/>
        <v>-30525.252964854331</v>
      </c>
      <c r="AE41" s="250">
        <f t="shared" ca="1" si="34"/>
        <v>-30525.252964854328</v>
      </c>
      <c r="AF41" s="250">
        <f t="shared" ca="1" si="34"/>
        <v>-29773.506771081109</v>
      </c>
      <c r="AG41" s="250">
        <f t="shared" ca="1" si="34"/>
        <v>-29069.847750927926</v>
      </c>
    </row>
    <row r="42" spans="2:33">
      <c r="B42" s="251" t="s">
        <v>185</v>
      </c>
      <c r="C42" s="248" t="s">
        <v>161</v>
      </c>
      <c r="D42" s="249"/>
      <c r="E42" s="250">
        <f t="shared" ref="E42:K42" si="35">E41+E39</f>
        <v>-104793</v>
      </c>
      <c r="F42" s="250">
        <f t="shared" si="35"/>
        <v>-86619</v>
      </c>
      <c r="G42" s="250">
        <f t="shared" ca="1" si="35"/>
        <v>-114191</v>
      </c>
      <c r="H42" s="250">
        <f t="shared" ca="1" si="35"/>
        <v>-109347</v>
      </c>
      <c r="I42" s="250">
        <f t="shared" ca="1" si="35"/>
        <v>-121504.87576822365</v>
      </c>
      <c r="J42" s="250">
        <f t="shared" ca="1" si="35"/>
        <v>-130454.62861539754</v>
      </c>
      <c r="K42" s="250">
        <f t="shared" ca="1" si="35"/>
        <v>-119893.8604517177</v>
      </c>
      <c r="N42" s="250">
        <f t="shared" ref="N42:S42" si="36">N41+N39</f>
        <v>-25205</v>
      </c>
      <c r="O42" s="250">
        <f t="shared" si="36"/>
        <v>-29714</v>
      </c>
      <c r="P42" s="250">
        <f t="shared" si="36"/>
        <v>-27081</v>
      </c>
      <c r="Q42" s="250">
        <f t="shared" si="36"/>
        <v>-32191</v>
      </c>
      <c r="R42" s="250">
        <f t="shared" si="36"/>
        <v>-25419</v>
      </c>
      <c r="S42" s="250">
        <f t="shared" si="36"/>
        <v>-24007</v>
      </c>
      <c r="T42" s="250">
        <f t="shared" ref="T42:Y42" si="37">T41+T39</f>
        <v>-26728</v>
      </c>
      <c r="U42" s="250">
        <f t="shared" si="37"/>
        <v>-33193</v>
      </c>
      <c r="V42" s="250">
        <f t="shared" si="37"/>
        <v>-30523</v>
      </c>
      <c r="W42" s="250">
        <f t="shared" si="37"/>
        <v>-32698</v>
      </c>
      <c r="X42" s="250">
        <f t="shared" si="37"/>
        <v>-29418</v>
      </c>
      <c r="Y42" s="250">
        <f t="shared" si="37"/>
        <v>-28865.875768223657</v>
      </c>
      <c r="Z42" s="250">
        <f t="shared" ref="Z42:AG42" ca="1" si="38">Z41+Z39</f>
        <v>-32049.847508519484</v>
      </c>
      <c r="AA42" s="250">
        <f t="shared" ca="1" si="38"/>
        <v>-32801.593702292688</v>
      </c>
      <c r="AB42" s="250">
        <f t="shared" ca="1" si="38"/>
        <v>-32801.593702292681</v>
      </c>
      <c r="AC42" s="250">
        <f t="shared" ca="1" si="38"/>
        <v>-32801.593702292681</v>
      </c>
      <c r="AD42" s="250">
        <f t="shared" ca="1" si="38"/>
        <v>-30525.252964854331</v>
      </c>
      <c r="AE42" s="250">
        <f t="shared" ca="1" si="38"/>
        <v>-30525.252964854328</v>
      </c>
      <c r="AF42" s="250">
        <f t="shared" ca="1" si="38"/>
        <v>-29773.506771081109</v>
      </c>
      <c r="AG42" s="250">
        <f t="shared" ca="1" si="38"/>
        <v>-29069.847750927926</v>
      </c>
    </row>
    <row r="43" spans="2:33">
      <c r="B43" s="251" t="s">
        <v>186</v>
      </c>
      <c r="C43" s="247" t="s">
        <v>187</v>
      </c>
      <c r="D43" s="249"/>
      <c r="E43" s="195">
        <f t="shared" ref="E43:K43" si="39">-E35/E22*1000</f>
        <v>769.98072435832398</v>
      </c>
      <c r="F43" s="195">
        <f t="shared" si="39"/>
        <v>512.58170368208312</v>
      </c>
      <c r="G43" s="195">
        <f t="shared" ca="1" si="39"/>
        <v>872.07990477669091</v>
      </c>
      <c r="H43" s="195">
        <f t="shared" ca="1" si="39"/>
        <v>955.70270462705855</v>
      </c>
      <c r="I43" s="195">
        <f t="shared" ca="1" si="39"/>
        <v>1274.1527232324406</v>
      </c>
      <c r="J43" s="195">
        <f t="shared" ca="1" si="39"/>
        <v>1295.4599906962615</v>
      </c>
      <c r="K43" s="195">
        <f t="shared" ca="1" si="39"/>
        <v>1255.3972877974061</v>
      </c>
      <c r="N43" s="195">
        <f t="shared" ref="N43:X43" si="40">-N35/N22*1000</f>
        <v>928.47058823529414</v>
      </c>
      <c r="O43" s="195">
        <f t="shared" si="40"/>
        <v>992.68401931020753</v>
      </c>
      <c r="P43" s="195">
        <f t="shared" si="40"/>
        <v>859.64153761496743</v>
      </c>
      <c r="Q43" s="195">
        <f t="shared" si="40"/>
        <v>748.4569572279371</v>
      </c>
      <c r="R43" s="195">
        <f t="shared" si="40"/>
        <v>842.64825948192674</v>
      </c>
      <c r="S43" s="195">
        <f t="shared" si="40"/>
        <v>856.35385196374625</v>
      </c>
      <c r="T43" s="195">
        <f t="shared" si="40"/>
        <v>1006.98850968959</v>
      </c>
      <c r="U43" s="195">
        <f t="shared" si="40"/>
        <v>1102.9450091217097</v>
      </c>
      <c r="V43" s="195">
        <f t="shared" si="40"/>
        <v>1316.1725308090731</v>
      </c>
      <c r="W43" s="195">
        <f t="shared" si="40"/>
        <v>1185.5162990435292</v>
      </c>
      <c r="X43" s="195">
        <f t="shared" si="40"/>
        <v>1409.2688348716958</v>
      </c>
      <c r="Y43" s="195">
        <f>-Y35/Y22*1000</f>
        <v>1129.7606515065963</v>
      </c>
      <c r="Z43" s="195">
        <f t="shared" ref="Z43:AG43" ca="1" si="41">-Z35/Z22*1000</f>
        <v>1271.422368956948</v>
      </c>
      <c r="AA43" s="195">
        <f t="shared" ca="1" si="41"/>
        <v>1303.4725312760322</v>
      </c>
      <c r="AB43" s="195">
        <f t="shared" ca="1" si="41"/>
        <v>1303.4725312760322</v>
      </c>
      <c r="AC43" s="195">
        <f t="shared" ca="1" si="41"/>
        <v>1303.4725312760322</v>
      </c>
      <c r="AD43" s="195">
        <f t="shared" ca="1" si="41"/>
        <v>1271.422368956948</v>
      </c>
      <c r="AE43" s="195">
        <f t="shared" ca="1" si="41"/>
        <v>1271.422368956948</v>
      </c>
      <c r="AF43" s="195">
        <f t="shared" ca="1" si="41"/>
        <v>1239.3722066378639</v>
      </c>
      <c r="AG43" s="195">
        <f t="shared" ca="1" si="41"/>
        <v>1239.3722066378637</v>
      </c>
    </row>
    <row r="44" spans="2:33">
      <c r="B44" s="251" t="s">
        <v>188</v>
      </c>
      <c r="C44" s="247" t="s">
        <v>187</v>
      </c>
      <c r="D44" s="249"/>
      <c r="E44" s="195">
        <f t="shared" ref="E44:K44" si="42">-E41/E22*1000</f>
        <v>808.87694024551081</v>
      </c>
      <c r="F44" s="195">
        <f t="shared" si="42"/>
        <v>542.52129381484326</v>
      </c>
      <c r="G44" s="195">
        <f t="shared" ca="1" si="42"/>
        <v>903.06888164363704</v>
      </c>
      <c r="H44" s="195">
        <f t="shared" ca="1" si="42"/>
        <v>1006.5098206747836</v>
      </c>
      <c r="I44" s="195">
        <f t="shared" ca="1" si="42"/>
        <v>1285.1838828675473</v>
      </c>
      <c r="J44" s="195">
        <f t="shared" ca="1" si="42"/>
        <v>1325.4599906962612</v>
      </c>
      <c r="K44" s="195">
        <f t="shared" ca="1" si="42"/>
        <v>1277.8972877974061</v>
      </c>
      <c r="N44" s="195">
        <f t="shared" ref="N44:X44" si="43">-N41/N22*1000</f>
        <v>957.17647058823525</v>
      </c>
      <c r="O44" s="195">
        <f t="shared" si="43"/>
        <v>1046.782461553775</v>
      </c>
      <c r="P44" s="195">
        <f t="shared" si="43"/>
        <v>900.63674239446584</v>
      </c>
      <c r="Q44" s="195">
        <f t="shared" si="43"/>
        <v>755.42320880707462</v>
      </c>
      <c r="R44" s="195">
        <f t="shared" si="43"/>
        <v>866.3623543383062</v>
      </c>
      <c r="S44" s="195">
        <f t="shared" si="43"/>
        <v>952.08648036253771</v>
      </c>
      <c r="T44" s="195">
        <f t="shared" si="43"/>
        <v>1072.800548790945</v>
      </c>
      <c r="U44" s="195">
        <f t="shared" si="43"/>
        <v>1132.4695632748801</v>
      </c>
      <c r="V44" s="195">
        <f t="shared" si="43"/>
        <v>1326.1743168422934</v>
      </c>
      <c r="W44" s="195">
        <f t="shared" si="43"/>
        <v>1195.5885223501855</v>
      </c>
      <c r="X44" s="195">
        <f t="shared" si="43"/>
        <v>1410.090368723723</v>
      </c>
      <c r="Y44" s="195">
        <f>-Y41/Y22*1000</f>
        <v>1151.1204288554732</v>
      </c>
      <c r="Z44" s="195">
        <f t="shared" ref="Z44:AG44" ca="1" si="44">-Z41/Z22*1000</f>
        <v>1301.422368956948</v>
      </c>
      <c r="AA44" s="195">
        <f t="shared" ca="1" si="44"/>
        <v>1333.472531276032</v>
      </c>
      <c r="AB44" s="195">
        <f t="shared" ca="1" si="44"/>
        <v>1333.4725312760322</v>
      </c>
      <c r="AC44" s="195">
        <f t="shared" ca="1" si="44"/>
        <v>1333.4725312760322</v>
      </c>
      <c r="AD44" s="195">
        <f t="shared" ca="1" si="44"/>
        <v>1301.422368956948</v>
      </c>
      <c r="AE44" s="195">
        <f t="shared" ca="1" si="44"/>
        <v>1301.4223689569483</v>
      </c>
      <c r="AF44" s="195">
        <f t="shared" ca="1" si="44"/>
        <v>1269.3722066378639</v>
      </c>
      <c r="AG44" s="195">
        <f t="shared" ca="1" si="44"/>
        <v>1239.3722066378637</v>
      </c>
    </row>
    <row r="45" spans="2:33">
      <c r="U45" s="167"/>
      <c r="V45" s="167"/>
      <c r="W45" s="167"/>
      <c r="X45" s="167"/>
      <c r="Y45" s="167"/>
      <c r="Z45" s="167"/>
    </row>
    <row r="46" spans="2:33">
      <c r="B46" s="164" t="s">
        <v>241</v>
      </c>
      <c r="C46" s="164"/>
      <c r="D46" s="188"/>
      <c r="E46" s="188"/>
      <c r="F46" s="188"/>
      <c r="G46" s="188"/>
      <c r="H46" s="245"/>
      <c r="I46" s="245"/>
      <c r="J46" s="188"/>
      <c r="K46" s="188"/>
      <c r="N46" s="188"/>
      <c r="O46" s="188"/>
      <c r="P46" s="188"/>
      <c r="Q46" s="188"/>
      <c r="R46" s="188"/>
      <c r="S46" s="188"/>
      <c r="T46" s="284"/>
      <c r="U46" s="284"/>
      <c r="V46" s="284"/>
      <c r="W46" s="284"/>
      <c r="X46" s="284"/>
      <c r="Y46" s="188"/>
      <c r="Z46" s="188"/>
      <c r="AA46" s="188"/>
      <c r="AB46" s="188"/>
      <c r="AC46" s="188"/>
      <c r="AD46" s="188"/>
      <c r="AE46" s="188"/>
      <c r="AF46" s="188"/>
      <c r="AG46" s="188"/>
    </row>
    <row r="47" spans="2:33">
      <c r="B47" s="243" t="s">
        <v>242</v>
      </c>
      <c r="C47" s="193" t="s">
        <v>187</v>
      </c>
      <c r="G47" s="186">
        <f ca="1">AVERAGE(OFFSET($N$47,,(COLUMNS(G$47:$G47)-1)*4,,4))</f>
        <v>32.258112897486278</v>
      </c>
      <c r="H47" s="186">
        <f ca="1">AVERAGE(OFFSET($N$47,,(COLUMNS($G$47:H47)-1)*4,,4))</f>
        <v>54.982550691788461</v>
      </c>
      <c r="I47" s="186">
        <f ca="1">AVERAGE(OFFSET($N$47,,(COLUMNS($G$47:I47)-1)*4,,4))</f>
        <v>10.716554415500783</v>
      </c>
      <c r="J47" s="186">
        <f ca="1">AVERAGE(OFFSET($N$47,,(COLUMNS($G$47:J47)-1)*4,,4))</f>
        <v>30</v>
      </c>
      <c r="K47" s="186">
        <f ca="1">AVERAGE(OFFSET($N$47,,(COLUMNS($G$47:K47)-1)*4,,4))</f>
        <v>22.5</v>
      </c>
      <c r="N47" s="186">
        <f t="shared" ref="N47:S47" si="45">-N38/N$19*10^3</f>
        <v>30.344141455252565</v>
      </c>
      <c r="O47" s="186">
        <f t="shared" si="45"/>
        <v>51.747119870513181</v>
      </c>
      <c r="P47" s="186">
        <f t="shared" si="45"/>
        <v>39.857841638642618</v>
      </c>
      <c r="Q47" s="186">
        <f t="shared" si="45"/>
        <v>7.0833486255367566</v>
      </c>
      <c r="R47" s="186">
        <f t="shared" si="45"/>
        <v>23.179048171793383</v>
      </c>
      <c r="S47" s="186">
        <f t="shared" si="45"/>
        <v>99.76878043980912</v>
      </c>
      <c r="T47" s="186">
        <f>-T38/T$19*10^3</f>
        <v>68.560453794273968</v>
      </c>
      <c r="U47" s="186">
        <f t="shared" ref="U47:Y48" si="46">-U38/U$19*10^3</f>
        <v>28.421920361277373</v>
      </c>
      <c r="V47" s="186">
        <f t="shared" si="46"/>
        <v>10.383349557317016</v>
      </c>
      <c r="W47" s="186">
        <f t="shared" si="46"/>
        <v>10.296523925449973</v>
      </c>
      <c r="X47" s="186">
        <f t="shared" si="46"/>
        <v>0.82656683035931344</v>
      </c>
      <c r="Y47" s="186">
        <f t="shared" si="46"/>
        <v>21.359777348876825</v>
      </c>
      <c r="Z47" s="269">
        <v>30</v>
      </c>
      <c r="AA47" s="269">
        <f t="shared" ref="AA47:AF47" si="47">Z47</f>
        <v>30</v>
      </c>
      <c r="AB47" s="269">
        <f t="shared" si="47"/>
        <v>30</v>
      </c>
      <c r="AC47" s="269">
        <f t="shared" si="47"/>
        <v>30</v>
      </c>
      <c r="AD47" s="269">
        <f t="shared" si="47"/>
        <v>30</v>
      </c>
      <c r="AE47" s="269">
        <f t="shared" si="47"/>
        <v>30</v>
      </c>
      <c r="AF47" s="269">
        <f t="shared" si="47"/>
        <v>30</v>
      </c>
      <c r="AG47" s="269">
        <v>0</v>
      </c>
    </row>
    <row r="48" spans="2:33">
      <c r="B48" s="243" t="s">
        <v>243</v>
      </c>
      <c r="C48" s="193" t="s">
        <v>187</v>
      </c>
      <c r="G48" s="186">
        <f ca="1">AVERAGE(OFFSET($N$48,,(COLUMNS(G$48:$G48)-1)*4,,4))</f>
        <v>278.46432944412669</v>
      </c>
      <c r="H48" s="186">
        <f ca="1">AVERAGE(OFFSET($N$48,,(COLUMNS($G$48:H48)-1)*4,,4))</f>
        <v>109.93445923520869</v>
      </c>
      <c r="I48" s="186">
        <f ca="1">AVERAGE(OFFSET($N$48,,(COLUMNS($G$48:I48)-1)*4,,4))</f>
        <v>53.00267303011681</v>
      </c>
      <c r="J48" s="186">
        <f ca="1">AVERAGE(OFFSET($N$48,,(COLUMNS($G$48:J48)-1)*4,,4))</f>
        <v>65</v>
      </c>
      <c r="K48" s="186">
        <f ca="1">AVERAGE(OFFSET($N$48,,(COLUMNS($G$48:K48)-1)*4,,4))</f>
        <v>0</v>
      </c>
      <c r="N48" s="186">
        <f t="shared" ref="N48:S48" si="48">-N39/N$19*10^3</f>
        <v>128.02423913535026</v>
      </c>
      <c r="O48" s="186">
        <f t="shared" si="48"/>
        <v>413.26287727316003</v>
      </c>
      <c r="P48" s="186">
        <f t="shared" si="48"/>
        <v>159.2402934882299</v>
      </c>
      <c r="Q48" s="186">
        <f t="shared" si="48"/>
        <v>413.32990787976661</v>
      </c>
      <c r="R48" s="186">
        <f t="shared" si="48"/>
        <v>75.232153221125941</v>
      </c>
      <c r="S48" s="186">
        <f t="shared" si="48"/>
        <v>188.8129089388498</v>
      </c>
      <c r="T48" s="186">
        <f>-T39/T$19*10^3</f>
        <v>76.198133011746847</v>
      </c>
      <c r="U48" s="186">
        <f t="shared" si="46"/>
        <v>99.494641769112206</v>
      </c>
      <c r="V48" s="186">
        <f t="shared" si="46"/>
        <v>38.103184536225839</v>
      </c>
      <c r="W48" s="186">
        <f t="shared" si="46"/>
        <v>82.731372470766644</v>
      </c>
      <c r="X48" s="186">
        <f t="shared" si="46"/>
        <v>11.620557203286818</v>
      </c>
      <c r="Y48" s="186">
        <f t="shared" si="46"/>
        <v>79.555577910187935</v>
      </c>
      <c r="Z48" s="269">
        <v>65</v>
      </c>
      <c r="AA48" s="269">
        <f>Z48</f>
        <v>65</v>
      </c>
      <c r="AB48" s="269">
        <f>AA48</f>
        <v>65</v>
      </c>
      <c r="AC48" s="269">
        <f>AB48</f>
        <v>65</v>
      </c>
      <c r="AD48" s="269">
        <v>0</v>
      </c>
      <c r="AE48" s="269">
        <v>0</v>
      </c>
      <c r="AF48" s="269">
        <v>0</v>
      </c>
      <c r="AG48" s="269">
        <v>0</v>
      </c>
    </row>
    <row r="50" spans="2:33">
      <c r="B50" s="164" t="s">
        <v>19</v>
      </c>
      <c r="C50" s="188"/>
      <c r="D50" s="188"/>
      <c r="E50" s="188"/>
      <c r="F50" s="188"/>
      <c r="G50" s="188"/>
      <c r="H50" s="188"/>
      <c r="I50" s="188"/>
      <c r="J50" s="188"/>
      <c r="K50" s="188"/>
    </row>
    <row r="51" spans="2:33">
      <c r="B51" s="243" t="s">
        <v>411</v>
      </c>
      <c r="C51" s="193" t="s">
        <v>187</v>
      </c>
      <c r="G51" s="186">
        <f ca="1">AVERAGE(OFFSET($N$51,,(COLUMNS(G$51:$G51)-1)*4,,4))</f>
        <v>493.59944786956174</v>
      </c>
      <c r="H51" s="186">
        <f ca="1">AVERAGE(OFFSET($N$51,,(COLUMNS($G$51:H51)-1)*4,,4))</f>
        <v>598.37035430412755</v>
      </c>
      <c r="I51" s="186">
        <f ca="1">AVERAGE(OFFSET($N$51,,(COLUMNS($G$51:I51)-1)*4,,4))</f>
        <v>566.91218687684432</v>
      </c>
      <c r="J51" s="186">
        <f ca="1">AVERAGE(OFFSET($N$51,,(COLUMNS($G$51:J51)-1)*4,,4))</f>
        <v>475</v>
      </c>
      <c r="K51" s="186">
        <f ca="1">AVERAGE(OFFSET($N$51,,(COLUMNS($G$51:K51)-1)*4,,4))</f>
        <v>325</v>
      </c>
      <c r="N51" s="334">
        <f>-N36/N$19*10^3</f>
        <v>495.36471758693978</v>
      </c>
      <c r="O51" s="334">
        <f t="shared" ref="O51:X51" si="49">-O36/O$19*10^3</f>
        <v>550.50937827287441</v>
      </c>
      <c r="P51" s="334">
        <f t="shared" si="49"/>
        <v>549.10577804952607</v>
      </c>
      <c r="Q51" s="334">
        <f t="shared" si="49"/>
        <v>379.41791756890672</v>
      </c>
      <c r="R51" s="334">
        <f t="shared" si="49"/>
        <v>495.79222286709228</v>
      </c>
      <c r="S51" s="334">
        <f t="shared" si="49"/>
        <v>556.79637920007872</v>
      </c>
      <c r="T51" s="334">
        <f t="shared" si="49"/>
        <v>665.68404127026668</v>
      </c>
      <c r="U51" s="334">
        <f t="shared" si="49"/>
        <v>675.2087738790724</v>
      </c>
      <c r="V51" s="334">
        <f t="shared" si="49"/>
        <v>671.85834144532521</v>
      </c>
      <c r="W51" s="334">
        <f t="shared" si="49"/>
        <v>522.76808875763254</v>
      </c>
      <c r="X51" s="334">
        <f t="shared" si="49"/>
        <v>523.02231730441974</v>
      </c>
      <c r="Y51" s="332">
        <v>550</v>
      </c>
      <c r="Z51" s="332">
        <v>550</v>
      </c>
      <c r="AA51" s="332">
        <v>550</v>
      </c>
      <c r="AB51" s="332">
        <v>400</v>
      </c>
      <c r="AC51" s="332">
        <v>400</v>
      </c>
      <c r="AD51" s="332">
        <v>400</v>
      </c>
      <c r="AE51" s="332">
        <v>300</v>
      </c>
      <c r="AF51" s="332">
        <v>300</v>
      </c>
      <c r="AG51" s="332">
        <v>300</v>
      </c>
    </row>
  </sheetData>
  <mergeCells count="1">
    <mergeCell ref="AI4:AI5"/>
  </mergeCells>
  <phoneticPr fontId="48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SUMMARY</vt:lpstr>
      <vt:lpstr>Income Statement</vt:lpstr>
      <vt:lpstr>Balance Sheet</vt:lpstr>
      <vt:lpstr>Cash Flow Statement</vt:lpstr>
      <vt:lpstr>Assumptions</vt:lpstr>
      <vt:lpstr>Boungou </vt:lpstr>
      <vt:lpstr>Mana </vt:lpstr>
      <vt:lpstr>Ity </vt:lpstr>
      <vt:lpstr>Karma </vt:lpstr>
      <vt:lpstr>Hounde </vt:lpstr>
      <vt:lpstr>Sabodala</vt:lpstr>
      <vt:lpstr>Wahgnion</vt:lpstr>
      <vt:lpstr>Reserves and Resources</vt:lpstr>
      <vt:lpstr>Financials &amp; Valuation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cputz</dc:creator>
  <cp:lastModifiedBy>Luyckx, C, Mnr &lt;17003733@sun.ac.za&gt;</cp:lastModifiedBy>
  <dcterms:created xsi:type="dcterms:W3CDTF">2012-01-25T07:33:50Z</dcterms:created>
  <dcterms:modified xsi:type="dcterms:W3CDTF">2022-03-09T22:55:04Z</dcterms:modified>
</cp:coreProperties>
</file>