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Hadwen</author>
  </authors>
  <commentList>
    <comment ref="B15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 per Morningstar report. Pg 1</t>
        </r>
      </text>
    </comment>
    <comment ref="B14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Yahoo Finance Avg of 19 analysts forecatsed EPS for 2014.
</t>
        </r>
      </text>
    </comment>
    <comment ref="B1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Analyst estimates from Yahoo Finance avg of 19 Analysts.
</t>
        </r>
      </text>
    </comment>
    <comment ref="B12" authorId="0">
      <text>
        <r>
          <rPr>
            <b/>
            <sz val="9"/>
            <rFont val="Tahoma"/>
            <family val="2"/>
          </rPr>
          <t xml:space="preserve">Hadwen:
</t>
        </r>
        <r>
          <rPr>
            <sz val="9"/>
            <rFont val="Tahoma"/>
            <family val="2"/>
          </rPr>
          <t xml:space="preserve">As per Morningstar report. Pg 13
</t>
        </r>
      </text>
    </comment>
    <comment ref="F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on Income Statement &amp; Note 1.</t>
        </r>
      </text>
    </comment>
    <comment ref="G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on Income Statement &amp; Note 1</t>
        </r>
      </text>
    </comment>
    <comment ref="H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on Income Statement &amp; Note 1</t>
        </r>
      </text>
    </comment>
    <comment ref="D6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There is a variance here, be sure to check next year's variance to see if it matches Analyst's.</t>
        </r>
      </text>
    </comment>
    <comment ref="F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on Income Statement.</t>
        </r>
      </text>
    </comment>
    <comment ref="G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9"/>
            <rFont val="Tahoma"/>
            <family val="2"/>
          </rPr>
          <t xml:space="preserve">Hadwen:
</t>
        </r>
        <r>
          <rPr>
            <sz val="9"/>
            <rFont val="Tahoma"/>
            <family val="2"/>
          </rPr>
          <t>R&amp;D expense schedule from F/S. Pg 4</t>
        </r>
      </text>
    </comment>
    <comment ref="C4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R&amp;D expense schedule from F/S. Pg 4</t>
        </r>
      </text>
    </comment>
    <comment ref="D4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R&amp;D expense schedule from F/S. Pg 4</t>
        </r>
      </text>
    </comment>
    <comment ref="B59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in Note 3 of F/S.</t>
        </r>
      </text>
    </comment>
    <comment ref="C59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in Note 3 of F/S</t>
        </r>
      </text>
    </comment>
    <comment ref="D59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in Note 3 of F/S
</t>
        </r>
      </text>
    </comment>
    <comment ref="E66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Morningstar report. Pg 12.</t>
        </r>
      </text>
    </comment>
    <comment ref="F66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Morningstar report. Pg 12.</t>
        </r>
      </text>
    </comment>
    <comment ref="G66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Morningstar report projected 5 years. Pg 12.</t>
        </r>
      </text>
    </comment>
    <comment ref="E6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Key Bank Report. Pg2</t>
        </r>
      </text>
    </comment>
    <comment ref="F6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Key Bank Report. Pg2</t>
        </r>
      </text>
    </comment>
    <comment ref="E7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F7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</t>
        </r>
      </text>
    </comment>
    <comment ref="G7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</t>
        </r>
      </text>
    </comment>
    <comment ref="H7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</t>
        </r>
      </text>
    </comment>
    <comment ref="I7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</t>
        </r>
      </text>
    </comment>
    <comment ref="J7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</t>
        </r>
      </text>
    </comment>
    <comment ref="K7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</t>
        </r>
      </text>
    </comment>
    <comment ref="L7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</t>
        </r>
      </text>
    </comment>
    <comment ref="E72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E7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F7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G7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H7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I7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J7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K7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L7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F72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G72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H72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I72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J72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K72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L72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Assumption is D&amp;A Growth groes with Revenue growth.  (Industry practice)</t>
        </r>
      </text>
    </comment>
    <comment ref="E70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 per Key Bank report. Pg 2</t>
        </r>
      </text>
    </comment>
    <comment ref="E69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 per Key Bank report.
Pg 2</t>
        </r>
      </text>
    </comment>
    <comment ref="E16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 per F/S page 3 grow with sales 5%.
</t>
        </r>
      </text>
    </comment>
    <comment ref="F16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 per F/S page 3 grow with sales 5%.
</t>
        </r>
      </text>
    </comment>
    <comment ref="G16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 per F/S page 3 grow with sales 5%.
</t>
        </r>
      </text>
    </comment>
    <comment ref="H16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 per F/S page 3 grow with sales 5%.
</t>
        </r>
      </text>
    </comment>
    <comment ref="I16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 per F/S page 3 grow with sales 5%.
</t>
        </r>
      </text>
    </comment>
    <comment ref="J16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 per F/S page 3 grow with sales 5%.
</t>
        </r>
      </text>
    </comment>
    <comment ref="K16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 per F/S page 3 grow with sales 5%.
</t>
        </r>
      </text>
    </comment>
    <comment ref="L161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As per F/S page 3 grow with sales 5%.
</t>
        </r>
      </text>
    </comment>
    <comment ref="D17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From first page of F/S</t>
        </r>
      </text>
    </comment>
    <comment ref="D169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Extracted Data from Yahoo Finance, calculated average price.</t>
        </r>
      </text>
    </comment>
    <comment ref="D16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line.</t>
        </r>
      </text>
    </comment>
    <comment ref="D16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</t>
        </r>
      </text>
    </comment>
    <comment ref="C16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</t>
        </r>
      </text>
    </comment>
    <comment ref="C16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</t>
        </r>
      </text>
    </comment>
    <comment ref="E16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line.</t>
        </r>
      </text>
    </comment>
    <comment ref="F16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line.</t>
        </r>
      </text>
    </comment>
    <comment ref="G16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line.</t>
        </r>
      </text>
    </comment>
    <comment ref="H16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line.</t>
        </r>
      </text>
    </comment>
    <comment ref="I16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line.</t>
        </r>
      </text>
    </comment>
    <comment ref="J16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line.</t>
        </r>
      </text>
    </comment>
    <comment ref="K16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line.</t>
        </r>
      </text>
    </comment>
    <comment ref="L16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line.</t>
        </r>
      </text>
    </comment>
    <comment ref="E16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</t>
        </r>
      </text>
    </comment>
    <comment ref="F16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</t>
        </r>
      </text>
    </comment>
    <comment ref="G16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</t>
        </r>
      </text>
    </comment>
    <comment ref="H16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</t>
        </r>
      </text>
    </comment>
    <comment ref="I16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</t>
        </r>
      </text>
    </comment>
    <comment ref="J16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</t>
        </r>
      </text>
    </comment>
    <comment ref="K16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</t>
        </r>
      </text>
    </comment>
    <comment ref="L167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In the statement of Shareholder's Equity of F/S.  No choice but to straight line</t>
        </r>
      </text>
    </comment>
    <comment ref="E6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There is a variance here, be sure to check next year's variance to see if it matches Analyst's.</t>
        </r>
      </text>
    </comment>
    <comment ref="F6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There is a variance here, be sure to check next year's variance to see if it matches Analyst's.</t>
        </r>
      </text>
    </comment>
    <comment ref="G6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There is a variance here, be sure to check next year's variance to see if it matches Analyst's.</t>
        </r>
      </text>
    </comment>
    <comment ref="H6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There is a variance here, be sure to check next year's variance to see if it matches Analyst's.</t>
        </r>
      </text>
    </comment>
    <comment ref="I6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There is a variance here, be sure to check next year's variance to see if it matches Analyst's.</t>
        </r>
      </text>
    </comment>
    <comment ref="J6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There is a variance here, be sure to check next year's variance to see if it matches Analyst's.</t>
        </r>
      </text>
    </comment>
    <comment ref="K6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There is a variance here, be sure to check next year's variance to see if it matches Analyst's.</t>
        </r>
      </text>
    </comment>
    <comment ref="L63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There is a variance here, be sure to check next year's variance to see if it matches Analyst's.</t>
        </r>
      </text>
    </comment>
    <comment ref="E22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Schedule in F/S. Pg 37.
</t>
        </r>
      </text>
    </comment>
    <comment ref="F22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Schedule in F/S. Pg 37.
</t>
        </r>
      </text>
    </comment>
    <comment ref="G22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Schedule in F/S. Pg 37.
</t>
        </r>
      </text>
    </comment>
    <comment ref="H22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Schedule in F/S. Pg 37.
</t>
        </r>
      </text>
    </comment>
    <comment ref="I22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Schedule in F/S. Pg 37.
</t>
        </r>
      </text>
    </comment>
    <comment ref="J22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Schedule in F/S. Pg 37.
</t>
        </r>
      </text>
    </comment>
    <comment ref="K22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Schedule in F/S. Pg 37.
</t>
        </r>
      </text>
    </comment>
    <comment ref="L228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Found Schedule in F/S. Pg 37.
</t>
        </r>
      </text>
    </comment>
    <comment ref="D240" authorId="0">
      <text>
        <r>
          <rPr>
            <b/>
            <sz val="9"/>
            <rFont val="Tahoma"/>
            <family val="2"/>
          </rPr>
          <t>Hadwen:</t>
        </r>
        <r>
          <rPr>
            <sz val="9"/>
            <rFont val="Tahoma"/>
            <family val="2"/>
          </rPr>
          <t xml:space="preserve">
Based on cash as % of sales over the last four years.  Has never dipped below 4.5%.</t>
        </r>
      </text>
    </comment>
  </commentList>
</comments>
</file>

<file path=xl/sharedStrings.xml><?xml version="1.0" encoding="utf-8"?>
<sst xmlns="http://schemas.openxmlformats.org/spreadsheetml/2006/main" count="216" uniqueCount="180">
  <si>
    <t>General Assumptions</t>
  </si>
  <si>
    <t>Company Name</t>
  </si>
  <si>
    <t>Last Fiscal Year End</t>
  </si>
  <si>
    <t>Current Share Price</t>
  </si>
  <si>
    <t>Current Date</t>
  </si>
  <si>
    <t>12/31/12</t>
  </si>
  <si>
    <t>12/31/13</t>
  </si>
  <si>
    <t>12/31/14</t>
  </si>
  <si>
    <t>Expected Growth Rate</t>
  </si>
  <si>
    <t>Net income including noncontrolling interests</t>
  </si>
  <si>
    <t>Income Statement</t>
  </si>
  <si>
    <t>Operating profit - EBIT</t>
  </si>
  <si>
    <t>Income before income taxes -EBT</t>
  </si>
  <si>
    <t>Actuals</t>
  </si>
  <si>
    <t>Depreciation &amp; Amortization</t>
  </si>
  <si>
    <t>EBITDA</t>
  </si>
  <si>
    <t>Cost of sales - Reported</t>
  </si>
  <si>
    <t>Interest expense, net - Reported</t>
  </si>
  <si>
    <t>Selling, general and administrative expenses &amp; Other- Reported</t>
  </si>
  <si>
    <t>Nonoperating Income/(Loss) - Reported</t>
  </si>
  <si>
    <t>Income Taxes - Reported</t>
  </si>
  <si>
    <t>Equity Income of Affiliates</t>
  </si>
  <si>
    <t>Minority Interest Expense - Reported</t>
  </si>
  <si>
    <t xml:space="preserve">Net Income </t>
  </si>
  <si>
    <t>Common Dividends</t>
  </si>
  <si>
    <t>Pro Forma Basic EPS Reconciliation</t>
  </si>
  <si>
    <t>Preferred Dividends</t>
  </si>
  <si>
    <t>Net Income for Basic EPS</t>
  </si>
  <si>
    <t>Basic Shares Outstanding</t>
  </si>
  <si>
    <t>Basic EPS</t>
  </si>
  <si>
    <t>Pro Forma Diluted EPS Reconciliation</t>
  </si>
  <si>
    <t>Net Income for Diluted EPS</t>
  </si>
  <si>
    <t>Stock Options, restricted stock, and convertibles</t>
  </si>
  <si>
    <t>Diluted shares outstanding</t>
  </si>
  <si>
    <t>Diluted EPS</t>
  </si>
  <si>
    <t xml:space="preserve">   Consensus EPS</t>
  </si>
  <si>
    <t>Nonrecurring Items</t>
  </si>
  <si>
    <t>Pre Tax</t>
  </si>
  <si>
    <t xml:space="preserve">   Model Variance from consensus</t>
  </si>
  <si>
    <t>All Figures in Millions, except per share data</t>
  </si>
  <si>
    <t>Yahoo Finance Consensus EPS Estimates</t>
  </si>
  <si>
    <t>Net Sales - Reported</t>
  </si>
  <si>
    <t>Net Sales - Pro Forma</t>
  </si>
  <si>
    <t>Selling, general and administrative expenses &amp; Other- Pro Forma</t>
  </si>
  <si>
    <t>Cost of sales - Pro Forma</t>
  </si>
  <si>
    <t>Nonoperating Income/(Loss) - Pro Forma</t>
  </si>
  <si>
    <t>Adjustment to Net Income for Diluted EPS Calculation</t>
  </si>
  <si>
    <t>Income Statement Assumptions</t>
  </si>
  <si>
    <t>Revenue Growth (%)</t>
  </si>
  <si>
    <t>Gross Profit Margin (%)</t>
  </si>
  <si>
    <t>EBIT Margin (%)</t>
  </si>
  <si>
    <t>Effective Tax Rate (%)</t>
  </si>
  <si>
    <t>D&amp;A Growth (%)</t>
  </si>
  <si>
    <t>Income in Equity Affiliates Growth (%)</t>
  </si>
  <si>
    <t>Minority Interest Growth (%)</t>
  </si>
  <si>
    <t>Dividend Payout Ratio</t>
  </si>
  <si>
    <t>International Paper</t>
  </si>
  <si>
    <t>Nonrecurring Restructuring Item</t>
  </si>
  <si>
    <t>(Gains) &amp; Losses</t>
  </si>
  <si>
    <t>Taxes</t>
  </si>
  <si>
    <t>Income Taxes - Pro Forma</t>
  </si>
  <si>
    <t>Projected</t>
  </si>
  <si>
    <t>R&amp;D</t>
  </si>
  <si>
    <t>Pro Forma EBITDA Reconciliation</t>
  </si>
  <si>
    <t>EBIT</t>
  </si>
  <si>
    <t>After Tax</t>
  </si>
  <si>
    <t>Other Non Cash Charges</t>
  </si>
  <si>
    <t>Other After Tax Gains (Losses)</t>
  </si>
  <si>
    <t>Other After Non Cash Tax Gains (Losses)</t>
  </si>
  <si>
    <t>SG&amp;A and Other Margin (%)</t>
  </si>
  <si>
    <t>Balance Sheet</t>
  </si>
  <si>
    <t>Cash &amp; Equivalents</t>
  </si>
  <si>
    <t>Accounts Receivable</t>
  </si>
  <si>
    <t>Inventories</t>
  </si>
  <si>
    <t>Deferred Income Tax</t>
  </si>
  <si>
    <t>Prepaid Expenses</t>
  </si>
  <si>
    <t>Other Current Assets</t>
  </si>
  <si>
    <t>Equity in Affiliates</t>
  </si>
  <si>
    <t>PP&amp;E</t>
  </si>
  <si>
    <t>Goodwill</t>
  </si>
  <si>
    <t>Intangibles</t>
  </si>
  <si>
    <t>Other Non-Current Assets</t>
  </si>
  <si>
    <t>Total Assets</t>
  </si>
  <si>
    <t>Accounts Payable</t>
  </si>
  <si>
    <t>Accrued Expenses</t>
  </si>
  <si>
    <t>Taxes Payable</t>
  </si>
  <si>
    <t>Other Current Liabilities (Non Debt)</t>
  </si>
  <si>
    <t>Current Portion of Long-Term Debt</t>
  </si>
  <si>
    <t>Short Term Debt (revolving credit facility)</t>
  </si>
  <si>
    <t>Long Term Debt</t>
  </si>
  <si>
    <t>Convertible Debt</t>
  </si>
  <si>
    <t>Deferred Income Taxes</t>
  </si>
  <si>
    <t>Other Non-Current Liabilities</t>
  </si>
  <si>
    <t>Total Liabilities</t>
  </si>
  <si>
    <t>Minority Interest</t>
  </si>
  <si>
    <t>Convertible Preferred Stock</t>
  </si>
  <si>
    <t>Common Stock &amp; APIC</t>
  </si>
  <si>
    <t>Treasury Stock (contra account)</t>
  </si>
  <si>
    <t>Comprehensive (accumulated) Loss</t>
  </si>
  <si>
    <t>Other Equity Account</t>
  </si>
  <si>
    <t>Retained Earnings</t>
  </si>
  <si>
    <t>Total Shareholder`s Equity</t>
  </si>
  <si>
    <t>Liabilities + Shareholder`s Equity</t>
  </si>
  <si>
    <t>Balance Check</t>
  </si>
  <si>
    <t>Supporting Schedules</t>
  </si>
  <si>
    <t>Working Capital</t>
  </si>
  <si>
    <t>1. Grow with Revenues (Default)</t>
  </si>
  <si>
    <t>2. Override i: Days Sales</t>
  </si>
  <si>
    <t>3. Overide ii: Absolute Projection</t>
  </si>
  <si>
    <t>1. Grow with COGS</t>
  </si>
  <si>
    <t>3. Override ii: Absolute Projection</t>
  </si>
  <si>
    <t>2. Override i: Inventory Days</t>
  </si>
  <si>
    <t>1. Grow with SG&amp;A</t>
  </si>
  <si>
    <t>2. Absolute Projection</t>
  </si>
  <si>
    <t>1. Straight Line</t>
  </si>
  <si>
    <t>2. Override: Absolute Projection</t>
  </si>
  <si>
    <t>1. Grow with COGS (default)</t>
  </si>
  <si>
    <t>2. Override i: Payables Payment Period</t>
  </si>
  <si>
    <t>3. Override 2: Absolute Projection</t>
  </si>
  <si>
    <t>1. Grow with Taxes (default)</t>
  </si>
  <si>
    <t>Intangible Assets</t>
  </si>
  <si>
    <t>Purchase of Intangibles</t>
  </si>
  <si>
    <t>Amortization (enter as -)</t>
  </si>
  <si>
    <t>Capital Expenditures</t>
  </si>
  <si>
    <t>Recurring Asset Sales (enter as -)</t>
  </si>
  <si>
    <t>Depreciation</t>
  </si>
  <si>
    <t>Diluted Shares Outstanding</t>
  </si>
  <si>
    <t>Treasury Share Repurchases</t>
  </si>
  <si>
    <t>Value of Shares Issued</t>
  </si>
  <si>
    <t>Expected Average Share Price</t>
  </si>
  <si>
    <t>Consensus EPS Growth</t>
  </si>
  <si>
    <t>Shares Repurchased</t>
  </si>
  <si>
    <t>Shares Issued</t>
  </si>
  <si>
    <t>End of Period Basic Shares Outstanding</t>
  </si>
  <si>
    <t>Weighted Average Shares Outstanding</t>
  </si>
  <si>
    <t>Investment in Affiliates (Equity Method)</t>
  </si>
  <si>
    <t>Dividends (enter as -)</t>
  </si>
  <si>
    <t>Equity In Affiliates from Balance Sheet</t>
  </si>
  <si>
    <t>Minority Interest Expense</t>
  </si>
  <si>
    <t>Dividends (Enter as -)</t>
  </si>
  <si>
    <t>Minority Interest (from balance sheet)</t>
  </si>
  <si>
    <t>Cash Flow Statement</t>
  </si>
  <si>
    <t>Net Income</t>
  </si>
  <si>
    <t>Changes in Working Capital</t>
  </si>
  <si>
    <t>Acccounts Receivable</t>
  </si>
  <si>
    <t>Other Current Liabilities</t>
  </si>
  <si>
    <t>Deferred Tax Liabilities</t>
  </si>
  <si>
    <t>Equity Income in Affiliates</t>
  </si>
  <si>
    <t>Dividends Received from Affiliates</t>
  </si>
  <si>
    <t>Cash From Operations</t>
  </si>
  <si>
    <t>Purchase of Fixed Assets</t>
  </si>
  <si>
    <t>Proceeds From Sale of Fixed Assets</t>
  </si>
  <si>
    <t>Purchase of Intangible Assets</t>
  </si>
  <si>
    <t>Purchases/Proceeds From other Long-Term Assets</t>
  </si>
  <si>
    <t>Cash From Investing</t>
  </si>
  <si>
    <t>Treasury Stock Repurchases</t>
  </si>
  <si>
    <t>Comprehensive Accumulated Loss</t>
  </si>
  <si>
    <t>Common Preferred Dividends</t>
  </si>
  <si>
    <t>Increases / (decreases) in debt</t>
  </si>
  <si>
    <t>Cash from Financing</t>
  </si>
  <si>
    <t>Total Increase/Decrease in Cash</t>
  </si>
  <si>
    <t>Dividends To Minority Interests</t>
  </si>
  <si>
    <t>Debt</t>
  </si>
  <si>
    <t>Current Portion of LTD</t>
  </si>
  <si>
    <t>Reclassification of LTD to CP of LTD</t>
  </si>
  <si>
    <t>Discretionary (paydown)/Borrowing of LTD</t>
  </si>
  <si>
    <t>Dicretionary (paydown)/Borrowing of convertible debt</t>
  </si>
  <si>
    <t>Convertible debt</t>
  </si>
  <si>
    <t>Calculation of Short term Debt</t>
  </si>
  <si>
    <t>Cash @ beginning of the year (end of last year)</t>
  </si>
  <si>
    <t>Plus: Free cash flow prior to debt during the year</t>
  </si>
  <si>
    <t>Less: Minimum cash balance</t>
  </si>
  <si>
    <t>Total cash available / (debt required) for short term debt paydown</t>
  </si>
  <si>
    <t>Short Term Debt</t>
  </si>
  <si>
    <t>% of Sales</t>
  </si>
  <si>
    <t>Interest Expense</t>
  </si>
  <si>
    <t>Short-Term Debt</t>
  </si>
  <si>
    <t>Long-Term Debt</t>
  </si>
  <si>
    <t>Total Debt</t>
  </si>
  <si>
    <t>Average Interest Rate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</si>
</sst>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_ ;\-#,##0.0\ "/>
    <numFmt numFmtId="166" formatCode="&quot;$&quot;#,##0.0"/>
    <numFmt numFmtId="167" formatCode="0.0"/>
    <numFmt numFmtId="168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4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3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3"/>
      <name val="Arial"/>
      <family val="2"/>
    </font>
    <font>
      <sz val="10"/>
      <color rgb="FF3165F7"/>
      <name val="Arial"/>
      <family val="2"/>
    </font>
    <font>
      <sz val="10"/>
      <color theme="1"/>
      <name val="Arial"/>
      <family val="2"/>
    </font>
    <font>
      <sz val="11"/>
      <color theme="3" tint="0.3999499976634979"/>
      <name val="Calibri"/>
      <family val="2"/>
    </font>
    <font>
      <sz val="11"/>
      <color rgb="FF0070C0"/>
      <name val="Calibri"/>
      <family val="2"/>
    </font>
    <font>
      <sz val="11"/>
      <color rgb="FF3165F7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31" fillId="20" borderId="0" xfId="0" applyFont="1" applyFill="1" applyAlignment="1">
      <alignment/>
    </xf>
    <xf numFmtId="0" fontId="34" fillId="20" borderId="0" xfId="0" applyFont="1" applyFill="1" applyAlignment="1">
      <alignment/>
    </xf>
    <xf numFmtId="0" fontId="48" fillId="33" borderId="0" xfId="0" applyFont="1" applyFill="1" applyAlignment="1">
      <alignment horizontal="right"/>
    </xf>
    <xf numFmtId="164" fontId="48" fillId="33" borderId="0" xfId="0" applyNumberFormat="1" applyFont="1" applyFill="1" applyAlignment="1">
      <alignment horizontal="right"/>
    </xf>
    <xf numFmtId="10" fontId="48" fillId="33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4" fontId="7" fillId="0" borderId="0" xfId="44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14" fontId="8" fillId="0" borderId="11" xfId="0" applyNumberFormat="1" applyFont="1" applyBorder="1" applyAlignment="1">
      <alignment/>
    </xf>
    <xf numFmtId="14" fontId="8" fillId="0" borderId="0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0" fillId="0" borderId="11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165" fontId="51" fillId="33" borderId="0" xfId="44" applyNumberFormat="1" applyFont="1" applyFill="1" applyBorder="1" applyAlignment="1">
      <alignment/>
    </xf>
    <xf numFmtId="165" fontId="8" fillId="0" borderId="0" xfId="44" applyNumberFormat="1" applyFont="1" applyAlignment="1">
      <alignment/>
    </xf>
    <xf numFmtId="166" fontId="8" fillId="0" borderId="12" xfId="44" applyNumberFormat="1" applyFont="1" applyFill="1" applyBorder="1" applyAlignment="1">
      <alignment/>
    </xf>
    <xf numFmtId="164" fontId="52" fillId="33" borderId="0" xfId="44" applyNumberFormat="1" applyFont="1" applyFill="1" applyAlignment="1">
      <alignment/>
    </xf>
    <xf numFmtId="165" fontId="52" fillId="33" borderId="0" xfId="44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4" fontId="53" fillId="0" borderId="0" xfId="44" applyNumberFormat="1" applyFont="1" applyFill="1" applyAlignment="1">
      <alignment/>
    </xf>
    <xf numFmtId="165" fontId="53" fillId="0" borderId="0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Alignment="1">
      <alignment/>
    </xf>
    <xf numFmtId="14" fontId="48" fillId="33" borderId="0" xfId="0" applyNumberFormat="1" applyFont="1" applyFill="1" applyAlignment="1">
      <alignment horizontal="right"/>
    </xf>
    <xf numFmtId="0" fontId="54" fillId="33" borderId="0" xfId="0" applyFont="1" applyFill="1" applyAlignment="1">
      <alignment/>
    </xf>
    <xf numFmtId="0" fontId="45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54" fillId="33" borderId="0" xfId="0" applyFont="1" applyFill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54" fillId="33" borderId="0" xfId="0" applyNumberFormat="1" applyFont="1" applyFill="1" applyAlignment="1">
      <alignment/>
    </xf>
    <xf numFmtId="0" fontId="45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8" fontId="54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55" fillId="33" borderId="0" xfId="0" applyFont="1" applyFill="1" applyAlignment="1">
      <alignment/>
    </xf>
    <xf numFmtId="14" fontId="0" fillId="0" borderId="11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56" fillId="33" borderId="0" xfId="0" applyFont="1" applyFill="1" applyAlignment="1">
      <alignment/>
    </xf>
    <xf numFmtId="0" fontId="50" fillId="0" borderId="0" xfId="0" applyFont="1" applyAlignment="1">
      <alignment horizontal="center"/>
    </xf>
    <xf numFmtId="10" fontId="56" fillId="0" borderId="0" xfId="0" applyNumberFormat="1" applyFont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tabSelected="1" zoomScalePageLayoutView="0" workbookViewId="0" topLeftCell="A88">
      <selection activeCell="N46" sqref="N46"/>
    </sheetView>
  </sheetViews>
  <sheetFormatPr defaultColWidth="9.140625" defaultRowHeight="15"/>
  <cols>
    <col min="1" max="1" width="62.57421875" style="0" bestFit="1" customWidth="1"/>
    <col min="2" max="2" width="18.421875" style="0" bestFit="1" customWidth="1"/>
    <col min="3" max="3" width="10.7109375" style="0" bestFit="1" customWidth="1"/>
    <col min="4" max="4" width="37.28125" style="0" customWidth="1"/>
    <col min="5" max="12" width="10.7109375" style="0" bestFit="1" customWidth="1"/>
  </cols>
  <sheetData>
    <row r="1" ht="21">
      <c r="A1" s="1" t="str">
        <f>"Financial Statement Model for "&amp;B6</f>
        <v>Financial Statement Model for International Paper</v>
      </c>
    </row>
    <row r="2" spans="1:20" ht="15">
      <c r="A2" s="2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4"/>
      <c r="N2" s="14"/>
      <c r="O2" s="14"/>
      <c r="P2" s="14"/>
      <c r="Q2" s="14"/>
      <c r="R2" s="14"/>
      <c r="S2" s="14"/>
      <c r="T2" s="14"/>
    </row>
    <row r="5" spans="1:8" ht="15">
      <c r="A5" s="4" t="s">
        <v>0</v>
      </c>
      <c r="B5" s="3"/>
      <c r="D5" s="4" t="s">
        <v>36</v>
      </c>
      <c r="E5" s="4"/>
      <c r="F5" s="4"/>
      <c r="G5" s="4"/>
      <c r="H5" s="4"/>
    </row>
    <row r="6" spans="1:8" ht="15">
      <c r="A6" t="s">
        <v>1</v>
      </c>
      <c r="B6" s="5" t="s">
        <v>56</v>
      </c>
      <c r="D6" s="21" t="s">
        <v>37</v>
      </c>
      <c r="F6" s="21">
        <v>2010</v>
      </c>
      <c r="G6" s="21">
        <v>2011</v>
      </c>
      <c r="H6" s="21">
        <v>2012</v>
      </c>
    </row>
    <row r="7" spans="1:8" ht="15">
      <c r="A7" t="s">
        <v>2</v>
      </c>
      <c r="B7" s="36">
        <v>41274</v>
      </c>
      <c r="D7" t="s">
        <v>57</v>
      </c>
      <c r="F7" s="37">
        <v>394</v>
      </c>
      <c r="G7" s="37">
        <v>102</v>
      </c>
      <c r="H7" s="37">
        <v>109</v>
      </c>
    </row>
    <row r="8" spans="1:8" ht="15">
      <c r="A8" t="s">
        <v>3</v>
      </c>
      <c r="B8" s="6">
        <v>47.61</v>
      </c>
      <c r="D8" t="s">
        <v>58</v>
      </c>
      <c r="F8" s="37">
        <v>-23</v>
      </c>
      <c r="G8" s="37">
        <v>218</v>
      </c>
      <c r="H8" s="37">
        <v>86</v>
      </c>
    </row>
    <row r="9" spans="1:8" ht="15">
      <c r="A9" t="s">
        <v>4</v>
      </c>
      <c r="B9" s="36">
        <v>41136</v>
      </c>
      <c r="D9" t="s">
        <v>59</v>
      </c>
      <c r="F9" s="37">
        <v>166</v>
      </c>
      <c r="G9" s="37">
        <v>146</v>
      </c>
      <c r="H9" s="37">
        <v>192</v>
      </c>
    </row>
    <row r="10" spans="4:8" ht="15">
      <c r="D10" t="s">
        <v>66</v>
      </c>
      <c r="F10" s="11"/>
      <c r="G10" s="11"/>
      <c r="H10" s="11"/>
    </row>
    <row r="11" spans="1:4" ht="15">
      <c r="A11" s="4" t="s">
        <v>40</v>
      </c>
      <c r="B11" s="3"/>
      <c r="D11" s="21"/>
    </row>
    <row r="12" spans="1:4" ht="15">
      <c r="A12" t="s">
        <v>5</v>
      </c>
      <c r="B12" s="6">
        <v>2.65</v>
      </c>
      <c r="D12" s="21" t="s">
        <v>65</v>
      </c>
    </row>
    <row r="13" spans="1:8" ht="15">
      <c r="A13" t="s">
        <v>6</v>
      </c>
      <c r="B13" s="6">
        <v>3.35</v>
      </c>
      <c r="D13" s="31" t="s">
        <v>57</v>
      </c>
      <c r="F13" s="37">
        <v>242</v>
      </c>
      <c r="G13" s="37">
        <v>66</v>
      </c>
      <c r="H13" s="37">
        <v>74</v>
      </c>
    </row>
    <row r="14" spans="1:8" ht="15">
      <c r="A14" t="s">
        <v>7</v>
      </c>
      <c r="B14" s="6">
        <v>4.51</v>
      </c>
      <c r="D14" s="31" t="s">
        <v>67</v>
      </c>
      <c r="F14">
        <v>111</v>
      </c>
      <c r="G14">
        <v>202</v>
      </c>
      <c r="H14">
        <v>106</v>
      </c>
    </row>
    <row r="15" spans="1:8" ht="15">
      <c r="A15" t="s">
        <v>8</v>
      </c>
      <c r="B15" s="7">
        <v>0.132</v>
      </c>
      <c r="D15" s="31" t="s">
        <v>68</v>
      </c>
      <c r="F15">
        <v>-234</v>
      </c>
      <c r="G15">
        <v>-43</v>
      </c>
      <c r="H15">
        <v>-373</v>
      </c>
    </row>
    <row r="18" spans="1:12" ht="15">
      <c r="A18" s="4" t="s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9" s="11" customFormat="1" ht="15">
      <c r="A19" s="10"/>
      <c r="B19" s="10"/>
      <c r="C19" s="10"/>
      <c r="D19" s="10"/>
      <c r="E19" s="10"/>
      <c r="F19"/>
      <c r="G19" s="8"/>
      <c r="H19" s="9"/>
      <c r="I19" s="13"/>
      <c r="J19"/>
      <c r="K19"/>
      <c r="L19"/>
      <c r="M19"/>
      <c r="N19"/>
      <c r="O19"/>
      <c r="P19"/>
      <c r="Q19"/>
      <c r="R19"/>
      <c r="S19"/>
    </row>
    <row r="20" spans="2:12" ht="15">
      <c r="B20" s="61" t="s">
        <v>13</v>
      </c>
      <c r="C20" s="61"/>
      <c r="D20" s="61"/>
      <c r="E20" s="61" t="s">
        <v>61</v>
      </c>
      <c r="F20" s="61"/>
      <c r="G20" s="61"/>
      <c r="H20" s="61"/>
      <c r="I20" s="61"/>
      <c r="J20" s="61"/>
      <c r="K20" s="61"/>
      <c r="L20" s="61"/>
    </row>
    <row r="21" spans="2:12" ht="15">
      <c r="B21" s="12">
        <v>2010</v>
      </c>
      <c r="C21" s="12">
        <v>2011</v>
      </c>
      <c r="D21" s="12">
        <v>2012</v>
      </c>
      <c r="E21" s="2">
        <f>D21+1</f>
        <v>2013</v>
      </c>
      <c r="F21" s="2">
        <f>E21+1</f>
        <v>2014</v>
      </c>
      <c r="G21" s="2">
        <f>F21+1</f>
        <v>2015</v>
      </c>
      <c r="H21" s="2">
        <f>G21+1</f>
        <v>2016</v>
      </c>
      <c r="I21" s="2">
        <f>H21+1</f>
        <v>2017</v>
      </c>
      <c r="J21" s="2">
        <f>I21+1</f>
        <v>2018</v>
      </c>
      <c r="K21" s="2">
        <f>J21+1</f>
        <v>2019</v>
      </c>
      <c r="L21" s="2">
        <f>K21+1</f>
        <v>2020</v>
      </c>
    </row>
    <row r="22" spans="2:12" ht="15">
      <c r="B22" s="16">
        <v>40543</v>
      </c>
      <c r="C22" s="16">
        <f>DATE(YEAR(B22)+1,MONTH(B22),DAY(B22))</f>
        <v>40908</v>
      </c>
      <c r="D22" s="16">
        <f aca="true" t="shared" si="0" ref="D22:I22">DATE(YEAR(C22)+1,MONTH(C22),DAY(C22))</f>
        <v>41274</v>
      </c>
      <c r="E22" s="16">
        <f t="shared" si="0"/>
        <v>41639</v>
      </c>
      <c r="F22" s="16">
        <f t="shared" si="0"/>
        <v>42004</v>
      </c>
      <c r="G22" s="16">
        <f t="shared" si="0"/>
        <v>42369</v>
      </c>
      <c r="H22" s="16">
        <f t="shared" si="0"/>
        <v>42735</v>
      </c>
      <c r="I22" s="16">
        <f t="shared" si="0"/>
        <v>43100</v>
      </c>
      <c r="J22" s="16">
        <f>DATE(YEAR(I22)+1,MONTH(I22),DAY(I22))</f>
        <v>43465</v>
      </c>
      <c r="K22" s="16">
        <f>DATE(YEAR(J22)+1,MONTH(J22),DAY(J22))</f>
        <v>43830</v>
      </c>
      <c r="L22" s="16">
        <f>DATE(YEAR(K22)+1,MONTH(K22),DAY(K22))</f>
        <v>44196</v>
      </c>
    </row>
    <row r="23" spans="2:8" ht="15">
      <c r="B23" s="17"/>
      <c r="C23" s="17"/>
      <c r="D23" s="17"/>
      <c r="H23" s="14"/>
    </row>
    <row r="24" spans="1:7" ht="15">
      <c r="A24" t="s">
        <v>41</v>
      </c>
      <c r="B24" s="26">
        <v>25179</v>
      </c>
      <c r="C24" s="26">
        <v>26034</v>
      </c>
      <c r="D24" s="26">
        <v>27833</v>
      </c>
      <c r="G24" s="14"/>
    </row>
    <row r="25" spans="1:12" ht="15">
      <c r="A25" t="s">
        <v>42</v>
      </c>
      <c r="B25" s="32">
        <f>B24</f>
        <v>25179</v>
      </c>
      <c r="C25" s="32">
        <f>C24</f>
        <v>26034</v>
      </c>
      <c r="D25" s="32">
        <f>D24</f>
        <v>27833</v>
      </c>
      <c r="E25" s="32">
        <f>D25*(1+E66)</f>
        <v>29113.318000000003</v>
      </c>
      <c r="F25" s="32">
        <f aca="true" t="shared" si="1" ref="F25:L25">E25*(1+F66)</f>
        <v>29957.604222</v>
      </c>
      <c r="G25" s="32">
        <f t="shared" si="1"/>
        <v>30766.459535994</v>
      </c>
      <c r="H25" s="32">
        <f t="shared" si="1"/>
        <v>31597.153943465833</v>
      </c>
      <c r="I25" s="32">
        <f t="shared" si="1"/>
        <v>32450.27709993941</v>
      </c>
      <c r="J25" s="32">
        <f t="shared" si="1"/>
        <v>33326.43458163777</v>
      </c>
      <c r="K25" s="32">
        <f t="shared" si="1"/>
        <v>34226.24831534198</v>
      </c>
      <c r="L25" s="32">
        <f t="shared" si="1"/>
        <v>35150.357019856216</v>
      </c>
    </row>
    <row r="26" spans="1:4" ht="15">
      <c r="A26" t="s">
        <v>16</v>
      </c>
      <c r="B26" s="27">
        <v>18482</v>
      </c>
      <c r="C26" s="27">
        <v>18960</v>
      </c>
      <c r="D26" s="27">
        <v>20587</v>
      </c>
    </row>
    <row r="27" spans="1:12" ht="15">
      <c r="A27" t="s">
        <v>44</v>
      </c>
      <c r="B27" s="33">
        <f>B26</f>
        <v>18482</v>
      </c>
      <c r="C27" s="33">
        <f>C26</f>
        <v>18960</v>
      </c>
      <c r="D27" s="33">
        <f>D26</f>
        <v>20587</v>
      </c>
      <c r="E27" s="33">
        <f>E25*(1-E67)</f>
        <v>21048.928914</v>
      </c>
      <c r="F27" s="33">
        <f aca="true" t="shared" si="2" ref="F27:L27">F25*(1-F67)</f>
        <v>21269.89899762</v>
      </c>
      <c r="G27" s="33">
        <f t="shared" si="2"/>
        <v>21844.18627055574</v>
      </c>
      <c r="H27" s="33">
        <f t="shared" si="2"/>
        <v>22433.97929986074</v>
      </c>
      <c r="I27" s="33">
        <f t="shared" si="2"/>
        <v>23039.69674095698</v>
      </c>
      <c r="J27" s="33">
        <f t="shared" si="2"/>
        <v>23661.768552962814</v>
      </c>
      <c r="K27" s="33">
        <f t="shared" si="2"/>
        <v>24300.636303892807</v>
      </c>
      <c r="L27" s="33">
        <f t="shared" si="2"/>
        <v>24956.753484097913</v>
      </c>
    </row>
    <row r="28" spans="1:4" ht="15">
      <c r="A28" t="s">
        <v>18</v>
      </c>
      <c r="B28" s="27">
        <v>3811</v>
      </c>
      <c r="C28" s="27">
        <v>3743</v>
      </c>
      <c r="D28" s="27">
        <v>4064</v>
      </c>
    </row>
    <row r="29" spans="1:12" ht="15">
      <c r="A29" t="s">
        <v>43</v>
      </c>
      <c r="B29" s="33">
        <f>B28-F7-F8-F9</f>
        <v>3274</v>
      </c>
      <c r="C29" s="33">
        <f>C28-G7-G8-G9</f>
        <v>3277</v>
      </c>
      <c r="D29" s="33">
        <f>D28-H7-H8-H9</f>
        <v>3677</v>
      </c>
      <c r="E29" s="33">
        <f>E25*E68</f>
        <v>3784.7313400000007</v>
      </c>
      <c r="F29" s="33">
        <f aca="true" t="shared" si="3" ref="F29:L29">F25*F68</f>
        <v>3894.4885488600003</v>
      </c>
      <c r="G29" s="33">
        <f t="shared" si="3"/>
        <v>3999.63973967922</v>
      </c>
      <c r="H29" s="33">
        <f t="shared" si="3"/>
        <v>4107.6300126505585</v>
      </c>
      <c r="I29" s="33">
        <f t="shared" si="3"/>
        <v>4218.536022992123</v>
      </c>
      <c r="J29" s="33">
        <f t="shared" si="3"/>
        <v>4332.43649561291</v>
      </c>
      <c r="K29" s="33">
        <f t="shared" si="3"/>
        <v>4449.412280994457</v>
      </c>
      <c r="L29" s="33">
        <f t="shared" si="3"/>
        <v>4569.546412581308</v>
      </c>
    </row>
    <row r="30" spans="1:12" ht="15">
      <c r="A30" s="31" t="s">
        <v>14</v>
      </c>
      <c r="B30" s="27">
        <v>1456</v>
      </c>
      <c r="C30" s="27">
        <v>1332</v>
      </c>
      <c r="D30" s="27">
        <v>1486</v>
      </c>
      <c r="E30" s="42">
        <f>D30*(1+E71)</f>
        <v>1554.356</v>
      </c>
      <c r="F30" s="42">
        <f aca="true" t="shared" si="4" ref="F30:L30">E30*(1+F71)</f>
        <v>1599.4323239999999</v>
      </c>
      <c r="G30" s="42">
        <f t="shared" si="4"/>
        <v>1642.6169967479998</v>
      </c>
      <c r="H30" s="42">
        <f t="shared" si="4"/>
        <v>1686.9676556601955</v>
      </c>
      <c r="I30" s="42">
        <f t="shared" si="4"/>
        <v>1732.5157823630207</v>
      </c>
      <c r="J30" s="42">
        <f t="shared" si="4"/>
        <v>1779.293708486822</v>
      </c>
      <c r="K30" s="42">
        <f t="shared" si="4"/>
        <v>1827.334638615966</v>
      </c>
      <c r="L30" s="42">
        <f t="shared" si="4"/>
        <v>1876.672673858597</v>
      </c>
    </row>
    <row r="31" spans="1:12" ht="15">
      <c r="A31" s="15" t="s">
        <v>11</v>
      </c>
      <c r="B31" s="24">
        <f>B25-B27-B29-B30</f>
        <v>1967</v>
      </c>
      <c r="C31" s="24">
        <f>C25-C27-C29-C30</f>
        <v>2465</v>
      </c>
      <c r="D31" s="24">
        <f>D25-D27-D29-D30</f>
        <v>2083</v>
      </c>
      <c r="E31" s="33">
        <f>E25-E27-E29-E30</f>
        <v>2725.301746000003</v>
      </c>
      <c r="F31" s="33">
        <f aca="true" t="shared" si="5" ref="F31:L31">F25-F27-F29-F30</f>
        <v>3193.7843515200025</v>
      </c>
      <c r="G31" s="33">
        <f t="shared" si="5"/>
        <v>3280.01652901104</v>
      </c>
      <c r="H31" s="33">
        <f t="shared" si="5"/>
        <v>3368.576975294339</v>
      </c>
      <c r="I31" s="33">
        <f t="shared" si="5"/>
        <v>3459.528553627284</v>
      </c>
      <c r="J31" s="33">
        <f t="shared" si="5"/>
        <v>3552.935824575222</v>
      </c>
      <c r="K31" s="33">
        <f t="shared" si="5"/>
        <v>3648.8650918387516</v>
      </c>
      <c r="L31" s="33">
        <f t="shared" si="5"/>
        <v>3747.384449318398</v>
      </c>
    </row>
    <row r="32" spans="1:12" ht="15">
      <c r="A32" t="s">
        <v>17</v>
      </c>
      <c r="B32" s="27">
        <v>608</v>
      </c>
      <c r="C32" s="27">
        <v>541</v>
      </c>
      <c r="D32" s="27">
        <v>672</v>
      </c>
      <c r="E32" s="42">
        <f>E251</f>
        <v>664.8938547486033</v>
      </c>
      <c r="F32" s="42">
        <f aca="true" t="shared" si="6" ref="F32:L32">F251</f>
        <v>626.2793296089385</v>
      </c>
      <c r="G32" s="42">
        <f t="shared" si="6"/>
        <v>586.4916201117318</v>
      </c>
      <c r="H32" s="42">
        <f t="shared" si="6"/>
        <v>551.2960893854748</v>
      </c>
      <c r="I32" s="42">
        <f t="shared" si="6"/>
        <v>524.9162011173185</v>
      </c>
      <c r="J32" s="42">
        <f t="shared" si="6"/>
        <v>517.6759776536313</v>
      </c>
      <c r="K32" s="42">
        <f t="shared" si="6"/>
        <v>517.6759776536313</v>
      </c>
      <c r="L32" s="42">
        <f t="shared" si="6"/>
        <v>517.6759776536313</v>
      </c>
    </row>
    <row r="33" spans="1:4" ht="15">
      <c r="A33" t="s">
        <v>19</v>
      </c>
      <c r="B33" s="27">
        <v>0</v>
      </c>
      <c r="C33" s="23">
        <v>49</v>
      </c>
      <c r="D33" s="23">
        <v>45</v>
      </c>
    </row>
    <row r="34" spans="1:12" ht="15">
      <c r="A34" t="s">
        <v>45</v>
      </c>
      <c r="B34" s="33">
        <f>B33</f>
        <v>0</v>
      </c>
      <c r="C34" s="33">
        <f>C33</f>
        <v>49</v>
      </c>
      <c r="D34" s="33">
        <f>D33</f>
        <v>45</v>
      </c>
      <c r="E34" s="33">
        <f>D34</f>
        <v>45</v>
      </c>
      <c r="F34" s="33">
        <f aca="true" t="shared" si="7" ref="F34:L34">E34</f>
        <v>45</v>
      </c>
      <c r="G34" s="33">
        <f t="shared" si="7"/>
        <v>45</v>
      </c>
      <c r="H34" s="33">
        <f t="shared" si="7"/>
        <v>45</v>
      </c>
      <c r="I34" s="33">
        <f t="shared" si="7"/>
        <v>45</v>
      </c>
      <c r="J34" s="33">
        <f t="shared" si="7"/>
        <v>45</v>
      </c>
      <c r="K34" s="33">
        <f t="shared" si="7"/>
        <v>45</v>
      </c>
      <c r="L34" s="33">
        <f t="shared" si="7"/>
        <v>45</v>
      </c>
    </row>
    <row r="35" spans="1:12" ht="15">
      <c r="A35" s="15" t="s">
        <v>12</v>
      </c>
      <c r="B35" s="24">
        <f>B31-B32+B34</f>
        <v>1359</v>
      </c>
      <c r="C35" s="24">
        <f>C31-C32+C34</f>
        <v>1973</v>
      </c>
      <c r="D35" s="24">
        <f>D31-D32+D34</f>
        <v>1456</v>
      </c>
      <c r="E35" s="33">
        <f>E31-E32+E34</f>
        <v>2105.4078912513996</v>
      </c>
      <c r="F35" s="33">
        <f aca="true" t="shared" si="8" ref="F35:L35">F31-F32+F34</f>
        <v>2612.505021911064</v>
      </c>
      <c r="G35" s="33">
        <f t="shared" si="8"/>
        <v>2738.5249088993082</v>
      </c>
      <c r="H35" s="33">
        <f t="shared" si="8"/>
        <v>2862.280885908864</v>
      </c>
      <c r="I35" s="33">
        <f t="shared" si="8"/>
        <v>2979.6123525099656</v>
      </c>
      <c r="J35" s="33">
        <f t="shared" si="8"/>
        <v>3080.2598469215905</v>
      </c>
      <c r="K35" s="33">
        <f t="shared" si="8"/>
        <v>3176.18911418512</v>
      </c>
      <c r="L35" s="33">
        <f t="shared" si="8"/>
        <v>3274.7084716647664</v>
      </c>
    </row>
    <row r="36" spans="1:4" ht="15">
      <c r="A36" t="s">
        <v>20</v>
      </c>
      <c r="B36" s="27">
        <v>221</v>
      </c>
      <c r="C36" s="27">
        <v>311</v>
      </c>
      <c r="D36" s="27">
        <v>331</v>
      </c>
    </row>
    <row r="37" spans="1:12" ht="15">
      <c r="A37" t="s">
        <v>60</v>
      </c>
      <c r="B37" s="33">
        <f>B36+(F7-F13)</f>
        <v>373</v>
      </c>
      <c r="C37" s="33">
        <f>C36+(G7-G13)</f>
        <v>347</v>
      </c>
      <c r="D37" s="33">
        <f>D36+(H7-H13)</f>
        <v>366</v>
      </c>
      <c r="E37" s="33">
        <f>E35*E70</f>
        <v>616.8845121366601</v>
      </c>
      <c r="F37" s="33">
        <f aca="true" t="shared" si="9" ref="F37:L37">F35*F70</f>
        <v>757.6264563542085</v>
      </c>
      <c r="G37" s="33">
        <f t="shared" si="9"/>
        <v>794.1722235807994</v>
      </c>
      <c r="H37" s="33">
        <f t="shared" si="9"/>
        <v>830.0614569135705</v>
      </c>
      <c r="I37" s="33">
        <f t="shared" si="9"/>
        <v>864.0875822278899</v>
      </c>
      <c r="J37" s="33">
        <f t="shared" si="9"/>
        <v>893.2753556072612</v>
      </c>
      <c r="K37" s="33">
        <f t="shared" si="9"/>
        <v>921.0948431136848</v>
      </c>
      <c r="L37" s="33">
        <f t="shared" si="9"/>
        <v>949.6654567827821</v>
      </c>
    </row>
    <row r="38" spans="1:12" ht="15">
      <c r="A38" s="15" t="s">
        <v>9</v>
      </c>
      <c r="B38" s="33">
        <f>B35-B37</f>
        <v>986</v>
      </c>
      <c r="C38" s="33">
        <f>C35-C37</f>
        <v>1626</v>
      </c>
      <c r="D38" s="33">
        <f>D35-D37</f>
        <v>1090</v>
      </c>
      <c r="E38" s="33">
        <f aca="true" t="shared" si="10" ref="E38:L38">E35-E37</f>
        <v>1488.5233791147396</v>
      </c>
      <c r="F38" s="33">
        <f t="shared" si="10"/>
        <v>1854.8785655568554</v>
      </c>
      <c r="G38" s="33">
        <f t="shared" si="10"/>
        <v>1944.352685318509</v>
      </c>
      <c r="H38" s="33">
        <f t="shared" si="10"/>
        <v>2032.2194289952936</v>
      </c>
      <c r="I38" s="33">
        <f t="shared" si="10"/>
        <v>2115.5247702820757</v>
      </c>
      <c r="J38" s="33">
        <f t="shared" si="10"/>
        <v>2186.9844913143293</v>
      </c>
      <c r="K38" s="33">
        <f t="shared" si="10"/>
        <v>2255.0942710714353</v>
      </c>
      <c r="L38" s="33">
        <f t="shared" si="10"/>
        <v>2325.043014881984</v>
      </c>
    </row>
    <row r="39" spans="1:12" ht="15">
      <c r="A39" t="s">
        <v>21</v>
      </c>
      <c r="B39" s="27">
        <v>111</v>
      </c>
      <c r="C39" s="27">
        <v>140</v>
      </c>
      <c r="D39" s="27">
        <v>61</v>
      </c>
      <c r="E39" s="41">
        <f>D39*(1+E72)</f>
        <v>63.806000000000004</v>
      </c>
      <c r="F39" s="41">
        <f aca="true" t="shared" si="11" ref="F39:L39">E39*(1+F72)</f>
        <v>65.656374</v>
      </c>
      <c r="G39" s="41">
        <f t="shared" si="11"/>
        <v>67.42909609799999</v>
      </c>
      <c r="H39" s="41">
        <f t="shared" si="11"/>
        <v>69.24968169264598</v>
      </c>
      <c r="I39" s="41">
        <f t="shared" si="11"/>
        <v>71.11942309834741</v>
      </c>
      <c r="J39" s="41">
        <f t="shared" si="11"/>
        <v>73.03964752200278</v>
      </c>
      <c r="K39" s="41">
        <f t="shared" si="11"/>
        <v>75.01171800509685</v>
      </c>
      <c r="L39" s="41">
        <f t="shared" si="11"/>
        <v>77.03703439123446</v>
      </c>
    </row>
    <row r="40" spans="1:12" ht="15">
      <c r="A40" t="s">
        <v>22</v>
      </c>
      <c r="B40" s="27">
        <v>21</v>
      </c>
      <c r="C40" s="27">
        <v>14</v>
      </c>
      <c r="D40" s="27">
        <v>5</v>
      </c>
      <c r="E40" s="41">
        <f>D40*(1+E73)</f>
        <v>5.23</v>
      </c>
      <c r="F40" s="41">
        <f aca="true" t="shared" si="12" ref="F40:L40">E40*(1+F73)</f>
        <v>5.38167</v>
      </c>
      <c r="G40" s="41">
        <f t="shared" si="12"/>
        <v>5.52697509</v>
      </c>
      <c r="H40" s="41">
        <f t="shared" si="12"/>
        <v>5.676203417429999</v>
      </c>
      <c r="I40" s="41">
        <f t="shared" si="12"/>
        <v>5.829460909700608</v>
      </c>
      <c r="J40" s="41">
        <f t="shared" si="12"/>
        <v>5.986856354262525</v>
      </c>
      <c r="K40" s="41">
        <f t="shared" si="12"/>
        <v>6.148501475827612</v>
      </c>
      <c r="L40" s="41">
        <f t="shared" si="12"/>
        <v>6.314511015674958</v>
      </c>
    </row>
    <row r="41" spans="1:12" ht="15.75" thickBot="1">
      <c r="A41" s="15" t="s">
        <v>23</v>
      </c>
      <c r="B41" s="25">
        <f>B38+B39-B40</f>
        <v>1076</v>
      </c>
      <c r="C41" s="25">
        <f>C38+C39-C40</f>
        <v>1752</v>
      </c>
      <c r="D41" s="25">
        <f>D38+D39-D40</f>
        <v>1146</v>
      </c>
      <c r="E41" s="25">
        <f aca="true" t="shared" si="13" ref="E41:L41">E38+E39-E40</f>
        <v>1547.0993791147396</v>
      </c>
      <c r="F41" s="25">
        <f t="shared" si="13"/>
        <v>1915.1532695568553</v>
      </c>
      <c r="G41" s="25">
        <f t="shared" si="13"/>
        <v>2006.254806326509</v>
      </c>
      <c r="H41" s="25">
        <f t="shared" si="13"/>
        <v>2095.7929072705097</v>
      </c>
      <c r="I41" s="25">
        <f t="shared" si="13"/>
        <v>2180.8147324707224</v>
      </c>
      <c r="J41" s="25">
        <f t="shared" si="13"/>
        <v>2254.0372824820693</v>
      </c>
      <c r="K41" s="25">
        <f t="shared" si="13"/>
        <v>2323.9574876007046</v>
      </c>
      <c r="L41" s="25">
        <f t="shared" si="13"/>
        <v>2395.7655382575435</v>
      </c>
    </row>
    <row r="42" spans="1:12" ht="15.75" thickTop="1">
      <c r="A42" t="s">
        <v>24</v>
      </c>
      <c r="B42" s="27">
        <v>175</v>
      </c>
      <c r="C42" s="27">
        <v>427</v>
      </c>
      <c r="D42" s="27">
        <v>476</v>
      </c>
      <c r="E42" s="42">
        <f>E41*E74</f>
        <v>642.6650820842628</v>
      </c>
      <c r="F42" s="42">
        <f aca="true" t="shared" si="14" ref="F42:L42">F41*F74</f>
        <v>795.5546681739177</v>
      </c>
      <c r="G42" s="42">
        <f t="shared" si="14"/>
        <v>833.3982465480318</v>
      </c>
      <c r="H42" s="42">
        <f t="shared" si="14"/>
        <v>870.5923736801697</v>
      </c>
      <c r="I42" s="42">
        <f t="shared" si="14"/>
        <v>905.9104398683381</v>
      </c>
      <c r="J42" s="42">
        <f t="shared" si="14"/>
        <v>936.3270871430516</v>
      </c>
      <c r="K42" s="42">
        <f t="shared" si="14"/>
        <v>965.3719403493327</v>
      </c>
      <c r="L42" s="42">
        <f t="shared" si="14"/>
        <v>995.2010045921836</v>
      </c>
    </row>
    <row r="43" spans="2:4" ht="15">
      <c r="B43" s="33"/>
      <c r="C43" s="33"/>
      <c r="D43" s="33"/>
    </row>
    <row r="44" spans="1:12" ht="15">
      <c r="A44" s="18" t="s">
        <v>63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5">
      <c r="A45" s="34" t="s">
        <v>64</v>
      </c>
      <c r="B45" s="39">
        <f>B31</f>
        <v>1967</v>
      </c>
      <c r="C45" s="39">
        <f>C31</f>
        <v>2465</v>
      </c>
      <c r="D45" s="39">
        <f>D31</f>
        <v>2083</v>
      </c>
      <c r="E45" s="39">
        <f aca="true" t="shared" si="15" ref="E45:L45">E31</f>
        <v>2725.301746000003</v>
      </c>
      <c r="F45" s="39">
        <f t="shared" si="15"/>
        <v>3193.7843515200025</v>
      </c>
      <c r="G45" s="39">
        <f t="shared" si="15"/>
        <v>3280.01652901104</v>
      </c>
      <c r="H45" s="39">
        <f t="shared" si="15"/>
        <v>3368.576975294339</v>
      </c>
      <c r="I45" s="39">
        <f t="shared" si="15"/>
        <v>3459.528553627284</v>
      </c>
      <c r="J45" s="39">
        <f t="shared" si="15"/>
        <v>3552.935824575222</v>
      </c>
      <c r="K45" s="39">
        <f t="shared" si="15"/>
        <v>3648.8650918387516</v>
      </c>
      <c r="L45" s="39">
        <f t="shared" si="15"/>
        <v>3747.384449318398</v>
      </c>
    </row>
    <row r="46" spans="1:12" ht="15">
      <c r="A46" s="34" t="s">
        <v>14</v>
      </c>
      <c r="B46" s="39">
        <f>B30</f>
        <v>1456</v>
      </c>
      <c r="C46" s="39">
        <f>C30</f>
        <v>1332</v>
      </c>
      <c r="D46" s="39">
        <f>D30</f>
        <v>1486</v>
      </c>
      <c r="E46" s="39">
        <f>E30</f>
        <v>1554.356</v>
      </c>
      <c r="F46" s="39">
        <f aca="true" t="shared" si="16" ref="F46:L46">F30</f>
        <v>1599.4323239999999</v>
      </c>
      <c r="G46" s="39">
        <f t="shared" si="16"/>
        <v>1642.6169967479998</v>
      </c>
      <c r="H46" s="39">
        <f t="shared" si="16"/>
        <v>1686.9676556601955</v>
      </c>
      <c r="I46" s="39">
        <f t="shared" si="16"/>
        <v>1732.5157823630207</v>
      </c>
      <c r="J46" s="39">
        <f t="shared" si="16"/>
        <v>1779.293708486822</v>
      </c>
      <c r="K46" s="39">
        <f t="shared" si="16"/>
        <v>1827.334638615966</v>
      </c>
      <c r="L46" s="39">
        <f t="shared" si="16"/>
        <v>1876.672673858597</v>
      </c>
    </row>
    <row r="47" spans="1:12" ht="15">
      <c r="A47" s="34" t="s">
        <v>62</v>
      </c>
      <c r="B47" s="40">
        <f>F10</f>
        <v>0</v>
      </c>
      <c r="C47" s="40">
        <v>13</v>
      </c>
      <c r="D47" s="40">
        <v>13</v>
      </c>
      <c r="E47" s="14">
        <f>D47</f>
        <v>13</v>
      </c>
      <c r="F47" s="14">
        <f aca="true" t="shared" si="17" ref="F47:L47">E47</f>
        <v>13</v>
      </c>
      <c r="G47" s="14">
        <f t="shared" si="17"/>
        <v>13</v>
      </c>
      <c r="H47" s="14">
        <f t="shared" si="17"/>
        <v>13</v>
      </c>
      <c r="I47" s="14">
        <f t="shared" si="17"/>
        <v>13</v>
      </c>
      <c r="J47" s="14">
        <f t="shared" si="17"/>
        <v>13</v>
      </c>
      <c r="K47" s="14">
        <f t="shared" si="17"/>
        <v>13</v>
      </c>
      <c r="L47" s="14">
        <f t="shared" si="17"/>
        <v>13</v>
      </c>
    </row>
    <row r="48" spans="1:12" ht="15">
      <c r="A48" s="38" t="s">
        <v>15</v>
      </c>
      <c r="B48" s="39">
        <f>B45+B46-B47</f>
        <v>3423</v>
      </c>
      <c r="C48" s="39">
        <f aca="true" t="shared" si="18" ref="C48:L48">C45+C46-C47</f>
        <v>3784</v>
      </c>
      <c r="D48" s="39">
        <f t="shared" si="18"/>
        <v>3556</v>
      </c>
      <c r="E48" s="39">
        <f>E45+E46-E47</f>
        <v>4266.657746000003</v>
      </c>
      <c r="F48" s="39">
        <f t="shared" si="18"/>
        <v>4780.216675520002</v>
      </c>
      <c r="G48" s="39">
        <f t="shared" si="18"/>
        <v>4909.63352575904</v>
      </c>
      <c r="H48" s="39">
        <f t="shared" si="18"/>
        <v>5042.544630954534</v>
      </c>
      <c r="I48" s="39">
        <f t="shared" si="18"/>
        <v>5179.044335990305</v>
      </c>
      <c r="J48" s="39">
        <f t="shared" si="18"/>
        <v>5319.229533062044</v>
      </c>
      <c r="K48" s="39">
        <f t="shared" si="18"/>
        <v>5463.199730454718</v>
      </c>
      <c r="L48" s="39">
        <f t="shared" si="18"/>
        <v>5611.0571231769945</v>
      </c>
    </row>
    <row r="50" spans="1:12" ht="15">
      <c r="A50" s="18" t="s">
        <v>25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5">
      <c r="A51" t="s">
        <v>26</v>
      </c>
      <c r="B51" s="27">
        <v>0</v>
      </c>
      <c r="C51" s="27">
        <v>0</v>
      </c>
      <c r="D51" s="27">
        <v>0</v>
      </c>
      <c r="E51" s="30">
        <f>D51</f>
        <v>0</v>
      </c>
      <c r="F51" s="30">
        <f aca="true" t="shared" si="19" ref="F51:L51">E51</f>
        <v>0</v>
      </c>
      <c r="G51" s="30">
        <f t="shared" si="19"/>
        <v>0</v>
      </c>
      <c r="H51" s="30">
        <f t="shared" si="19"/>
        <v>0</v>
      </c>
      <c r="I51" s="30">
        <f t="shared" si="19"/>
        <v>0</v>
      </c>
      <c r="J51" s="30">
        <f t="shared" si="19"/>
        <v>0</v>
      </c>
      <c r="K51" s="30">
        <f t="shared" si="19"/>
        <v>0</v>
      </c>
      <c r="L51" s="30">
        <f t="shared" si="19"/>
        <v>0</v>
      </c>
    </row>
    <row r="52" spans="1:12" ht="15">
      <c r="A52" t="s">
        <v>27</v>
      </c>
      <c r="B52" s="28">
        <f>B41-B51</f>
        <v>1076</v>
      </c>
      <c r="C52" s="28">
        <f>C41-C51</f>
        <v>1752</v>
      </c>
      <c r="D52" s="28">
        <f>D41-D51</f>
        <v>1146</v>
      </c>
      <c r="E52" s="28">
        <f aca="true" t="shared" si="20" ref="E52:L52">E41-E51</f>
        <v>1547.0993791147396</v>
      </c>
      <c r="F52" s="28">
        <f t="shared" si="20"/>
        <v>1915.1532695568553</v>
      </c>
      <c r="G52" s="28">
        <f t="shared" si="20"/>
        <v>2006.254806326509</v>
      </c>
      <c r="H52" s="28">
        <f t="shared" si="20"/>
        <v>2095.7929072705097</v>
      </c>
      <c r="I52" s="28">
        <f t="shared" si="20"/>
        <v>2180.8147324707224</v>
      </c>
      <c r="J52" s="28">
        <f t="shared" si="20"/>
        <v>2254.0372824820693</v>
      </c>
      <c r="K52" s="28">
        <f t="shared" si="20"/>
        <v>2323.9574876007046</v>
      </c>
      <c r="L52" s="28">
        <f t="shared" si="20"/>
        <v>2395.7655382575435</v>
      </c>
    </row>
    <row r="53" spans="1:12" ht="15">
      <c r="A53" t="s">
        <v>28</v>
      </c>
      <c r="B53" s="27">
        <v>429.8</v>
      </c>
      <c r="C53" s="27">
        <v>432.2</v>
      </c>
      <c r="D53" s="27">
        <v>435.2</v>
      </c>
      <c r="E53" s="42">
        <f>E174</f>
        <v>443.4100575824673</v>
      </c>
      <c r="F53" s="42">
        <f aca="true" t="shared" si="21" ref="F53:L53">F174</f>
        <v>447.24813145346354</v>
      </c>
      <c r="G53" s="42">
        <f t="shared" si="21"/>
        <v>450.32902266825477</v>
      </c>
      <c r="H53" s="42">
        <f t="shared" si="21"/>
        <v>453.0506580170103</v>
      </c>
      <c r="I53" s="42">
        <f t="shared" si="21"/>
        <v>455.4549295265116</v>
      </c>
      <c r="J53" s="42">
        <f t="shared" si="21"/>
        <v>457.57884428755517</v>
      </c>
      <c r="K53" s="42">
        <f t="shared" si="21"/>
        <v>459.4550940764629</v>
      </c>
      <c r="L53" s="42">
        <f t="shared" si="21"/>
        <v>461.1125585542966</v>
      </c>
    </row>
    <row r="54" spans="1:12" ht="15">
      <c r="A54" s="15" t="s">
        <v>29</v>
      </c>
      <c r="B54" s="29">
        <f>B52/B53</f>
        <v>2.5034899953466727</v>
      </c>
      <c r="C54" s="29">
        <f>C52/C53</f>
        <v>4.053678852383156</v>
      </c>
      <c r="D54" s="29">
        <f>D52/D53</f>
        <v>2.6332720588235294</v>
      </c>
      <c r="E54" s="29">
        <f>E52/E53</f>
        <v>3.4890940172844487</v>
      </c>
      <c r="F54" s="29">
        <f aca="true" t="shared" si="22" ref="F54:L54">F52/F53</f>
        <v>4.282082215375624</v>
      </c>
      <c r="G54" s="29">
        <f t="shared" si="22"/>
        <v>4.455086626305369</v>
      </c>
      <c r="H54" s="29">
        <f t="shared" si="22"/>
        <v>4.62595709813939</v>
      </c>
      <c r="I54" s="29">
        <f t="shared" si="22"/>
        <v>4.788211941712619</v>
      </c>
      <c r="J54" s="29">
        <f t="shared" si="22"/>
        <v>4.926008513334087</v>
      </c>
      <c r="K54" s="29">
        <f t="shared" si="22"/>
        <v>5.058073177471289</v>
      </c>
      <c r="L54" s="29">
        <f t="shared" si="22"/>
        <v>5.195619797840399</v>
      </c>
    </row>
    <row r="56" spans="1:12" ht="15">
      <c r="A56" s="18" t="s">
        <v>30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5">
      <c r="A57" s="34" t="s">
        <v>46</v>
      </c>
      <c r="B57" s="14">
        <v>0</v>
      </c>
      <c r="C57" s="14">
        <v>0</v>
      </c>
      <c r="D57" s="14">
        <v>0</v>
      </c>
      <c r="E57" s="14"/>
      <c r="F57" s="14"/>
      <c r="G57" s="14"/>
      <c r="H57" s="14"/>
      <c r="I57" s="14"/>
      <c r="J57" s="14"/>
      <c r="K57" s="14"/>
      <c r="L57" s="14"/>
    </row>
    <row r="58" spans="1:12" ht="15">
      <c r="A58" t="s">
        <v>31</v>
      </c>
      <c r="B58" s="33">
        <f>B41+B57</f>
        <v>1076</v>
      </c>
      <c r="C58" s="33">
        <f>C41+C57</f>
        <v>1752</v>
      </c>
      <c r="D58" s="33">
        <f>D41+D57</f>
        <v>1146</v>
      </c>
      <c r="E58" s="33">
        <f aca="true" t="shared" si="23" ref="E58:L58">E41+E57</f>
        <v>1547.0993791147396</v>
      </c>
      <c r="F58" s="33">
        <f t="shared" si="23"/>
        <v>1915.1532695568553</v>
      </c>
      <c r="G58" s="33">
        <f t="shared" si="23"/>
        <v>2006.254806326509</v>
      </c>
      <c r="H58" s="33">
        <f t="shared" si="23"/>
        <v>2095.7929072705097</v>
      </c>
      <c r="I58" s="33">
        <f t="shared" si="23"/>
        <v>2180.8147324707224</v>
      </c>
      <c r="J58" s="33">
        <f t="shared" si="23"/>
        <v>2254.0372824820693</v>
      </c>
      <c r="K58" s="33">
        <f t="shared" si="23"/>
        <v>2323.9574876007046</v>
      </c>
      <c r="L58" s="33">
        <f t="shared" si="23"/>
        <v>2395.7655382575435</v>
      </c>
    </row>
    <row r="59" spans="1:12" ht="15">
      <c r="A59" t="s">
        <v>32</v>
      </c>
      <c r="B59" s="27">
        <v>4.4</v>
      </c>
      <c r="C59" s="27">
        <v>4.8</v>
      </c>
      <c r="D59" s="27">
        <v>5</v>
      </c>
      <c r="E59" s="30">
        <f>D59</f>
        <v>5</v>
      </c>
      <c r="F59" s="30">
        <f aca="true" t="shared" si="24" ref="F59:L59">E59</f>
        <v>5</v>
      </c>
      <c r="G59" s="30">
        <f t="shared" si="24"/>
        <v>5</v>
      </c>
      <c r="H59" s="30">
        <f t="shared" si="24"/>
        <v>5</v>
      </c>
      <c r="I59" s="30">
        <f t="shared" si="24"/>
        <v>5</v>
      </c>
      <c r="J59" s="30">
        <f t="shared" si="24"/>
        <v>5</v>
      </c>
      <c r="K59" s="30">
        <f t="shared" si="24"/>
        <v>5</v>
      </c>
      <c r="L59" s="30">
        <f t="shared" si="24"/>
        <v>5</v>
      </c>
    </row>
    <row r="60" spans="1:12" ht="15">
      <c r="A60" t="s">
        <v>33</v>
      </c>
      <c r="B60" s="30">
        <f>B53+B59</f>
        <v>434.2</v>
      </c>
      <c r="C60" s="30">
        <f>C53+C59</f>
        <v>437</v>
      </c>
      <c r="D60" s="30">
        <f>D53+D59</f>
        <v>440.2</v>
      </c>
      <c r="E60" s="30">
        <f aca="true" t="shared" si="25" ref="E60:L60">E53+E59</f>
        <v>448.4100575824673</v>
      </c>
      <c r="F60" s="30">
        <f t="shared" si="25"/>
        <v>452.24813145346354</v>
      </c>
      <c r="G60" s="30">
        <f t="shared" si="25"/>
        <v>455.32902266825477</v>
      </c>
      <c r="H60" s="30">
        <f t="shared" si="25"/>
        <v>458.0506580170103</v>
      </c>
      <c r="I60" s="30">
        <f t="shared" si="25"/>
        <v>460.4549295265116</v>
      </c>
      <c r="J60" s="30">
        <f t="shared" si="25"/>
        <v>462.57884428755517</v>
      </c>
      <c r="K60" s="30">
        <f t="shared" si="25"/>
        <v>464.4550940764629</v>
      </c>
      <c r="L60" s="30">
        <f t="shared" si="25"/>
        <v>466.1125585542966</v>
      </c>
    </row>
    <row r="61" spans="1:12" ht="15">
      <c r="A61" s="15" t="s">
        <v>34</v>
      </c>
      <c r="B61" s="29">
        <f>B58/B60</f>
        <v>2.478120681713496</v>
      </c>
      <c r="C61" s="29">
        <f>C58/C60</f>
        <v>4.009153318077804</v>
      </c>
      <c r="D61" s="29">
        <f>D58/D60</f>
        <v>2.603362108132667</v>
      </c>
      <c r="E61" s="29">
        <f aca="true" t="shared" si="26" ref="E61:L61">E58/E60</f>
        <v>3.4501888460211707</v>
      </c>
      <c r="F61" s="29">
        <f t="shared" si="26"/>
        <v>4.2347400383984235</v>
      </c>
      <c r="G61" s="29">
        <f t="shared" si="26"/>
        <v>4.406165006943195</v>
      </c>
      <c r="H61" s="29">
        <f t="shared" si="26"/>
        <v>4.5754609683208445</v>
      </c>
      <c r="I61" s="29">
        <f t="shared" si="26"/>
        <v>4.73621758097642</v>
      </c>
      <c r="J61" s="29">
        <f t="shared" si="26"/>
        <v>4.872763444151114</v>
      </c>
      <c r="K61" s="29">
        <f t="shared" si="26"/>
        <v>5.00362148513353</v>
      </c>
      <c r="L61" s="29">
        <f t="shared" si="26"/>
        <v>5.1398862662879</v>
      </c>
    </row>
    <row r="62" spans="1:12" ht="15">
      <c r="A62" t="s">
        <v>35</v>
      </c>
      <c r="D62" s="29">
        <f>B12</f>
        <v>2.65</v>
      </c>
      <c r="E62" s="29">
        <f>B13</f>
        <v>3.35</v>
      </c>
      <c r="F62" s="29">
        <f>B14</f>
        <v>4.51</v>
      </c>
      <c r="G62" s="29">
        <f>F62*(1+$B$15)</f>
        <v>5.10532</v>
      </c>
      <c r="H62" s="29">
        <f>G62*(1+$B$15)</f>
        <v>5.77922224</v>
      </c>
      <c r="I62" s="29">
        <f>H62*(1+$B$15)</f>
        <v>6.542079575680001</v>
      </c>
      <c r="J62" s="29">
        <f>I62*(1+$B$15)</f>
        <v>7.4056340796697615</v>
      </c>
      <c r="K62" s="29">
        <f>J62*(1+$B$15)</f>
        <v>8.383177778186171</v>
      </c>
      <c r="L62" s="29">
        <f>K62*(1+$B$15)</f>
        <v>9.489757244906746</v>
      </c>
    </row>
    <row r="63" spans="1:12" ht="15">
      <c r="A63" s="20" t="s">
        <v>38</v>
      </c>
      <c r="D63" s="29">
        <f>D61-D62</f>
        <v>-0.046637891867332915</v>
      </c>
      <c r="E63" s="29">
        <f aca="true" t="shared" si="27" ref="E63:L63">E61-E62</f>
        <v>0.10018884602117062</v>
      </c>
      <c r="F63" s="29">
        <f t="shared" si="27"/>
        <v>-0.2752599616015763</v>
      </c>
      <c r="G63" s="29">
        <f t="shared" si="27"/>
        <v>-0.6991549930568048</v>
      </c>
      <c r="H63" s="29">
        <f t="shared" si="27"/>
        <v>-1.2037612716791557</v>
      </c>
      <c r="I63" s="29">
        <f t="shared" si="27"/>
        <v>-1.805861994703581</v>
      </c>
      <c r="J63" s="29">
        <f t="shared" si="27"/>
        <v>-2.5328706355186474</v>
      </c>
      <c r="K63" s="29">
        <f t="shared" si="27"/>
        <v>-3.3795562930526417</v>
      </c>
      <c r="L63" s="29">
        <f t="shared" si="27"/>
        <v>-4.3498709786188465</v>
      </c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t="s">
        <v>48</v>
      </c>
      <c r="C66" s="35">
        <f>C24/B24-1</f>
        <v>0.03395686881925419</v>
      </c>
      <c r="D66" s="35">
        <f>D24/C24-1</f>
        <v>0.06910194361219935</v>
      </c>
      <c r="E66" s="35">
        <v>0.046</v>
      </c>
      <c r="F66" s="35">
        <v>0.029</v>
      </c>
      <c r="G66" s="35">
        <v>0.027</v>
      </c>
      <c r="H66" s="35">
        <f>G66</f>
        <v>0.027</v>
      </c>
      <c r="I66" s="35">
        <f aca="true" t="shared" si="28" ref="I66:L67">H66</f>
        <v>0.027</v>
      </c>
      <c r="J66" s="35">
        <f t="shared" si="28"/>
        <v>0.027</v>
      </c>
      <c r="K66" s="35">
        <f t="shared" si="28"/>
        <v>0.027</v>
      </c>
      <c r="L66" s="35">
        <f t="shared" si="28"/>
        <v>0.027</v>
      </c>
    </row>
    <row r="67" spans="1:12" ht="15">
      <c r="A67" t="s">
        <v>49</v>
      </c>
      <c r="B67" s="35">
        <f>1-B27/B25</f>
        <v>0.26597561459946784</v>
      </c>
      <c r="C67" s="35">
        <f>1-C27/C25</f>
        <v>0.2717215948375201</v>
      </c>
      <c r="D67" s="35">
        <f>1-D27/D25</f>
        <v>0.2603384471670319</v>
      </c>
      <c r="E67" s="35">
        <v>0.277</v>
      </c>
      <c r="F67" s="35">
        <v>0.29</v>
      </c>
      <c r="G67" s="35">
        <f>F67</f>
        <v>0.29</v>
      </c>
      <c r="H67" s="35">
        <f>G67</f>
        <v>0.29</v>
      </c>
      <c r="I67" s="35">
        <f t="shared" si="28"/>
        <v>0.29</v>
      </c>
      <c r="J67" s="35">
        <f t="shared" si="28"/>
        <v>0.29</v>
      </c>
      <c r="K67" s="35">
        <f t="shared" si="28"/>
        <v>0.29</v>
      </c>
      <c r="L67" s="35">
        <f t="shared" si="28"/>
        <v>0.29</v>
      </c>
    </row>
    <row r="68" spans="1:12" ht="15">
      <c r="A68" t="s">
        <v>69</v>
      </c>
      <c r="B68" s="35">
        <f>B29/B25</f>
        <v>0.1300289924143135</v>
      </c>
      <c r="C68" s="35">
        <f>C29/C25</f>
        <v>0.1258738572635784</v>
      </c>
      <c r="D68" s="35">
        <f>D29/D25</f>
        <v>0.13210936657924047</v>
      </c>
      <c r="E68" s="35">
        <v>0.13</v>
      </c>
      <c r="F68" s="35">
        <v>0.13</v>
      </c>
      <c r="G68" s="35">
        <v>0.13</v>
      </c>
      <c r="H68" s="35">
        <v>0.13</v>
      </c>
      <c r="I68" s="35">
        <v>0.13</v>
      </c>
      <c r="J68" s="35">
        <v>0.13</v>
      </c>
      <c r="K68" s="35">
        <v>0.13</v>
      </c>
      <c r="L68" s="35">
        <v>0.13</v>
      </c>
    </row>
    <row r="69" spans="1:12" ht="15">
      <c r="A69" t="s">
        <v>50</v>
      </c>
      <c r="B69" s="35">
        <f>B31/B25</f>
        <v>0.07812065610230748</v>
      </c>
      <c r="C69" s="35">
        <f>C31/C25</f>
        <v>0.09468387493278022</v>
      </c>
      <c r="D69" s="35">
        <f>D31/D25</f>
        <v>0.07483921963137283</v>
      </c>
      <c r="E69" s="35">
        <f aca="true" t="shared" si="29" ref="E69:L69">E31/E25</f>
        <v>0.09361013904358145</v>
      </c>
      <c r="F69" s="35">
        <f t="shared" si="29"/>
        <v>0.10661013904358144</v>
      </c>
      <c r="G69" s="35">
        <f t="shared" si="29"/>
        <v>0.10661013904358135</v>
      </c>
      <c r="H69" s="35">
        <f t="shared" si="29"/>
        <v>0.1066101390435814</v>
      </c>
      <c r="I69" s="35">
        <f t="shared" si="29"/>
        <v>0.10661013904358135</v>
      </c>
      <c r="J69" s="35">
        <f t="shared" si="29"/>
        <v>0.1066101390435814</v>
      </c>
      <c r="K69" s="35">
        <f t="shared" si="29"/>
        <v>0.10661013904358138</v>
      </c>
      <c r="L69" s="35">
        <f t="shared" si="29"/>
        <v>0.10661013904358138</v>
      </c>
    </row>
    <row r="70" spans="1:12" ht="15">
      <c r="A70" t="s">
        <v>51</v>
      </c>
      <c r="B70" s="35">
        <f>B37/B35</f>
        <v>0.2744665194996321</v>
      </c>
      <c r="C70" s="35">
        <f>C37/C35</f>
        <v>0.17587430309173846</v>
      </c>
      <c r="D70" s="35">
        <f>D37/D35</f>
        <v>0.25137362637362637</v>
      </c>
      <c r="E70" s="35">
        <v>0.293</v>
      </c>
      <c r="F70" s="35">
        <v>0.29</v>
      </c>
      <c r="G70" s="35">
        <v>0.29</v>
      </c>
      <c r="H70" s="35">
        <v>0.29</v>
      </c>
      <c r="I70" s="35">
        <v>0.29</v>
      </c>
      <c r="J70" s="35">
        <v>0.29</v>
      </c>
      <c r="K70" s="35">
        <v>0.29</v>
      </c>
      <c r="L70" s="35">
        <v>0.29</v>
      </c>
    </row>
    <row r="71" spans="1:12" ht="15">
      <c r="A71" t="s">
        <v>52</v>
      </c>
      <c r="B71" s="35"/>
      <c r="C71" s="35">
        <f>C30/B30-1</f>
        <v>-0.0851648351648352</v>
      </c>
      <c r="D71" s="35">
        <f>D30/C30-1</f>
        <v>0.11561561561561562</v>
      </c>
      <c r="E71" s="35">
        <f>E66</f>
        <v>0.046</v>
      </c>
      <c r="F71" s="35">
        <f aca="true" t="shared" si="30" ref="F71:L71">F66</f>
        <v>0.029</v>
      </c>
      <c r="G71" s="35">
        <f t="shared" si="30"/>
        <v>0.027</v>
      </c>
      <c r="H71" s="35">
        <f t="shared" si="30"/>
        <v>0.027</v>
      </c>
      <c r="I71" s="35">
        <f t="shared" si="30"/>
        <v>0.027</v>
      </c>
      <c r="J71" s="35">
        <f t="shared" si="30"/>
        <v>0.027</v>
      </c>
      <c r="K71" s="35">
        <f t="shared" si="30"/>
        <v>0.027</v>
      </c>
      <c r="L71" s="35">
        <f t="shared" si="30"/>
        <v>0.027</v>
      </c>
    </row>
    <row r="72" spans="1:12" ht="15">
      <c r="A72" t="s">
        <v>53</v>
      </c>
      <c r="B72" s="35"/>
      <c r="C72" s="35">
        <f>C39/B39-1</f>
        <v>0.26126126126126126</v>
      </c>
      <c r="D72" s="35">
        <f>D39/C39-1</f>
        <v>-0.5642857142857143</v>
      </c>
      <c r="E72" s="35">
        <f>E66</f>
        <v>0.046</v>
      </c>
      <c r="F72" s="35">
        <f aca="true" t="shared" si="31" ref="F72:L72">F66</f>
        <v>0.029</v>
      </c>
      <c r="G72" s="35">
        <f t="shared" si="31"/>
        <v>0.027</v>
      </c>
      <c r="H72" s="35">
        <f t="shared" si="31"/>
        <v>0.027</v>
      </c>
      <c r="I72" s="35">
        <f t="shared" si="31"/>
        <v>0.027</v>
      </c>
      <c r="J72" s="35">
        <f t="shared" si="31"/>
        <v>0.027</v>
      </c>
      <c r="K72" s="35">
        <f t="shared" si="31"/>
        <v>0.027</v>
      </c>
      <c r="L72" s="35">
        <f t="shared" si="31"/>
        <v>0.027</v>
      </c>
    </row>
    <row r="73" spans="1:12" ht="15">
      <c r="A73" t="s">
        <v>54</v>
      </c>
      <c r="B73" s="35"/>
      <c r="C73" s="35">
        <f>C40/B40-1</f>
        <v>-0.33333333333333337</v>
      </c>
      <c r="D73" s="35">
        <f>D40/C40-1</f>
        <v>-0.6428571428571428</v>
      </c>
      <c r="E73" s="35">
        <f>E66</f>
        <v>0.046</v>
      </c>
      <c r="F73" s="35">
        <f aca="true" t="shared" si="32" ref="F73:L73">F66</f>
        <v>0.029</v>
      </c>
      <c r="G73" s="35">
        <f t="shared" si="32"/>
        <v>0.027</v>
      </c>
      <c r="H73" s="35">
        <f t="shared" si="32"/>
        <v>0.027</v>
      </c>
      <c r="I73" s="35">
        <f t="shared" si="32"/>
        <v>0.027</v>
      </c>
      <c r="J73" s="35">
        <f t="shared" si="32"/>
        <v>0.027</v>
      </c>
      <c r="K73" s="35">
        <f t="shared" si="32"/>
        <v>0.027</v>
      </c>
      <c r="L73" s="35">
        <f t="shared" si="32"/>
        <v>0.027</v>
      </c>
    </row>
    <row r="74" spans="1:12" ht="15">
      <c r="A74" t="s">
        <v>55</v>
      </c>
      <c r="B74" s="35">
        <f>B42/B41</f>
        <v>0.16263940520446096</v>
      </c>
      <c r="C74" s="35">
        <f>C42/C41</f>
        <v>0.2437214611872146</v>
      </c>
      <c r="D74" s="35">
        <f>D42/D41</f>
        <v>0.41535776614310643</v>
      </c>
      <c r="E74" s="35">
        <v>0.4154</v>
      </c>
      <c r="F74" s="35">
        <v>0.4154</v>
      </c>
      <c r="G74" s="35">
        <v>0.4154</v>
      </c>
      <c r="H74" s="35">
        <v>0.4154</v>
      </c>
      <c r="I74" s="35">
        <v>0.4154</v>
      </c>
      <c r="J74" s="35">
        <v>0.4154</v>
      </c>
      <c r="K74" s="35">
        <v>0.4154</v>
      </c>
      <c r="L74" s="35">
        <v>0.4154</v>
      </c>
    </row>
    <row r="77" spans="1:12" ht="15">
      <c r="A77" s="4" t="s">
        <v>70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5">
      <c r="C78" s="52">
        <f>C22</f>
        <v>40908</v>
      </c>
      <c r="D78" s="52">
        <f aca="true" t="shared" si="33" ref="D78:L78">D22</f>
        <v>41274</v>
      </c>
      <c r="E78" s="52">
        <f t="shared" si="33"/>
        <v>41639</v>
      </c>
      <c r="F78" s="52">
        <f t="shared" si="33"/>
        <v>42004</v>
      </c>
      <c r="G78" s="52">
        <f t="shared" si="33"/>
        <v>42369</v>
      </c>
      <c r="H78" s="52">
        <f t="shared" si="33"/>
        <v>42735</v>
      </c>
      <c r="I78" s="52">
        <f t="shared" si="33"/>
        <v>43100</v>
      </c>
      <c r="J78" s="52">
        <f t="shared" si="33"/>
        <v>43465</v>
      </c>
      <c r="K78" s="52">
        <f t="shared" si="33"/>
        <v>43830</v>
      </c>
      <c r="L78" s="52">
        <f t="shared" si="33"/>
        <v>44196</v>
      </c>
    </row>
    <row r="79" spans="1:12" ht="15">
      <c r="A79" t="s">
        <v>71</v>
      </c>
      <c r="C79" s="43">
        <v>3994</v>
      </c>
      <c r="D79" s="43">
        <v>1302</v>
      </c>
      <c r="E79" s="29">
        <f>D79+E224</f>
        <v>2238.767759658095</v>
      </c>
      <c r="F79" s="29">
        <f aca="true" t="shared" si="34" ref="F79:L79">E79+F224</f>
        <v>2327.774352540235</v>
      </c>
      <c r="G79" s="29">
        <f t="shared" si="34"/>
        <v>1894.8665482049691</v>
      </c>
      <c r="H79" s="29">
        <f t="shared" si="34"/>
        <v>1374.695129705798</v>
      </c>
      <c r="I79" s="29">
        <f t="shared" si="34"/>
        <v>1201.5545446933102</v>
      </c>
      <c r="J79" s="29">
        <f t="shared" si="34"/>
        <v>1206.388366755381</v>
      </c>
      <c r="K79" s="29">
        <f t="shared" si="34"/>
        <v>1195.675661155216</v>
      </c>
      <c r="L79" s="29">
        <f t="shared" si="34"/>
        <v>1184.921889142051</v>
      </c>
    </row>
    <row r="80" spans="1:12" ht="15">
      <c r="A80" t="s">
        <v>72</v>
      </c>
      <c r="C80" s="43">
        <v>3486</v>
      </c>
      <c r="D80" s="43">
        <v>3562</v>
      </c>
      <c r="E80" s="42">
        <f>E123</f>
        <v>3725.8520000000003</v>
      </c>
      <c r="F80" s="42">
        <f aca="true" t="shared" si="35" ref="F80:L80">F123</f>
        <v>3833.901708</v>
      </c>
      <c r="G80" s="42">
        <f t="shared" si="35"/>
        <v>3937.4170541159997</v>
      </c>
      <c r="H80" s="42">
        <f t="shared" si="35"/>
        <v>4043.7273145771314</v>
      </c>
      <c r="I80" s="42">
        <f t="shared" si="35"/>
        <v>4152.907952070714</v>
      </c>
      <c r="J80" s="42">
        <f t="shared" si="35"/>
        <v>4265.036466776623</v>
      </c>
      <c r="K80" s="42">
        <f t="shared" si="35"/>
        <v>4380.192451379591</v>
      </c>
      <c r="L80" s="42">
        <f t="shared" si="35"/>
        <v>4498.45764756684</v>
      </c>
    </row>
    <row r="81" spans="1:12" ht="15">
      <c r="A81" t="s">
        <v>73</v>
      </c>
      <c r="C81" s="43">
        <v>2320</v>
      </c>
      <c r="D81" s="43">
        <v>2730</v>
      </c>
      <c r="E81" s="42">
        <f>E128</f>
        <v>2791.2554493233597</v>
      </c>
      <c r="F81" s="42">
        <f aca="true" t="shared" si="36" ref="F81:L81">F128</f>
        <v>2820.5578405548454</v>
      </c>
      <c r="G81" s="42">
        <f t="shared" si="36"/>
        <v>2896.712902249826</v>
      </c>
      <c r="H81" s="42">
        <f t="shared" si="36"/>
        <v>2974.924150610571</v>
      </c>
      <c r="I81" s="42">
        <f t="shared" si="36"/>
        <v>3055.247102677057</v>
      </c>
      <c r="J81" s="42">
        <f t="shared" si="36"/>
        <v>3137.738774449337</v>
      </c>
      <c r="K81" s="42">
        <f t="shared" si="36"/>
        <v>3222.457721359469</v>
      </c>
      <c r="L81" s="42">
        <f t="shared" si="36"/>
        <v>3309.4640798361743</v>
      </c>
    </row>
    <row r="82" spans="1:12" ht="15">
      <c r="A82" t="s">
        <v>74</v>
      </c>
      <c r="C82" s="43">
        <v>296</v>
      </c>
      <c r="D82" s="43">
        <v>323</v>
      </c>
      <c r="E82" s="42">
        <f>D82*(E37/D37)</f>
        <v>544.4090093446481</v>
      </c>
      <c r="F82" s="42">
        <f aca="true" t="shared" si="37" ref="F82:L82">E82*(F37/E37)</f>
        <v>668.6156978207905</v>
      </c>
      <c r="G82" s="42">
        <f t="shared" si="37"/>
        <v>700.8678366573721</v>
      </c>
      <c r="H82" s="42">
        <f t="shared" si="37"/>
        <v>732.5405753636154</v>
      </c>
      <c r="I82" s="42">
        <f t="shared" si="37"/>
        <v>762.5690957912798</v>
      </c>
      <c r="J82" s="42">
        <f t="shared" si="37"/>
        <v>788.3277045386484</v>
      </c>
      <c r="K82" s="42">
        <f t="shared" si="37"/>
        <v>812.8787823107107</v>
      </c>
      <c r="L82" s="42">
        <f t="shared" si="37"/>
        <v>838.092739182619</v>
      </c>
    </row>
    <row r="83" spans="1:12" ht="15">
      <c r="A83" t="s">
        <v>75</v>
      </c>
      <c r="C83" s="43">
        <v>0</v>
      </c>
      <c r="D83" s="43">
        <v>0</v>
      </c>
      <c r="E83" s="42">
        <f>E132</f>
        <v>0</v>
      </c>
      <c r="F83" s="42">
        <f aca="true" t="shared" si="38" ref="F83:L83">F132</f>
        <v>0</v>
      </c>
      <c r="G83" s="42">
        <f t="shared" si="38"/>
        <v>0</v>
      </c>
      <c r="H83" s="42">
        <f t="shared" si="38"/>
        <v>0</v>
      </c>
      <c r="I83" s="42">
        <f t="shared" si="38"/>
        <v>0</v>
      </c>
      <c r="J83" s="42">
        <f t="shared" si="38"/>
        <v>0</v>
      </c>
      <c r="K83" s="42">
        <f t="shared" si="38"/>
        <v>0</v>
      </c>
      <c r="L83" s="42">
        <f t="shared" si="38"/>
        <v>0</v>
      </c>
    </row>
    <row r="84" spans="1:12" ht="15">
      <c r="A84" t="s">
        <v>76</v>
      </c>
      <c r="C84" s="43">
        <v>360</v>
      </c>
      <c r="D84" s="43">
        <v>988</v>
      </c>
      <c r="E84" s="42">
        <f>E136</f>
        <v>988</v>
      </c>
      <c r="F84" s="42">
        <f aca="true" t="shared" si="39" ref="F84:L84">F136</f>
        <v>988</v>
      </c>
      <c r="G84" s="42">
        <f t="shared" si="39"/>
        <v>988</v>
      </c>
      <c r="H84" s="42">
        <f t="shared" si="39"/>
        <v>988</v>
      </c>
      <c r="I84" s="42">
        <f t="shared" si="39"/>
        <v>988</v>
      </c>
      <c r="J84" s="42">
        <f t="shared" si="39"/>
        <v>988</v>
      </c>
      <c r="K84" s="42">
        <f t="shared" si="39"/>
        <v>988</v>
      </c>
      <c r="L84" s="42">
        <f t="shared" si="39"/>
        <v>988</v>
      </c>
    </row>
    <row r="85" spans="1:12" ht="15">
      <c r="A85" t="s">
        <v>77</v>
      </c>
      <c r="C85" s="43">
        <v>0</v>
      </c>
      <c r="D85" s="43">
        <v>0</v>
      </c>
      <c r="E85" s="42">
        <f>E180</f>
        <v>63.806000000000004</v>
      </c>
      <c r="F85" s="42">
        <f aca="true" t="shared" si="40" ref="F85:L85">F180</f>
        <v>129.462374</v>
      </c>
      <c r="G85" s="42">
        <f t="shared" si="40"/>
        <v>196.891470098</v>
      </c>
      <c r="H85" s="42">
        <f t="shared" si="40"/>
        <v>266.141151790646</v>
      </c>
      <c r="I85" s="42">
        <f t="shared" si="40"/>
        <v>337.2605748889934</v>
      </c>
      <c r="J85" s="42">
        <f t="shared" si="40"/>
        <v>410.3002224109962</v>
      </c>
      <c r="K85" s="42">
        <f t="shared" si="40"/>
        <v>485.311940416093</v>
      </c>
      <c r="L85" s="42">
        <f t="shared" si="40"/>
        <v>562.3489748073275</v>
      </c>
    </row>
    <row r="86" spans="1:12" ht="15">
      <c r="A86" t="s">
        <v>78</v>
      </c>
      <c r="C86" s="43">
        <v>12477</v>
      </c>
      <c r="D86" s="43">
        <v>14571</v>
      </c>
      <c r="E86" s="42">
        <f>E164</f>
        <v>14472.3099</v>
      </c>
      <c r="F86" s="42">
        <f aca="true" t="shared" si="41" ref="F86:L86">F164</f>
        <v>14370.757787100001</v>
      </c>
      <c r="G86" s="42">
        <f t="shared" si="41"/>
        <v>14266.463767151701</v>
      </c>
      <c r="H86" s="42">
        <f t="shared" si="41"/>
        <v>14159.353808664797</v>
      </c>
      <c r="I86" s="42">
        <f t="shared" si="41"/>
        <v>14049.351881298746</v>
      </c>
      <c r="J86" s="42">
        <f t="shared" si="41"/>
        <v>13936.379901893812</v>
      </c>
      <c r="K86" s="42">
        <f t="shared" si="41"/>
        <v>13820.357679044944</v>
      </c>
      <c r="L86" s="42">
        <f t="shared" si="41"/>
        <v>13701.202856179158</v>
      </c>
    </row>
    <row r="87" spans="1:12" ht="15">
      <c r="A87" t="s">
        <v>79</v>
      </c>
      <c r="C87" s="43">
        <v>2346</v>
      </c>
      <c r="D87" s="43">
        <v>4315</v>
      </c>
      <c r="E87" s="42">
        <f>D87</f>
        <v>4315</v>
      </c>
      <c r="F87" s="42">
        <f aca="true" t="shared" si="42" ref="F87:L87">E87</f>
        <v>4315</v>
      </c>
      <c r="G87" s="42">
        <f t="shared" si="42"/>
        <v>4315</v>
      </c>
      <c r="H87" s="42">
        <f t="shared" si="42"/>
        <v>4315</v>
      </c>
      <c r="I87" s="42">
        <f t="shared" si="42"/>
        <v>4315</v>
      </c>
      <c r="J87" s="42">
        <f t="shared" si="42"/>
        <v>4315</v>
      </c>
      <c r="K87" s="42">
        <f t="shared" si="42"/>
        <v>4315</v>
      </c>
      <c r="L87" s="42">
        <f t="shared" si="42"/>
        <v>4315</v>
      </c>
    </row>
    <row r="88" spans="1:12" ht="15">
      <c r="A88" t="s">
        <v>80</v>
      </c>
      <c r="C88" s="43">
        <v>0</v>
      </c>
      <c r="D88" s="43">
        <v>0</v>
      </c>
      <c r="E88" s="42"/>
      <c r="F88" s="42"/>
      <c r="G88" s="42"/>
      <c r="H88" s="42"/>
      <c r="I88" s="42"/>
      <c r="J88" s="42"/>
      <c r="K88" s="42"/>
      <c r="L88" s="42"/>
    </row>
    <row r="89" spans="1:12" ht="15">
      <c r="A89" t="s">
        <v>81</v>
      </c>
      <c r="C89" s="43">
        <v>1739</v>
      </c>
      <c r="D89" s="43">
        <v>4362</v>
      </c>
      <c r="E89" s="42">
        <f>D89</f>
        <v>4362</v>
      </c>
      <c r="F89" s="42">
        <f aca="true" t="shared" si="43" ref="F89:L89">E89</f>
        <v>4362</v>
      </c>
      <c r="G89" s="42">
        <f t="shared" si="43"/>
        <v>4362</v>
      </c>
      <c r="H89" s="42">
        <f t="shared" si="43"/>
        <v>4362</v>
      </c>
      <c r="I89" s="42">
        <f t="shared" si="43"/>
        <v>4362</v>
      </c>
      <c r="J89" s="42">
        <f t="shared" si="43"/>
        <v>4362</v>
      </c>
      <c r="K89" s="42">
        <f t="shared" si="43"/>
        <v>4362</v>
      </c>
      <c r="L89" s="42">
        <f t="shared" si="43"/>
        <v>4362</v>
      </c>
    </row>
    <row r="90" spans="1:12" ht="15">
      <c r="A90" s="15" t="s">
        <v>82</v>
      </c>
      <c r="C90" s="42">
        <f>SUM(C79:C89)</f>
        <v>27018</v>
      </c>
      <c r="D90" s="42">
        <f>SUM(D79:D89)</f>
        <v>32153</v>
      </c>
      <c r="E90" s="42">
        <f>SUM(E79:E89)</f>
        <v>33501.400118326106</v>
      </c>
      <c r="F90" s="42">
        <f>SUM(F79:F89)</f>
        <v>33816.069760015875</v>
      </c>
      <c r="G90" s="42">
        <f>SUM(G79:G89)</f>
        <v>33558.21957847787</v>
      </c>
      <c r="H90" s="42">
        <f>SUM(H79:H89)</f>
        <v>33216.38213071256</v>
      </c>
      <c r="I90" s="42">
        <f>SUM(I79:I89)</f>
        <v>33223.8911514201</v>
      </c>
      <c r="J90" s="42">
        <f>SUM(J79:J89)</f>
        <v>33409.17143682479</v>
      </c>
      <c r="K90" s="42">
        <f>SUM(K79:K89)</f>
        <v>33581.87423566602</v>
      </c>
      <c r="L90" s="42">
        <f>SUM(L79:L89)</f>
        <v>33759.48818671417</v>
      </c>
    </row>
    <row r="92" spans="1:12" ht="15">
      <c r="A92" t="s">
        <v>83</v>
      </c>
      <c r="C92" s="43">
        <v>2500</v>
      </c>
      <c r="D92" s="43">
        <v>2775</v>
      </c>
      <c r="E92" s="42">
        <f>E141</f>
        <v>2837.2651545319864</v>
      </c>
      <c r="F92" s="42">
        <f aca="true" t="shared" si="44" ref="F92:L92">F141</f>
        <v>2867.0505522123426</v>
      </c>
      <c r="G92" s="42">
        <f t="shared" si="44"/>
        <v>2944.460917122076</v>
      </c>
      <c r="H92" s="42">
        <f t="shared" si="44"/>
        <v>3023.9613618843714</v>
      </c>
      <c r="I92" s="42">
        <f t="shared" si="44"/>
        <v>3105.6083186552496</v>
      </c>
      <c r="J92" s="42">
        <f t="shared" si="44"/>
        <v>3189.4597432589408</v>
      </c>
      <c r="K92" s="42">
        <f t="shared" si="44"/>
        <v>3275.575156326932</v>
      </c>
      <c r="L92" s="42">
        <f t="shared" si="44"/>
        <v>3364.015685547759</v>
      </c>
    </row>
    <row r="93" spans="1:12" ht="15">
      <c r="A93" t="s">
        <v>84</v>
      </c>
      <c r="C93" s="43">
        <v>467</v>
      </c>
      <c r="D93" s="43">
        <v>508</v>
      </c>
      <c r="E93" s="42">
        <f>E145</f>
        <v>522.8837423769378</v>
      </c>
      <c r="F93" s="42">
        <f aca="true" t="shared" si="45" ref="F93:L93">F145</f>
        <v>538.0473709058689</v>
      </c>
      <c r="G93" s="42">
        <f t="shared" si="45"/>
        <v>552.5746499203274</v>
      </c>
      <c r="H93" s="42">
        <f t="shared" si="45"/>
        <v>567.4941654681762</v>
      </c>
      <c r="I93" s="42">
        <f t="shared" si="45"/>
        <v>582.816507935817</v>
      </c>
      <c r="J93" s="42">
        <f t="shared" si="45"/>
        <v>598.552553650084</v>
      </c>
      <c r="K93" s="42">
        <f t="shared" si="45"/>
        <v>614.713472598636</v>
      </c>
      <c r="L93" s="42">
        <f t="shared" si="45"/>
        <v>631.3107363587992</v>
      </c>
    </row>
    <row r="94" spans="1:12" ht="15">
      <c r="A94" t="s">
        <v>85</v>
      </c>
      <c r="C94" s="43"/>
      <c r="D94" s="43"/>
      <c r="E94" s="42">
        <f>E149</f>
        <v>0</v>
      </c>
      <c r="F94" s="42">
        <f aca="true" t="shared" si="46" ref="F94:L94">F149</f>
        <v>0</v>
      </c>
      <c r="G94" s="42">
        <f t="shared" si="46"/>
        <v>0</v>
      </c>
      <c r="H94" s="42">
        <f t="shared" si="46"/>
        <v>0</v>
      </c>
      <c r="I94" s="42">
        <f t="shared" si="46"/>
        <v>0</v>
      </c>
      <c r="J94" s="42">
        <f t="shared" si="46"/>
        <v>0</v>
      </c>
      <c r="K94" s="42">
        <f t="shared" si="46"/>
        <v>0</v>
      </c>
      <c r="L94" s="42">
        <f t="shared" si="46"/>
        <v>0</v>
      </c>
    </row>
    <row r="95" spans="1:12" ht="15">
      <c r="A95" t="s">
        <v>86</v>
      </c>
      <c r="C95" s="43">
        <v>1052</v>
      </c>
      <c r="D95" s="43">
        <v>1271</v>
      </c>
      <c r="E95" s="42">
        <f>E153</f>
        <v>1271</v>
      </c>
      <c r="F95" s="42">
        <f aca="true" t="shared" si="47" ref="F95:L95">F153</f>
        <v>1271</v>
      </c>
      <c r="G95" s="42">
        <f t="shared" si="47"/>
        <v>1271</v>
      </c>
      <c r="H95" s="42">
        <f t="shared" si="47"/>
        <v>1271</v>
      </c>
      <c r="I95" s="42">
        <f t="shared" si="47"/>
        <v>1271</v>
      </c>
      <c r="J95" s="42">
        <f t="shared" si="47"/>
        <v>1271</v>
      </c>
      <c r="K95" s="42">
        <f t="shared" si="47"/>
        <v>1271</v>
      </c>
      <c r="L95" s="42">
        <f t="shared" si="47"/>
        <v>1271</v>
      </c>
    </row>
    <row r="96" spans="1:12" ht="15">
      <c r="A96" t="s">
        <v>87</v>
      </c>
      <c r="C96" s="43">
        <v>719</v>
      </c>
      <c r="D96" s="43">
        <v>444</v>
      </c>
      <c r="E96" s="42">
        <f>E228</f>
        <v>708</v>
      </c>
      <c r="F96" s="42">
        <f aca="true" t="shared" si="48" ref="F96:L96">F228</f>
        <v>479</v>
      </c>
      <c r="G96" s="42">
        <f t="shared" si="48"/>
        <v>571</v>
      </c>
      <c r="H96" s="42">
        <f t="shared" si="48"/>
        <v>216</v>
      </c>
      <c r="I96" s="42">
        <f t="shared" si="48"/>
        <v>0</v>
      </c>
      <c r="J96" s="42">
        <f t="shared" si="48"/>
        <v>0</v>
      </c>
      <c r="K96" s="42">
        <f t="shared" si="48"/>
        <v>0</v>
      </c>
      <c r="L96" s="42">
        <f t="shared" si="48"/>
        <v>0</v>
      </c>
    </row>
    <row r="97" spans="1:12" ht="15">
      <c r="A97" t="s">
        <v>88</v>
      </c>
      <c r="C97" s="43"/>
      <c r="D97" s="43"/>
      <c r="E97" s="42">
        <f>E242</f>
        <v>0</v>
      </c>
      <c r="F97" s="42">
        <f aca="true" t="shared" si="49" ref="F97:L97">F242</f>
        <v>0</v>
      </c>
      <c r="G97" s="42">
        <f t="shared" si="49"/>
        <v>0</v>
      </c>
      <c r="H97" s="42">
        <f t="shared" si="49"/>
        <v>0</v>
      </c>
      <c r="I97" s="42">
        <f t="shared" si="49"/>
        <v>0</v>
      </c>
      <c r="J97" s="42">
        <f t="shared" si="49"/>
        <v>0</v>
      </c>
      <c r="K97" s="42">
        <f t="shared" si="49"/>
        <v>0</v>
      </c>
      <c r="L97" s="42">
        <f t="shared" si="49"/>
        <v>0</v>
      </c>
    </row>
    <row r="98" spans="1:12" ht="15">
      <c r="A98" t="s">
        <v>89</v>
      </c>
      <c r="C98" s="43">
        <v>9189</v>
      </c>
      <c r="D98" s="43">
        <v>9696</v>
      </c>
      <c r="E98" s="42">
        <f>E232</f>
        <v>8988</v>
      </c>
      <c r="F98" s="42">
        <f aca="true" t="shared" si="50" ref="F98:L98">F232</f>
        <v>8509</v>
      </c>
      <c r="G98" s="42">
        <f t="shared" si="50"/>
        <v>7938</v>
      </c>
      <c r="H98" s="42">
        <f t="shared" si="50"/>
        <v>7722</v>
      </c>
      <c r="I98" s="42">
        <f t="shared" si="50"/>
        <v>7722</v>
      </c>
      <c r="J98" s="42">
        <f t="shared" si="50"/>
        <v>7722</v>
      </c>
      <c r="K98" s="42">
        <f t="shared" si="50"/>
        <v>7722</v>
      </c>
      <c r="L98" s="42">
        <f t="shared" si="50"/>
        <v>7722</v>
      </c>
    </row>
    <row r="99" spans="1:12" ht="15">
      <c r="A99" t="s">
        <v>90</v>
      </c>
      <c r="C99" s="43"/>
      <c r="D99" s="43"/>
      <c r="E99" s="42">
        <f>E235</f>
        <v>0</v>
      </c>
      <c r="F99" s="42">
        <f aca="true" t="shared" si="51" ref="F99:L99">F235</f>
        <v>0</v>
      </c>
      <c r="G99" s="42">
        <f t="shared" si="51"/>
        <v>0</v>
      </c>
      <c r="H99" s="42">
        <f t="shared" si="51"/>
        <v>0</v>
      </c>
      <c r="I99" s="42">
        <f t="shared" si="51"/>
        <v>0</v>
      </c>
      <c r="J99" s="42">
        <f t="shared" si="51"/>
        <v>0</v>
      </c>
      <c r="K99" s="42">
        <f t="shared" si="51"/>
        <v>0</v>
      </c>
      <c r="L99" s="42">
        <f t="shared" si="51"/>
        <v>0</v>
      </c>
    </row>
    <row r="100" spans="1:12" ht="15">
      <c r="A100" t="s">
        <v>91</v>
      </c>
      <c r="C100" s="43">
        <v>2497</v>
      </c>
      <c r="D100" s="43">
        <v>3026</v>
      </c>
      <c r="E100" s="42">
        <f>D100*(E37/D37)</f>
        <v>5100.252824386703</v>
      </c>
      <c r="F100" s="42">
        <f aca="true" t="shared" si="52" ref="F100:L100">E100*(F37/E37)</f>
        <v>6263.873379584247</v>
      </c>
      <c r="G100" s="42">
        <f t="shared" si="52"/>
        <v>6566.024996053275</v>
      </c>
      <c r="H100" s="42">
        <f t="shared" si="52"/>
        <v>6862.748548143343</v>
      </c>
      <c r="I100" s="42">
        <f t="shared" si="52"/>
        <v>7144.068371097252</v>
      </c>
      <c r="J100" s="42">
        <f t="shared" si="52"/>
        <v>7385.385863572599</v>
      </c>
      <c r="K100" s="42">
        <f t="shared" si="52"/>
        <v>7615.390697437183</v>
      </c>
      <c r="L100" s="42">
        <f t="shared" si="52"/>
        <v>7851.605661816114</v>
      </c>
    </row>
    <row r="101" spans="1:12" ht="15">
      <c r="A101" t="s">
        <v>92</v>
      </c>
      <c r="C101" s="43">
        <v>3609</v>
      </c>
      <c r="D101" s="43">
        <v>7797</v>
      </c>
      <c r="E101" s="42">
        <f>D101</f>
        <v>7797</v>
      </c>
      <c r="F101" s="42">
        <f aca="true" t="shared" si="53" ref="F101:L101">E101</f>
        <v>7797</v>
      </c>
      <c r="G101" s="42">
        <f t="shared" si="53"/>
        <v>7797</v>
      </c>
      <c r="H101" s="42">
        <f t="shared" si="53"/>
        <v>7797</v>
      </c>
      <c r="I101" s="42">
        <f t="shared" si="53"/>
        <v>7797</v>
      </c>
      <c r="J101" s="42">
        <f t="shared" si="53"/>
        <v>7797</v>
      </c>
      <c r="K101" s="42">
        <f t="shared" si="53"/>
        <v>7797</v>
      </c>
      <c r="L101" s="42">
        <f t="shared" si="53"/>
        <v>7797</v>
      </c>
    </row>
    <row r="102" spans="1:12" ht="15">
      <c r="A102" s="44" t="s">
        <v>93</v>
      </c>
      <c r="B102" s="2"/>
      <c r="C102" s="45">
        <f>SUM(C92:C101)</f>
        <v>20033</v>
      </c>
      <c r="D102" s="45">
        <f>SUM(D92:D101)</f>
        <v>25517</v>
      </c>
      <c r="E102" s="45">
        <f>SUM(E92:E101)</f>
        <v>27224.401721295628</v>
      </c>
      <c r="F102" s="45">
        <f>SUM(F92:F101)</f>
        <v>27724.97130270246</v>
      </c>
      <c r="G102" s="45">
        <f>SUM(G92:G101)</f>
        <v>27640.060563095678</v>
      </c>
      <c r="H102" s="45">
        <f>SUM(H92:H101)</f>
        <v>27460.20407549589</v>
      </c>
      <c r="I102" s="45">
        <f>SUM(I92:I101)</f>
        <v>27622.493197688316</v>
      </c>
      <c r="J102" s="45">
        <f>SUM(J92:J101)</f>
        <v>27963.39816048162</v>
      </c>
      <c r="K102" s="45">
        <f>SUM(K92:K101)</f>
        <v>28295.67932636275</v>
      </c>
      <c r="L102" s="45">
        <f>SUM(L92:L101)</f>
        <v>28636.932083722673</v>
      </c>
    </row>
    <row r="104" spans="1:12" ht="15">
      <c r="A104" t="s">
        <v>94</v>
      </c>
      <c r="C104" s="43">
        <v>340</v>
      </c>
      <c r="D104" s="43">
        <v>332</v>
      </c>
      <c r="E104" s="42">
        <f>E186</f>
        <v>337.23</v>
      </c>
      <c r="F104" s="42">
        <f aca="true" t="shared" si="54" ref="F104:L104">F186</f>
        <v>342.61167</v>
      </c>
      <c r="G104" s="42">
        <f t="shared" si="54"/>
        <v>348.13864509</v>
      </c>
      <c r="H104" s="42">
        <f t="shared" si="54"/>
        <v>353.81484850743</v>
      </c>
      <c r="I104" s="42">
        <f t="shared" si="54"/>
        <v>359.6443094171306</v>
      </c>
      <c r="J104" s="42">
        <f t="shared" si="54"/>
        <v>365.6311657713931</v>
      </c>
      <c r="K104" s="42">
        <f t="shared" si="54"/>
        <v>371.77966724722074</v>
      </c>
      <c r="L104" s="42">
        <f t="shared" si="54"/>
        <v>378.0941782628957</v>
      </c>
    </row>
    <row r="105" spans="1:12" ht="15">
      <c r="A105" t="s">
        <v>95</v>
      </c>
      <c r="C105" s="43">
        <v>0</v>
      </c>
      <c r="D105" s="43">
        <v>0</v>
      </c>
      <c r="E105" s="42">
        <f>D105</f>
        <v>0</v>
      </c>
      <c r="F105" s="42">
        <f aca="true" t="shared" si="55" ref="F105:L105">E105</f>
        <v>0</v>
      </c>
      <c r="G105" s="42">
        <f t="shared" si="55"/>
        <v>0</v>
      </c>
      <c r="H105" s="42">
        <f t="shared" si="55"/>
        <v>0</v>
      </c>
      <c r="I105" s="42">
        <f t="shared" si="55"/>
        <v>0</v>
      </c>
      <c r="J105" s="42">
        <f t="shared" si="55"/>
        <v>0</v>
      </c>
      <c r="K105" s="42">
        <f t="shared" si="55"/>
        <v>0</v>
      </c>
      <c r="L105" s="42">
        <f t="shared" si="55"/>
        <v>0</v>
      </c>
    </row>
    <row r="106" spans="1:12" ht="15">
      <c r="A106" t="s">
        <v>96</v>
      </c>
      <c r="C106" s="43">
        <v>6347</v>
      </c>
      <c r="D106" s="43">
        <v>6482</v>
      </c>
      <c r="E106" s="42">
        <f>D106+E168</f>
        <v>6704</v>
      </c>
      <c r="F106" s="42">
        <f aca="true" t="shared" si="56" ref="F106:L106">E106+F168</f>
        <v>6926</v>
      </c>
      <c r="G106" s="42">
        <f t="shared" si="56"/>
        <v>7148</v>
      </c>
      <c r="H106" s="42">
        <f t="shared" si="56"/>
        <v>7370</v>
      </c>
      <c r="I106" s="42">
        <f t="shared" si="56"/>
        <v>7592</v>
      </c>
      <c r="J106" s="42">
        <f t="shared" si="56"/>
        <v>7814</v>
      </c>
      <c r="K106" s="42">
        <f t="shared" si="56"/>
        <v>8036</v>
      </c>
      <c r="L106" s="42">
        <f t="shared" si="56"/>
        <v>8258</v>
      </c>
    </row>
    <row r="107" spans="1:12" ht="15">
      <c r="A107" t="s">
        <v>97</v>
      </c>
      <c r="C107" s="43">
        <v>-52</v>
      </c>
      <c r="D107" s="43"/>
      <c r="E107" s="42">
        <f>D107+E167</f>
        <v>-35</v>
      </c>
      <c r="F107" s="42">
        <f aca="true" t="shared" si="57" ref="F107:L107">E107+F167</f>
        <v>-70</v>
      </c>
      <c r="G107" s="42">
        <f t="shared" si="57"/>
        <v>-105</v>
      </c>
      <c r="H107" s="42">
        <f t="shared" si="57"/>
        <v>-140</v>
      </c>
      <c r="I107" s="42">
        <f t="shared" si="57"/>
        <v>-175</v>
      </c>
      <c r="J107" s="42">
        <f t="shared" si="57"/>
        <v>-210</v>
      </c>
      <c r="K107" s="42">
        <f t="shared" si="57"/>
        <v>-245</v>
      </c>
      <c r="L107" s="42">
        <f t="shared" si="57"/>
        <v>-280</v>
      </c>
    </row>
    <row r="108" spans="1:12" ht="15">
      <c r="A108" t="s">
        <v>98</v>
      </c>
      <c r="C108" s="43">
        <v>-3005</v>
      </c>
      <c r="D108" s="43">
        <v>-3840</v>
      </c>
      <c r="E108" s="42">
        <f>D108</f>
        <v>-3840</v>
      </c>
      <c r="F108" s="42">
        <f aca="true" t="shared" si="58" ref="F108:L108">E108</f>
        <v>-3840</v>
      </c>
      <c r="G108" s="42">
        <f t="shared" si="58"/>
        <v>-3840</v>
      </c>
      <c r="H108" s="42">
        <f t="shared" si="58"/>
        <v>-3840</v>
      </c>
      <c r="I108" s="42">
        <f t="shared" si="58"/>
        <v>-3840</v>
      </c>
      <c r="J108" s="42">
        <f t="shared" si="58"/>
        <v>-3840</v>
      </c>
      <c r="K108" s="42">
        <f t="shared" si="58"/>
        <v>-3840</v>
      </c>
      <c r="L108" s="42">
        <f t="shared" si="58"/>
        <v>-3840</v>
      </c>
    </row>
    <row r="109" spans="1:12" ht="15">
      <c r="A109" t="s">
        <v>99</v>
      </c>
      <c r="C109" s="43"/>
      <c r="D109" s="43"/>
      <c r="E109" s="42">
        <f>D109</f>
        <v>0</v>
      </c>
      <c r="F109" s="42">
        <f aca="true" t="shared" si="59" ref="F109:L109">E109</f>
        <v>0</v>
      </c>
      <c r="G109" s="42">
        <f t="shared" si="59"/>
        <v>0</v>
      </c>
      <c r="H109" s="42">
        <f t="shared" si="59"/>
        <v>0</v>
      </c>
      <c r="I109" s="42">
        <f t="shared" si="59"/>
        <v>0</v>
      </c>
      <c r="J109" s="42">
        <f t="shared" si="59"/>
        <v>0</v>
      </c>
      <c r="K109" s="42">
        <f t="shared" si="59"/>
        <v>0</v>
      </c>
      <c r="L109" s="42">
        <f t="shared" si="59"/>
        <v>0</v>
      </c>
    </row>
    <row r="110" spans="1:12" ht="15">
      <c r="A110" t="s">
        <v>100</v>
      </c>
      <c r="C110" s="43">
        <v>3355</v>
      </c>
      <c r="D110" s="43">
        <v>3662</v>
      </c>
      <c r="E110" s="29">
        <f>D110+E41-E42-E51</f>
        <v>4566.434297030477</v>
      </c>
      <c r="F110" s="29">
        <f aca="true" t="shared" si="60" ref="F110:L110">E110+F41-F42-F51</f>
        <v>5686.032898413414</v>
      </c>
      <c r="G110" s="29">
        <f t="shared" si="60"/>
        <v>6858.889458191891</v>
      </c>
      <c r="H110" s="29">
        <f t="shared" si="60"/>
        <v>8084.089991782231</v>
      </c>
      <c r="I110" s="29">
        <f t="shared" si="60"/>
        <v>9358.994284384615</v>
      </c>
      <c r="J110" s="29">
        <f t="shared" si="60"/>
        <v>10676.704479723632</v>
      </c>
      <c r="K110" s="29">
        <f t="shared" si="60"/>
        <v>12035.290026975004</v>
      </c>
      <c r="L110" s="29">
        <f t="shared" si="60"/>
        <v>13435.854560640364</v>
      </c>
    </row>
    <row r="111" spans="1:12" ht="15">
      <c r="A111" s="44" t="s">
        <v>101</v>
      </c>
      <c r="B111" s="2"/>
      <c r="C111" s="45">
        <f>SUM(C104:C110)</f>
        <v>6985</v>
      </c>
      <c r="D111" s="45">
        <f>SUM(D104:D110)</f>
        <v>6636</v>
      </c>
      <c r="E111" s="45">
        <f aca="true" t="shared" si="61" ref="E111:L111">SUM(E104:E110)</f>
        <v>7732.6642970304765</v>
      </c>
      <c r="F111" s="45">
        <f t="shared" si="61"/>
        <v>9044.644568413414</v>
      </c>
      <c r="G111" s="45">
        <f t="shared" si="61"/>
        <v>10410.028103281891</v>
      </c>
      <c r="H111" s="45">
        <f t="shared" si="61"/>
        <v>11827.90484028966</v>
      </c>
      <c r="I111" s="45">
        <f t="shared" si="61"/>
        <v>13295.638593801745</v>
      </c>
      <c r="J111" s="45">
        <f t="shared" si="61"/>
        <v>14806.335645495026</v>
      </c>
      <c r="K111" s="45">
        <f t="shared" si="61"/>
        <v>16358.069694222226</v>
      </c>
      <c r="L111" s="45">
        <f t="shared" si="61"/>
        <v>17951.94873890326</v>
      </c>
    </row>
    <row r="113" spans="1:12" ht="15">
      <c r="A113" s="15" t="s">
        <v>102</v>
      </c>
      <c r="C113" s="42">
        <f>C102+C111</f>
        <v>27018</v>
      </c>
      <c r="D113" s="42">
        <f aca="true" t="shared" si="62" ref="D113:L113">D102+D111</f>
        <v>32153</v>
      </c>
      <c r="E113" s="42">
        <f t="shared" si="62"/>
        <v>34957.066018326106</v>
      </c>
      <c r="F113" s="42">
        <f t="shared" si="62"/>
        <v>36769.61587111587</v>
      </c>
      <c r="G113" s="42">
        <f t="shared" si="62"/>
        <v>38050.08866637757</v>
      </c>
      <c r="H113" s="42">
        <f t="shared" si="62"/>
        <v>39288.10891578555</v>
      </c>
      <c r="I113" s="42">
        <f t="shared" si="62"/>
        <v>40918.13179149006</v>
      </c>
      <c r="J113" s="42">
        <f t="shared" si="62"/>
        <v>42769.73380597665</v>
      </c>
      <c r="K113" s="42">
        <f t="shared" si="62"/>
        <v>44653.749020584975</v>
      </c>
      <c r="L113" s="42">
        <f t="shared" si="62"/>
        <v>46588.88082262593</v>
      </c>
    </row>
    <row r="114" spans="1:12" ht="15">
      <c r="A114" s="20" t="s">
        <v>103</v>
      </c>
      <c r="C114" s="42">
        <f>C90-C113</f>
        <v>0</v>
      </c>
      <c r="D114" s="42">
        <f>D90-D113</f>
        <v>0</v>
      </c>
      <c r="E114" s="42">
        <f>E90-E113</f>
        <v>-1455.6659</v>
      </c>
      <c r="F114" s="42">
        <f>F90-F113</f>
        <v>-2953.546111099997</v>
      </c>
      <c r="G114" s="42">
        <f>G90-G113</f>
        <v>-4491.8690878997</v>
      </c>
      <c r="H114" s="42">
        <f>H90-H113</f>
        <v>-6071.726785072991</v>
      </c>
      <c r="I114" s="42">
        <f>I90-I113</f>
        <v>-7694.240640069955</v>
      </c>
      <c r="J114" s="42">
        <f>J90-J113</f>
        <v>-9360.562369151856</v>
      </c>
      <c r="K114" s="42">
        <f>K90-K113</f>
        <v>-11071.874784918953</v>
      </c>
      <c r="L114" s="42">
        <f>L90-L113</f>
        <v>-12829.392635911761</v>
      </c>
    </row>
    <row r="116" spans="1:12" ht="15">
      <c r="A116" s="4" t="s">
        <v>104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5">
      <c r="C117" s="46">
        <f>C22</f>
        <v>40908</v>
      </c>
      <c r="D117" s="46">
        <f aca="true" t="shared" si="63" ref="D117:L117">D22</f>
        <v>41274</v>
      </c>
      <c r="E117" s="46">
        <f t="shared" si="63"/>
        <v>41639</v>
      </c>
      <c r="F117" s="46">
        <f t="shared" si="63"/>
        <v>42004</v>
      </c>
      <c r="G117" s="46">
        <f t="shared" si="63"/>
        <v>42369</v>
      </c>
      <c r="H117" s="46">
        <f t="shared" si="63"/>
        <v>42735</v>
      </c>
      <c r="I117" s="46">
        <f t="shared" si="63"/>
        <v>43100</v>
      </c>
      <c r="J117" s="46">
        <f t="shared" si="63"/>
        <v>43465</v>
      </c>
      <c r="K117" s="46">
        <f t="shared" si="63"/>
        <v>43830</v>
      </c>
      <c r="L117" s="46">
        <f t="shared" si="63"/>
        <v>44196</v>
      </c>
    </row>
    <row r="118" spans="1:12" ht="15">
      <c r="A118" s="18" t="s">
        <v>105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20" spans="1:12" ht="15">
      <c r="A120" t="s">
        <v>106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ht="15">
      <c r="A121" t="s">
        <v>107</v>
      </c>
      <c r="C121" s="42">
        <f>(C22-B22)*C123/C26</f>
        <v>67.10917721518987</v>
      </c>
      <c r="D121" s="42">
        <f>(D22-C22)*D123/D26</f>
        <v>63.325982416087825</v>
      </c>
      <c r="E121" s="43"/>
      <c r="F121" s="43"/>
      <c r="G121" s="43"/>
      <c r="H121" s="43"/>
      <c r="I121" s="43"/>
      <c r="J121" s="43"/>
      <c r="K121" s="43"/>
      <c r="L121" s="43"/>
    </row>
    <row r="122" spans="1:12" ht="15">
      <c r="A122" t="s">
        <v>108</v>
      </c>
      <c r="C122" s="42"/>
      <c r="D122" s="42"/>
      <c r="E122" s="43"/>
      <c r="F122" s="43"/>
      <c r="G122" s="43"/>
      <c r="H122" s="43"/>
      <c r="I122" s="43"/>
      <c r="J122" s="43"/>
      <c r="K122" s="43"/>
      <c r="L122" s="43"/>
    </row>
    <row r="123" spans="1:12" ht="15">
      <c r="A123" s="2" t="s">
        <v>72</v>
      </c>
      <c r="B123" s="2"/>
      <c r="C123" s="45">
        <f>C80</f>
        <v>3486</v>
      </c>
      <c r="D123" s="45">
        <f>D80</f>
        <v>3562</v>
      </c>
      <c r="E123" s="45">
        <f>IF(ISNUMBER(E122),E122,IF(ISNUMBER(E121),E121/(E22-D22)*E25,D123*(1+E66)))</f>
        <v>3725.8520000000003</v>
      </c>
      <c r="F123" s="45">
        <f aca="true" t="shared" si="64" ref="F123:L123">IF(ISNUMBER(F122),F122,IF(ISNUMBER(F121),F121/(F22-E22)*F25,E123*(1+F66)))</f>
        <v>3833.901708</v>
      </c>
      <c r="G123" s="45">
        <f t="shared" si="64"/>
        <v>3937.4170541159997</v>
      </c>
      <c r="H123" s="45">
        <f t="shared" si="64"/>
        <v>4043.7273145771314</v>
      </c>
      <c r="I123" s="45">
        <f t="shared" si="64"/>
        <v>4152.907952070714</v>
      </c>
      <c r="J123" s="45">
        <f t="shared" si="64"/>
        <v>4265.036466776623</v>
      </c>
      <c r="K123" s="45">
        <f t="shared" si="64"/>
        <v>4380.192451379591</v>
      </c>
      <c r="L123" s="45">
        <f t="shared" si="64"/>
        <v>4498.45764756684</v>
      </c>
    </row>
    <row r="124" spans="3:12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ht="15">
      <c r="A125" t="s">
        <v>109</v>
      </c>
      <c r="C125" s="42"/>
      <c r="D125" s="42"/>
      <c r="E125" s="43"/>
      <c r="F125" s="43"/>
      <c r="G125" s="43"/>
      <c r="H125" s="43"/>
      <c r="I125" s="43"/>
      <c r="J125" s="43"/>
      <c r="K125" s="43"/>
      <c r="L125" s="43"/>
    </row>
    <row r="126" spans="1:12" ht="15">
      <c r="A126" t="s">
        <v>111</v>
      </c>
      <c r="C126" s="42">
        <f>(C22-B22)*C81/C27</f>
        <v>44.66244725738397</v>
      </c>
      <c r="D126" s="42">
        <f>(D22-C22)*D81/D27</f>
        <v>48.53451207072424</v>
      </c>
      <c r="E126" s="43"/>
      <c r="F126" s="43"/>
      <c r="G126" s="43"/>
      <c r="H126" s="43"/>
      <c r="I126" s="43"/>
      <c r="J126" s="43"/>
      <c r="K126" s="43"/>
      <c r="L126" s="43"/>
    </row>
    <row r="127" spans="1:12" ht="15">
      <c r="A127" t="s">
        <v>110</v>
      </c>
      <c r="C127" s="42"/>
      <c r="D127" s="42"/>
      <c r="E127" s="43"/>
      <c r="F127" s="43"/>
      <c r="G127" s="43"/>
      <c r="H127" s="43"/>
      <c r="I127" s="43"/>
      <c r="J127" s="43"/>
      <c r="K127" s="43"/>
      <c r="L127" s="43"/>
    </row>
    <row r="128" spans="1:12" ht="15">
      <c r="A128" s="2" t="s">
        <v>73</v>
      </c>
      <c r="B128" s="2"/>
      <c r="C128" s="45">
        <f>C81</f>
        <v>2320</v>
      </c>
      <c r="D128" s="45">
        <f>D81</f>
        <v>2730</v>
      </c>
      <c r="E128" s="45">
        <f>IF(ISNUMBER(E127),E127,IF(ISNUMBER(E126),E126/(E22-D22)*E27,D128*E27/D27))</f>
        <v>2791.2554493233597</v>
      </c>
      <c r="F128" s="45">
        <f aca="true" t="shared" si="65" ref="F128:L128">IF(ISNUMBER(F127),F127,IF(ISNUMBER(F126),F126/(F22-E22)*F27,E128*F27/E27))</f>
        <v>2820.5578405548454</v>
      </c>
      <c r="G128" s="45">
        <f t="shared" si="65"/>
        <v>2896.712902249826</v>
      </c>
      <c r="H128" s="45">
        <f t="shared" si="65"/>
        <v>2974.924150610571</v>
      </c>
      <c r="I128" s="45">
        <f t="shared" si="65"/>
        <v>3055.247102677057</v>
      </c>
      <c r="J128" s="45">
        <f t="shared" si="65"/>
        <v>3137.738774449337</v>
      </c>
      <c r="K128" s="45">
        <f t="shared" si="65"/>
        <v>3222.457721359469</v>
      </c>
      <c r="L128" s="45">
        <f t="shared" si="65"/>
        <v>3309.4640798361743</v>
      </c>
    </row>
    <row r="129" spans="3:12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>
      <c r="A130" t="s">
        <v>112</v>
      </c>
      <c r="C130" s="42"/>
      <c r="D130" s="42"/>
      <c r="E130" s="43"/>
      <c r="F130" s="43"/>
      <c r="G130" s="43"/>
      <c r="H130" s="43"/>
      <c r="I130" s="43"/>
      <c r="J130" s="43"/>
      <c r="K130" s="43"/>
      <c r="L130" s="43"/>
    </row>
    <row r="131" spans="1:12" ht="15">
      <c r="A131" t="s">
        <v>113</v>
      </c>
      <c r="C131" s="42"/>
      <c r="D131" s="42"/>
      <c r="E131" s="43"/>
      <c r="F131" s="43"/>
      <c r="G131" s="43"/>
      <c r="H131" s="43"/>
      <c r="I131" s="43"/>
      <c r="J131" s="43"/>
      <c r="K131" s="43"/>
      <c r="L131" s="43"/>
    </row>
    <row r="132" spans="1:12" ht="15">
      <c r="A132" s="2" t="s">
        <v>75</v>
      </c>
      <c r="B132" s="2"/>
      <c r="C132" s="45">
        <f>C83</f>
        <v>0</v>
      </c>
      <c r="D132" s="45">
        <f>D83</f>
        <v>0</v>
      </c>
      <c r="E132" s="45">
        <f>IF(ISNUMBER(E131),E131,D132*E29/D29)</f>
        <v>0</v>
      </c>
      <c r="F132" s="45">
        <f aca="true" t="shared" si="66" ref="F132:L132">IF(ISNUMBER(F131),F131,E132*F29/E29)</f>
        <v>0</v>
      </c>
      <c r="G132" s="45">
        <f t="shared" si="66"/>
        <v>0</v>
      </c>
      <c r="H132" s="45">
        <f t="shared" si="66"/>
        <v>0</v>
      </c>
      <c r="I132" s="45">
        <f t="shared" si="66"/>
        <v>0</v>
      </c>
      <c r="J132" s="45">
        <f t="shared" si="66"/>
        <v>0</v>
      </c>
      <c r="K132" s="45">
        <f t="shared" si="66"/>
        <v>0</v>
      </c>
      <c r="L132" s="45">
        <f t="shared" si="66"/>
        <v>0</v>
      </c>
    </row>
    <row r="133" spans="3:12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ht="15">
      <c r="A134" t="s">
        <v>114</v>
      </c>
      <c r="C134" s="42"/>
      <c r="D134" s="42"/>
      <c r="E134" s="43"/>
      <c r="F134" s="43"/>
      <c r="G134" s="43"/>
      <c r="H134" s="43"/>
      <c r="I134" s="43"/>
      <c r="J134" s="43"/>
      <c r="K134" s="43"/>
      <c r="L134" s="43"/>
    </row>
    <row r="135" spans="1:12" ht="15">
      <c r="A135" t="s">
        <v>115</v>
      </c>
      <c r="C135" s="42"/>
      <c r="D135" s="42"/>
      <c r="E135" s="43"/>
      <c r="F135" s="43"/>
      <c r="G135" s="43"/>
      <c r="H135" s="43"/>
      <c r="I135" s="43"/>
      <c r="J135" s="43"/>
      <c r="K135" s="43"/>
      <c r="L135" s="43"/>
    </row>
    <row r="136" spans="1:12" ht="15">
      <c r="A136" s="2" t="s">
        <v>76</v>
      </c>
      <c r="B136" s="2"/>
      <c r="C136" s="45">
        <f>C84</f>
        <v>360</v>
      </c>
      <c r="D136" s="45">
        <f>D84</f>
        <v>988</v>
      </c>
      <c r="E136" s="45">
        <f>IF(ISNUMBER(E135),E135,D136)</f>
        <v>988</v>
      </c>
      <c r="F136" s="45">
        <f aca="true" t="shared" si="67" ref="F136:L136">IF(ISNUMBER(F135),F135,E136)</f>
        <v>988</v>
      </c>
      <c r="G136" s="45">
        <f t="shared" si="67"/>
        <v>988</v>
      </c>
      <c r="H136" s="45">
        <f t="shared" si="67"/>
        <v>988</v>
      </c>
      <c r="I136" s="45">
        <f t="shared" si="67"/>
        <v>988</v>
      </c>
      <c r="J136" s="45">
        <f t="shared" si="67"/>
        <v>988</v>
      </c>
      <c r="K136" s="45">
        <f t="shared" si="67"/>
        <v>988</v>
      </c>
      <c r="L136" s="45">
        <f t="shared" si="67"/>
        <v>988</v>
      </c>
    </row>
    <row r="137" spans="3:12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ht="15">
      <c r="A138" t="s">
        <v>116</v>
      </c>
      <c r="C138" s="42"/>
      <c r="D138" s="42"/>
      <c r="E138" s="43"/>
      <c r="F138" s="43"/>
      <c r="G138" s="43"/>
      <c r="H138" s="43"/>
      <c r="I138" s="43"/>
      <c r="J138" s="43"/>
      <c r="K138" s="43"/>
      <c r="L138" s="43"/>
    </row>
    <row r="139" spans="1:12" ht="15">
      <c r="A139" t="s">
        <v>117</v>
      </c>
      <c r="C139" s="42">
        <f>(C22-B22)*C92/C27</f>
        <v>48.12763713080169</v>
      </c>
      <c r="D139" s="42">
        <f>(D22-C22)*D92/D27</f>
        <v>49.33453150046146</v>
      </c>
      <c r="E139" s="43"/>
      <c r="F139" s="43"/>
      <c r="G139" s="43"/>
      <c r="H139" s="43"/>
      <c r="I139" s="43"/>
      <c r="J139" s="43"/>
      <c r="K139" s="43"/>
      <c r="L139" s="43"/>
    </row>
    <row r="140" spans="1:12" ht="15">
      <c r="A140" t="s">
        <v>118</v>
      </c>
      <c r="C140" s="42"/>
      <c r="D140" s="42"/>
      <c r="E140" s="43"/>
      <c r="F140" s="43"/>
      <c r="G140" s="43"/>
      <c r="H140" s="43"/>
      <c r="I140" s="43"/>
      <c r="J140" s="43"/>
      <c r="K140" s="43"/>
      <c r="L140" s="43"/>
    </row>
    <row r="141" spans="1:12" ht="15">
      <c r="A141" s="2" t="s">
        <v>83</v>
      </c>
      <c r="B141" s="2"/>
      <c r="C141" s="45">
        <f>C92</f>
        <v>2500</v>
      </c>
      <c r="D141" s="45">
        <f>D92</f>
        <v>2775</v>
      </c>
      <c r="E141" s="45">
        <f>IF(ISNUMBER(E140),E140,IF(ISNUMBER(E139),E139/(E22-D22)*E27,D141*E27/D27))</f>
        <v>2837.2651545319864</v>
      </c>
      <c r="F141" s="45">
        <f aca="true" t="shared" si="68" ref="F141:L141">IF(ISNUMBER(F140),F140,IF(ISNUMBER(F139),F139/(F22-E22)*F27,E141*F27/E27))</f>
        <v>2867.0505522123426</v>
      </c>
      <c r="G141" s="45">
        <f t="shared" si="68"/>
        <v>2944.460917122076</v>
      </c>
      <c r="H141" s="45">
        <f t="shared" si="68"/>
        <v>3023.9613618843714</v>
      </c>
      <c r="I141" s="45">
        <f t="shared" si="68"/>
        <v>3105.6083186552496</v>
      </c>
      <c r="J141" s="45">
        <f t="shared" si="68"/>
        <v>3189.4597432589408</v>
      </c>
      <c r="K141" s="45">
        <f t="shared" si="68"/>
        <v>3275.575156326932</v>
      </c>
      <c r="L141" s="45">
        <f t="shared" si="68"/>
        <v>3364.015685547759</v>
      </c>
    </row>
    <row r="142" spans="3:12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ht="15">
      <c r="A143" t="s">
        <v>112</v>
      </c>
      <c r="C143" s="42"/>
      <c r="D143" s="42"/>
      <c r="E143" s="43"/>
      <c r="F143" s="43"/>
      <c r="G143" s="43"/>
      <c r="H143" s="43"/>
      <c r="I143" s="43"/>
      <c r="J143" s="43"/>
      <c r="K143" s="43"/>
      <c r="L143" s="43"/>
    </row>
    <row r="144" spans="1:12" ht="15">
      <c r="A144" t="s">
        <v>115</v>
      </c>
      <c r="C144" s="42"/>
      <c r="D144" s="42"/>
      <c r="E144" s="43"/>
      <c r="F144" s="43"/>
      <c r="G144" s="43"/>
      <c r="H144" s="43"/>
      <c r="I144" s="43"/>
      <c r="J144" s="43"/>
      <c r="K144" s="43"/>
      <c r="L144" s="43"/>
    </row>
    <row r="145" spans="1:12" ht="15">
      <c r="A145" s="2" t="s">
        <v>84</v>
      </c>
      <c r="B145" s="2"/>
      <c r="C145" s="45">
        <f>C93</f>
        <v>467</v>
      </c>
      <c r="D145" s="45">
        <f>D93</f>
        <v>508</v>
      </c>
      <c r="E145" s="45">
        <f>IF(ISNUMBER(E144),E144,D145*E29/D29)</f>
        <v>522.8837423769378</v>
      </c>
      <c r="F145" s="45">
        <f aca="true" t="shared" si="69" ref="F145:L145">IF(ISNUMBER(F144),F144,E145*F29/E29)</f>
        <v>538.0473709058689</v>
      </c>
      <c r="G145" s="45">
        <f t="shared" si="69"/>
        <v>552.5746499203274</v>
      </c>
      <c r="H145" s="45">
        <f t="shared" si="69"/>
        <v>567.4941654681762</v>
      </c>
      <c r="I145" s="45">
        <f t="shared" si="69"/>
        <v>582.816507935817</v>
      </c>
      <c r="J145" s="45">
        <f t="shared" si="69"/>
        <v>598.552553650084</v>
      </c>
      <c r="K145" s="45">
        <f t="shared" si="69"/>
        <v>614.713472598636</v>
      </c>
      <c r="L145" s="45">
        <f t="shared" si="69"/>
        <v>631.3107363587992</v>
      </c>
    </row>
    <row r="146" spans="3:12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ht="15">
      <c r="A147" t="s">
        <v>119</v>
      </c>
      <c r="C147" s="42"/>
      <c r="D147" s="42"/>
      <c r="E147" s="43"/>
      <c r="F147" s="43"/>
      <c r="G147" s="43"/>
      <c r="H147" s="43"/>
      <c r="I147" s="43"/>
      <c r="J147" s="43"/>
      <c r="K147" s="43"/>
      <c r="L147" s="43"/>
    </row>
    <row r="148" spans="1:12" ht="15">
      <c r="A148" t="s">
        <v>115</v>
      </c>
      <c r="C148" s="42"/>
      <c r="D148" s="42"/>
      <c r="E148" s="43"/>
      <c r="F148" s="43"/>
      <c r="G148" s="43"/>
      <c r="H148" s="43"/>
      <c r="I148" s="43"/>
      <c r="J148" s="43"/>
      <c r="K148" s="43"/>
      <c r="L148" s="43"/>
    </row>
    <row r="149" spans="1:12" ht="15">
      <c r="A149" s="2" t="s">
        <v>85</v>
      </c>
      <c r="B149" s="2"/>
      <c r="C149" s="45">
        <f>C94</f>
        <v>0</v>
      </c>
      <c r="D149" s="45">
        <f>D94</f>
        <v>0</v>
      </c>
      <c r="E149" s="45">
        <f>IF(ISNUMBER(E148),E148,D149)</f>
        <v>0</v>
      </c>
      <c r="F149" s="45">
        <f aca="true" t="shared" si="70" ref="F149:L149">IF(ISNUMBER(F148),F148,E149)</f>
        <v>0</v>
      </c>
      <c r="G149" s="45">
        <f t="shared" si="70"/>
        <v>0</v>
      </c>
      <c r="H149" s="45">
        <f t="shared" si="70"/>
        <v>0</v>
      </c>
      <c r="I149" s="45">
        <f t="shared" si="70"/>
        <v>0</v>
      </c>
      <c r="J149" s="45">
        <f t="shared" si="70"/>
        <v>0</v>
      </c>
      <c r="K149" s="45">
        <f t="shared" si="70"/>
        <v>0</v>
      </c>
      <c r="L149" s="45">
        <f t="shared" si="70"/>
        <v>0</v>
      </c>
    </row>
    <row r="150" spans="3:12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ht="15">
      <c r="A151" t="s">
        <v>114</v>
      </c>
      <c r="C151" s="42"/>
      <c r="D151" s="42"/>
      <c r="E151" s="43"/>
      <c r="F151" s="43"/>
      <c r="G151" s="43"/>
      <c r="H151" s="43"/>
      <c r="I151" s="43"/>
      <c r="J151" s="43"/>
      <c r="K151" s="43"/>
      <c r="L151" s="43"/>
    </row>
    <row r="152" spans="1:12" ht="15">
      <c r="A152" t="s">
        <v>115</v>
      </c>
      <c r="C152" s="42"/>
      <c r="D152" s="42"/>
      <c r="E152" s="43"/>
      <c r="F152" s="43"/>
      <c r="G152" s="43"/>
      <c r="H152" s="43"/>
      <c r="I152" s="43"/>
      <c r="J152" s="43"/>
      <c r="K152" s="43"/>
      <c r="L152" s="43"/>
    </row>
    <row r="153" spans="1:12" ht="15">
      <c r="A153" s="2" t="s">
        <v>86</v>
      </c>
      <c r="B153" s="2"/>
      <c r="C153" s="45">
        <f>C95</f>
        <v>1052</v>
      </c>
      <c r="D153" s="45">
        <f>D95</f>
        <v>1271</v>
      </c>
      <c r="E153" s="45">
        <f>IF(ISNUMBER(E152),E152,D153)</f>
        <v>1271</v>
      </c>
      <c r="F153" s="45">
        <f aca="true" t="shared" si="71" ref="F153:L153">IF(ISNUMBER(F152),F152,E153)</f>
        <v>1271</v>
      </c>
      <c r="G153" s="45">
        <f t="shared" si="71"/>
        <v>1271</v>
      </c>
      <c r="H153" s="45">
        <f t="shared" si="71"/>
        <v>1271</v>
      </c>
      <c r="I153" s="45">
        <f t="shared" si="71"/>
        <v>1271</v>
      </c>
      <c r="J153" s="45">
        <f t="shared" si="71"/>
        <v>1271</v>
      </c>
      <c r="K153" s="45">
        <f t="shared" si="71"/>
        <v>1271</v>
      </c>
      <c r="L153" s="45">
        <f t="shared" si="71"/>
        <v>1271</v>
      </c>
    </row>
    <row r="155" spans="1:12" ht="15">
      <c r="A155" s="18" t="s">
        <v>120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ht="15">
      <c r="A156" t="s">
        <v>121</v>
      </c>
      <c r="E156" s="37"/>
      <c r="F156" s="37"/>
      <c r="G156" s="37"/>
      <c r="H156" s="37"/>
      <c r="I156" s="37"/>
      <c r="J156" s="37"/>
      <c r="K156" s="37"/>
      <c r="L156" s="37"/>
    </row>
    <row r="157" spans="1:12" ht="15">
      <c r="A157" t="s">
        <v>122</v>
      </c>
      <c r="E157" s="37"/>
      <c r="F157" s="37"/>
      <c r="G157" s="37"/>
      <c r="H157" s="37"/>
      <c r="I157" s="37"/>
      <c r="J157" s="37"/>
      <c r="K157" s="37"/>
      <c r="L157" s="37"/>
    </row>
    <row r="158" spans="1:12" ht="15">
      <c r="A158" s="2" t="s">
        <v>80</v>
      </c>
      <c r="B158" s="2"/>
      <c r="C158" s="45">
        <f>C88</f>
        <v>0</v>
      </c>
      <c r="D158" s="45">
        <f aca="true" t="shared" si="72" ref="D158:L158">D88</f>
        <v>0</v>
      </c>
      <c r="E158" s="45">
        <f t="shared" si="72"/>
        <v>0</v>
      </c>
      <c r="F158" s="45">
        <f t="shared" si="72"/>
        <v>0</v>
      </c>
      <c r="G158" s="45">
        <f t="shared" si="72"/>
        <v>0</v>
      </c>
      <c r="H158" s="45">
        <f t="shared" si="72"/>
        <v>0</v>
      </c>
      <c r="I158" s="45">
        <f t="shared" si="72"/>
        <v>0</v>
      </c>
      <c r="J158" s="45">
        <f t="shared" si="72"/>
        <v>0</v>
      </c>
      <c r="K158" s="45">
        <f t="shared" si="72"/>
        <v>0</v>
      </c>
      <c r="L158" s="45">
        <f t="shared" si="72"/>
        <v>0</v>
      </c>
    </row>
    <row r="160" ht="15">
      <c r="A160" s="15" t="s">
        <v>78</v>
      </c>
    </row>
    <row r="161" spans="1:12" ht="15">
      <c r="A161" s="2" t="s">
        <v>123</v>
      </c>
      <c r="B161" s="2"/>
      <c r="C161" s="45">
        <v>1159</v>
      </c>
      <c r="D161" s="45">
        <v>1383</v>
      </c>
      <c r="E161" s="49">
        <f>0.05*E25</f>
        <v>1455.6659000000002</v>
      </c>
      <c r="F161" s="49">
        <f aca="true" t="shared" si="73" ref="F161:L161">0.05*F25</f>
        <v>1497.8802111000002</v>
      </c>
      <c r="G161" s="49">
        <f t="shared" si="73"/>
        <v>1538.3229767997</v>
      </c>
      <c r="H161" s="49">
        <f t="shared" si="73"/>
        <v>1579.8576971732919</v>
      </c>
      <c r="I161" s="49">
        <f t="shared" si="73"/>
        <v>1622.5138549969706</v>
      </c>
      <c r="J161" s="49">
        <f t="shared" si="73"/>
        <v>1666.3217290818884</v>
      </c>
      <c r="K161" s="49">
        <f t="shared" si="73"/>
        <v>1711.312415767099</v>
      </c>
      <c r="L161" s="49">
        <f t="shared" si="73"/>
        <v>1757.517850992811</v>
      </c>
    </row>
    <row r="162" spans="1:12" ht="15">
      <c r="A162" s="47" t="s">
        <v>124</v>
      </c>
      <c r="C162" s="42"/>
      <c r="D162" s="42"/>
      <c r="E162" s="42">
        <f>D162</f>
        <v>0</v>
      </c>
      <c r="F162" s="42">
        <f aca="true" t="shared" si="74" ref="F162:L162">E162</f>
        <v>0</v>
      </c>
      <c r="G162" s="42">
        <f t="shared" si="74"/>
        <v>0</v>
      </c>
      <c r="H162" s="42">
        <f t="shared" si="74"/>
        <v>0</v>
      </c>
      <c r="I162" s="42">
        <f t="shared" si="74"/>
        <v>0</v>
      </c>
      <c r="J162" s="42">
        <f t="shared" si="74"/>
        <v>0</v>
      </c>
      <c r="K162" s="42">
        <f t="shared" si="74"/>
        <v>0</v>
      </c>
      <c r="L162" s="42">
        <f t="shared" si="74"/>
        <v>0</v>
      </c>
    </row>
    <row r="163" spans="1:12" ht="15">
      <c r="A163" s="47" t="s">
        <v>125</v>
      </c>
      <c r="C163" s="42">
        <f>-(C46+C157)</f>
        <v>-1332</v>
      </c>
      <c r="D163" s="42">
        <f>-(D46+D157)</f>
        <v>-1486</v>
      </c>
      <c r="E163" s="42">
        <f>-(E46+E158)</f>
        <v>-1554.356</v>
      </c>
      <c r="F163" s="42">
        <f aca="true" t="shared" si="75" ref="F163:L163">-(F46+F158)</f>
        <v>-1599.4323239999999</v>
      </c>
      <c r="G163" s="42">
        <f t="shared" si="75"/>
        <v>-1642.6169967479998</v>
      </c>
      <c r="H163" s="42">
        <f t="shared" si="75"/>
        <v>-1686.9676556601955</v>
      </c>
      <c r="I163" s="42">
        <f t="shared" si="75"/>
        <v>-1732.5157823630207</v>
      </c>
      <c r="J163" s="42">
        <f t="shared" si="75"/>
        <v>-1779.293708486822</v>
      </c>
      <c r="K163" s="42">
        <f t="shared" si="75"/>
        <v>-1827.334638615966</v>
      </c>
      <c r="L163" s="42">
        <f t="shared" si="75"/>
        <v>-1876.672673858597</v>
      </c>
    </row>
    <row r="164" spans="1:12" ht="15">
      <c r="A164" s="48" t="s">
        <v>78</v>
      </c>
      <c r="B164" s="2"/>
      <c r="C164" s="45">
        <f>C86</f>
        <v>12477</v>
      </c>
      <c r="D164" s="45">
        <f>D86</f>
        <v>14571</v>
      </c>
      <c r="E164" s="45">
        <f>D164+SUM(E161:E163)</f>
        <v>14472.3099</v>
      </c>
      <c r="F164" s="45">
        <f aca="true" t="shared" si="76" ref="F164:L164">E164+SUM(F161:F163)</f>
        <v>14370.757787100001</v>
      </c>
      <c r="G164" s="45">
        <f t="shared" si="76"/>
        <v>14266.463767151701</v>
      </c>
      <c r="H164" s="45">
        <f t="shared" si="76"/>
        <v>14159.353808664797</v>
      </c>
      <c r="I164" s="45">
        <f t="shared" si="76"/>
        <v>14049.351881298746</v>
      </c>
      <c r="J164" s="45">
        <f t="shared" si="76"/>
        <v>13936.379901893812</v>
      </c>
      <c r="K164" s="45">
        <f t="shared" si="76"/>
        <v>13820.357679044944</v>
      </c>
      <c r="L164" s="45">
        <f t="shared" si="76"/>
        <v>13701.202856179158</v>
      </c>
    </row>
    <row r="166" spans="1:12" ht="15">
      <c r="A166" s="18" t="s">
        <v>126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1:12" ht="15">
      <c r="A167" t="s">
        <v>127</v>
      </c>
      <c r="C167">
        <v>-30</v>
      </c>
      <c r="D167">
        <v>-35</v>
      </c>
      <c r="E167">
        <v>-35</v>
      </c>
      <c r="F167">
        <v>-35</v>
      </c>
      <c r="G167">
        <v>-35</v>
      </c>
      <c r="H167">
        <v>-35</v>
      </c>
      <c r="I167">
        <v>-35</v>
      </c>
      <c r="J167">
        <v>-35</v>
      </c>
      <c r="K167">
        <v>-35</v>
      </c>
      <c r="L167">
        <v>-35</v>
      </c>
    </row>
    <row r="168" spans="1:12" ht="15">
      <c r="A168" t="s">
        <v>128</v>
      </c>
      <c r="C168">
        <v>85</v>
      </c>
      <c r="D168">
        <v>222</v>
      </c>
      <c r="E168">
        <v>222</v>
      </c>
      <c r="F168">
        <v>222</v>
      </c>
      <c r="G168">
        <v>222</v>
      </c>
      <c r="H168">
        <v>222</v>
      </c>
      <c r="I168">
        <v>222</v>
      </c>
      <c r="J168">
        <v>222</v>
      </c>
      <c r="K168">
        <v>222</v>
      </c>
      <c r="L168">
        <v>222</v>
      </c>
    </row>
    <row r="169" spans="1:12" ht="15">
      <c r="A169" t="s">
        <v>129</v>
      </c>
      <c r="D169" s="42">
        <v>33.585</v>
      </c>
      <c r="E169" s="42">
        <f>D169*(1+E170)</f>
        <v>42.45650943396227</v>
      </c>
      <c r="F169" s="42">
        <f aca="true" t="shared" si="77" ref="F169:L169">E169*(1+F170)</f>
        <v>57.1578679245283</v>
      </c>
      <c r="G169" s="42">
        <f t="shared" si="77"/>
        <v>64.70270649056604</v>
      </c>
      <c r="H169" s="42">
        <f t="shared" si="77"/>
        <v>73.24346374732077</v>
      </c>
      <c r="I169" s="42">
        <f t="shared" si="77"/>
        <v>82.91160096196712</v>
      </c>
      <c r="J169" s="42">
        <f t="shared" si="77"/>
        <v>93.85593228894679</v>
      </c>
      <c r="K169" s="42">
        <f t="shared" si="77"/>
        <v>106.24491535108778</v>
      </c>
      <c r="L169" s="42">
        <f t="shared" si="77"/>
        <v>120.26924417743139</v>
      </c>
    </row>
    <row r="170" spans="1:12" ht="15">
      <c r="A170" t="s">
        <v>130</v>
      </c>
      <c r="E170" s="35">
        <f>B13/B12-1</f>
        <v>0.2641509433962266</v>
      </c>
      <c r="F170" s="35">
        <f>B14/B13-1</f>
        <v>0.3462686567164177</v>
      </c>
      <c r="G170" s="35">
        <f>$B$15</f>
        <v>0.132</v>
      </c>
      <c r="H170" s="35">
        <f>$B$15</f>
        <v>0.132</v>
      </c>
      <c r="I170" s="35">
        <f>$B$15</f>
        <v>0.132</v>
      </c>
      <c r="J170" s="35">
        <f>$B$15</f>
        <v>0.132</v>
      </c>
      <c r="K170" s="35">
        <f>$B$15</f>
        <v>0.132</v>
      </c>
      <c r="L170" s="35">
        <f>$B$15</f>
        <v>0.132</v>
      </c>
    </row>
    <row r="171" spans="1:12" ht="15">
      <c r="A171" t="s">
        <v>131</v>
      </c>
      <c r="E171" s="42">
        <f>E167/E169</f>
        <v>-0.8243729987845497</v>
      </c>
      <c r="F171" s="42">
        <f aca="true" t="shared" si="78" ref="F171:L171">F167/F169</f>
        <v>-0.6123391454386345</v>
      </c>
      <c r="G171" s="42">
        <f t="shared" si="78"/>
        <v>-0.5409356408468502</v>
      </c>
      <c r="H171" s="42">
        <f t="shared" si="78"/>
        <v>-0.4778583399707157</v>
      </c>
      <c r="I171" s="42">
        <f t="shared" si="78"/>
        <v>-0.4221363427303142</v>
      </c>
      <c r="J171" s="42">
        <f t="shared" si="78"/>
        <v>-0.37291196354268036</v>
      </c>
      <c r="K171" s="42">
        <f t="shared" si="78"/>
        <v>-0.32942752963134303</v>
      </c>
      <c r="L171" s="42">
        <f t="shared" si="78"/>
        <v>-0.29101371875560333</v>
      </c>
    </row>
    <row r="172" spans="1:12" ht="15">
      <c r="A172" t="s">
        <v>132</v>
      </c>
      <c r="E172" s="42">
        <f>E168/E169</f>
        <v>5.228880163719144</v>
      </c>
      <c r="F172" s="42">
        <f aca="true" t="shared" si="79" ref="F172:L172">F168/F169</f>
        <v>3.8839797224964823</v>
      </c>
      <c r="G172" s="42">
        <f t="shared" si="79"/>
        <v>3.43107749337145</v>
      </c>
      <c r="H172" s="42">
        <f t="shared" si="79"/>
        <v>3.030987184957111</v>
      </c>
      <c r="I172" s="42">
        <f t="shared" si="79"/>
        <v>2.6775505167465643</v>
      </c>
      <c r="J172" s="42">
        <f t="shared" si="79"/>
        <v>2.3653273116135725</v>
      </c>
      <c r="K172" s="42">
        <f t="shared" si="79"/>
        <v>2.089511759375947</v>
      </c>
      <c r="L172" s="42">
        <f t="shared" si="79"/>
        <v>1.845858444678398</v>
      </c>
    </row>
    <row r="173" spans="1:12" ht="15">
      <c r="A173" t="s">
        <v>133</v>
      </c>
      <c r="D173" s="43">
        <v>441.207804</v>
      </c>
      <c r="E173" s="42">
        <f>D173+E171+E172</f>
        <v>445.6123111649346</v>
      </c>
      <c r="F173" s="42">
        <f aca="true" t="shared" si="80" ref="F173:L173">E173+F171+F172</f>
        <v>448.88395174199246</v>
      </c>
      <c r="G173" s="42">
        <f t="shared" si="80"/>
        <v>451.77409359451707</v>
      </c>
      <c r="H173" s="42">
        <f t="shared" si="80"/>
        <v>454.32722243950343</v>
      </c>
      <c r="I173" s="42">
        <f t="shared" si="80"/>
        <v>456.5826366135197</v>
      </c>
      <c r="J173" s="42">
        <f t="shared" si="80"/>
        <v>458.5750519615906</v>
      </c>
      <c r="K173" s="42">
        <f t="shared" si="80"/>
        <v>460.3351361913352</v>
      </c>
      <c r="L173" s="42">
        <f t="shared" si="80"/>
        <v>461.889980917258</v>
      </c>
    </row>
    <row r="174" spans="1:12" ht="15">
      <c r="A174" t="s">
        <v>134</v>
      </c>
      <c r="C174" s="50">
        <f>C53</f>
        <v>432.2</v>
      </c>
      <c r="D174" s="50">
        <f>D53</f>
        <v>435.2</v>
      </c>
      <c r="E174" s="45">
        <f>AVERAGE(D173:E173)</f>
        <v>443.4100575824673</v>
      </c>
      <c r="F174" s="45">
        <f aca="true" t="shared" si="81" ref="F174:L174">AVERAGE(E173:F173)</f>
        <v>447.24813145346354</v>
      </c>
      <c r="G174" s="45">
        <f t="shared" si="81"/>
        <v>450.32902266825477</v>
      </c>
      <c r="H174" s="45">
        <f t="shared" si="81"/>
        <v>453.0506580170103</v>
      </c>
      <c r="I174" s="45">
        <f t="shared" si="81"/>
        <v>455.4549295265116</v>
      </c>
      <c r="J174" s="45">
        <f t="shared" si="81"/>
        <v>457.57884428755517</v>
      </c>
      <c r="K174" s="45">
        <f t="shared" si="81"/>
        <v>459.4550940764629</v>
      </c>
      <c r="L174" s="45">
        <f t="shared" si="81"/>
        <v>461.1125585542966</v>
      </c>
    </row>
    <row r="176" spans="1:12" ht="15">
      <c r="A176" s="18" t="s">
        <v>135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1:12" ht="15">
      <c r="A177" s="38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15">
      <c r="A178" t="s">
        <v>21</v>
      </c>
      <c r="E178" s="41">
        <f>E39</f>
        <v>63.806000000000004</v>
      </c>
      <c r="F178" s="41">
        <f aca="true" t="shared" si="82" ref="F178:L178">F39</f>
        <v>65.656374</v>
      </c>
      <c r="G178" s="41">
        <f t="shared" si="82"/>
        <v>67.42909609799999</v>
      </c>
      <c r="H178" s="41">
        <f t="shared" si="82"/>
        <v>69.24968169264598</v>
      </c>
      <c r="I178" s="41">
        <f t="shared" si="82"/>
        <v>71.11942309834741</v>
      </c>
      <c r="J178" s="41">
        <f t="shared" si="82"/>
        <v>73.03964752200278</v>
      </c>
      <c r="K178" s="41">
        <f t="shared" si="82"/>
        <v>75.01171800509685</v>
      </c>
      <c r="L178" s="41">
        <f t="shared" si="82"/>
        <v>77.03703439123446</v>
      </c>
    </row>
    <row r="179" spans="1:12" ht="15">
      <c r="A179" t="s">
        <v>136</v>
      </c>
      <c r="E179" s="51"/>
      <c r="F179" s="51"/>
      <c r="G179" s="51"/>
      <c r="H179" s="51"/>
      <c r="I179" s="51"/>
      <c r="J179" s="51"/>
      <c r="K179" s="51"/>
      <c r="L179" s="51"/>
    </row>
    <row r="180" spans="1:12" ht="15">
      <c r="A180" t="s">
        <v>137</v>
      </c>
      <c r="C180" s="45">
        <f>C85</f>
        <v>0</v>
      </c>
      <c r="D180" s="45">
        <f>D85</f>
        <v>0</v>
      </c>
      <c r="E180" s="45">
        <f>D180+SUM(E178:E179)</f>
        <v>63.806000000000004</v>
      </c>
      <c r="F180" s="45">
        <f aca="true" t="shared" si="83" ref="F180:L180">E180+SUM(F178:F179)</f>
        <v>129.462374</v>
      </c>
      <c r="G180" s="45">
        <f t="shared" si="83"/>
        <v>196.891470098</v>
      </c>
      <c r="H180" s="45">
        <f t="shared" si="83"/>
        <v>266.141151790646</v>
      </c>
      <c r="I180" s="45">
        <f t="shared" si="83"/>
        <v>337.2605748889934</v>
      </c>
      <c r="J180" s="45">
        <f t="shared" si="83"/>
        <v>410.3002224109962</v>
      </c>
      <c r="K180" s="45">
        <f t="shared" si="83"/>
        <v>485.311940416093</v>
      </c>
      <c r="L180" s="45">
        <f t="shared" si="83"/>
        <v>562.3489748073275</v>
      </c>
    </row>
    <row r="182" spans="1:12" ht="15">
      <c r="A182" s="18" t="s">
        <v>94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4" spans="1:12" ht="15">
      <c r="A184" t="s">
        <v>138</v>
      </c>
      <c r="E184" s="41">
        <f>E40</f>
        <v>5.23</v>
      </c>
      <c r="F184" s="41">
        <f aca="true" t="shared" si="84" ref="F184:L184">F40</f>
        <v>5.38167</v>
      </c>
      <c r="G184" s="41">
        <f t="shared" si="84"/>
        <v>5.52697509</v>
      </c>
      <c r="H184" s="41">
        <f t="shared" si="84"/>
        <v>5.676203417429999</v>
      </c>
      <c r="I184" s="41">
        <f t="shared" si="84"/>
        <v>5.829460909700608</v>
      </c>
      <c r="J184" s="41">
        <f t="shared" si="84"/>
        <v>5.986856354262525</v>
      </c>
      <c r="K184" s="41">
        <f t="shared" si="84"/>
        <v>6.148501475827612</v>
      </c>
      <c r="L184" s="41">
        <f t="shared" si="84"/>
        <v>6.314511015674958</v>
      </c>
    </row>
    <row r="185" spans="1:12" ht="15">
      <c r="A185" t="s">
        <v>139</v>
      </c>
      <c r="E185" s="51"/>
      <c r="F185" s="51"/>
      <c r="G185" s="51"/>
      <c r="H185" s="51"/>
      <c r="I185" s="51"/>
      <c r="J185" s="51"/>
      <c r="K185" s="51"/>
      <c r="L185" s="51"/>
    </row>
    <row r="186" spans="1:12" ht="15">
      <c r="A186" t="s">
        <v>140</v>
      </c>
      <c r="C186" s="45">
        <f>C104</f>
        <v>340</v>
      </c>
      <c r="D186" s="45">
        <f>D104</f>
        <v>332</v>
      </c>
      <c r="E186" s="45">
        <f>D186+SUM(E184:E185)</f>
        <v>337.23</v>
      </c>
      <c r="F186" s="45">
        <f aca="true" t="shared" si="85" ref="F186:L186">E186+SUM(F184:F185)</f>
        <v>342.61167</v>
      </c>
      <c r="G186" s="45">
        <f t="shared" si="85"/>
        <v>348.13864509</v>
      </c>
      <c r="H186" s="45">
        <f t="shared" si="85"/>
        <v>353.81484850743</v>
      </c>
      <c r="I186" s="45">
        <f t="shared" si="85"/>
        <v>359.6443094171306</v>
      </c>
      <c r="J186" s="45">
        <f t="shared" si="85"/>
        <v>365.6311657713931</v>
      </c>
      <c r="K186" s="45">
        <f t="shared" si="85"/>
        <v>371.77966724722074</v>
      </c>
      <c r="L186" s="45">
        <f t="shared" si="85"/>
        <v>378.0941782628957</v>
      </c>
    </row>
    <row r="188" spans="1:12" ht="15">
      <c r="A188" s="4" t="s">
        <v>141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5:12" ht="15">
      <c r="E189" s="52">
        <f>E78</f>
        <v>41639</v>
      </c>
      <c r="F189" s="52">
        <f aca="true" t="shared" si="86" ref="F189:L189">F78</f>
        <v>42004</v>
      </c>
      <c r="G189" s="52">
        <f t="shared" si="86"/>
        <v>42369</v>
      </c>
      <c r="H189" s="52">
        <f t="shared" si="86"/>
        <v>42735</v>
      </c>
      <c r="I189" s="52">
        <f t="shared" si="86"/>
        <v>43100</v>
      </c>
      <c r="J189" s="52">
        <f t="shared" si="86"/>
        <v>43465</v>
      </c>
      <c r="K189" s="52">
        <f t="shared" si="86"/>
        <v>43830</v>
      </c>
      <c r="L189" s="52">
        <f t="shared" si="86"/>
        <v>44196</v>
      </c>
    </row>
    <row r="190" spans="1:12" ht="15">
      <c r="A190" t="s">
        <v>142</v>
      </c>
      <c r="E190" s="28">
        <f>E41</f>
        <v>1547.0993791147396</v>
      </c>
      <c r="F190" s="28">
        <f aca="true" t="shared" si="87" ref="F190:L190">F41</f>
        <v>1915.1532695568553</v>
      </c>
      <c r="G190" s="28">
        <f t="shared" si="87"/>
        <v>2006.254806326509</v>
      </c>
      <c r="H190" s="28">
        <f t="shared" si="87"/>
        <v>2095.7929072705097</v>
      </c>
      <c r="I190" s="28">
        <f t="shared" si="87"/>
        <v>2180.8147324707224</v>
      </c>
      <c r="J190" s="28">
        <f t="shared" si="87"/>
        <v>2254.0372824820693</v>
      </c>
      <c r="K190" s="28">
        <f t="shared" si="87"/>
        <v>2323.9574876007046</v>
      </c>
      <c r="L190" s="28">
        <f t="shared" si="87"/>
        <v>2395.7655382575435</v>
      </c>
    </row>
    <row r="191" spans="1:12" ht="15">
      <c r="A191" t="s">
        <v>14</v>
      </c>
      <c r="E191" s="30">
        <f>E46</f>
        <v>1554.356</v>
      </c>
      <c r="F191" s="30">
        <f aca="true" t="shared" si="88" ref="F191:L191">F46</f>
        <v>1599.4323239999999</v>
      </c>
      <c r="G191" s="30">
        <f t="shared" si="88"/>
        <v>1642.6169967479998</v>
      </c>
      <c r="H191" s="30">
        <f t="shared" si="88"/>
        <v>1686.9676556601955</v>
      </c>
      <c r="I191" s="30">
        <f t="shared" si="88"/>
        <v>1732.5157823630207</v>
      </c>
      <c r="J191" s="30">
        <f t="shared" si="88"/>
        <v>1779.293708486822</v>
      </c>
      <c r="K191" s="30">
        <f t="shared" si="88"/>
        <v>1827.334638615966</v>
      </c>
      <c r="L191" s="30">
        <f t="shared" si="88"/>
        <v>1876.672673858597</v>
      </c>
    </row>
    <row r="192" ht="15">
      <c r="A192" t="s">
        <v>143</v>
      </c>
    </row>
    <row r="193" spans="1:12" ht="15">
      <c r="A193" t="s">
        <v>144</v>
      </c>
      <c r="E193" s="42">
        <f>D80-E80</f>
        <v>-163.85200000000032</v>
      </c>
      <c r="F193" s="42">
        <f aca="true" t="shared" si="89" ref="F193:L193">E80-F80</f>
        <v>-108.04970799999955</v>
      </c>
      <c r="G193" s="42">
        <f t="shared" si="89"/>
        <v>-103.51534611599982</v>
      </c>
      <c r="H193" s="42">
        <f t="shared" si="89"/>
        <v>-106.31026046113175</v>
      </c>
      <c r="I193" s="42">
        <f t="shared" si="89"/>
        <v>-109.18063749358225</v>
      </c>
      <c r="J193" s="42">
        <f t="shared" si="89"/>
        <v>-112.12851470590886</v>
      </c>
      <c r="K193" s="42">
        <f t="shared" si="89"/>
        <v>-115.1559846029686</v>
      </c>
      <c r="L193" s="42">
        <f t="shared" si="89"/>
        <v>-118.26519618724888</v>
      </c>
    </row>
    <row r="194" spans="1:12" ht="15">
      <c r="A194" t="s">
        <v>73</v>
      </c>
      <c r="E194" s="42">
        <f>D81-E81</f>
        <v>-61.2554493233597</v>
      </c>
      <c r="F194" s="42">
        <f aca="true" t="shared" si="90" ref="F194:L194">E81-F81</f>
        <v>-29.30239123148567</v>
      </c>
      <c r="G194" s="42">
        <f t="shared" si="90"/>
        <v>-76.15506169498076</v>
      </c>
      <c r="H194" s="42">
        <f t="shared" si="90"/>
        <v>-78.21124836074478</v>
      </c>
      <c r="I194" s="42">
        <f t="shared" si="90"/>
        <v>-80.32295206648587</v>
      </c>
      <c r="J194" s="42">
        <f t="shared" si="90"/>
        <v>-82.49167177228037</v>
      </c>
      <c r="K194" s="42">
        <f t="shared" si="90"/>
        <v>-84.71894691013176</v>
      </c>
      <c r="L194" s="42">
        <f t="shared" si="90"/>
        <v>-87.00635847670537</v>
      </c>
    </row>
    <row r="195" spans="1:12" ht="15">
      <c r="A195" t="s">
        <v>74</v>
      </c>
      <c r="E195" s="42">
        <f>D82-E82</f>
        <v>-221.4090093446481</v>
      </c>
      <c r="F195" s="42">
        <f aca="true" t="shared" si="91" ref="F195:L195">E82-F82</f>
        <v>-124.2066884761424</v>
      </c>
      <c r="G195" s="42">
        <f t="shared" si="91"/>
        <v>-32.252138836581594</v>
      </c>
      <c r="H195" s="42">
        <f t="shared" si="91"/>
        <v>-31.672738706243308</v>
      </c>
      <c r="I195" s="42">
        <f t="shared" si="91"/>
        <v>-30.028520427664375</v>
      </c>
      <c r="J195" s="42">
        <f t="shared" si="91"/>
        <v>-25.758608747368612</v>
      </c>
      <c r="K195" s="42">
        <f t="shared" si="91"/>
        <v>-24.551077772062285</v>
      </c>
      <c r="L195" s="42">
        <f t="shared" si="91"/>
        <v>-25.213956871908294</v>
      </c>
    </row>
    <row r="196" spans="1:12" ht="15">
      <c r="A196" t="s">
        <v>75</v>
      </c>
      <c r="E196" s="42">
        <f>D83-E83</f>
        <v>0</v>
      </c>
      <c r="F196" s="42">
        <f aca="true" t="shared" si="92" ref="F196:L196">E83-F83</f>
        <v>0</v>
      </c>
      <c r="G196" s="42">
        <f t="shared" si="92"/>
        <v>0</v>
      </c>
      <c r="H196" s="42">
        <f t="shared" si="92"/>
        <v>0</v>
      </c>
      <c r="I196" s="42">
        <f t="shared" si="92"/>
        <v>0</v>
      </c>
      <c r="J196" s="42">
        <f t="shared" si="92"/>
        <v>0</v>
      </c>
      <c r="K196" s="42">
        <f t="shared" si="92"/>
        <v>0</v>
      </c>
      <c r="L196" s="42">
        <f t="shared" si="92"/>
        <v>0</v>
      </c>
    </row>
    <row r="197" spans="1:12" ht="15">
      <c r="A197" t="s">
        <v>76</v>
      </c>
      <c r="E197" s="42">
        <f>E84-D84</f>
        <v>0</v>
      </c>
      <c r="F197" s="42">
        <f aca="true" t="shared" si="93" ref="F197:L197">F84-E84</f>
        <v>0</v>
      </c>
      <c r="G197" s="42">
        <f t="shared" si="93"/>
        <v>0</v>
      </c>
      <c r="H197" s="42">
        <f t="shared" si="93"/>
        <v>0</v>
      </c>
      <c r="I197" s="42">
        <f t="shared" si="93"/>
        <v>0</v>
      </c>
      <c r="J197" s="42">
        <f t="shared" si="93"/>
        <v>0</v>
      </c>
      <c r="K197" s="42">
        <f t="shared" si="93"/>
        <v>0</v>
      </c>
      <c r="L197" s="42">
        <f t="shared" si="93"/>
        <v>0</v>
      </c>
    </row>
    <row r="198" spans="1:12" ht="15">
      <c r="A198" t="s">
        <v>83</v>
      </c>
      <c r="E198" s="42">
        <f>E92-D92</f>
        <v>62.265154531986354</v>
      </c>
      <c r="F198" s="42">
        <f aca="true" t="shared" si="94" ref="F198:L198">F92-E92</f>
        <v>29.785397680356255</v>
      </c>
      <c r="G198" s="42">
        <f t="shared" si="94"/>
        <v>77.41036490973329</v>
      </c>
      <c r="H198" s="42">
        <f t="shared" si="94"/>
        <v>79.5004447622955</v>
      </c>
      <c r="I198" s="42">
        <f t="shared" si="94"/>
        <v>81.6469567708782</v>
      </c>
      <c r="J198" s="42">
        <f t="shared" si="94"/>
        <v>83.85142460369116</v>
      </c>
      <c r="K198" s="42">
        <f t="shared" si="94"/>
        <v>86.11541306799108</v>
      </c>
      <c r="L198" s="42">
        <f t="shared" si="94"/>
        <v>88.4405292208271</v>
      </c>
    </row>
    <row r="199" spans="1:12" ht="15">
      <c r="A199" t="s">
        <v>84</v>
      </c>
      <c r="E199" s="42">
        <f>E93-D93</f>
        <v>14.88374237693779</v>
      </c>
      <c r="F199" s="42">
        <f aca="true" t="shared" si="95" ref="F199:L199">F93-E93</f>
        <v>15.163628528931099</v>
      </c>
      <c r="G199" s="42">
        <f t="shared" si="95"/>
        <v>14.527279014458486</v>
      </c>
      <c r="H199" s="42">
        <f t="shared" si="95"/>
        <v>14.919515547848846</v>
      </c>
      <c r="I199" s="42">
        <f t="shared" si="95"/>
        <v>15.322342467640738</v>
      </c>
      <c r="J199" s="42">
        <f t="shared" si="95"/>
        <v>15.736045714266993</v>
      </c>
      <c r="K199" s="42">
        <f t="shared" si="95"/>
        <v>16.16091894855208</v>
      </c>
      <c r="L199" s="42">
        <f t="shared" si="95"/>
        <v>16.597263760163173</v>
      </c>
    </row>
    <row r="200" spans="1:12" ht="15">
      <c r="A200" t="s">
        <v>85</v>
      </c>
      <c r="E200" s="42">
        <f>E94-D94</f>
        <v>0</v>
      </c>
      <c r="F200" s="42">
        <f aca="true" t="shared" si="96" ref="F200:L200">F94-E94</f>
        <v>0</v>
      </c>
      <c r="G200" s="42">
        <f t="shared" si="96"/>
        <v>0</v>
      </c>
      <c r="H200" s="42">
        <f t="shared" si="96"/>
        <v>0</v>
      </c>
      <c r="I200" s="42">
        <f t="shared" si="96"/>
        <v>0</v>
      </c>
      <c r="J200" s="42">
        <f t="shared" si="96"/>
        <v>0</v>
      </c>
      <c r="K200" s="42">
        <f t="shared" si="96"/>
        <v>0</v>
      </c>
      <c r="L200" s="42">
        <f t="shared" si="96"/>
        <v>0</v>
      </c>
    </row>
    <row r="201" spans="1:12" ht="15">
      <c r="A201" t="s">
        <v>145</v>
      </c>
      <c r="E201" s="42">
        <f>E95-D95</f>
        <v>0</v>
      </c>
      <c r="F201" s="42">
        <f aca="true" t="shared" si="97" ref="F201:L201">F95-E95</f>
        <v>0</v>
      </c>
      <c r="G201" s="42">
        <f t="shared" si="97"/>
        <v>0</v>
      </c>
      <c r="H201" s="42">
        <f t="shared" si="97"/>
        <v>0</v>
      </c>
      <c r="I201" s="42">
        <f t="shared" si="97"/>
        <v>0</v>
      </c>
      <c r="J201" s="42">
        <f t="shared" si="97"/>
        <v>0</v>
      </c>
      <c r="K201" s="42">
        <f t="shared" si="97"/>
        <v>0</v>
      </c>
      <c r="L201" s="42">
        <f t="shared" si="97"/>
        <v>0</v>
      </c>
    </row>
    <row r="202" spans="1:12" ht="15">
      <c r="A202" t="s">
        <v>146</v>
      </c>
      <c r="E202" s="42">
        <f>E100-D100</f>
        <v>2074.2528243867027</v>
      </c>
      <c r="F202" s="42">
        <f aca="true" t="shared" si="98" ref="F202:L202">F100-E100</f>
        <v>1163.6205551975445</v>
      </c>
      <c r="G202" s="42">
        <f t="shared" si="98"/>
        <v>302.15161646902743</v>
      </c>
      <c r="H202" s="42">
        <f t="shared" si="98"/>
        <v>296.72355209006855</v>
      </c>
      <c r="I202" s="42">
        <f t="shared" si="98"/>
        <v>281.31982295390844</v>
      </c>
      <c r="J202" s="42">
        <f t="shared" si="98"/>
        <v>241.31749247534754</v>
      </c>
      <c r="K202" s="42">
        <f t="shared" si="98"/>
        <v>230.00483386458382</v>
      </c>
      <c r="L202" s="42">
        <f t="shared" si="98"/>
        <v>236.21496437893074</v>
      </c>
    </row>
    <row r="203" spans="1:12" ht="15">
      <c r="A203" t="s">
        <v>147</v>
      </c>
      <c r="E203" s="41">
        <f>-E178</f>
        <v>-63.806000000000004</v>
      </c>
      <c r="F203" s="41">
        <f aca="true" t="shared" si="99" ref="F203:L203">-F178</f>
        <v>-65.656374</v>
      </c>
      <c r="G203" s="41">
        <f t="shared" si="99"/>
        <v>-67.42909609799999</v>
      </c>
      <c r="H203" s="41">
        <f t="shared" si="99"/>
        <v>-69.24968169264598</v>
      </c>
      <c r="I203" s="41">
        <f t="shared" si="99"/>
        <v>-71.11942309834741</v>
      </c>
      <c r="J203" s="41">
        <f t="shared" si="99"/>
        <v>-73.03964752200278</v>
      </c>
      <c r="K203" s="41">
        <f t="shared" si="99"/>
        <v>-75.01171800509685</v>
      </c>
      <c r="L203" s="41">
        <f t="shared" si="99"/>
        <v>-77.03703439123446</v>
      </c>
    </row>
    <row r="204" spans="1:12" ht="15">
      <c r="A204" t="s">
        <v>148</v>
      </c>
      <c r="E204">
        <f>-E179</f>
        <v>0</v>
      </c>
      <c r="F204">
        <f aca="true" t="shared" si="100" ref="F204:L204">-F179</f>
        <v>0</v>
      </c>
      <c r="G204">
        <f t="shared" si="100"/>
        <v>0</v>
      </c>
      <c r="H204">
        <f t="shared" si="100"/>
        <v>0</v>
      </c>
      <c r="I204">
        <f t="shared" si="100"/>
        <v>0</v>
      </c>
      <c r="J204">
        <f t="shared" si="100"/>
        <v>0</v>
      </c>
      <c r="K204">
        <f t="shared" si="100"/>
        <v>0</v>
      </c>
      <c r="L204">
        <f t="shared" si="100"/>
        <v>0</v>
      </c>
    </row>
    <row r="205" spans="1:12" ht="15">
      <c r="A205" t="s">
        <v>138</v>
      </c>
      <c r="E205" s="41">
        <f>E184</f>
        <v>5.23</v>
      </c>
      <c r="F205" s="41">
        <f aca="true" t="shared" si="101" ref="F205:L205">F184</f>
        <v>5.38167</v>
      </c>
      <c r="G205" s="41">
        <f t="shared" si="101"/>
        <v>5.52697509</v>
      </c>
      <c r="H205" s="41">
        <f t="shared" si="101"/>
        <v>5.676203417429999</v>
      </c>
      <c r="I205" s="41">
        <f t="shared" si="101"/>
        <v>5.829460909700608</v>
      </c>
      <c r="J205" s="41">
        <f t="shared" si="101"/>
        <v>5.986856354262525</v>
      </c>
      <c r="K205" s="41">
        <f t="shared" si="101"/>
        <v>6.148501475827612</v>
      </c>
      <c r="L205" s="41">
        <f t="shared" si="101"/>
        <v>6.314511015674958</v>
      </c>
    </row>
    <row r="206" spans="1:12" ht="15">
      <c r="A206" s="44" t="s">
        <v>149</v>
      </c>
      <c r="B206" s="2"/>
      <c r="C206" s="2"/>
      <c r="D206" s="2"/>
      <c r="E206" s="53">
        <f>SUM(E190:E205)</f>
        <v>4747.764641742358</v>
      </c>
      <c r="F206" s="53">
        <f aca="true" t="shared" si="102" ref="F206:L206">SUM(F190:F205)</f>
        <v>4401.321683256058</v>
      </c>
      <c r="G206" s="53">
        <f t="shared" si="102"/>
        <v>3769.1363958121656</v>
      </c>
      <c r="H206" s="53">
        <f t="shared" si="102"/>
        <v>3894.1363495275823</v>
      </c>
      <c r="I206" s="53">
        <f t="shared" si="102"/>
        <v>4006.7975648497913</v>
      </c>
      <c r="J206" s="53">
        <f t="shared" si="102"/>
        <v>4086.804367368899</v>
      </c>
      <c r="K206" s="53">
        <f t="shared" si="102"/>
        <v>4190.284066283366</v>
      </c>
      <c r="L206" s="53">
        <f t="shared" si="102"/>
        <v>4312.48293456464</v>
      </c>
    </row>
    <row r="208" spans="1:12" ht="15">
      <c r="A208" t="s">
        <v>150</v>
      </c>
      <c r="E208" s="42">
        <f>-E161</f>
        <v>-1455.6659000000002</v>
      </c>
      <c r="F208" s="42">
        <f aca="true" t="shared" si="103" ref="F208:L208">-F161</f>
        <v>-1497.8802111000002</v>
      </c>
      <c r="G208" s="42">
        <f t="shared" si="103"/>
        <v>-1538.3229767997</v>
      </c>
      <c r="H208" s="42">
        <f t="shared" si="103"/>
        <v>-1579.8576971732919</v>
      </c>
      <c r="I208" s="42">
        <f t="shared" si="103"/>
        <v>-1622.5138549969706</v>
      </c>
      <c r="J208" s="42">
        <f t="shared" si="103"/>
        <v>-1666.3217290818884</v>
      </c>
      <c r="K208" s="42">
        <f t="shared" si="103"/>
        <v>-1711.312415767099</v>
      </c>
      <c r="L208" s="42">
        <f t="shared" si="103"/>
        <v>-1757.517850992811</v>
      </c>
    </row>
    <row r="209" spans="1:12" ht="15">
      <c r="A209" t="s">
        <v>151</v>
      </c>
      <c r="E209" s="42">
        <f>-2*E162</f>
        <v>0</v>
      </c>
      <c r="F209" s="42">
        <f aca="true" t="shared" si="104" ref="F209:L209">-F162</f>
        <v>0</v>
      </c>
      <c r="G209" s="42">
        <f t="shared" si="104"/>
        <v>0</v>
      </c>
      <c r="H209" s="42">
        <f t="shared" si="104"/>
        <v>0</v>
      </c>
      <c r="I209" s="42">
        <f t="shared" si="104"/>
        <v>0</v>
      </c>
      <c r="J209" s="42">
        <f t="shared" si="104"/>
        <v>0</v>
      </c>
      <c r="K209" s="42">
        <f t="shared" si="104"/>
        <v>0</v>
      </c>
      <c r="L209" s="42">
        <f t="shared" si="104"/>
        <v>0</v>
      </c>
    </row>
    <row r="210" spans="1:12" ht="15">
      <c r="A210" t="s">
        <v>152</v>
      </c>
      <c r="E210" s="42">
        <f>-E156</f>
        <v>0</v>
      </c>
      <c r="F210" s="42">
        <f aca="true" t="shared" si="105" ref="F210:L210">-F156</f>
        <v>0</v>
      </c>
      <c r="G210" s="42">
        <f t="shared" si="105"/>
        <v>0</v>
      </c>
      <c r="H210" s="42">
        <f t="shared" si="105"/>
        <v>0</v>
      </c>
      <c r="I210" s="42">
        <f t="shared" si="105"/>
        <v>0</v>
      </c>
      <c r="J210" s="42">
        <f t="shared" si="105"/>
        <v>0</v>
      </c>
      <c r="K210" s="42">
        <f t="shared" si="105"/>
        <v>0</v>
      </c>
      <c r="L210" s="42">
        <f t="shared" si="105"/>
        <v>0</v>
      </c>
    </row>
    <row r="211" spans="1:12" ht="15">
      <c r="A211" t="s">
        <v>153</v>
      </c>
      <c r="E211" s="42">
        <f>D89-E89</f>
        <v>0</v>
      </c>
      <c r="F211" s="42">
        <f aca="true" t="shared" si="106" ref="F211:L211">E89-F89</f>
        <v>0</v>
      </c>
      <c r="G211" s="42">
        <f t="shared" si="106"/>
        <v>0</v>
      </c>
      <c r="H211" s="42">
        <f t="shared" si="106"/>
        <v>0</v>
      </c>
      <c r="I211" s="42">
        <f t="shared" si="106"/>
        <v>0</v>
      </c>
      <c r="J211" s="42">
        <f t="shared" si="106"/>
        <v>0</v>
      </c>
      <c r="K211" s="42">
        <f t="shared" si="106"/>
        <v>0</v>
      </c>
      <c r="L211" s="42">
        <f t="shared" si="106"/>
        <v>0</v>
      </c>
    </row>
    <row r="212" spans="1:12" ht="15">
      <c r="A212" s="44" t="s">
        <v>154</v>
      </c>
      <c r="B212" s="2"/>
      <c r="C212" s="2"/>
      <c r="D212" s="2"/>
      <c r="E212" s="53">
        <f>SUM(E208:E211)</f>
        <v>-1455.6659000000002</v>
      </c>
      <c r="F212" s="53">
        <f aca="true" t="shared" si="107" ref="F212:L212">SUM(F208:F211)</f>
        <v>-1497.8802111000002</v>
      </c>
      <c r="G212" s="53">
        <f t="shared" si="107"/>
        <v>-1538.3229767997</v>
      </c>
      <c r="H212" s="53">
        <f t="shared" si="107"/>
        <v>-1579.8576971732919</v>
      </c>
      <c r="I212" s="53">
        <f t="shared" si="107"/>
        <v>-1622.5138549969706</v>
      </c>
      <c r="J212" s="53">
        <f t="shared" si="107"/>
        <v>-1666.3217290818884</v>
      </c>
      <c r="K212" s="53">
        <f t="shared" si="107"/>
        <v>-1711.312415767099</v>
      </c>
      <c r="L212" s="53">
        <f t="shared" si="107"/>
        <v>-1757.517850992811</v>
      </c>
    </row>
    <row r="214" spans="1:12" ht="15">
      <c r="A214" t="s">
        <v>95</v>
      </c>
      <c r="E214" s="42">
        <f>E105-D105</f>
        <v>0</v>
      </c>
      <c r="F214" s="42">
        <f aca="true" t="shared" si="108" ref="F214:L214">F105-E105</f>
        <v>0</v>
      </c>
      <c r="G214" s="42">
        <f t="shared" si="108"/>
        <v>0</v>
      </c>
      <c r="H214" s="42">
        <f t="shared" si="108"/>
        <v>0</v>
      </c>
      <c r="I214" s="42">
        <f t="shared" si="108"/>
        <v>0</v>
      </c>
      <c r="J214" s="42">
        <f t="shared" si="108"/>
        <v>0</v>
      </c>
      <c r="K214" s="42">
        <f t="shared" si="108"/>
        <v>0</v>
      </c>
      <c r="L214" s="42">
        <f t="shared" si="108"/>
        <v>0</v>
      </c>
    </row>
    <row r="215" spans="1:12" ht="15">
      <c r="A215" t="s">
        <v>96</v>
      </c>
      <c r="E215" s="42">
        <f>E106-D106</f>
        <v>222</v>
      </c>
      <c r="F215" s="42">
        <f aca="true" t="shared" si="109" ref="F215:L215">F106-E106</f>
        <v>222</v>
      </c>
      <c r="G215" s="42">
        <f t="shared" si="109"/>
        <v>222</v>
      </c>
      <c r="H215" s="42">
        <f t="shared" si="109"/>
        <v>222</v>
      </c>
      <c r="I215" s="42">
        <f t="shared" si="109"/>
        <v>222</v>
      </c>
      <c r="J215" s="42">
        <f t="shared" si="109"/>
        <v>222</v>
      </c>
      <c r="K215" s="42">
        <f t="shared" si="109"/>
        <v>222</v>
      </c>
      <c r="L215" s="42">
        <f t="shared" si="109"/>
        <v>222</v>
      </c>
    </row>
    <row r="216" spans="1:12" ht="15">
      <c r="A216" t="s">
        <v>155</v>
      </c>
      <c r="E216" s="42">
        <f>E107-D107</f>
        <v>-35</v>
      </c>
      <c r="F216" s="42">
        <f aca="true" t="shared" si="110" ref="F216:L216">F107-E107</f>
        <v>-35</v>
      </c>
      <c r="G216" s="42">
        <f t="shared" si="110"/>
        <v>-35</v>
      </c>
      <c r="H216" s="42">
        <f t="shared" si="110"/>
        <v>-35</v>
      </c>
      <c r="I216" s="42">
        <f t="shared" si="110"/>
        <v>-35</v>
      </c>
      <c r="J216" s="42">
        <f t="shared" si="110"/>
        <v>-35</v>
      </c>
      <c r="K216" s="42">
        <f t="shared" si="110"/>
        <v>-35</v>
      </c>
      <c r="L216" s="42">
        <f t="shared" si="110"/>
        <v>-35</v>
      </c>
    </row>
    <row r="217" spans="1:12" ht="15">
      <c r="A217" t="s">
        <v>156</v>
      </c>
      <c r="E217" s="42">
        <f>E108-D108</f>
        <v>0</v>
      </c>
      <c r="F217" s="42">
        <f aca="true" t="shared" si="111" ref="F217:L217">F108-E108</f>
        <v>0</v>
      </c>
      <c r="G217" s="42">
        <f t="shared" si="111"/>
        <v>0</v>
      </c>
      <c r="H217" s="42">
        <f t="shared" si="111"/>
        <v>0</v>
      </c>
      <c r="I217" s="42">
        <f t="shared" si="111"/>
        <v>0</v>
      </c>
      <c r="J217" s="42">
        <f t="shared" si="111"/>
        <v>0</v>
      </c>
      <c r="K217" s="42">
        <f t="shared" si="111"/>
        <v>0</v>
      </c>
      <c r="L217" s="42">
        <f t="shared" si="111"/>
        <v>0</v>
      </c>
    </row>
    <row r="218" spans="1:12" ht="15">
      <c r="A218" t="s">
        <v>99</v>
      </c>
      <c r="E218" s="42">
        <f>E109-D109</f>
        <v>0</v>
      </c>
      <c r="F218" s="42">
        <f aca="true" t="shared" si="112" ref="F218:L218">F109-E109</f>
        <v>0</v>
      </c>
      <c r="G218" s="42">
        <f t="shared" si="112"/>
        <v>0</v>
      </c>
      <c r="H218" s="42">
        <f t="shared" si="112"/>
        <v>0</v>
      </c>
      <c r="I218" s="42">
        <f t="shared" si="112"/>
        <v>0</v>
      </c>
      <c r="J218" s="42">
        <f t="shared" si="112"/>
        <v>0</v>
      </c>
      <c r="K218" s="42">
        <f t="shared" si="112"/>
        <v>0</v>
      </c>
      <c r="L218" s="42">
        <f t="shared" si="112"/>
        <v>0</v>
      </c>
    </row>
    <row r="219" spans="1:12" ht="15">
      <c r="A219" t="s">
        <v>157</v>
      </c>
      <c r="E219" s="42">
        <f>-(E42+E51)</f>
        <v>-642.6650820842628</v>
      </c>
      <c r="F219" s="42">
        <f aca="true" t="shared" si="113" ref="F219:L219">-(F42+F51)</f>
        <v>-795.5546681739177</v>
      </c>
      <c r="G219" s="42">
        <f t="shared" si="113"/>
        <v>-833.3982465480318</v>
      </c>
      <c r="H219" s="42">
        <f t="shared" si="113"/>
        <v>-870.5923736801697</v>
      </c>
      <c r="I219" s="42">
        <f t="shared" si="113"/>
        <v>-905.9104398683381</v>
      </c>
      <c r="J219" s="42">
        <f t="shared" si="113"/>
        <v>-936.3270871430516</v>
      </c>
      <c r="K219" s="42">
        <f t="shared" si="113"/>
        <v>-965.3719403493327</v>
      </c>
      <c r="L219" s="42">
        <f t="shared" si="113"/>
        <v>-995.2010045921836</v>
      </c>
    </row>
    <row r="220" spans="1:12" ht="15">
      <c r="A220" t="s">
        <v>161</v>
      </c>
      <c r="E220" s="42">
        <f>E185</f>
        <v>0</v>
      </c>
      <c r="F220" s="42">
        <f aca="true" t="shared" si="114" ref="F220:L220">F185</f>
        <v>0</v>
      </c>
      <c r="G220" s="42">
        <f t="shared" si="114"/>
        <v>0</v>
      </c>
      <c r="H220" s="42">
        <f t="shared" si="114"/>
        <v>0</v>
      </c>
      <c r="I220" s="42">
        <f t="shared" si="114"/>
        <v>0</v>
      </c>
      <c r="J220" s="42">
        <f t="shared" si="114"/>
        <v>0</v>
      </c>
      <c r="K220" s="42">
        <f t="shared" si="114"/>
        <v>0</v>
      </c>
      <c r="L220" s="42">
        <f t="shared" si="114"/>
        <v>0</v>
      </c>
    </row>
    <row r="221" spans="1:12" ht="15">
      <c r="A221" t="s">
        <v>158</v>
      </c>
      <c r="E221" s="42">
        <f>SUM(E96:E99)-SUM(D96:D99)</f>
        <v>-444</v>
      </c>
      <c r="F221" s="42">
        <f aca="true" t="shared" si="115" ref="F221:L221">SUM(F96:F99)-SUM(E96:E99)</f>
        <v>-708</v>
      </c>
      <c r="G221" s="42">
        <f t="shared" si="115"/>
        <v>-479</v>
      </c>
      <c r="H221" s="42">
        <f t="shared" si="115"/>
        <v>-571</v>
      </c>
      <c r="I221" s="42">
        <f t="shared" si="115"/>
        <v>-216</v>
      </c>
      <c r="J221" s="42">
        <f t="shared" si="115"/>
        <v>0</v>
      </c>
      <c r="K221" s="42">
        <f t="shared" si="115"/>
        <v>0</v>
      </c>
      <c r="L221" s="42">
        <f t="shared" si="115"/>
        <v>0</v>
      </c>
    </row>
    <row r="222" spans="1:12" ht="15">
      <c r="A222" s="44" t="s">
        <v>159</v>
      </c>
      <c r="B222" s="2"/>
      <c r="C222" s="2"/>
      <c r="D222" s="2"/>
      <c r="E222" s="53">
        <f>SUM(E212:E221)</f>
        <v>-2355.3309820842633</v>
      </c>
      <c r="F222" s="53">
        <f aca="true" t="shared" si="116" ref="F222:L222">SUM(F212:F221)</f>
        <v>-2814.434879273918</v>
      </c>
      <c r="G222" s="53">
        <f t="shared" si="116"/>
        <v>-2663.7212233477317</v>
      </c>
      <c r="H222" s="53">
        <f t="shared" si="116"/>
        <v>-2834.4500708534615</v>
      </c>
      <c r="I222" s="53">
        <f t="shared" si="116"/>
        <v>-2557.4242948653086</v>
      </c>
      <c r="J222" s="53">
        <f t="shared" si="116"/>
        <v>-2415.6488162249398</v>
      </c>
      <c r="K222" s="53">
        <f t="shared" si="116"/>
        <v>-2489.684356116432</v>
      </c>
      <c r="L222" s="53">
        <f t="shared" si="116"/>
        <v>-2565.7188555849943</v>
      </c>
    </row>
    <row r="224" spans="1:12" ht="15">
      <c r="A224" t="s">
        <v>160</v>
      </c>
      <c r="E224" s="28">
        <f>E206+E212+E222</f>
        <v>936.7677596580952</v>
      </c>
      <c r="F224" s="28">
        <f aca="true" t="shared" si="117" ref="F224:L224">F206+F212+F222</f>
        <v>89.00659288214001</v>
      </c>
      <c r="G224" s="28">
        <f t="shared" si="117"/>
        <v>-432.90780433526606</v>
      </c>
      <c r="H224" s="28">
        <f t="shared" si="117"/>
        <v>-520.1714184991711</v>
      </c>
      <c r="I224" s="28">
        <f t="shared" si="117"/>
        <v>-173.14058501248792</v>
      </c>
      <c r="J224" s="28">
        <f t="shared" si="117"/>
        <v>4.833822062070794</v>
      </c>
      <c r="K224" s="28">
        <f t="shared" si="117"/>
        <v>-10.712705600165009</v>
      </c>
      <c r="L224" s="28">
        <f t="shared" si="117"/>
        <v>-10.753772013164962</v>
      </c>
    </row>
    <row r="226" spans="1:12" ht="15">
      <c r="A226" s="4" t="s">
        <v>162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8" spans="1:8" ht="15">
      <c r="A228" s="15" t="s">
        <v>163</v>
      </c>
      <c r="C228" s="42">
        <f>C96</f>
        <v>719</v>
      </c>
      <c r="D228" s="42">
        <f>D96</f>
        <v>444</v>
      </c>
      <c r="E228" s="57">
        <v>708</v>
      </c>
      <c r="F228" s="57">
        <v>479</v>
      </c>
      <c r="G228" s="57">
        <v>571</v>
      </c>
      <c r="H228" s="57">
        <v>216</v>
      </c>
    </row>
    <row r="230" spans="1:12" ht="15">
      <c r="A230" t="s">
        <v>164</v>
      </c>
      <c r="E230">
        <f>-E228</f>
        <v>-708</v>
      </c>
      <c r="F230">
        <f aca="true" t="shared" si="118" ref="F230:L230">-F228</f>
        <v>-479</v>
      </c>
      <c r="G230">
        <f t="shared" si="118"/>
        <v>-571</v>
      </c>
      <c r="H230">
        <f t="shared" si="118"/>
        <v>-216</v>
      </c>
      <c r="I230">
        <f t="shared" si="118"/>
        <v>0</v>
      </c>
      <c r="J230">
        <f t="shared" si="118"/>
        <v>0</v>
      </c>
      <c r="K230">
        <f t="shared" si="118"/>
        <v>0</v>
      </c>
      <c r="L230">
        <f t="shared" si="118"/>
        <v>0</v>
      </c>
    </row>
    <row r="231" spans="1:12" ht="15">
      <c r="A231" t="s">
        <v>165</v>
      </c>
      <c r="E231" s="57"/>
      <c r="F231" s="57"/>
      <c r="G231" s="57"/>
      <c r="H231" s="57"/>
      <c r="I231" s="57"/>
      <c r="J231" s="57"/>
      <c r="K231" s="57"/>
      <c r="L231" s="57"/>
    </row>
    <row r="232" spans="1:12" ht="15">
      <c r="A232" s="15" t="s">
        <v>89</v>
      </c>
      <c r="C232" s="45">
        <f>C98</f>
        <v>9189</v>
      </c>
      <c r="D232" s="45">
        <f>D98</f>
        <v>9696</v>
      </c>
      <c r="E232" s="45">
        <f>D232+E230+E231</f>
        <v>8988</v>
      </c>
      <c r="F232" s="45">
        <f aca="true" t="shared" si="119" ref="F232:L232">E232+F230+F231</f>
        <v>8509</v>
      </c>
      <c r="G232" s="45">
        <f t="shared" si="119"/>
        <v>7938</v>
      </c>
      <c r="H232" s="45">
        <f t="shared" si="119"/>
        <v>7722</v>
      </c>
      <c r="I232" s="45">
        <f t="shared" si="119"/>
        <v>7722</v>
      </c>
      <c r="J232" s="45">
        <f t="shared" si="119"/>
        <v>7722</v>
      </c>
      <c r="K232" s="45">
        <f t="shared" si="119"/>
        <v>7722</v>
      </c>
      <c r="L232" s="45">
        <f t="shared" si="119"/>
        <v>7722</v>
      </c>
    </row>
    <row r="234" spans="1:12" ht="15">
      <c r="A234" t="s">
        <v>166</v>
      </c>
      <c r="E234" s="57"/>
      <c r="F234" s="57"/>
      <c r="G234" s="57"/>
      <c r="H234" s="57"/>
      <c r="I234" s="57"/>
      <c r="J234" s="57"/>
      <c r="K234" s="57"/>
      <c r="L234" s="57"/>
    </row>
    <row r="235" spans="1:12" ht="15">
      <c r="A235" s="15" t="s">
        <v>167</v>
      </c>
      <c r="C235" s="45">
        <f>C99</f>
        <v>0</v>
      </c>
      <c r="D235" s="45">
        <f>D99</f>
        <v>0</v>
      </c>
      <c r="E235" s="45">
        <f>D235+E234</f>
        <v>0</v>
      </c>
      <c r="F235" s="45">
        <f aca="true" t="shared" si="120" ref="F235:L235">E235+F234</f>
        <v>0</v>
      </c>
      <c r="G235" s="45">
        <f t="shared" si="120"/>
        <v>0</v>
      </c>
      <c r="H235" s="45">
        <f t="shared" si="120"/>
        <v>0</v>
      </c>
      <c r="I235" s="45">
        <f t="shared" si="120"/>
        <v>0</v>
      </c>
      <c r="J235" s="45">
        <f t="shared" si="120"/>
        <v>0</v>
      </c>
      <c r="K235" s="45">
        <f t="shared" si="120"/>
        <v>0</v>
      </c>
      <c r="L235" s="45">
        <f t="shared" si="120"/>
        <v>0</v>
      </c>
    </row>
    <row r="237" spans="1:12" ht="15">
      <c r="A237" s="19" t="s">
        <v>168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1:12" ht="15">
      <c r="A238" s="47" t="s">
        <v>169</v>
      </c>
      <c r="E238" s="42">
        <f>D79</f>
        <v>1302</v>
      </c>
      <c r="F238" s="42">
        <f aca="true" t="shared" si="121" ref="F238:L238">E79</f>
        <v>2238.767759658095</v>
      </c>
      <c r="G238" s="42">
        <f t="shared" si="121"/>
        <v>2327.774352540235</v>
      </c>
      <c r="H238" s="42">
        <f t="shared" si="121"/>
        <v>1894.8665482049691</v>
      </c>
      <c r="I238" s="42">
        <f t="shared" si="121"/>
        <v>1374.695129705798</v>
      </c>
      <c r="J238" s="42">
        <f t="shared" si="121"/>
        <v>1201.5545446933102</v>
      </c>
      <c r="K238" s="42">
        <f t="shared" si="121"/>
        <v>1206.388366755381</v>
      </c>
      <c r="L238" s="42">
        <f t="shared" si="121"/>
        <v>1195.675661155216</v>
      </c>
    </row>
    <row r="239" spans="1:12" ht="15">
      <c r="A239" s="47" t="s">
        <v>170</v>
      </c>
      <c r="D239" s="58" t="s">
        <v>174</v>
      </c>
      <c r="E239" s="28">
        <f>E206+E212+SUM(E214:E220)</f>
        <v>2836.4336596580956</v>
      </c>
      <c r="F239" s="28">
        <f aca="true" t="shared" si="122" ref="F239:L239">F206+F212+SUM(F214:F220)</f>
        <v>2294.88680398214</v>
      </c>
      <c r="G239" s="28">
        <f t="shared" si="122"/>
        <v>1584.415172464434</v>
      </c>
      <c r="H239" s="28">
        <f t="shared" si="122"/>
        <v>1630.6862786741208</v>
      </c>
      <c r="I239" s="28">
        <f t="shared" si="122"/>
        <v>1665.3732699844827</v>
      </c>
      <c r="J239" s="28">
        <f t="shared" si="122"/>
        <v>1671.155551143959</v>
      </c>
      <c r="K239" s="28">
        <f t="shared" si="122"/>
        <v>1700.599710166934</v>
      </c>
      <c r="L239" s="28">
        <f t="shared" si="122"/>
        <v>1746.7640789796458</v>
      </c>
    </row>
    <row r="240" spans="1:12" ht="15">
      <c r="A240" s="47" t="s">
        <v>171</v>
      </c>
      <c r="D240" s="59">
        <v>0.045</v>
      </c>
      <c r="E240" s="29">
        <f>$D$240*E25</f>
        <v>1310.09931</v>
      </c>
      <c r="F240" s="29">
        <f aca="true" t="shared" si="123" ref="F240:L240">$D$240*F25</f>
        <v>1348.09218999</v>
      </c>
      <c r="G240" s="29">
        <f t="shared" si="123"/>
        <v>1384.49067911973</v>
      </c>
      <c r="H240" s="29">
        <f t="shared" si="123"/>
        <v>1421.8719274559623</v>
      </c>
      <c r="I240" s="29">
        <f t="shared" si="123"/>
        <v>1460.2624694972733</v>
      </c>
      <c r="J240" s="29">
        <f t="shared" si="123"/>
        <v>1499.6895561736994</v>
      </c>
      <c r="K240" s="29">
        <f t="shared" si="123"/>
        <v>1540.1811741903891</v>
      </c>
      <c r="L240" s="29">
        <f t="shared" si="123"/>
        <v>1581.7660658935297</v>
      </c>
    </row>
    <row r="241" spans="1:12" ht="15">
      <c r="A241" s="55" t="s">
        <v>172</v>
      </c>
      <c r="B241" s="56"/>
      <c r="C241" s="56"/>
      <c r="D241" s="56"/>
      <c r="E241" s="60">
        <f>E238+E239-E240-D228+E231+E234</f>
        <v>2384.334349658096</v>
      </c>
      <c r="F241" s="60">
        <f aca="true" t="shared" si="124" ref="F241:L241">F238+F239-F240-E228+F231+F234</f>
        <v>2477.5623736502353</v>
      </c>
      <c r="G241" s="60">
        <f t="shared" si="124"/>
        <v>2048.698845884939</v>
      </c>
      <c r="H241" s="60">
        <f t="shared" si="124"/>
        <v>1532.6808994231278</v>
      </c>
      <c r="I241" s="60">
        <f t="shared" si="124"/>
        <v>1363.8059301930075</v>
      </c>
      <c r="J241" s="60">
        <f t="shared" si="124"/>
        <v>1373.02053966357</v>
      </c>
      <c r="K241" s="60">
        <f t="shared" si="124"/>
        <v>1366.806902731926</v>
      </c>
      <c r="L241" s="60">
        <f t="shared" si="124"/>
        <v>1360.6736742413318</v>
      </c>
    </row>
    <row r="242" spans="1:12" ht="15">
      <c r="A242" s="54" t="s">
        <v>173</v>
      </c>
      <c r="C242" s="42">
        <f>C97</f>
        <v>0</v>
      </c>
      <c r="D242" s="42">
        <f>D97</f>
        <v>0</v>
      </c>
      <c r="E242" s="42">
        <f>MAX(0,D242-E241)</f>
        <v>0</v>
      </c>
      <c r="F242" s="42">
        <f aca="true" t="shared" si="125" ref="F242:L242">MAX(0,E242-F241)</f>
        <v>0</v>
      </c>
      <c r="G242" s="42">
        <f t="shared" si="125"/>
        <v>0</v>
      </c>
      <c r="H242" s="42">
        <f t="shared" si="125"/>
        <v>0</v>
      </c>
      <c r="I242" s="42">
        <f t="shared" si="125"/>
        <v>0</v>
      </c>
      <c r="J242" s="42">
        <f t="shared" si="125"/>
        <v>0</v>
      </c>
      <c r="K242" s="42">
        <f t="shared" si="125"/>
        <v>0</v>
      </c>
      <c r="L242" s="42">
        <f t="shared" si="125"/>
        <v>0</v>
      </c>
    </row>
    <row r="244" spans="1:12" ht="15">
      <c r="A244" s="4" t="s">
        <v>175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6" spans="1:12" ht="15">
      <c r="A246" t="s">
        <v>87</v>
      </c>
      <c r="C246" s="42">
        <f>C96</f>
        <v>719</v>
      </c>
      <c r="D246" s="42">
        <f aca="true" t="shared" si="126" ref="D246:L246">D96</f>
        <v>444</v>
      </c>
      <c r="E246" s="42">
        <f>E96</f>
        <v>708</v>
      </c>
      <c r="F246" s="42">
        <f t="shared" si="126"/>
        <v>479</v>
      </c>
      <c r="G246" s="42">
        <f t="shared" si="126"/>
        <v>571</v>
      </c>
      <c r="H246" s="42">
        <f t="shared" si="126"/>
        <v>216</v>
      </c>
      <c r="I246" s="42">
        <f t="shared" si="126"/>
        <v>0</v>
      </c>
      <c r="J246" s="42">
        <f t="shared" si="126"/>
        <v>0</v>
      </c>
      <c r="K246" s="42">
        <f t="shared" si="126"/>
        <v>0</v>
      </c>
      <c r="L246" s="42">
        <f t="shared" si="126"/>
        <v>0</v>
      </c>
    </row>
    <row r="247" spans="1:12" ht="15">
      <c r="A247" t="s">
        <v>176</v>
      </c>
      <c r="C247" s="42">
        <f>C97</f>
        <v>0</v>
      </c>
      <c r="D247" s="42">
        <f aca="true" t="shared" si="127" ref="D247:L247">D97</f>
        <v>0</v>
      </c>
      <c r="E247" s="42">
        <f t="shared" si="127"/>
        <v>0</v>
      </c>
      <c r="F247" s="42">
        <f t="shared" si="127"/>
        <v>0</v>
      </c>
      <c r="G247" s="42">
        <f t="shared" si="127"/>
        <v>0</v>
      </c>
      <c r="H247" s="42">
        <f t="shared" si="127"/>
        <v>0</v>
      </c>
      <c r="I247" s="42">
        <f t="shared" si="127"/>
        <v>0</v>
      </c>
      <c r="J247" s="42">
        <f t="shared" si="127"/>
        <v>0</v>
      </c>
      <c r="K247" s="42">
        <f t="shared" si="127"/>
        <v>0</v>
      </c>
      <c r="L247" s="42">
        <f t="shared" si="127"/>
        <v>0</v>
      </c>
    </row>
    <row r="248" spans="1:12" ht="15">
      <c r="A248" t="s">
        <v>177</v>
      </c>
      <c r="C248" s="42">
        <f>C98</f>
        <v>9189</v>
      </c>
      <c r="D248" s="42">
        <f aca="true" t="shared" si="128" ref="D248:L248">D98</f>
        <v>9696</v>
      </c>
      <c r="E248" s="42">
        <f t="shared" si="128"/>
        <v>8988</v>
      </c>
      <c r="F248" s="42">
        <f t="shared" si="128"/>
        <v>8509</v>
      </c>
      <c r="G248" s="42">
        <f t="shared" si="128"/>
        <v>7938</v>
      </c>
      <c r="H248" s="42">
        <f t="shared" si="128"/>
        <v>7722</v>
      </c>
      <c r="I248" s="42">
        <f t="shared" si="128"/>
        <v>7722</v>
      </c>
      <c r="J248" s="42">
        <f t="shared" si="128"/>
        <v>7722</v>
      </c>
      <c r="K248" s="42">
        <f t="shared" si="128"/>
        <v>7722</v>
      </c>
      <c r="L248" s="42">
        <f t="shared" si="128"/>
        <v>7722</v>
      </c>
    </row>
    <row r="249" spans="1:12" ht="15">
      <c r="A249" t="s">
        <v>90</v>
      </c>
      <c r="C249" s="42">
        <f>C99</f>
        <v>0</v>
      </c>
      <c r="D249" s="42">
        <f aca="true" t="shared" si="129" ref="D249:L249">D99</f>
        <v>0</v>
      </c>
      <c r="E249" s="42">
        <f t="shared" si="129"/>
        <v>0</v>
      </c>
      <c r="F249" s="42">
        <f t="shared" si="129"/>
        <v>0</v>
      </c>
      <c r="G249" s="42">
        <f t="shared" si="129"/>
        <v>0</v>
      </c>
      <c r="H249" s="42">
        <f t="shared" si="129"/>
        <v>0</v>
      </c>
      <c r="I249" s="42">
        <f t="shared" si="129"/>
        <v>0</v>
      </c>
      <c r="J249" s="42">
        <f t="shared" si="129"/>
        <v>0</v>
      </c>
      <c r="K249" s="42">
        <f t="shared" si="129"/>
        <v>0</v>
      </c>
      <c r="L249" s="42">
        <f t="shared" si="129"/>
        <v>0</v>
      </c>
    </row>
    <row r="250" spans="1:12" ht="15">
      <c r="A250" t="s">
        <v>178</v>
      </c>
      <c r="C250" s="42">
        <f>SUM(C246:C249)</f>
        <v>9908</v>
      </c>
      <c r="D250" s="42">
        <f aca="true" t="shared" si="130" ref="D250:L250">SUM(D246:D249)</f>
        <v>10140</v>
      </c>
      <c r="E250" s="42">
        <f>SUM(E246:E249)</f>
        <v>9696</v>
      </c>
      <c r="F250" s="42">
        <f t="shared" si="130"/>
        <v>8988</v>
      </c>
      <c r="G250" s="42">
        <f t="shared" si="130"/>
        <v>8509</v>
      </c>
      <c r="H250" s="42">
        <f t="shared" si="130"/>
        <v>7938</v>
      </c>
      <c r="I250" s="42">
        <f t="shared" si="130"/>
        <v>7722</v>
      </c>
      <c r="J250" s="42">
        <f t="shared" si="130"/>
        <v>7722</v>
      </c>
      <c r="K250" s="42">
        <f t="shared" si="130"/>
        <v>7722</v>
      </c>
      <c r="L250" s="42">
        <f t="shared" si="130"/>
        <v>7722</v>
      </c>
    </row>
    <row r="251" spans="1:12" ht="15">
      <c r="A251" t="s">
        <v>175</v>
      </c>
      <c r="C251" s="30">
        <f>C32</f>
        <v>541</v>
      </c>
      <c r="D251" s="30">
        <f>D32</f>
        <v>672</v>
      </c>
      <c r="E251" s="42">
        <f>AVERAGE(E250,D250)*E252</f>
        <v>664.8938547486033</v>
      </c>
      <c r="F251" s="42">
        <f aca="true" t="shared" si="131" ref="F251:L251">AVERAGE(F250,E250)*F252</f>
        <v>626.2793296089385</v>
      </c>
      <c r="G251" s="42">
        <f t="shared" si="131"/>
        <v>586.4916201117318</v>
      </c>
      <c r="H251" s="42">
        <f t="shared" si="131"/>
        <v>551.2960893854748</v>
      </c>
      <c r="I251" s="42">
        <f t="shared" si="131"/>
        <v>524.9162011173185</v>
      </c>
      <c r="J251" s="42">
        <f t="shared" si="131"/>
        <v>517.6759776536313</v>
      </c>
      <c r="K251" s="42">
        <f t="shared" si="131"/>
        <v>517.6759776536313</v>
      </c>
      <c r="L251" s="42">
        <f t="shared" si="131"/>
        <v>517.6759776536313</v>
      </c>
    </row>
    <row r="252" spans="1:12" ht="15">
      <c r="A252" t="s">
        <v>179</v>
      </c>
      <c r="D252" s="35">
        <f>D251/AVERAGE(C250:D250)</f>
        <v>0.0670391061452514</v>
      </c>
      <c r="E252" s="35">
        <f aca="true" t="shared" si="132" ref="E252:L252">E251/AVERAGE(D250:E250)</f>
        <v>0.0670391061452514</v>
      </c>
      <c r="F252" s="35">
        <f t="shared" si="132"/>
        <v>0.0670391061452514</v>
      </c>
      <c r="G252" s="35">
        <f t="shared" si="132"/>
        <v>0.0670391061452514</v>
      </c>
      <c r="H252" s="35">
        <f t="shared" si="132"/>
        <v>0.0670391061452514</v>
      </c>
      <c r="I252" s="35">
        <f t="shared" si="132"/>
        <v>0.0670391061452514</v>
      </c>
      <c r="J252" s="35">
        <f t="shared" si="132"/>
        <v>0.0670391061452514</v>
      </c>
      <c r="K252" s="35">
        <f t="shared" si="132"/>
        <v>0.0670391061452514</v>
      </c>
      <c r="L252" s="35">
        <f t="shared" si="132"/>
        <v>0.0670391061452514</v>
      </c>
    </row>
  </sheetData>
  <sheetProtection/>
  <mergeCells count="2">
    <mergeCell ref="B20:D20"/>
    <mergeCell ref="E20:L2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Hadwen</dc:creator>
  <cp:keywords/>
  <dc:description/>
  <cp:lastModifiedBy>Hadwen</cp:lastModifiedBy>
  <cp:lastPrinted>2013-08-21T15:13:55Z</cp:lastPrinted>
  <dcterms:created xsi:type="dcterms:W3CDTF">2013-08-13T13:33:26Z</dcterms:created>
  <dcterms:modified xsi:type="dcterms:W3CDTF">2013-09-09T20:04:11Z</dcterms:modified>
  <cp:category/>
  <cp:version/>
  <cp:contentType/>
  <cp:contentStatus/>
</cp:coreProperties>
</file>