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1630" windowHeight="10035" activeTab="0"/>
  </bookViews>
  <sheets>
    <sheet name="Transaction Summary" sheetId="1" r:id="rId1"/>
    <sheet name="Income Statement" sheetId="2" r:id="rId2"/>
    <sheet name="Balance Sheet" sheetId="3" r:id="rId3"/>
    <sheet name="Cash Flow Statement" sheetId="4" r:id="rId4"/>
    <sheet name="Debt Schedule" sheetId="5" r:id="rId5"/>
    <sheet name="Returns Analysis" sheetId="6" r:id="rId6"/>
    <sheet name="Assumptions" sheetId="7" r:id="rId7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<sst xmlns="http://schemas.openxmlformats.org/spreadsheetml/2006/main" count="496" uniqueCount="274">
  <si>
    <t>Income Statement</t>
  </si>
  <si>
    <t>LTM</t>
  </si>
  <si>
    <t>Pro forma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</si>
  <si>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</si>
  <si>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</si>
  <si>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</si>
  <si>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</si>
  <si>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</si>
  <si>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</si>
  <si>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</si>
  <si>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</si>
  <si>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</si>
  <si>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</si>
  <si>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Historical Perio</t>
  </si>
  <si>
    <t>Projection Period</t>
  </si>
  <si>
    <t>Sales</t>
  </si>
  <si>
    <t>% growth</t>
  </si>
  <si>
    <t>Cost of Goods Sold</t>
  </si>
  <si>
    <t>Gross Profit</t>
  </si>
  <si>
    <t>% margin</t>
  </si>
  <si>
    <t>Selling, General &amp; Administrative</t>
  </si>
  <si>
    <t>% sales</t>
  </si>
  <si>
    <t>Other Expense/ (Income)</t>
  </si>
  <si>
    <t>EBITDA</t>
  </si>
  <si>
    <t>Depreciation</t>
  </si>
  <si>
    <t>Amortization</t>
  </si>
  <si>
    <t>EBIT</t>
  </si>
  <si>
    <t>Interest Expense</t>
  </si>
  <si>
    <t>Revolving Credit Facility</t>
  </si>
  <si>
    <t>Term Loan A</t>
  </si>
  <si>
    <t>Term Loan B</t>
  </si>
  <si>
    <t>Term Loan C</t>
  </si>
  <si>
    <t>Existing Term Loan</t>
  </si>
  <si>
    <t>2nd Lien</t>
  </si>
  <si>
    <t>Senior Notes</t>
  </si>
  <si>
    <t>Senior Subordinated Notes</t>
  </si>
  <si>
    <t>Commitment Fee on Unused Revolver</t>
  </si>
  <si>
    <t>Administrative Agent Fee</t>
  </si>
  <si>
    <t>Cash Interest Expense</t>
  </si>
  <si>
    <t>Amortization of Defered Financing Fees</t>
  </si>
  <si>
    <t>Total Interest Expense</t>
  </si>
  <si>
    <t>Interest Income</t>
  </si>
  <si>
    <t>Net Interest Expense</t>
  </si>
  <si>
    <t>Earnings Before Taxes</t>
  </si>
  <si>
    <t>Income Tax Expense</t>
  </si>
  <si>
    <t>Net Income</t>
  </si>
  <si>
    <t>Income Statement Assumptions</t>
  </si>
  <si>
    <t>Sales (% Y/Y growth)</t>
  </si>
  <si>
    <t>Cost of Good Sold (% margin)</t>
  </si>
  <si>
    <t>SG&amp;A (% sales)</t>
  </si>
  <si>
    <t>Other Expense/ (Income) (% of sales)</t>
  </si>
  <si>
    <t>Depreciation (% of sales)</t>
  </si>
  <si>
    <t>Amortization (% of sales)</t>
  </si>
  <si>
    <t>Tax Rate</t>
  </si>
  <si>
    <t>NA</t>
  </si>
  <si>
    <t>Balance Sheet</t>
  </si>
  <si>
    <t>Adjustments</t>
  </si>
  <si>
    <t>+</t>
  </si>
  <si>
    <t>-</t>
  </si>
  <si>
    <t>Pro Forma</t>
  </si>
  <si>
    <t>Opening</t>
  </si>
  <si>
    <t>Cash and Cash Equivalents</t>
  </si>
  <si>
    <t>Accounts Receivable</t>
  </si>
  <si>
    <t>Inventories</t>
  </si>
  <si>
    <t>Prepaids and Other Current Assets</t>
  </si>
  <si>
    <t>Total Current Assets</t>
  </si>
  <si>
    <t>Propert, Plant and Equipment, net</t>
  </si>
  <si>
    <t>Goodwill</t>
  </si>
  <si>
    <t>Intangible Assets</t>
  </si>
  <si>
    <t>Other Assets</t>
  </si>
  <si>
    <t>Deferred Financing Fees</t>
  </si>
  <si>
    <t>Total Assets</t>
  </si>
  <si>
    <t>Accounts Payable</t>
  </si>
  <si>
    <t>Accrued Liabilities</t>
  </si>
  <si>
    <t>Other Current Liabilities</t>
  </si>
  <si>
    <t>Total Current Liabilities</t>
  </si>
  <si>
    <t>Existing Senior Notes</t>
  </si>
  <si>
    <t>Other Debt</t>
  </si>
  <si>
    <t>Deferred Income Taxes</t>
  </si>
  <si>
    <t>Other Long-Term Liabilities</t>
  </si>
  <si>
    <t>Total Liabilities</t>
  </si>
  <si>
    <t>Noncontrolling Interest</t>
  </si>
  <si>
    <t>Total Shareholders' Equity</t>
  </si>
  <si>
    <t>Shareholders' Equity</t>
  </si>
  <si>
    <t>Total Liabilities and Equity</t>
  </si>
  <si>
    <t>Balance Check</t>
  </si>
  <si>
    <t>Net Working Capital</t>
  </si>
  <si>
    <t>(Increase) / Decrease in Net Working Capital</t>
  </si>
  <si>
    <t>Balance Sheet Assumptions</t>
  </si>
  <si>
    <t>Current Assets</t>
  </si>
  <si>
    <t>Days Inventory Held (DIH)</t>
  </si>
  <si>
    <t>Prepaid and Other Current Assets (% of sales)</t>
  </si>
  <si>
    <t>Current Liabilities</t>
  </si>
  <si>
    <t>Days Payable Outstanding (DPO)</t>
  </si>
  <si>
    <t>Accrued Liabilities (% of sales)</t>
  </si>
  <si>
    <t>Other Current Liabilities (% of sales)</t>
  </si>
  <si>
    <t>Days Sales Outstanding (DSO)</t>
  </si>
  <si>
    <t>Cash Flow Statement</t>
  </si>
  <si>
    <t>Operating Activities</t>
  </si>
  <si>
    <t>Plue: Depreciation</t>
  </si>
  <si>
    <t>Plus: Amortization</t>
  </si>
  <si>
    <t>Plus: Amortization of Financing Fees</t>
  </si>
  <si>
    <t>Changes in Working Capital Items</t>
  </si>
  <si>
    <t>(Inc.) / Dec. in Accounts Receivable</t>
  </si>
  <si>
    <t>(Inc.) / Dec. in Inventories</t>
  </si>
  <si>
    <t>(Inc.) / Dec. in Prepaid and Other Current Assets</t>
  </si>
  <si>
    <t>Inc. / (Dec.) in Accounts Payable</t>
  </si>
  <si>
    <t>Inc. / (Dec.) in Accrued Liabilities</t>
  </si>
  <si>
    <t>Inc. / (Dec.) in Other Current Liabilities</t>
  </si>
  <si>
    <t>(Inc.) / Dec in Net Working Capital</t>
  </si>
  <si>
    <t>Cash Flow from Operating Activities</t>
  </si>
  <si>
    <t>Investing Activities</t>
  </si>
  <si>
    <t>Capital Expenditures</t>
  </si>
  <si>
    <t>Other Investing Activities</t>
  </si>
  <si>
    <t>Cash Flow from Investing Activities</t>
  </si>
  <si>
    <t>Financing Activities</t>
  </si>
  <si>
    <t>Dividends</t>
  </si>
  <si>
    <t>Equity Issuance/ (Repurchase)</t>
  </si>
  <si>
    <t>Cash Flor from Financing Activities</t>
  </si>
  <si>
    <t>Excess Cash for the Period</t>
  </si>
  <si>
    <t>Beginning Cash Balance</t>
  </si>
  <si>
    <t>Ending Cash Balance</t>
  </si>
  <si>
    <t>Cash Flow Statement Assumptions</t>
  </si>
  <si>
    <t>Capital Expenditures (% of sales)</t>
  </si>
  <si>
    <t>Public/Private Target</t>
  </si>
  <si>
    <t>Entry EBITDA Multiple</t>
  </si>
  <si>
    <t>LTM 9/30/12 EBITDA</t>
  </si>
  <si>
    <t>Enterprise Value</t>
  </si>
  <si>
    <t>Less: Total Debt</t>
  </si>
  <si>
    <t>Less: Preferred Stock</t>
  </si>
  <si>
    <t>Less: Noncontrolling Interest</t>
  </si>
  <si>
    <t>Plus: Cash and Cash Equivalents</t>
  </si>
  <si>
    <t>Equity Purchase Price</t>
  </si>
  <si>
    <t>Purchase Price</t>
  </si>
  <si>
    <t>Offer Price per Share</t>
  </si>
  <si>
    <t>Fully Diluted Shares Outstanding</t>
  </si>
  <si>
    <t>Plus: Total Debt</t>
  </si>
  <si>
    <t>Plus: Preferred Stock</t>
  </si>
  <si>
    <t>Plus: Noncontrolling Interest</t>
  </si>
  <si>
    <t>Less: Cash and Cash Equivalents</t>
  </si>
  <si>
    <t>Financing Structure</t>
  </si>
  <si>
    <t>Sources of Funds</t>
  </si>
  <si>
    <t>Structure</t>
  </si>
  <si>
    <t>Structure 1</t>
  </si>
  <si>
    <t>Structure 2</t>
  </si>
  <si>
    <t>Structure 3</t>
  </si>
  <si>
    <t>Structure 4</t>
  </si>
  <si>
    <t>Revolving Credit Facility Size</t>
  </si>
  <si>
    <t>Revolving Credit Facility Draw</t>
  </si>
  <si>
    <t>Equity Contribution</t>
  </si>
  <si>
    <t>Rollover Equity</t>
  </si>
  <si>
    <t>Cash on Hand</t>
  </si>
  <si>
    <t>Total Sources of Funds</t>
  </si>
  <si>
    <t>Uses of Funds</t>
  </si>
  <si>
    <t>Repay Existing Bank Debt</t>
  </si>
  <si>
    <t>Tender / Call Premiums</t>
  </si>
  <si>
    <t>Financing Fees</t>
  </si>
  <si>
    <t>Other Fees and Expenses</t>
  </si>
  <si>
    <t>Total Uses of Funds</t>
  </si>
  <si>
    <t>Status Quo</t>
  </si>
  <si>
    <t>Fees</t>
  </si>
  <si>
    <t>%</t>
  </si>
  <si>
    <t>$</t>
  </si>
  <si>
    <t>Senior Subordinated Bridge Facility</t>
  </si>
  <si>
    <t>Total Financing Fees</t>
  </si>
  <si>
    <t>Other Financing Fees &amp; Expenses</t>
  </si>
  <si>
    <t>Debt Schedule</t>
  </si>
  <si>
    <t>Forward LIBOR Curve</t>
  </si>
  <si>
    <t>Cash Available for Debt Repayment</t>
  </si>
  <si>
    <t>Total Mandatory Repayments</t>
  </si>
  <si>
    <t>Cash From Balance Sheet</t>
  </si>
  <si>
    <t>Cash Available for Optional Debt Repayment</t>
  </si>
  <si>
    <t>MinCash</t>
  </si>
  <si>
    <t>Spread</t>
  </si>
  <si>
    <t>LIBOR Floor</t>
  </si>
  <si>
    <t>Term</t>
  </si>
  <si>
    <t>Commitment Fee on Unused Portion</t>
  </si>
  <si>
    <t>6 Years</t>
  </si>
  <si>
    <t>Beginning Balance</t>
  </si>
  <si>
    <t>Drawdown/(Replacement)</t>
  </si>
  <si>
    <t>Ending Balance</t>
  </si>
  <si>
    <t>Interest Rate</t>
  </si>
  <si>
    <t>Commitment Fee</t>
  </si>
  <si>
    <t>Term Loan B Facility</t>
  </si>
  <si>
    <t>Size</t>
  </si>
  <si>
    <t>Repayment Schedule</t>
  </si>
  <si>
    <t>Mandatory Repayments</t>
  </si>
  <si>
    <t>Optional Repayments</t>
  </si>
  <si>
    <t>7 Years</t>
  </si>
  <si>
    <t>Per Annum, Bullet at Maturity</t>
  </si>
  <si>
    <t>8 Years</t>
  </si>
  <si>
    <t>Coupon</t>
  </si>
  <si>
    <t>Repayment</t>
  </si>
  <si>
    <t>Senior Bridge Facility</t>
  </si>
  <si>
    <t>&lt;-- amortized on I/S under deferred financing fees(straight line)</t>
  </si>
  <si>
    <t>Amortization of Financing Fees</t>
  </si>
  <si>
    <t>Senior Sobordinated Notes</t>
  </si>
  <si>
    <t>Annual Ammortization</t>
  </si>
  <si>
    <t>Rate</t>
  </si>
  <si>
    <t>Summary Financial Data</t>
  </si>
  <si>
    <t>Free Cash Flow</t>
  </si>
  <si>
    <t>Less: Cash Interest Expense</t>
  </si>
  <si>
    <t>Plus: Interest Income</t>
  </si>
  <si>
    <t>Less: Income Taxes</t>
  </si>
  <si>
    <t>Less: Capital Expenditures</t>
  </si>
  <si>
    <t>Cumulative Free Cash Flow</t>
  </si>
  <si>
    <t>%growth</t>
  </si>
  <si>
    <t>Less: Increase in Net Working Capital</t>
  </si>
  <si>
    <t>Capitalization</t>
  </si>
  <si>
    <t>Cash</t>
  </si>
  <si>
    <t>Total Senior Secured Debt</t>
  </si>
  <si>
    <t>Total Senior Debt</t>
  </si>
  <si>
    <t>Total Debt</t>
  </si>
  <si>
    <t>Total Capitalization</t>
  </si>
  <si>
    <t>% of Bank Debt Repaid</t>
  </si>
  <si>
    <t>Credit Statistics</t>
  </si>
  <si>
    <t>% Debt / Total Capitalization</t>
  </si>
  <si>
    <t>EBITDA / Cash Interest Expense</t>
  </si>
  <si>
    <t>(EBITDA - Capex) / Cash Interest Expense</t>
  </si>
  <si>
    <t>EBITDA / Total Interest Expense</t>
  </si>
  <si>
    <t>(EBITDA - Capex) / Total Interest Expense</t>
  </si>
  <si>
    <t>Senior Secured Debt / EBITDA</t>
  </si>
  <si>
    <t>Senior Debt / EBITDA</t>
  </si>
  <si>
    <t>Total Debt / EBITDA</t>
  </si>
  <si>
    <t>Net Debt / EBITDA</t>
  </si>
  <si>
    <t>Initial Equity Investment</t>
  </si>
  <si>
    <t>Exit EBITDA Multiple</t>
  </si>
  <si>
    <t>Enterprise Value at Exit</t>
  </si>
  <si>
    <t>Less: Net Debt</t>
  </si>
  <si>
    <t>Net Debt</t>
  </si>
  <si>
    <t>Equity Value at Exit</t>
  </si>
  <si>
    <t>Cash Return</t>
  </si>
  <si>
    <t>Equity Proceeds</t>
  </si>
  <si>
    <t>IRR</t>
  </si>
  <si>
    <t>IRR - Assuming Exit in 2017E</t>
  </si>
  <si>
    <t>Exit Multiple</t>
  </si>
  <si>
    <t>Entry 
Multiple</t>
  </si>
  <si>
    <t>Exit Year</t>
  </si>
  <si>
    <t xml:space="preserve"> </t>
  </si>
  <si>
    <t>Exit 
Multiple</t>
  </si>
  <si>
    <t>Transaction Summary</t>
  </si>
  <si>
    <t>Historical Period</t>
  </si>
  <si>
    <t>Return Analysis</t>
  </si>
  <si>
    <t>Amount</t>
  </si>
  <si>
    <t>Pricing</t>
  </si>
  <si>
    <t>Cumulative</t>
  </si>
  <si>
    <t>Sources</t>
  </si>
  <si>
    <t>Multiple of EBITDA</t>
  </si>
  <si>
    <t xml:space="preserve">Revolving Credit Facility </t>
  </si>
  <si>
    <t>Total Sources</t>
  </si>
  <si>
    <t>Operating Scenario:</t>
  </si>
  <si>
    <t>Financing Structure:</t>
  </si>
  <si>
    <t>Base</t>
  </si>
  <si>
    <t>Purchase ValueCo Equity</t>
  </si>
  <si>
    <t>Repay Existing Debt</t>
  </si>
  <si>
    <t>% of Total</t>
  </si>
  <si>
    <t>Uses</t>
  </si>
  <si>
    <t>Total Uses</t>
  </si>
  <si>
    <t>L+450 bps</t>
  </si>
  <si>
    <t>L+425 bps</t>
  </si>
  <si>
    <t>Fully Diluted Shares</t>
  </si>
  <si>
    <t>Plus: Existing Net Debt</t>
  </si>
  <si>
    <t>Transaction Multiples</t>
  </si>
  <si>
    <t>Options</t>
  </si>
  <si>
    <t>Operating Scenario</t>
  </si>
  <si>
    <t>Cash Flow Sweep</t>
  </si>
  <si>
    <t>Cash Balance</t>
  </si>
  <si>
    <t>Average Interest</t>
  </si>
  <si>
    <t>Enterprise Value / Sales</t>
  </si>
  <si>
    <t>LTM 9/30/2012</t>
  </si>
  <si>
    <t>2012E</t>
  </si>
  <si>
    <t>Enterprise Value / EBITDA</t>
  </si>
  <si>
    <t>Entry Multiple</t>
  </si>
  <si>
    <t>IRR - Assuming 8.0x Entry Multiple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</si>
</sst>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\x"/>
    <numFmt numFmtId="167" formatCode="_(&quot;$&quot;* #,##0.0_);_(&quot;$&quot;* \(#,##0.0\);_(&quot;$&quot;* &quot;-&quot;??_);_(@_)"/>
    <numFmt numFmtId="168" formatCode="_(&quot;$&quot;* #,##0.00_);_(&quot;$&quot;* \(#,##0.00\);_(&quot;$&quot;* &quot;-&quot;????_);_(@_)"/>
    <numFmt numFmtId="169" formatCode="0.0\x;\ \-\x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hair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thin"/>
      <bottom style="double"/>
    </border>
    <border>
      <left/>
      <right style="hair"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6" fillId="34" borderId="26" xfId="0" applyFont="1" applyFill="1" applyBorder="1" applyAlignment="1">
      <alignment/>
    </xf>
    <xf numFmtId="0" fontId="0" fillId="34" borderId="27" xfId="0" applyFill="1" applyBorder="1" applyAlignment="1">
      <alignment/>
    </xf>
    <xf numFmtId="0" fontId="36" fillId="34" borderId="16" xfId="0" applyFont="1" applyFill="1" applyBorder="1" applyAlignment="1">
      <alignment/>
    </xf>
    <xf numFmtId="164" fontId="0" fillId="0" borderId="10" xfId="0" applyNumberFormat="1" applyBorder="1" applyAlignment="1">
      <alignment/>
    </xf>
    <xf numFmtId="44" fontId="34" fillId="0" borderId="0" xfId="0" applyNumberFormat="1" applyFont="1" applyAlignment="1">
      <alignment/>
    </xf>
    <xf numFmtId="44" fontId="34" fillId="0" borderId="28" xfId="0" applyNumberFormat="1" applyFon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1" xfId="0" applyNumberFormat="1" applyBorder="1" applyAlignment="1">
      <alignment/>
    </xf>
    <xf numFmtId="44" fontId="0" fillId="0" borderId="25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23" xfId="0" applyNumberFormat="1" applyBorder="1" applyAlignment="1">
      <alignment/>
    </xf>
    <xf numFmtId="44" fontId="0" fillId="0" borderId="29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24" xfId="0" applyNumberFormat="1" applyBorder="1" applyAlignment="1">
      <alignment/>
    </xf>
    <xf numFmtId="0" fontId="0" fillId="34" borderId="26" xfId="0" applyFill="1" applyBorder="1" applyAlignment="1">
      <alignment/>
    </xf>
    <xf numFmtId="44" fontId="0" fillId="0" borderId="27" xfId="0" applyNumberFormat="1" applyBorder="1" applyAlignment="1">
      <alignment/>
    </xf>
    <xf numFmtId="10" fontId="0" fillId="34" borderId="27" xfId="0" applyNumberFormat="1" applyFill="1" applyBorder="1" applyAlignment="1">
      <alignment/>
    </xf>
    <xf numFmtId="10" fontId="0" fillId="34" borderId="30" xfId="0" applyNumberFormat="1" applyFill="1" applyBorder="1" applyAlignment="1">
      <alignment/>
    </xf>
    <xf numFmtId="44" fontId="0" fillId="0" borderId="28" xfId="0" applyNumberFormat="1" applyBorder="1" applyAlignment="1">
      <alignment/>
    </xf>
    <xf numFmtId="165" fontId="0" fillId="34" borderId="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165" fontId="0" fillId="34" borderId="15" xfId="0" applyNumberFormat="1" applyFill="1" applyBorder="1" applyAlignment="1">
      <alignment/>
    </xf>
    <xf numFmtId="165" fontId="0" fillId="34" borderId="31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3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36" xfId="0" applyNumberFormat="1" applyBorder="1" applyAlignment="1">
      <alignment horizontal="center" vertical="center"/>
    </xf>
    <xf numFmtId="10" fontId="0" fillId="34" borderId="12" xfId="0" applyNumberFormat="1" applyFill="1" applyBorder="1" applyAlignment="1">
      <alignment horizontal="center" vertical="center"/>
    </xf>
    <xf numFmtId="10" fontId="0" fillId="34" borderId="37" xfId="0" applyNumberFormat="1" applyFill="1" applyBorder="1" applyAlignment="1">
      <alignment horizontal="center" vertical="center"/>
    </xf>
    <xf numFmtId="10" fontId="0" fillId="34" borderId="13" xfId="0" applyNumberFormat="1" applyFill="1" applyBorder="1" applyAlignment="1">
      <alignment horizontal="center" vertical="center"/>
    </xf>
    <xf numFmtId="10" fontId="0" fillId="34" borderId="0" xfId="0" applyNumberFormat="1" applyFill="1" applyBorder="1" applyAlignment="1">
      <alignment horizontal="center" vertical="center"/>
    </xf>
    <xf numFmtId="10" fontId="0" fillId="34" borderId="18" xfId="0" applyNumberFormat="1" applyFill="1" applyBorder="1" applyAlignment="1">
      <alignment horizontal="center" vertical="center"/>
    </xf>
    <xf numFmtId="10" fontId="0" fillId="34" borderId="15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10" fontId="0" fillId="34" borderId="33" xfId="0" applyNumberFormat="1" applyFill="1" applyBorder="1" applyAlignment="1">
      <alignment horizontal="center" vertical="center"/>
    </xf>
    <xf numFmtId="10" fontId="0" fillId="34" borderId="31" xfId="0" applyNumberFormat="1" applyFill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0" fontId="20" fillId="33" borderId="0" xfId="0" applyFont="1" applyFill="1" applyAlignment="1">
      <alignment/>
    </xf>
    <xf numFmtId="166" fontId="0" fillId="0" borderId="0" xfId="0" applyNumberFormat="1" applyAlignment="1">
      <alignment/>
    </xf>
    <xf numFmtId="0" fontId="34" fillId="34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34" fillId="0" borderId="38" xfId="0" applyFont="1" applyBorder="1" applyAlignment="1">
      <alignment/>
    </xf>
    <xf numFmtId="0" fontId="34" fillId="0" borderId="38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1" fontId="34" fillId="0" borderId="0" xfId="0" applyNumberFormat="1" applyFont="1" applyAlignment="1">
      <alignment/>
    </xf>
    <xf numFmtId="10" fontId="36" fillId="35" borderId="0" xfId="0" applyNumberFormat="1" applyFont="1" applyFill="1" applyAlignment="1">
      <alignment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44" fontId="0" fillId="36" borderId="12" xfId="0" applyNumberForma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/>
    </xf>
    <xf numFmtId="10" fontId="0" fillId="36" borderId="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4" fillId="36" borderId="14" xfId="0" applyFont="1" applyFill="1" applyBorder="1" applyAlignment="1">
      <alignment/>
    </xf>
    <xf numFmtId="10" fontId="0" fillId="36" borderId="15" xfId="0" applyNumberFormat="1" applyFill="1" applyBorder="1" applyAlignment="1">
      <alignment/>
    </xf>
    <xf numFmtId="44" fontId="0" fillId="36" borderId="0" xfId="0" applyNumberFormat="1" applyFill="1" applyBorder="1" applyAlignment="1">
      <alignment/>
    </xf>
    <xf numFmtId="44" fontId="0" fillId="36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0" xfId="0" applyFill="1" applyBorder="1" applyAlignment="1">
      <alignment/>
    </xf>
    <xf numFmtId="44" fontId="0" fillId="36" borderId="13" xfId="0" applyNumberFormat="1" applyFill="1" applyBorder="1" applyAlignment="1">
      <alignment/>
    </xf>
    <xf numFmtId="44" fontId="0" fillId="36" borderId="10" xfId="0" applyNumberFormat="1" applyFill="1" applyBorder="1" applyAlignment="1">
      <alignment/>
    </xf>
    <xf numFmtId="44" fontId="0" fillId="36" borderId="31" xfId="0" applyNumberFormat="1" applyFill="1" applyBorder="1" applyAlignment="1">
      <alignment/>
    </xf>
    <xf numFmtId="10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 horizontal="right"/>
    </xf>
    <xf numFmtId="44" fontId="0" fillId="0" borderId="0" xfId="0" applyNumberFormat="1" applyFill="1" applyBorder="1" applyAlignment="1">
      <alignment/>
    </xf>
    <xf numFmtId="44" fontId="0" fillId="35" borderId="10" xfId="0" applyNumberFormat="1" applyFill="1" applyBorder="1" applyAlignment="1">
      <alignment/>
    </xf>
    <xf numFmtId="44" fontId="0" fillId="35" borderId="31" xfId="0" applyNumberFormat="1" applyFill="1" applyBorder="1" applyAlignment="1">
      <alignment/>
    </xf>
    <xf numFmtId="44" fontId="0" fillId="0" borderId="40" xfId="0" applyNumberFormat="1" applyBorder="1" applyAlignment="1">
      <alignment/>
    </xf>
    <xf numFmtId="44" fontId="0" fillId="0" borderId="22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0" fontId="20" fillId="0" borderId="0" xfId="0" applyFont="1" applyFill="1" applyAlignment="1">
      <alignment/>
    </xf>
    <xf numFmtId="167" fontId="0" fillId="0" borderId="0" xfId="0" applyNumberFormat="1" applyAlignment="1">
      <alignment/>
    </xf>
    <xf numFmtId="168" fontId="0" fillId="0" borderId="29" xfId="0" applyNumberFormat="1" applyBorder="1" applyAlignment="1">
      <alignment horizontal="center" vertical="center"/>
    </xf>
    <xf numFmtId="0" fontId="0" fillId="33" borderId="0" xfId="0" applyFill="1" applyAlignment="1">
      <alignment/>
    </xf>
    <xf numFmtId="14" fontId="0" fillId="0" borderId="1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44" fontId="34" fillId="0" borderId="0" xfId="0" applyNumberFormat="1" applyFont="1" applyAlignment="1">
      <alignment horizontal="center"/>
    </xf>
    <xf numFmtId="44" fontId="0" fillId="0" borderId="10" xfId="0" applyNumberFormat="1" applyBorder="1" applyAlignment="1">
      <alignment horizontal="center"/>
    </xf>
    <xf numFmtId="0" fontId="20" fillId="0" borderId="0" xfId="0" applyFont="1" applyFill="1" applyAlignment="1">
      <alignment/>
    </xf>
    <xf numFmtId="169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0" fillId="0" borderId="39" xfId="0" applyNumberFormat="1" applyBorder="1" applyAlignment="1">
      <alignment/>
    </xf>
    <xf numFmtId="0" fontId="0" fillId="34" borderId="0" xfId="0" applyFill="1" applyAlignment="1">
      <alignment/>
    </xf>
    <xf numFmtId="0" fontId="34" fillId="34" borderId="26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165" fontId="0" fillId="34" borderId="27" xfId="0" applyNumberFormat="1" applyFill="1" applyBorder="1" applyAlignment="1">
      <alignment/>
    </xf>
    <xf numFmtId="165" fontId="0" fillId="34" borderId="30" xfId="0" applyNumberFormat="1" applyFill="1" applyBorder="1" applyAlignment="1">
      <alignment/>
    </xf>
    <xf numFmtId="166" fontId="0" fillId="0" borderId="15" xfId="0" applyNumberFormat="1" applyBorder="1" applyAlignment="1">
      <alignment/>
    </xf>
    <xf numFmtId="0" fontId="20" fillId="0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/>
    </xf>
    <xf numFmtId="0" fontId="20" fillId="33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10" fontId="0" fillId="0" borderId="15" xfId="0" applyNumberFormat="1" applyFill="1" applyBorder="1" applyAlignment="1">
      <alignment/>
    </xf>
    <xf numFmtId="44" fontId="0" fillId="34" borderId="30" xfId="0" applyNumberFormat="1" applyFill="1" applyBorder="1" applyAlignment="1">
      <alignment/>
    </xf>
    <xf numFmtId="10" fontId="0" fillId="0" borderId="0" xfId="0" applyNumberFormat="1" applyFill="1" applyAlignment="1">
      <alignment horizontal="center"/>
    </xf>
    <xf numFmtId="0" fontId="34" fillId="34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44" fontId="0" fillId="34" borderId="0" xfId="0" applyNumberFormat="1" applyFill="1" applyAlignment="1">
      <alignment/>
    </xf>
    <xf numFmtId="44" fontId="0" fillId="0" borderId="31" xfId="0" applyNumberFormat="1" applyFill="1" applyBorder="1" applyAlignment="1">
      <alignment/>
    </xf>
    <xf numFmtId="44" fontId="34" fillId="34" borderId="31" xfId="0" applyNumberFormat="1" applyFont="1" applyFill="1" applyBorder="1" applyAlignment="1">
      <alignment/>
    </xf>
    <xf numFmtId="44" fontId="34" fillId="34" borderId="0" xfId="0" applyNumberFormat="1" applyFont="1" applyFill="1" applyAlignment="1">
      <alignment/>
    </xf>
    <xf numFmtId="0" fontId="34" fillId="0" borderId="14" xfId="0" applyFont="1" applyFill="1" applyBorder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44" fontId="0" fillId="0" borderId="10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0" fillId="34" borderId="0" xfId="0" applyNumberFormat="1" applyFill="1" applyAlignment="1">
      <alignment/>
    </xf>
    <xf numFmtId="169" fontId="0" fillId="0" borderId="10" xfId="0" applyNumberFormat="1" applyBorder="1" applyAlignment="1">
      <alignment/>
    </xf>
    <xf numFmtId="169" fontId="0" fillId="34" borderId="0" xfId="0" applyNumberFormat="1" applyFill="1" applyAlignment="1">
      <alignment/>
    </xf>
    <xf numFmtId="169" fontId="0" fillId="0" borderId="15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44" fontId="0" fillId="0" borderId="42" xfId="0" applyNumberFormat="1" applyBorder="1" applyAlignment="1">
      <alignment/>
    </xf>
    <xf numFmtId="167" fontId="0" fillId="0" borderId="42" xfId="0" applyNumberFormat="1" applyBorder="1" applyAlignment="1">
      <alignment/>
    </xf>
    <xf numFmtId="10" fontId="0" fillId="0" borderId="40" xfId="0" applyNumberFormat="1" applyBorder="1" applyAlignment="1">
      <alignment/>
    </xf>
    <xf numFmtId="44" fontId="0" fillId="0" borderId="0" xfId="0" applyNumberForma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476250</xdr:colOff>
      <xdr:row>1</xdr:row>
      <xdr:rowOff>114300</xdr:rowOff>
    </xdr:from>
    <xdr:to>
      <xdr:col>17</xdr:col>
      <xdr:colOff>28575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24950" y="304800"/>
          <a:ext cx="26003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"1" for public target, "2" for private target.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85" zoomScaleNormal="85" zoomScalePageLayoutView="0" workbookViewId="0" topLeftCell="A1">
      <selection activeCell="H31" sqref="H31"/>
    </sheetView>
  </sheetViews>
  <sheetFormatPr defaultColWidth="9.140625" defaultRowHeight="15"/>
  <cols>
    <col min="1" max="1" width="27.421875" style="0" customWidth="1"/>
    <col min="4" max="6" width="10.57421875" style="0" bestFit="1" customWidth="1"/>
    <col min="7" max="7" width="11.421875" style="0" bestFit="1" customWidth="1"/>
    <col min="8" max="8" width="10.57421875" style="0" bestFit="1" customWidth="1"/>
    <col min="9" max="9" width="17.00390625" style="0" customWidth="1"/>
    <col min="10" max="12" width="10.57421875" style="0" bestFit="1" customWidth="1"/>
    <col min="13" max="13" width="14.28125" style="0" customWidth="1"/>
    <col min="14" max="18" width="10.57421875" style="0" bestFit="1" customWidth="1"/>
  </cols>
  <sheetData>
    <row r="1" spans="1:18" ht="15">
      <c r="A1" s="161" t="s">
        <v>240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5">
      <c r="A2" s="16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93" t="s">
        <v>251</v>
      </c>
      <c r="Q2" s="141"/>
      <c r="R2" s="171">
        <v>1</v>
      </c>
    </row>
    <row r="3" spans="1:18" ht="15">
      <c r="A3" s="16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93" t="s">
        <v>250</v>
      </c>
      <c r="Q3" s="141"/>
      <c r="R3" s="93" t="s">
        <v>252</v>
      </c>
    </row>
    <row r="4" spans="1:18" s="10" customFormat="1" ht="15">
      <c r="A4" s="202" t="s">
        <v>141</v>
      </c>
      <c r="B4" s="202"/>
      <c r="C4" s="202"/>
      <c r="D4" s="202"/>
      <c r="E4" s="202"/>
      <c r="F4" s="202"/>
      <c r="G4" s="202"/>
      <c r="H4" s="202"/>
      <c r="I4" s="202" t="s">
        <v>153</v>
      </c>
      <c r="J4" s="203"/>
      <c r="K4" s="203"/>
      <c r="L4" s="203"/>
      <c r="M4" s="202" t="s">
        <v>133</v>
      </c>
      <c r="N4" s="202"/>
      <c r="O4" s="202"/>
      <c r="P4" s="202" t="s">
        <v>242</v>
      </c>
      <c r="Q4" s="202"/>
      <c r="R4" s="202"/>
    </row>
    <row r="5" spans="1:18" s="10" customFormat="1" ht="15">
      <c r="A5" s="162"/>
      <c r="E5" s="10" t="s">
        <v>255</v>
      </c>
      <c r="F5" s="204" t="s">
        <v>247</v>
      </c>
      <c r="G5" s="204"/>
      <c r="H5" s="167"/>
      <c r="I5" s="38"/>
      <c r="L5" s="173" t="s">
        <v>255</v>
      </c>
      <c r="M5" s="10" t="s">
        <v>134</v>
      </c>
      <c r="P5" s="164" t="s">
        <v>237</v>
      </c>
      <c r="R5" s="174">
        <v>2017</v>
      </c>
    </row>
    <row r="6" spans="1:18" s="10" customFormat="1" ht="15">
      <c r="A6" s="162"/>
      <c r="D6" s="166" t="s">
        <v>243</v>
      </c>
      <c r="E6" s="166" t="s">
        <v>246</v>
      </c>
      <c r="F6" s="168">
        <v>41182</v>
      </c>
      <c r="G6" s="166" t="s">
        <v>245</v>
      </c>
      <c r="H6" s="169" t="s">
        <v>244</v>
      </c>
      <c r="I6" s="164"/>
      <c r="K6" s="166" t="s">
        <v>243</v>
      </c>
      <c r="L6" s="169" t="s">
        <v>256</v>
      </c>
      <c r="M6" s="10" t="s">
        <v>260</v>
      </c>
      <c r="O6" s="179"/>
      <c r="P6" s="164" t="s">
        <v>272</v>
      </c>
      <c r="R6" s="194">
        <f>'Returns Analysis'!E5</f>
        <v>8</v>
      </c>
    </row>
    <row r="7" spans="1:18" s="10" customFormat="1" ht="15">
      <c r="A7" t="s">
        <v>248</v>
      </c>
      <c r="D7" s="172">
        <f>CHOOSE($R$2,Assumptions!D32,Assumptions!E32,Assumptions!F32,Assumptions!G32)</f>
        <v>0</v>
      </c>
      <c r="E7" s="188">
        <f>D7/SUM(D7:D16)</f>
        <v>0</v>
      </c>
      <c r="F7" s="149">
        <f aca="true" t="shared" si="0" ref="F7:F16">D7/$N$16</f>
        <v>0</v>
      </c>
      <c r="G7" s="149"/>
      <c r="H7" s="163" t="s">
        <v>259</v>
      </c>
      <c r="I7" s="164" t="s">
        <v>253</v>
      </c>
      <c r="K7" s="172">
        <f>Assumptions!D46</f>
        <v>4350</v>
      </c>
      <c r="L7" s="175">
        <f>K7/SUM($K$7:$K$11)</f>
        <v>0.725</v>
      </c>
      <c r="M7" s="95" t="s">
        <v>132</v>
      </c>
      <c r="N7" s="152"/>
      <c r="O7" s="183">
        <f>K7</f>
        <v>4350</v>
      </c>
      <c r="P7" s="164" t="s">
        <v>235</v>
      </c>
      <c r="R7" s="194">
        <f>'Returns Analysis'!E8</f>
        <v>8</v>
      </c>
    </row>
    <row r="8" spans="1:18" s="10" customFormat="1" ht="15">
      <c r="A8" t="s">
        <v>29</v>
      </c>
      <c r="D8" s="172">
        <f>CHOOSE($R$2,Assumptions!D33,Assumptions!E33,Assumptions!F33,Assumptions!G33)</f>
        <v>0</v>
      </c>
      <c r="E8" s="189">
        <f aca="true" t="shared" si="1" ref="E8:E16">D8/SUM(D8:D17)</f>
        <v>0</v>
      </c>
      <c r="F8" s="149">
        <f t="shared" si="0"/>
        <v>0</v>
      </c>
      <c r="G8" s="149"/>
      <c r="H8" s="163" t="s">
        <v>54</v>
      </c>
      <c r="I8" s="164" t="s">
        <v>254</v>
      </c>
      <c r="K8" s="172">
        <f>Assumptions!D47</f>
        <v>1500</v>
      </c>
      <c r="L8" s="175">
        <f>K8/SUM($K$7:$K$11)</f>
        <v>0.25</v>
      </c>
      <c r="M8" s="38" t="s">
        <v>261</v>
      </c>
      <c r="O8" s="181">
        <f>SUM('Balance Sheet'!D23:D32)-'Balance Sheet'!D5</f>
        <v>1250</v>
      </c>
      <c r="P8" s="184" t="s">
        <v>233</v>
      </c>
      <c r="R8" s="19" t="e">
        <f>CHOOSE(R5,'Returns Analysis'!G42,'Returns Analysis'!H42,'Returns Analysis'!I42,'Returns Analysis'!J42,'Returns Analysis'!K42,'Returns Analysis'!L42,'Returns Analysis'!M42,'Returns Analysis'!N42,'Returns Analysis'!O42,'Returns Analysis'!P42)</f>
        <v>#VALUE!</v>
      </c>
    </row>
    <row r="9" spans="1:18" s="10" customFormat="1" ht="15">
      <c r="A9" t="s">
        <v>30</v>
      </c>
      <c r="D9" s="172">
        <f>CHOOSE($R$2,Assumptions!D34,Assumptions!E34,Assumptions!F34,Assumptions!G34)</f>
        <v>2150</v>
      </c>
      <c r="E9" s="189">
        <f t="shared" si="1"/>
        <v>0.17916666666666667</v>
      </c>
      <c r="F9" s="149">
        <f t="shared" si="0"/>
        <v>3.068382106337279</v>
      </c>
      <c r="G9" s="149"/>
      <c r="H9" s="163" t="s">
        <v>258</v>
      </c>
      <c r="I9" s="164" t="s">
        <v>155</v>
      </c>
      <c r="K9" s="172">
        <f>Assumptions!D48</f>
        <v>20</v>
      </c>
      <c r="L9" s="175">
        <f>K9/SUM($K$7:$K$11)</f>
        <v>0.0033333333333333335</v>
      </c>
      <c r="M9" s="178" t="s">
        <v>127</v>
      </c>
      <c r="N9" s="95"/>
      <c r="O9" s="182">
        <f>SUM(O7:O8)</f>
        <v>5600</v>
      </c>
      <c r="P9" s="184" t="s">
        <v>231</v>
      </c>
      <c r="R9" s="19" t="e">
        <f>CHOOSE('Transaction Summary'!R5,'Returns Analysis'!G27,'Returns Analysis'!H27,'Returns Analysis'!I27,'Returns Analysis'!J27,'Returns Analysis'!K27,'Returns Analysis'!L27,'Returns Analysis'!M27,'Returns Analysis'!N27,'Returns Analysis'!O27,'Returns Analysis'!P27)</f>
        <v>#VALUE!</v>
      </c>
    </row>
    <row r="10" spans="1:18" s="10" customFormat="1" ht="15">
      <c r="A10" t="s">
        <v>31</v>
      </c>
      <c r="D10" s="172">
        <f>CHOOSE($R$2,Assumptions!D35,Assumptions!E35,Assumptions!F35,Assumptions!G35)</f>
        <v>0</v>
      </c>
      <c r="E10" s="189">
        <f t="shared" si="1"/>
        <v>0</v>
      </c>
      <c r="F10" s="149">
        <f t="shared" si="0"/>
        <v>0</v>
      </c>
      <c r="G10" s="149"/>
      <c r="H10" s="163" t="s">
        <v>54</v>
      </c>
      <c r="I10" s="164" t="s">
        <v>156</v>
      </c>
      <c r="K10" s="172">
        <f>Assumptions!D49</f>
        <v>90</v>
      </c>
      <c r="L10" s="175">
        <f>K10/SUM($K$7:$K$11)</f>
        <v>0.015</v>
      </c>
      <c r="P10" s="164"/>
      <c r="R10" s="174"/>
    </row>
    <row r="11" spans="1:18" s="10" customFormat="1" ht="15">
      <c r="A11" t="s">
        <v>33</v>
      </c>
      <c r="D11" s="172">
        <f>CHOOSE($R$2,Assumptions!D36,Assumptions!E36,Assumptions!F36,Assumptions!G36)</f>
        <v>0</v>
      </c>
      <c r="E11" s="189">
        <f t="shared" si="1"/>
        <v>0</v>
      </c>
      <c r="F11" s="149">
        <f t="shared" si="0"/>
        <v>0</v>
      </c>
      <c r="G11" s="149"/>
      <c r="H11" s="163" t="s">
        <v>54</v>
      </c>
      <c r="I11" s="164" t="s">
        <v>157</v>
      </c>
      <c r="K11" s="172">
        <f>Assumptions!D50</f>
        <v>40</v>
      </c>
      <c r="L11" s="175">
        <f>K11/SUM($K$7:$K$11)</f>
        <v>0.006666666666666667</v>
      </c>
      <c r="M11" s="205" t="s">
        <v>262</v>
      </c>
      <c r="N11" s="202"/>
      <c r="O11" s="202"/>
      <c r="P11" s="202" t="s">
        <v>263</v>
      </c>
      <c r="Q11" s="202"/>
      <c r="R11" s="202"/>
    </row>
    <row r="12" spans="1:18" s="10" customFormat="1" ht="15">
      <c r="A12" t="s">
        <v>34</v>
      </c>
      <c r="D12" s="172">
        <f>CHOOSE($R$2,Assumptions!D37,Assumptions!E37,Assumptions!F37,Assumptions!G37)</f>
        <v>1500</v>
      </c>
      <c r="E12" s="189">
        <f t="shared" si="1"/>
        <v>0.1264862130027827</v>
      </c>
      <c r="F12" s="149">
        <f t="shared" si="0"/>
        <v>2.1407317020957763</v>
      </c>
      <c r="G12" s="149"/>
      <c r="H12" s="177">
        <v>0.085</v>
      </c>
      <c r="I12" s="164"/>
      <c r="L12" s="174"/>
      <c r="M12" s="38" t="s">
        <v>268</v>
      </c>
      <c r="P12" s="164" t="s">
        <v>140</v>
      </c>
      <c r="R12" s="174"/>
    </row>
    <row r="13" spans="1:18" s="10" customFormat="1" ht="15">
      <c r="A13" t="s">
        <v>35</v>
      </c>
      <c r="D13" s="172">
        <f>CHOOSE($R$2,Assumptions!D38,Assumptions!E38,Assumptions!F38,Assumptions!G38)</f>
        <v>0</v>
      </c>
      <c r="E13" s="189">
        <f t="shared" si="1"/>
        <v>0</v>
      </c>
      <c r="F13" s="149">
        <f t="shared" si="0"/>
        <v>0</v>
      </c>
      <c r="G13" s="149"/>
      <c r="H13" s="163" t="s">
        <v>54</v>
      </c>
      <c r="I13" s="164"/>
      <c r="L13" s="174"/>
      <c r="M13" s="163" t="s">
        <v>269</v>
      </c>
      <c r="N13" s="172">
        <f>G22</f>
        <v>3385</v>
      </c>
      <c r="O13" s="149">
        <f>O9/N13</f>
        <v>1.654357459379616</v>
      </c>
      <c r="P13" s="164" t="s">
        <v>264</v>
      </c>
      <c r="R13" s="174"/>
    </row>
    <row r="14" spans="1:18" s="10" customFormat="1" ht="15">
      <c r="A14" t="s">
        <v>149</v>
      </c>
      <c r="D14" s="172">
        <f>CHOOSE($R$2,Assumptions!D39,Assumptions!E39,Assumptions!F39,Assumptions!G39)</f>
        <v>2100</v>
      </c>
      <c r="E14" s="189">
        <f t="shared" si="1"/>
        <v>0.16204954085963424</v>
      </c>
      <c r="F14" s="149">
        <f t="shared" si="0"/>
        <v>2.997024382934087</v>
      </c>
      <c r="G14" s="149"/>
      <c r="I14" s="164"/>
      <c r="L14" s="174"/>
      <c r="M14" s="163" t="s">
        <v>270</v>
      </c>
      <c r="N14" s="172">
        <f>H22</f>
        <v>3447.009566</v>
      </c>
      <c r="O14" s="149">
        <f>O9/N14</f>
        <v>1.6245965938813411</v>
      </c>
      <c r="P14" s="164" t="s">
        <v>265</v>
      </c>
      <c r="R14" s="174"/>
    </row>
    <row r="15" spans="1:18" s="10" customFormat="1" ht="15">
      <c r="A15" t="s">
        <v>150</v>
      </c>
      <c r="D15" s="172">
        <f>CHOOSE($R$2,Assumptions!D40,Assumptions!E40,Assumptions!F40,Assumptions!G40)</f>
        <v>0</v>
      </c>
      <c r="E15" s="189">
        <f t="shared" si="1"/>
        <v>0</v>
      </c>
      <c r="F15" s="149">
        <f t="shared" si="0"/>
        <v>0</v>
      </c>
      <c r="G15" s="149"/>
      <c r="I15" s="164"/>
      <c r="L15" s="174"/>
      <c r="M15" s="10" t="s">
        <v>271</v>
      </c>
      <c r="O15" s="149"/>
      <c r="P15" s="164" t="s">
        <v>266</v>
      </c>
      <c r="R15" s="174"/>
    </row>
    <row r="16" spans="1:18" ht="15">
      <c r="A16" t="s">
        <v>151</v>
      </c>
      <c r="D16" s="187">
        <f>CHOOSE($R$2,Assumptions!D41,Assumptions!E41,Assumptions!F41,Assumptions!G41)</f>
        <v>250</v>
      </c>
      <c r="E16" s="190">
        <f t="shared" si="1"/>
        <v>0.021101711939686244</v>
      </c>
      <c r="F16" s="192">
        <f t="shared" si="0"/>
        <v>0.3567886170159627</v>
      </c>
      <c r="G16" s="192"/>
      <c r="H16" s="170"/>
      <c r="I16" s="165"/>
      <c r="L16" s="160"/>
      <c r="M16" s="110" t="str">
        <f>M13</f>
        <v>LTM 9/30/2012</v>
      </c>
      <c r="N16" s="22">
        <f>G26</f>
        <v>700.695</v>
      </c>
      <c r="O16" s="149">
        <f>O9/N16</f>
        <v>7.992065021157565</v>
      </c>
      <c r="P16" s="165" t="s">
        <v>267</v>
      </c>
      <c r="R16" s="160"/>
    </row>
    <row r="17" spans="1:18" ht="15">
      <c r="A17" s="152" t="s">
        <v>249</v>
      </c>
      <c r="B17" s="152"/>
      <c r="C17" s="152"/>
      <c r="D17" s="180">
        <f>SUM(D7:D16)</f>
        <v>6000</v>
      </c>
      <c r="E17" s="191">
        <f>SUM(E7:E16)</f>
        <v>0.48880413246876986</v>
      </c>
      <c r="F17" s="193">
        <f>SUM(F7:F16)</f>
        <v>8.562926808383105</v>
      </c>
      <c r="G17" s="193">
        <f>SUM(G7:G16)</f>
        <v>0</v>
      </c>
      <c r="H17" s="152"/>
      <c r="I17" s="54" t="s">
        <v>257</v>
      </c>
      <c r="J17" s="40"/>
      <c r="K17" s="176">
        <f>SUM(K7:K11)</f>
        <v>6000</v>
      </c>
      <c r="L17" s="57">
        <f>SUM(L7:L11)</f>
        <v>1</v>
      </c>
      <c r="M17" s="110" t="str">
        <f>M14</f>
        <v>2012E</v>
      </c>
      <c r="N17" s="22">
        <f>H26</f>
        <v>723.8720088600002</v>
      </c>
      <c r="O17" s="149">
        <f>O9/N17</f>
        <v>7.736174256577813</v>
      </c>
      <c r="P17" s="165" t="s">
        <v>156</v>
      </c>
      <c r="R17" s="160"/>
    </row>
    <row r="18" spans="1:19" ht="15">
      <c r="A18" s="93" t="s">
        <v>199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148"/>
    </row>
    <row r="19" spans="4:18" ht="15">
      <c r="D19" s="201" t="s">
        <v>241</v>
      </c>
      <c r="E19" s="201"/>
      <c r="F19" s="201"/>
      <c r="G19" s="201"/>
      <c r="I19" s="201" t="s">
        <v>14</v>
      </c>
      <c r="J19" s="201"/>
      <c r="K19" s="201"/>
      <c r="L19" s="201"/>
      <c r="M19" s="201"/>
      <c r="N19" s="201"/>
      <c r="O19" s="201"/>
      <c r="P19" s="201"/>
      <c r="Q19" s="201"/>
      <c r="R19" s="201"/>
    </row>
    <row r="20" spans="7:18" ht="15">
      <c r="G20" s="110" t="s">
        <v>1</v>
      </c>
      <c r="H20" s="110" t="s">
        <v>2</v>
      </c>
      <c r="I20" s="110" t="s">
        <v>3</v>
      </c>
      <c r="J20" s="110" t="s">
        <v>4</v>
      </c>
      <c r="K20" s="110" t="s">
        <v>5</v>
      </c>
      <c r="L20" s="110" t="s">
        <v>6</v>
      </c>
      <c r="M20" s="110" t="s">
        <v>7</v>
      </c>
      <c r="N20" s="110" t="s">
        <v>8</v>
      </c>
      <c r="O20" s="110" t="s">
        <v>9</v>
      </c>
      <c r="P20" s="110" t="s">
        <v>10</v>
      </c>
      <c r="Q20" s="110" t="s">
        <v>11</v>
      </c>
      <c r="R20" s="110" t="s">
        <v>12</v>
      </c>
    </row>
    <row r="21" spans="4:18" ht="15">
      <c r="D21" s="4">
        <v>2009</v>
      </c>
      <c r="E21" s="4">
        <f>D21+1</f>
        <v>2010</v>
      </c>
      <c r="F21" s="4">
        <f>E21+1</f>
        <v>2011</v>
      </c>
      <c r="G21" s="142">
        <v>41182</v>
      </c>
      <c r="H21" s="4">
        <f>F21+1</f>
        <v>2012</v>
      </c>
      <c r="I21" s="4">
        <f>H21+1</f>
        <v>2013</v>
      </c>
      <c r="J21" s="4">
        <f aca="true" t="shared" si="2" ref="J21:R21">I21+1</f>
        <v>2014</v>
      </c>
      <c r="K21" s="4">
        <f t="shared" si="2"/>
        <v>2015</v>
      </c>
      <c r="L21" s="4">
        <f t="shared" si="2"/>
        <v>2016</v>
      </c>
      <c r="M21" s="4">
        <f t="shared" si="2"/>
        <v>2017</v>
      </c>
      <c r="N21" s="4">
        <f t="shared" si="2"/>
        <v>2018</v>
      </c>
      <c r="O21" s="4">
        <f t="shared" si="2"/>
        <v>2019</v>
      </c>
      <c r="P21" s="4">
        <f t="shared" si="2"/>
        <v>2020</v>
      </c>
      <c r="Q21" s="4">
        <f t="shared" si="2"/>
        <v>2021</v>
      </c>
      <c r="R21" s="4">
        <f t="shared" si="2"/>
        <v>2022</v>
      </c>
    </row>
    <row r="22" spans="1:18" ht="15">
      <c r="A22" s="7" t="s">
        <v>15</v>
      </c>
      <c r="D22" s="146">
        <f>'Income Statement'!D5</f>
        <v>2600</v>
      </c>
      <c r="E22" s="146">
        <f>'Income Statement'!E5</f>
        <v>2899</v>
      </c>
      <c r="F22" s="146">
        <f>'Income Statement'!F5</f>
        <v>3197.5969999999998</v>
      </c>
      <c r="G22" s="146">
        <f>'Income Statement'!G5</f>
        <v>3385</v>
      </c>
      <c r="H22" s="146">
        <f>'Income Statement'!H5</f>
        <v>3447.009566</v>
      </c>
      <c r="I22" s="146">
        <f>'Income Statement'!I5</f>
        <v>3705.53528345</v>
      </c>
      <c r="J22" s="146">
        <f>'Income Statement'!J5</f>
        <v>3927.8674004570003</v>
      </c>
      <c r="K22" s="146">
        <f>'Income Statement'!K5</f>
        <v>4124.26077047985</v>
      </c>
      <c r="L22" s="146">
        <f>'Income Statement'!L5</f>
        <v>4289.231201299044</v>
      </c>
      <c r="M22" s="146">
        <f>'Income Statement'!M5</f>
        <v>4417.908137338016</v>
      </c>
      <c r="N22" s="146">
        <f>'Income Statement'!N5</f>
        <v>4550.445381458157</v>
      </c>
      <c r="O22" s="146">
        <f>'Income Statement'!O5</f>
        <v>4686.958742901901</v>
      </c>
      <c r="P22" s="146">
        <f>'Income Statement'!P5</f>
        <v>4827.567505188958</v>
      </c>
      <c r="Q22" s="146">
        <f>'Income Statement'!Q5</f>
        <v>4972.394530344627</v>
      </c>
      <c r="R22" s="146">
        <f>'Income Statement'!R5</f>
        <v>5121.566366254966</v>
      </c>
    </row>
    <row r="23" spans="1:18" ht="15">
      <c r="A23" s="6" t="s">
        <v>206</v>
      </c>
      <c r="D23" s="143" t="str">
        <f>'Income Statement'!D6</f>
        <v>NA</v>
      </c>
      <c r="E23" s="143">
        <f>'Income Statement'!E6</f>
        <v>0.115</v>
      </c>
      <c r="F23" s="143">
        <f>'Income Statement'!F6</f>
        <v>0.10299999999999991</v>
      </c>
      <c r="G23" s="143" t="str">
        <f>'Income Statement'!G6</f>
        <v>NA</v>
      </c>
      <c r="H23" s="143">
        <f>'Income Statement'!H6</f>
        <v>0.07800000000000014</v>
      </c>
      <c r="I23" s="143">
        <f>'Income Statement'!I6</f>
        <v>0.07499999999999993</v>
      </c>
      <c r="J23" s="143">
        <f>'Income Statement'!J6</f>
        <v>0.06000000000000008</v>
      </c>
      <c r="K23" s="143">
        <f>'Income Statement'!K6</f>
        <v>0.049999999999999975</v>
      </c>
      <c r="L23" s="143">
        <f>'Income Statement'!L6</f>
        <v>0.04</v>
      </c>
      <c r="M23" s="143">
        <f>'Income Statement'!M6</f>
        <v>0.030000000000000086</v>
      </c>
      <c r="N23" s="143">
        <f>'Income Statement'!N6</f>
        <v>0.030000000000000054</v>
      </c>
      <c r="O23" s="143">
        <f>'Income Statement'!O6</f>
        <v>0.029999999999999968</v>
      </c>
      <c r="P23" s="143">
        <f>'Income Statement'!P6</f>
        <v>0.030000000000000054</v>
      </c>
      <c r="Q23" s="143">
        <f>'Income Statement'!Q6</f>
        <v>0.029999999999999992</v>
      </c>
      <c r="R23" s="143">
        <f>'Income Statement'!R6</f>
        <v>0.03</v>
      </c>
    </row>
    <row r="24" spans="1:18" ht="15">
      <c r="A24" s="7" t="s">
        <v>18</v>
      </c>
      <c r="D24" s="146">
        <f>'Income Statement'!D8</f>
        <v>988</v>
      </c>
      <c r="E24" s="146">
        <f>'Income Statement'!E8</f>
        <v>1130.6100000000001</v>
      </c>
      <c r="F24" s="146">
        <f>'Income Statement'!F8</f>
        <v>1279.0388</v>
      </c>
      <c r="G24" s="146">
        <f>'Income Statement'!G8</f>
        <v>1350.615</v>
      </c>
      <c r="H24" s="146">
        <f>'Income Statement'!H8</f>
        <v>1378.8038264000002</v>
      </c>
      <c r="I24" s="146">
        <f>'Income Statement'!I8</f>
        <v>1482.21411338</v>
      </c>
      <c r="J24" s="146">
        <f>'Income Statement'!J8</f>
        <v>1571.1469601828003</v>
      </c>
      <c r="K24" s="146">
        <f>'Income Statement'!K8</f>
        <v>1649.70430819194</v>
      </c>
      <c r="L24" s="146">
        <f>'Income Statement'!L8</f>
        <v>1715.6924805196177</v>
      </c>
      <c r="M24" s="146">
        <f>'Income Statement'!M8</f>
        <v>1767.1632549352066</v>
      </c>
      <c r="N24" s="146">
        <f>'Income Statement'!N8</f>
        <v>1820.1781525832625</v>
      </c>
      <c r="O24" s="146">
        <f>'Income Statement'!O8</f>
        <v>1874.7834971607604</v>
      </c>
      <c r="P24" s="146">
        <f>'Income Statement'!P8</f>
        <v>1931.0270020755834</v>
      </c>
      <c r="Q24" s="146">
        <f>'Income Statement'!Q8</f>
        <v>1988.9578121378509</v>
      </c>
      <c r="R24" s="146">
        <f>'Income Statement'!R8</f>
        <v>2048.6265465019865</v>
      </c>
    </row>
    <row r="25" spans="1:18" ht="15">
      <c r="A25" s="6" t="s">
        <v>19</v>
      </c>
      <c r="D25" s="143">
        <f>'Income Statement'!D9</f>
        <v>0.38</v>
      </c>
      <c r="E25" s="143">
        <f>'Income Statement'!E9</f>
        <v>0.39000000000000007</v>
      </c>
      <c r="F25" s="143">
        <f>'Income Statement'!F9</f>
        <v>0.4</v>
      </c>
      <c r="G25" s="143">
        <f>'Income Statement'!G9</f>
        <v>0.399</v>
      </c>
      <c r="H25" s="143">
        <f>'Income Statement'!H9</f>
        <v>0.4</v>
      </c>
      <c r="I25" s="143">
        <f>'Income Statement'!I9</f>
        <v>0.4</v>
      </c>
      <c r="J25" s="143">
        <f>'Income Statement'!J9</f>
        <v>0.4</v>
      </c>
      <c r="K25" s="143">
        <f>'Income Statement'!K9</f>
        <v>0.4</v>
      </c>
      <c r="L25" s="143">
        <f>'Income Statement'!L9</f>
        <v>0.4</v>
      </c>
      <c r="M25" s="143">
        <f>'Income Statement'!M9</f>
        <v>0.4000000000000001</v>
      </c>
      <c r="N25" s="143">
        <f>'Income Statement'!N9</f>
        <v>0.39999999999999997</v>
      </c>
      <c r="O25" s="143">
        <f>'Income Statement'!O9</f>
        <v>0.39999999999999997</v>
      </c>
      <c r="P25" s="143">
        <f>'Income Statement'!P9</f>
        <v>0.4</v>
      </c>
      <c r="Q25" s="143">
        <f>'Income Statement'!Q9</f>
        <v>0.4</v>
      </c>
      <c r="R25" s="143">
        <f>'Income Statement'!R9</f>
        <v>0.4</v>
      </c>
    </row>
    <row r="26" spans="1:18" ht="15">
      <c r="A26" s="7" t="s">
        <v>23</v>
      </c>
      <c r="D26" s="146">
        <f>'Income Statement'!D13</f>
        <v>491.4</v>
      </c>
      <c r="E26" s="146">
        <f>'Income Statement'!E13</f>
        <v>579.8000000000001</v>
      </c>
      <c r="F26" s="146">
        <f>'Income Statement'!F13</f>
        <v>671.4953700000001</v>
      </c>
      <c r="G26" s="146">
        <f>'Income Statement'!G13</f>
        <v>700.695</v>
      </c>
      <c r="H26" s="146">
        <f>'Income Statement'!H13</f>
        <v>723.8720088600002</v>
      </c>
      <c r="I26" s="146">
        <f>'Income Statement'!I13</f>
        <v>778.1624095245</v>
      </c>
      <c r="J26" s="146">
        <f>'Income Statement'!J13</f>
        <v>824.8521540959703</v>
      </c>
      <c r="K26" s="146">
        <f>'Income Statement'!K13</f>
        <v>866.0947618007685</v>
      </c>
      <c r="L26" s="146">
        <f>'Income Statement'!L13</f>
        <v>900.7385522727993</v>
      </c>
      <c r="M26" s="146">
        <f>'Income Statement'!M13</f>
        <v>927.7607088409836</v>
      </c>
      <c r="N26" s="146">
        <f>'Income Statement'!N13</f>
        <v>955.5935301062128</v>
      </c>
      <c r="O26" s="146">
        <f>'Income Statement'!O13</f>
        <v>984.2613360093991</v>
      </c>
      <c r="P26" s="146">
        <f>'Income Statement'!P13</f>
        <v>1013.7891760896813</v>
      </c>
      <c r="Q26" s="146">
        <f>'Income Statement'!Q13</f>
        <v>1044.2028513723717</v>
      </c>
      <c r="R26" s="146">
        <f>'Income Statement'!R13</f>
        <v>1075.528936913543</v>
      </c>
    </row>
    <row r="27" spans="1:18" ht="15">
      <c r="A27" s="6" t="s">
        <v>19</v>
      </c>
      <c r="D27" s="145">
        <f>'Income Statement'!D14</f>
        <v>0.189</v>
      </c>
      <c r="E27" s="145">
        <f>'Income Statement'!E14</f>
        <v>0.2</v>
      </c>
      <c r="F27" s="145">
        <f>'Income Statement'!F14</f>
        <v>0.21000000000000005</v>
      </c>
      <c r="G27" s="145">
        <f>'Income Statement'!G14</f>
        <v>0.20700000000000002</v>
      </c>
      <c r="H27" s="145">
        <f>'Income Statement'!H14</f>
        <v>0.21000000000000005</v>
      </c>
      <c r="I27" s="145">
        <f>'Income Statement'!I14</f>
        <v>0.21000000000000002</v>
      </c>
      <c r="J27" s="145">
        <f>'Income Statement'!J14</f>
        <v>0.21000000000000005</v>
      </c>
      <c r="K27" s="145">
        <f>'Income Statement'!K14</f>
        <v>0.21</v>
      </c>
      <c r="L27" s="145">
        <f>'Income Statement'!L14</f>
        <v>0.21000000000000002</v>
      </c>
      <c r="M27" s="143">
        <f>'Income Statement'!M14</f>
        <v>0.21000000000000008</v>
      </c>
      <c r="N27" s="145">
        <f>'Income Statement'!N14</f>
        <v>0.21</v>
      </c>
      <c r="O27" s="145">
        <f>'Income Statement'!O14</f>
        <v>0.20999999999999996</v>
      </c>
      <c r="P27" s="145">
        <f>'Income Statement'!P14</f>
        <v>0.21</v>
      </c>
      <c r="Q27" s="145">
        <f>'Income Statement'!Q14</f>
        <v>0.21</v>
      </c>
      <c r="R27" s="145">
        <f>'Income Statement'!R14</f>
        <v>0.21000000000000002</v>
      </c>
    </row>
    <row r="28" spans="1:18" ht="15">
      <c r="A28" t="s">
        <v>112</v>
      </c>
      <c r="D28" s="144">
        <f>D22*-D29</f>
        <v>-117</v>
      </c>
      <c r="E28" s="144">
        <f>E22*-E29</f>
        <v>-130.45499999999998</v>
      </c>
      <c r="F28" s="144">
        <f>F22*-F29</f>
        <v>-143.891865</v>
      </c>
      <c r="G28" s="144">
        <f>G22*-G29</f>
        <v>-152.325</v>
      </c>
      <c r="H28" s="144">
        <f>H22*-H29</f>
        <v>-155.11543047</v>
      </c>
      <c r="I28" s="144">
        <f>'Cash Flow Statement'!H23</f>
        <v>-166.74908775525</v>
      </c>
      <c r="J28" s="144">
        <f>'Cash Flow Statement'!I23</f>
        <v>-176.754033020565</v>
      </c>
      <c r="K28" s="144">
        <f>'Cash Flow Statement'!J23</f>
        <v>-185.59173467159326</v>
      </c>
      <c r="L28" s="144">
        <f>'Cash Flow Statement'!K23</f>
        <v>-193.015404058457</v>
      </c>
      <c r="M28" s="144">
        <f>'Cash Flow Statement'!L23</f>
        <v>-198.8058661802107</v>
      </c>
      <c r="N28" s="144">
        <f>'Cash Flow Statement'!M23</f>
        <v>-204.77004216561704</v>
      </c>
      <c r="O28" s="144">
        <f>'Cash Flow Statement'!N23</f>
        <v>-210.91314343058554</v>
      </c>
      <c r="P28" s="144">
        <f>'Cash Flow Statement'!O23</f>
        <v>-217.24053773350312</v>
      </c>
      <c r="Q28" s="144">
        <f>'Cash Flow Statement'!P23</f>
        <v>-223.75775386550822</v>
      </c>
      <c r="R28" s="144">
        <f>'Cash Flow Statement'!Q23</f>
        <v>-230.47048648147347</v>
      </c>
    </row>
    <row r="29" spans="1:18" ht="15">
      <c r="A29" s="6" t="s">
        <v>21</v>
      </c>
      <c r="D29" s="143">
        <f>F29</f>
        <v>0.045</v>
      </c>
      <c r="E29" s="143">
        <f>G29</f>
        <v>0.045</v>
      </c>
      <c r="F29" s="143">
        <f>H29</f>
        <v>0.045</v>
      </c>
      <c r="G29" s="143">
        <f>I29</f>
        <v>0.045</v>
      </c>
      <c r="H29" s="143">
        <f>I29</f>
        <v>0.045</v>
      </c>
      <c r="I29" s="143">
        <f>'Cash Flow Statement'!H46</f>
        <v>0.045</v>
      </c>
      <c r="J29" s="143">
        <f>'Cash Flow Statement'!I46</f>
        <v>0.045</v>
      </c>
      <c r="K29" s="143">
        <f>'Cash Flow Statement'!J46</f>
        <v>0.045</v>
      </c>
      <c r="L29" s="143">
        <f>'Cash Flow Statement'!K46</f>
        <v>0.045</v>
      </c>
      <c r="M29" s="143">
        <f>'Cash Flow Statement'!L46</f>
        <v>0.045</v>
      </c>
      <c r="N29" s="143">
        <f>'Cash Flow Statement'!M46</f>
        <v>0.045</v>
      </c>
      <c r="O29" s="143">
        <f>'Cash Flow Statement'!N46</f>
        <v>0.045</v>
      </c>
      <c r="P29" s="143">
        <f>'Cash Flow Statement'!O46</f>
        <v>0.045</v>
      </c>
      <c r="Q29" s="143">
        <f>'Cash Flow Statement'!P46</f>
        <v>0.045</v>
      </c>
      <c r="R29" s="143">
        <f>'Cash Flow Statement'!Q46</f>
        <v>0.045</v>
      </c>
    </row>
    <row r="30" spans="1:18" ht="15">
      <c r="A30" t="s">
        <v>38</v>
      </c>
      <c r="G30" s="110"/>
      <c r="H30" s="200">
        <f>'Income Statement'!H31</f>
        <v>251.125</v>
      </c>
      <c r="I30" s="144">
        <f>'Income Statement'!I31</f>
        <v>246.68444029416258</v>
      </c>
      <c r="J30" s="144">
        <f>'Income Statement'!J31</f>
        <v>233.81086989744358</v>
      </c>
      <c r="K30" s="144">
        <f>'Income Statement'!K31</f>
        <v>218.83079078889864</v>
      </c>
      <c r="L30" s="144">
        <f>'Income Statement'!L31</f>
        <v>201.85558563467168</v>
      </c>
      <c r="M30" s="144">
        <f>'Income Statement'!M31</f>
        <v>182.9711337454896</v>
      </c>
      <c r="N30" s="144">
        <f>'Income Statement'!N31</f>
        <v>163.88267576078465</v>
      </c>
      <c r="O30" s="144">
        <f>'Income Statement'!O31</f>
        <v>141.36275903005404</v>
      </c>
      <c r="P30" s="144">
        <f>'Income Statement'!P31</f>
        <v>128.95</v>
      </c>
      <c r="Q30" s="144">
        <f>'Income Statement'!Q31</f>
        <v>128.95</v>
      </c>
      <c r="R30" s="144">
        <f>'Income Statement'!R31</f>
        <v>128.95</v>
      </c>
    </row>
    <row r="31" spans="1:18" ht="15">
      <c r="A31" t="s">
        <v>40</v>
      </c>
      <c r="G31" s="110"/>
      <c r="H31" s="200">
        <f>'Income Statement'!H33</f>
        <v>263.11339285714286</v>
      </c>
      <c r="I31" s="144">
        <f>'Income Statement'!I33</f>
        <v>258.67283315130544</v>
      </c>
      <c r="J31" s="144">
        <f>'Income Statement'!J33</f>
        <v>245.79926275458644</v>
      </c>
      <c r="K31" s="144">
        <f>'Income Statement'!K33</f>
        <v>230.8191836460415</v>
      </c>
      <c r="L31" s="144">
        <f>'Income Statement'!L33</f>
        <v>213.84397849181454</v>
      </c>
      <c r="M31" s="144">
        <f>'Income Statement'!M33</f>
        <v>194.95952660263245</v>
      </c>
      <c r="N31" s="144">
        <f>'Income Statement'!N33</f>
        <v>175.8710686179275</v>
      </c>
      <c r="O31" s="144">
        <f>'Income Statement'!O33</f>
        <v>152.7261518871969</v>
      </c>
      <c r="P31" s="144">
        <f>'Income Statement'!P33</f>
        <v>135.70624999999998</v>
      </c>
      <c r="Q31" s="144">
        <f>'Income Statement'!Q33</f>
        <v>128.95</v>
      </c>
      <c r="R31" s="144">
        <f>'Income Statement'!R33</f>
        <v>128.95</v>
      </c>
    </row>
    <row r="32" spans="7:18" ht="15"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ht="15">
      <c r="A33" s="7" t="s">
        <v>200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</row>
    <row r="34" spans="1:18" ht="15">
      <c r="A34" t="s">
        <v>23</v>
      </c>
      <c r="G34" s="110"/>
      <c r="H34" s="110"/>
      <c r="I34" s="144">
        <f>'Income Statement'!I13</f>
        <v>778.1624095245</v>
      </c>
      <c r="J34" s="144">
        <f>'Income Statement'!J13</f>
        <v>824.8521540959703</v>
      </c>
      <c r="K34" s="144">
        <f>'Income Statement'!K13</f>
        <v>866.0947618007685</v>
      </c>
      <c r="L34" s="144">
        <f>'Income Statement'!L13</f>
        <v>900.7385522727993</v>
      </c>
      <c r="M34" s="144">
        <f>'Income Statement'!M13</f>
        <v>927.7607088409836</v>
      </c>
      <c r="N34" s="144">
        <f>'Income Statement'!N13</f>
        <v>955.5935301062128</v>
      </c>
      <c r="O34" s="144">
        <f>'Income Statement'!O13</f>
        <v>984.2613360093991</v>
      </c>
      <c r="P34" s="144">
        <f>'Income Statement'!P13</f>
        <v>1013.7891760896813</v>
      </c>
      <c r="Q34" s="144">
        <f>'Income Statement'!Q13</f>
        <v>1044.2028513723717</v>
      </c>
      <c r="R34" s="144">
        <f>'Income Statement'!R13</f>
        <v>1075.528936913543</v>
      </c>
    </row>
    <row r="35" spans="1:18" ht="15">
      <c r="A35" t="s">
        <v>201</v>
      </c>
      <c r="G35" s="110"/>
      <c r="H35" s="110"/>
      <c r="I35" s="144">
        <f>-'Income Statement'!I31</f>
        <v>-246.68444029416258</v>
      </c>
      <c r="J35" s="144">
        <f>-'Income Statement'!J31</f>
        <v>-233.81086989744358</v>
      </c>
      <c r="K35" s="144">
        <f>-'Income Statement'!K31</f>
        <v>-218.83079078889864</v>
      </c>
      <c r="L35" s="144">
        <f>-'Income Statement'!L31</f>
        <v>-201.85558563467168</v>
      </c>
      <c r="M35" s="144">
        <f>-'Income Statement'!M31</f>
        <v>-182.9711337454896</v>
      </c>
      <c r="N35" s="144">
        <f>-'Income Statement'!N31</f>
        <v>-163.88267576078465</v>
      </c>
      <c r="O35" s="144">
        <f>-'Income Statement'!O31</f>
        <v>-141.36275903005404</v>
      </c>
      <c r="P35" s="144">
        <f>-'Income Statement'!P31</f>
        <v>-128.95</v>
      </c>
      <c r="Q35" s="144">
        <f>-'Income Statement'!Q31</f>
        <v>-128.95</v>
      </c>
      <c r="R35" s="144">
        <f>-'Income Statement'!R31</f>
        <v>-128.95</v>
      </c>
    </row>
    <row r="36" spans="1:18" ht="15">
      <c r="A36" t="s">
        <v>202</v>
      </c>
      <c r="G36" s="110"/>
      <c r="H36" s="110"/>
      <c r="I36" s="144">
        <f>-'Income Statement'!I34</f>
        <v>0</v>
      </c>
      <c r="J36" s="144">
        <f>-'Income Statement'!J34</f>
        <v>0</v>
      </c>
      <c r="K36" s="144">
        <f>-'Income Statement'!K34</f>
        <v>0</v>
      </c>
      <c r="L36" s="144">
        <f>-'Income Statement'!L34</f>
        <v>0</v>
      </c>
      <c r="M36" s="144">
        <f>-'Income Statement'!M34</f>
        <v>0</v>
      </c>
      <c r="N36" s="144">
        <f>-'Income Statement'!N34</f>
        <v>0</v>
      </c>
      <c r="O36" s="144">
        <f>-'Income Statement'!O34</f>
        <v>0.0026794832029972326</v>
      </c>
      <c r="P36" s="144">
        <f>-'Income Statement'!P34</f>
        <v>2.09978783050121</v>
      </c>
      <c r="Q36" s="144">
        <f>-'Income Statement'!Q34</f>
        <v>4.265096975048229</v>
      </c>
      <c r="R36" s="144">
        <f>-'Income Statement'!R34</f>
        <v>6.513932479978262</v>
      </c>
    </row>
    <row r="37" spans="1:18" ht="15">
      <c r="A37" t="s">
        <v>203</v>
      </c>
      <c r="G37" s="110"/>
      <c r="H37" s="110"/>
      <c r="I37" s="144">
        <f>-'Income Statement'!I38</f>
        <v>-112.91983455915397</v>
      </c>
      <c r="J37" s="144">
        <f>-'Income Statement'!J38</f>
        <v>-130.48472197930624</v>
      </c>
      <c r="K37" s="144">
        <f>-'Income Statement'!K38</f>
        <v>-147.37157413185568</v>
      </c>
      <c r="L37" s="144">
        <f>-'Income Statement'!L38</f>
        <v>-163.225466647156</v>
      </c>
      <c r="M37" s="144">
        <f>-'Income Statement'!M38</f>
        <v>-177.7361437192667</v>
      </c>
      <c r="N37" s="144">
        <f>-'Income Statement'!N38</f>
        <v>-192.54438066830244</v>
      </c>
      <c r="O37" s="144">
        <f>-'Income Statement'!O38</f>
        <v>-209.12172883189064</v>
      </c>
      <c r="P37" s="144">
        <f>-'Income Statement'!P38</f>
        <v>-224.4008921713611</v>
      </c>
      <c r="Q37" s="144">
        <f>-'Income Statement'!Q38</f>
        <v>-236.0462250801621</v>
      </c>
      <c r="R37" s="144">
        <f>-'Income Statement'!R38</f>
        <v>-245.40357721892488</v>
      </c>
    </row>
    <row r="38" spans="1:18" ht="15">
      <c r="A38" t="s">
        <v>204</v>
      </c>
      <c r="G38" s="110"/>
      <c r="H38" s="110"/>
      <c r="I38" s="144">
        <f>'Cash Flow Statement'!H23</f>
        <v>-166.74908775525</v>
      </c>
      <c r="J38" s="144">
        <f>'Cash Flow Statement'!I23</f>
        <v>-176.754033020565</v>
      </c>
      <c r="K38" s="144">
        <f>'Cash Flow Statement'!J23</f>
        <v>-185.59173467159326</v>
      </c>
      <c r="L38" s="144">
        <f>'Cash Flow Statement'!K23</f>
        <v>-193.015404058457</v>
      </c>
      <c r="M38" s="144">
        <f>'Cash Flow Statement'!L23</f>
        <v>-198.8058661802107</v>
      </c>
      <c r="N38" s="144">
        <f>'Cash Flow Statement'!M23</f>
        <v>-204.77004216561704</v>
      </c>
      <c r="O38" s="144">
        <f>'Cash Flow Statement'!N23</f>
        <v>-210.91314343058554</v>
      </c>
      <c r="P38" s="144">
        <f>'Cash Flow Statement'!O23</f>
        <v>-217.24053773350312</v>
      </c>
      <c r="Q38" s="144">
        <f>'Cash Flow Statement'!P23</f>
        <v>-223.75775386550822</v>
      </c>
      <c r="R38" s="144">
        <f>'Cash Flow Statement'!Q23</f>
        <v>-230.47048648147347</v>
      </c>
    </row>
    <row r="39" spans="1:18" ht="15">
      <c r="A39" t="s">
        <v>207</v>
      </c>
      <c r="G39" s="110"/>
      <c r="H39" s="110"/>
      <c r="I39" s="147">
        <f>'Cash Flow Statement'!H19</f>
        <v>-46.920013669415155</v>
      </c>
      <c r="J39" s="147">
        <f>'Cash Flow Statement'!I19</f>
        <v>-40.91520082016487</v>
      </c>
      <c r="K39" s="147">
        <f>'Cash Flow Statement'!J19</f>
        <v>-36.141760724479084</v>
      </c>
      <c r="L39" s="147">
        <f>'Cash Flow Statement'!K19</f>
        <v>-30.359079008562304</v>
      </c>
      <c r="M39" s="147">
        <f>'Cash Flow Statement'!L19</f>
        <v>-23.680081626678685</v>
      </c>
      <c r="N39" s="147">
        <f>'Cash Flow Statement'!M19</f>
        <v>-24.39048407547915</v>
      </c>
      <c r="O39" s="147">
        <f>'Cash Flow Statement'!N19</f>
        <v>-25.122198597743306</v>
      </c>
      <c r="P39" s="147">
        <f>'Cash Flow Statement'!O19</f>
        <v>-25.875864555675633</v>
      </c>
      <c r="Q39" s="147">
        <f>'Cash Flow Statement'!P19</f>
        <v>-26.65214049234598</v>
      </c>
      <c r="R39" s="147">
        <f>'Cash Flow Statement'!Q19</f>
        <v>-27.45170470711625</v>
      </c>
    </row>
    <row r="40" spans="1:18" ht="15">
      <c r="A40" s="7" t="s">
        <v>200</v>
      </c>
      <c r="G40" s="110"/>
      <c r="H40" s="110"/>
      <c r="I40" s="144">
        <f>SUM(I34:I39)</f>
        <v>204.8890332465184</v>
      </c>
      <c r="J40" s="144">
        <f aca="true" t="shared" si="3" ref="J40:R40">SUM(J34:J39)</f>
        <v>242.88732837849054</v>
      </c>
      <c r="K40" s="144">
        <f t="shared" si="3"/>
        <v>278.15890148394186</v>
      </c>
      <c r="L40" s="144">
        <f t="shared" si="3"/>
        <v>312.28301692395246</v>
      </c>
      <c r="M40" s="144">
        <f t="shared" si="3"/>
        <v>344.5674835693379</v>
      </c>
      <c r="N40" s="144">
        <f t="shared" si="3"/>
        <v>370.00594743602954</v>
      </c>
      <c r="O40" s="144">
        <f t="shared" si="3"/>
        <v>397.74418560232857</v>
      </c>
      <c r="P40" s="144">
        <f t="shared" si="3"/>
        <v>419.42166945964277</v>
      </c>
      <c r="Q40" s="144">
        <f t="shared" si="3"/>
        <v>433.0618289094035</v>
      </c>
      <c r="R40" s="144">
        <f t="shared" si="3"/>
        <v>449.76710098600665</v>
      </c>
    </row>
    <row r="41" spans="1:18" ht="15">
      <c r="A41" t="s">
        <v>205</v>
      </c>
      <c r="G41" s="110"/>
      <c r="H41" s="110"/>
      <c r="I41" s="144">
        <f>I40</f>
        <v>204.8890332465184</v>
      </c>
      <c r="J41" s="144">
        <f aca="true" t="shared" si="4" ref="J41:R41">J40+I41</f>
        <v>447.7763616250089</v>
      </c>
      <c r="K41" s="144">
        <f t="shared" si="4"/>
        <v>725.9352631089507</v>
      </c>
      <c r="L41" s="144">
        <f t="shared" si="4"/>
        <v>1038.2182800329033</v>
      </c>
      <c r="M41" s="144">
        <f t="shared" si="4"/>
        <v>1382.7857636022413</v>
      </c>
      <c r="N41" s="144">
        <f t="shared" si="4"/>
        <v>1752.791711038271</v>
      </c>
      <c r="O41" s="144">
        <f t="shared" si="4"/>
        <v>2150.5358966405993</v>
      </c>
      <c r="P41" s="144">
        <f t="shared" si="4"/>
        <v>2569.957566100242</v>
      </c>
      <c r="Q41" s="144">
        <f t="shared" si="4"/>
        <v>3003.0193950096455</v>
      </c>
      <c r="R41" s="144">
        <f t="shared" si="4"/>
        <v>3452.7864959956523</v>
      </c>
    </row>
    <row r="43" spans="1:18" ht="15">
      <c r="A43" s="93" t="s">
        <v>208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5">
      <c r="A44" t="s">
        <v>209</v>
      </c>
      <c r="H44" s="144">
        <f>'Balance Sheet'!G5</f>
        <v>0</v>
      </c>
      <c r="I44" s="144">
        <f>'Balance Sheet'!H5</f>
        <v>0</v>
      </c>
      <c r="J44" s="144">
        <f>'Balance Sheet'!I5</f>
        <v>0</v>
      </c>
      <c r="K44" s="144">
        <f>'Balance Sheet'!J5</f>
        <v>0</v>
      </c>
      <c r="L44" s="144">
        <f>'Balance Sheet'!K5</f>
        <v>0</v>
      </c>
      <c r="M44" s="144">
        <f>'Balance Sheet'!L5</f>
        <v>0</v>
      </c>
      <c r="N44" s="144">
        <f>'Balance Sheet'!M5</f>
        <v>0</v>
      </c>
      <c r="O44" s="144">
        <f>'Balance Sheet'!N5</f>
        <v>0.5358966405994465</v>
      </c>
      <c r="P44" s="144">
        <f>'Balance Sheet'!O5</f>
        <v>419.95756610024205</v>
      </c>
      <c r="Q44" s="144">
        <f>'Balance Sheet'!P5</f>
        <v>853.0193950096457</v>
      </c>
      <c r="R44" s="144">
        <f>'Balance Sheet'!Q5</f>
        <v>1302.7864959956523</v>
      </c>
    </row>
    <row r="45" spans="1:18" ht="15">
      <c r="A45" t="s">
        <v>28</v>
      </c>
      <c r="H45" s="144">
        <f>'Balance Sheet'!G23</f>
        <v>0</v>
      </c>
      <c r="I45" s="144">
        <f>'Balance Sheet'!G24</f>
        <v>0</v>
      </c>
      <c r="J45" s="144">
        <f>'Balance Sheet'!H24</f>
        <v>0</v>
      </c>
      <c r="K45" s="144">
        <f>'Balance Sheet'!I24</f>
        <v>0</v>
      </c>
      <c r="L45" s="144">
        <f>'Balance Sheet'!J24</f>
        <v>0</v>
      </c>
      <c r="M45" s="144">
        <f>'Balance Sheet'!K24</f>
        <v>0</v>
      </c>
      <c r="N45" s="144">
        <f>'Balance Sheet'!L24</f>
        <v>0</v>
      </c>
      <c r="O45" s="144">
        <f>'Balance Sheet'!M24</f>
        <v>0</v>
      </c>
      <c r="P45" s="144">
        <f>'Balance Sheet'!N24</f>
        <v>0</v>
      </c>
      <c r="Q45" s="144">
        <f>'Balance Sheet'!O24</f>
        <v>0</v>
      </c>
      <c r="R45" s="144">
        <f>'Balance Sheet'!P24</f>
        <v>0</v>
      </c>
    </row>
    <row r="46" spans="1:18" ht="15">
      <c r="A46" t="s">
        <v>29</v>
      </c>
      <c r="H46" s="144">
        <f>'Balance Sheet'!G24</f>
        <v>0</v>
      </c>
      <c r="I46" s="144">
        <f>'Balance Sheet'!H24</f>
        <v>0</v>
      </c>
      <c r="J46" s="144">
        <f>'Balance Sheet'!I24</f>
        <v>0</v>
      </c>
      <c r="K46" s="144">
        <f>'Balance Sheet'!J24</f>
        <v>0</v>
      </c>
      <c r="L46" s="144">
        <f>'Balance Sheet'!K24</f>
        <v>0</v>
      </c>
      <c r="M46" s="144">
        <f>'Balance Sheet'!L24</f>
        <v>0</v>
      </c>
      <c r="N46" s="144">
        <f>'Balance Sheet'!M24</f>
        <v>0</v>
      </c>
      <c r="O46" s="144">
        <f>'Balance Sheet'!N24</f>
        <v>0</v>
      </c>
      <c r="P46" s="144">
        <f>'Balance Sheet'!O24</f>
        <v>0</v>
      </c>
      <c r="Q46" s="144">
        <f>'Balance Sheet'!P24</f>
        <v>0</v>
      </c>
      <c r="R46" s="144">
        <f>'Balance Sheet'!Q24</f>
        <v>0</v>
      </c>
    </row>
    <row r="47" spans="1:18" ht="15">
      <c r="A47" t="s">
        <v>30</v>
      </c>
      <c r="H47" s="144">
        <f>'Balance Sheet'!G25</f>
        <v>2150</v>
      </c>
      <c r="I47" s="144">
        <f>'Balance Sheet'!H25</f>
        <v>1945.1109667534815</v>
      </c>
      <c r="J47" s="144">
        <f>'Balance Sheet'!I25</f>
        <v>1702.223638374991</v>
      </c>
      <c r="K47" s="144">
        <f>'Balance Sheet'!J25</f>
        <v>1424.064736891049</v>
      </c>
      <c r="L47" s="144">
        <f>'Balance Sheet'!K25</f>
        <v>1111.7817199670967</v>
      </c>
      <c r="M47" s="144">
        <f>'Balance Sheet'!L25</f>
        <v>767.2142363977587</v>
      </c>
      <c r="N47" s="144">
        <f>'Balance Sheet'!M25</f>
        <v>397.20828896172907</v>
      </c>
      <c r="O47" s="144">
        <f>'Balance Sheet'!N25</f>
        <v>0</v>
      </c>
      <c r="P47" s="144">
        <f>'Balance Sheet'!O25</f>
        <v>0</v>
      </c>
      <c r="Q47" s="144">
        <f>'Balance Sheet'!P25</f>
        <v>0</v>
      </c>
      <c r="R47" s="144">
        <f>'Balance Sheet'!Q25</f>
        <v>0</v>
      </c>
    </row>
    <row r="48" spans="1:18" ht="15">
      <c r="A48" t="s">
        <v>31</v>
      </c>
      <c r="H48" s="144">
        <f>'Balance Sheet'!G26</f>
        <v>0</v>
      </c>
      <c r="I48" s="144">
        <f>'Balance Sheet'!G26</f>
        <v>0</v>
      </c>
      <c r="J48" s="144">
        <f>'Balance Sheet'!H26</f>
        <v>0</v>
      </c>
      <c r="K48" s="144">
        <f>'Balance Sheet'!I26</f>
        <v>0</v>
      </c>
      <c r="L48" s="144">
        <f>'Balance Sheet'!J26</f>
        <v>0</v>
      </c>
      <c r="M48" s="144">
        <f>'Balance Sheet'!K26</f>
        <v>0</v>
      </c>
      <c r="N48" s="144">
        <f>'Balance Sheet'!L26</f>
        <v>0</v>
      </c>
      <c r="O48" s="144">
        <f>'Balance Sheet'!M26</f>
        <v>0</v>
      </c>
      <c r="P48" s="144">
        <f>'Balance Sheet'!N26</f>
        <v>0</v>
      </c>
      <c r="Q48" s="144">
        <f>'Balance Sheet'!O26</f>
        <v>0</v>
      </c>
      <c r="R48" s="144">
        <f>'Balance Sheet'!P26</f>
        <v>0</v>
      </c>
    </row>
    <row r="49" spans="1:18" ht="15">
      <c r="A49" t="s">
        <v>32</v>
      </c>
      <c r="H49" s="144">
        <f>'Balance Sheet'!G27</f>
        <v>0</v>
      </c>
      <c r="I49" s="144">
        <f>'Balance Sheet'!H27</f>
        <v>0</v>
      </c>
      <c r="J49" s="144">
        <f>'Balance Sheet'!I27</f>
        <v>0</v>
      </c>
      <c r="K49" s="144">
        <f>'Balance Sheet'!J27</f>
        <v>0</v>
      </c>
      <c r="L49" s="144">
        <f>'Balance Sheet'!K27</f>
        <v>0</v>
      </c>
      <c r="M49" s="144">
        <f>'Balance Sheet'!L27</f>
        <v>0</v>
      </c>
      <c r="N49" s="144">
        <f>'Balance Sheet'!M27</f>
        <v>0</v>
      </c>
      <c r="O49" s="144">
        <f>'Balance Sheet'!N27</f>
        <v>0</v>
      </c>
      <c r="P49" s="144">
        <f>'Balance Sheet'!O27</f>
        <v>0</v>
      </c>
      <c r="Q49" s="144">
        <f>'Balance Sheet'!P27</f>
        <v>0</v>
      </c>
      <c r="R49" s="144">
        <f>'Balance Sheet'!Q27</f>
        <v>0</v>
      </c>
    </row>
    <row r="50" spans="1:18" ht="15">
      <c r="A50" t="s">
        <v>33</v>
      </c>
      <c r="H50" s="144">
        <f>'Balance Sheet'!G28</f>
        <v>0</v>
      </c>
      <c r="I50" s="144">
        <f>'Balance Sheet'!H28</f>
        <v>0</v>
      </c>
      <c r="J50" s="144">
        <f>'Balance Sheet'!I28</f>
        <v>0</v>
      </c>
      <c r="K50" s="144">
        <f>'Balance Sheet'!J28</f>
        <v>0</v>
      </c>
      <c r="L50" s="144">
        <f>'Balance Sheet'!K28</f>
        <v>0</v>
      </c>
      <c r="M50" s="144">
        <f>'Balance Sheet'!L28</f>
        <v>0</v>
      </c>
      <c r="N50" s="144">
        <f>'Balance Sheet'!M28</f>
        <v>0</v>
      </c>
      <c r="O50" s="144">
        <f>'Balance Sheet'!N28</f>
        <v>0</v>
      </c>
      <c r="P50" s="144">
        <f>'Balance Sheet'!O28</f>
        <v>0</v>
      </c>
      <c r="Q50" s="144">
        <f>'Balance Sheet'!P28</f>
        <v>0</v>
      </c>
      <c r="R50" s="144">
        <f>'Balance Sheet'!Q28</f>
        <v>0</v>
      </c>
    </row>
    <row r="51" spans="1:18" ht="15">
      <c r="A51" t="s">
        <v>77</v>
      </c>
      <c r="H51" s="147">
        <f>'Balance Sheet'!G32</f>
        <v>0</v>
      </c>
      <c r="I51" s="147">
        <f>'Balance Sheet'!H32</f>
        <v>0</v>
      </c>
      <c r="J51" s="147">
        <f>'Balance Sheet'!I32</f>
        <v>0</v>
      </c>
      <c r="K51" s="147">
        <f>'Balance Sheet'!J32</f>
        <v>0</v>
      </c>
      <c r="L51" s="147">
        <f>'Balance Sheet'!K32</f>
        <v>0</v>
      </c>
      <c r="M51" s="147">
        <f>'Balance Sheet'!L32</f>
        <v>0</v>
      </c>
      <c r="N51" s="147">
        <f>'Balance Sheet'!M32</f>
        <v>0</v>
      </c>
      <c r="O51" s="147">
        <f>'Balance Sheet'!N32</f>
        <v>0</v>
      </c>
      <c r="P51" s="147">
        <f>'Balance Sheet'!O32</f>
        <v>0</v>
      </c>
      <c r="Q51" s="147">
        <f>'Balance Sheet'!P32</f>
        <v>0</v>
      </c>
      <c r="R51" s="147">
        <f>'Balance Sheet'!Q32</f>
        <v>0</v>
      </c>
    </row>
    <row r="52" spans="1:18" ht="15">
      <c r="A52" s="7" t="s">
        <v>210</v>
      </c>
      <c r="H52" s="144">
        <f>SUM(H45:H51)</f>
        <v>2150</v>
      </c>
      <c r="I52" s="144">
        <f>SUM(I45:I51)</f>
        <v>1945.1109667534815</v>
      </c>
      <c r="J52" s="144">
        <f aca="true" t="shared" si="5" ref="J52:R52">SUM(J45:J51)</f>
        <v>1702.223638374991</v>
      </c>
      <c r="K52" s="144">
        <f t="shared" si="5"/>
        <v>1424.064736891049</v>
      </c>
      <c r="L52" s="144">
        <f t="shared" si="5"/>
        <v>1111.7817199670967</v>
      </c>
      <c r="M52" s="144">
        <f t="shared" si="5"/>
        <v>767.2142363977587</v>
      </c>
      <c r="N52" s="144">
        <f t="shared" si="5"/>
        <v>397.20828896172907</v>
      </c>
      <c r="O52" s="144">
        <f t="shared" si="5"/>
        <v>0</v>
      </c>
      <c r="P52" s="144">
        <f t="shared" si="5"/>
        <v>0</v>
      </c>
      <c r="Q52" s="144">
        <f t="shared" si="5"/>
        <v>0</v>
      </c>
      <c r="R52" s="144">
        <f t="shared" si="5"/>
        <v>0</v>
      </c>
    </row>
    <row r="53" spans="1:18" ht="15">
      <c r="A53" t="s">
        <v>34</v>
      </c>
      <c r="H53" s="147">
        <f>'Balance Sheet'!G29</f>
        <v>1500</v>
      </c>
      <c r="I53" s="147">
        <f>'Balance Sheet'!H29</f>
        <v>1500</v>
      </c>
      <c r="J53" s="147">
        <f>'Balance Sheet'!I29</f>
        <v>1500</v>
      </c>
      <c r="K53" s="147">
        <f>'Balance Sheet'!J29</f>
        <v>1500</v>
      </c>
      <c r="L53" s="147">
        <f>'Balance Sheet'!K29</f>
        <v>1500</v>
      </c>
      <c r="M53" s="147">
        <f>'Balance Sheet'!L29</f>
        <v>1500</v>
      </c>
      <c r="N53" s="147">
        <f>'Balance Sheet'!M29</f>
        <v>1500</v>
      </c>
      <c r="O53" s="147">
        <f>'Balance Sheet'!N29</f>
        <v>1500</v>
      </c>
      <c r="P53" s="147">
        <f>'Balance Sheet'!O29</f>
        <v>1500</v>
      </c>
      <c r="Q53" s="147">
        <f>'Balance Sheet'!P29</f>
        <v>1500</v>
      </c>
      <c r="R53" s="147">
        <f>'Balance Sheet'!Q29</f>
        <v>1500</v>
      </c>
    </row>
    <row r="54" spans="1:18" ht="15">
      <c r="A54" s="7" t="s">
        <v>211</v>
      </c>
      <c r="H54" s="144">
        <f>SUM(H52:H53)</f>
        <v>3650</v>
      </c>
      <c r="I54" s="144">
        <f>SUM(I52:I53)</f>
        <v>3445.1109667534815</v>
      </c>
      <c r="J54" s="144">
        <f aca="true" t="shared" si="6" ref="J54:R54">SUM(J52:J53)</f>
        <v>3202.223638374991</v>
      </c>
      <c r="K54" s="144">
        <f t="shared" si="6"/>
        <v>2924.064736891049</v>
      </c>
      <c r="L54" s="144">
        <f t="shared" si="6"/>
        <v>2611.7817199670967</v>
      </c>
      <c r="M54" s="144">
        <f t="shared" si="6"/>
        <v>2267.2142363977587</v>
      </c>
      <c r="N54" s="144">
        <f t="shared" si="6"/>
        <v>1897.208288961729</v>
      </c>
      <c r="O54" s="144">
        <f t="shared" si="6"/>
        <v>1500</v>
      </c>
      <c r="P54" s="144">
        <f t="shared" si="6"/>
        <v>1500</v>
      </c>
      <c r="Q54" s="144">
        <f t="shared" si="6"/>
        <v>1500</v>
      </c>
      <c r="R54" s="144">
        <f t="shared" si="6"/>
        <v>1500</v>
      </c>
    </row>
    <row r="55" spans="1:18" ht="15">
      <c r="A55" t="s">
        <v>35</v>
      </c>
      <c r="H55" s="147">
        <f>'Balance Sheet'!G31</f>
        <v>0</v>
      </c>
      <c r="I55" s="147">
        <f>'Balance Sheet'!H31</f>
        <v>0</v>
      </c>
      <c r="J55" s="147">
        <f>'Balance Sheet'!I31</f>
        <v>0</v>
      </c>
      <c r="K55" s="147">
        <f>'Balance Sheet'!J31</f>
        <v>0</v>
      </c>
      <c r="L55" s="147">
        <f>'Balance Sheet'!K31</f>
        <v>0</v>
      </c>
      <c r="M55" s="147">
        <f>'Balance Sheet'!L31</f>
        <v>0</v>
      </c>
      <c r="N55" s="147">
        <f>'Balance Sheet'!M31</f>
        <v>0</v>
      </c>
      <c r="O55" s="147">
        <f>'Balance Sheet'!N31</f>
        <v>0</v>
      </c>
      <c r="P55" s="147">
        <f>'Balance Sheet'!O31</f>
        <v>0</v>
      </c>
      <c r="Q55" s="147">
        <f>'Balance Sheet'!P31</f>
        <v>0</v>
      </c>
      <c r="R55" s="147">
        <f>'Balance Sheet'!Q31</f>
        <v>0</v>
      </c>
    </row>
    <row r="56" spans="1:18" ht="15">
      <c r="A56" s="7" t="s">
        <v>212</v>
      </c>
      <c r="H56" s="144">
        <f>SUM(H54:H55)</f>
        <v>3650</v>
      </c>
      <c r="I56" s="144">
        <f>SUM(I54:I55)</f>
        <v>3445.1109667534815</v>
      </c>
      <c r="J56" s="144">
        <f aca="true" t="shared" si="7" ref="J56:R56">SUM(J54:J55)</f>
        <v>3202.223638374991</v>
      </c>
      <c r="K56" s="144">
        <f t="shared" si="7"/>
        <v>2924.064736891049</v>
      </c>
      <c r="L56" s="144">
        <f t="shared" si="7"/>
        <v>2611.7817199670967</v>
      </c>
      <c r="M56" s="144">
        <f t="shared" si="7"/>
        <v>2267.2142363977587</v>
      </c>
      <c r="N56" s="144">
        <f t="shared" si="7"/>
        <v>1897.208288961729</v>
      </c>
      <c r="O56" s="144">
        <f t="shared" si="7"/>
        <v>1500</v>
      </c>
      <c r="P56" s="144">
        <f t="shared" si="7"/>
        <v>1500</v>
      </c>
      <c r="Q56" s="144">
        <f t="shared" si="7"/>
        <v>1500</v>
      </c>
      <c r="R56" s="144">
        <f t="shared" si="7"/>
        <v>1500</v>
      </c>
    </row>
    <row r="58" spans="1:18" ht="15">
      <c r="A58" s="11" t="s">
        <v>83</v>
      </c>
      <c r="H58" s="22">
        <f>'Balance Sheet'!G39</f>
        <v>2040</v>
      </c>
      <c r="I58" s="22">
        <f>'Balance Sheet'!H39</f>
        <v>2224.2376248070404</v>
      </c>
      <c r="J58" s="22">
        <f>'Balance Sheet'!I39</f>
        <v>2437.133750141698</v>
      </c>
      <c r="K58" s="22">
        <f>'Balance Sheet'!J39</f>
        <v>2677.5821079357784</v>
      </c>
      <c r="L58" s="22">
        <f>'Balance Sheet'!K39</f>
        <v>2943.8973429916646</v>
      </c>
      <c r="M58" s="22">
        <f>'Balance Sheet'!L39</f>
        <v>3233.8878932704683</v>
      </c>
      <c r="N58" s="22">
        <f>'Balance Sheet'!M39</f>
        <v>3548.0392512029616</v>
      </c>
      <c r="O58" s="22">
        <f>'Balance Sheet'!N39</f>
        <v>3889.237861402362</v>
      </c>
      <c r="P58" s="22">
        <f>'Balance Sheet'!O39</f>
        <v>4255.365632839846</v>
      </c>
      <c r="Q58" s="22">
        <f>'Balance Sheet'!P39</f>
        <v>4640.493684286426</v>
      </c>
      <c r="R58" s="22">
        <f>'Balance Sheet'!Q39</f>
        <v>5040.888994485725</v>
      </c>
    </row>
    <row r="59" spans="1:18" ht="15.75" thickBot="1">
      <c r="A59" s="7" t="s">
        <v>213</v>
      </c>
      <c r="H59" s="58">
        <f>H58+H56</f>
        <v>5690</v>
      </c>
      <c r="I59" s="58">
        <f>I58+I56</f>
        <v>5669.3485915605215</v>
      </c>
      <c r="J59" s="58">
        <f aca="true" t="shared" si="8" ref="J59:R59">J58+J56</f>
        <v>5639.357388516689</v>
      </c>
      <c r="K59" s="58">
        <f t="shared" si="8"/>
        <v>5601.646844826828</v>
      </c>
      <c r="L59" s="58">
        <f t="shared" si="8"/>
        <v>5555.679062958761</v>
      </c>
      <c r="M59" s="58">
        <f t="shared" si="8"/>
        <v>5501.102129668227</v>
      </c>
      <c r="N59" s="58">
        <f t="shared" si="8"/>
        <v>5445.247540164691</v>
      </c>
      <c r="O59" s="58">
        <f t="shared" si="8"/>
        <v>5389.237861402362</v>
      </c>
      <c r="P59" s="58">
        <f t="shared" si="8"/>
        <v>5755.365632839846</v>
      </c>
      <c r="Q59" s="58">
        <f t="shared" si="8"/>
        <v>6140.493684286426</v>
      </c>
      <c r="R59" s="58">
        <f t="shared" si="8"/>
        <v>6540.888994485725</v>
      </c>
    </row>
    <row r="60" ht="15.75" thickTop="1"/>
    <row r="61" spans="1:18" ht="15">
      <c r="A61" s="6" t="s">
        <v>214</v>
      </c>
      <c r="H61" s="24">
        <f aca="true" t="shared" si="9" ref="H61:R61">($H$47-H47)/$H$47</f>
        <v>0</v>
      </c>
      <c r="I61" s="24">
        <f t="shared" si="9"/>
        <v>0.09529722476582254</v>
      </c>
      <c r="J61" s="24">
        <f t="shared" si="9"/>
        <v>0.2082680751744228</v>
      </c>
      <c r="K61" s="24">
        <f t="shared" si="9"/>
        <v>0.3376443084227679</v>
      </c>
      <c r="L61" s="24">
        <f t="shared" si="9"/>
        <v>0.4828922232711178</v>
      </c>
      <c r="M61" s="24">
        <f t="shared" si="9"/>
        <v>0.6431561691173215</v>
      </c>
      <c r="N61" s="24">
        <f t="shared" si="9"/>
        <v>0.8152519586224516</v>
      </c>
      <c r="O61" s="24">
        <f t="shared" si="9"/>
        <v>1</v>
      </c>
      <c r="P61" s="24">
        <f t="shared" si="9"/>
        <v>1</v>
      </c>
      <c r="Q61" s="24">
        <f t="shared" si="9"/>
        <v>1</v>
      </c>
      <c r="R61" s="24">
        <f t="shared" si="9"/>
        <v>1</v>
      </c>
    </row>
    <row r="63" spans="1:18" ht="15">
      <c r="A63" s="93" t="s">
        <v>215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</row>
    <row r="64" spans="1:18" ht="15">
      <c r="A64" s="6" t="s">
        <v>216</v>
      </c>
      <c r="H64" s="24">
        <f>H56/H59</f>
        <v>0.6414762741652021</v>
      </c>
      <c r="I64" s="24">
        <f aca="true" t="shared" si="10" ref="I64:R64">I56/I59</f>
        <v>0.6076731587614714</v>
      </c>
      <c r="J64" s="24">
        <f t="shared" si="10"/>
        <v>0.5678348467319371</v>
      </c>
      <c r="K64" s="24">
        <f t="shared" si="10"/>
        <v>0.52200090757086</v>
      </c>
      <c r="L64" s="24">
        <f t="shared" si="10"/>
        <v>0.47011025841657467</v>
      </c>
      <c r="M64" s="24">
        <f t="shared" si="10"/>
        <v>0.4121381830325145</v>
      </c>
      <c r="N64" s="24">
        <f t="shared" si="10"/>
        <v>0.34841543473785735</v>
      </c>
      <c r="O64" s="24">
        <f t="shared" si="10"/>
        <v>0.2783324912680097</v>
      </c>
      <c r="P64" s="24">
        <f t="shared" si="10"/>
        <v>0.26062636080687396</v>
      </c>
      <c r="Q64" s="24">
        <f t="shared" si="10"/>
        <v>0.24428003302706952</v>
      </c>
      <c r="R64" s="24">
        <f t="shared" si="10"/>
        <v>0.22932662536614978</v>
      </c>
    </row>
    <row r="66" spans="1:18" ht="15">
      <c r="A66" t="s">
        <v>217</v>
      </c>
      <c r="H66" s="149">
        <f>H26/H30</f>
        <v>2.882516710243903</v>
      </c>
      <c r="I66" s="149">
        <f aca="true" t="shared" si="11" ref="I66:R66">I26/I30</f>
        <v>3.1544851738381574</v>
      </c>
      <c r="J66" s="149">
        <f t="shared" si="11"/>
        <v>3.5278605928705327</v>
      </c>
      <c r="K66" s="149">
        <f t="shared" si="11"/>
        <v>3.957828597513371</v>
      </c>
      <c r="L66" s="149">
        <f t="shared" si="11"/>
        <v>4.462291937281344</v>
      </c>
      <c r="M66" s="149">
        <f t="shared" si="11"/>
        <v>5.070530470295311</v>
      </c>
      <c r="N66" s="149">
        <f t="shared" si="11"/>
        <v>5.830961239008986</v>
      </c>
      <c r="O66" s="149">
        <f t="shared" si="11"/>
        <v>6.962663595156225</v>
      </c>
      <c r="P66" s="149">
        <f t="shared" si="11"/>
        <v>7.86187806195953</v>
      </c>
      <c r="Q66" s="149">
        <f t="shared" si="11"/>
        <v>8.097734403818315</v>
      </c>
      <c r="R66" s="149">
        <f t="shared" si="11"/>
        <v>8.340666435932865</v>
      </c>
    </row>
    <row r="67" spans="1:18" ht="15">
      <c r="A67" t="s">
        <v>218</v>
      </c>
      <c r="H67" s="149">
        <f>(H26+H28)/H30</f>
        <v>2.2648345580487814</v>
      </c>
      <c r="I67" s="149">
        <f aca="true" t="shared" si="12" ref="I67:R67">(I26+I28)/I30</f>
        <v>2.4785240651585525</v>
      </c>
      <c r="J67" s="149">
        <f t="shared" si="12"/>
        <v>2.7718904658268473</v>
      </c>
      <c r="K67" s="149">
        <f t="shared" si="12"/>
        <v>3.109722469474791</v>
      </c>
      <c r="L67" s="149">
        <f t="shared" si="12"/>
        <v>3.5060865221496273</v>
      </c>
      <c r="M67" s="149">
        <f t="shared" si="12"/>
        <v>3.983988226660602</v>
      </c>
      <c r="N67" s="149">
        <f t="shared" si="12"/>
        <v>4.581469544935632</v>
      </c>
      <c r="O67" s="149">
        <f t="shared" si="12"/>
        <v>5.470664253337033</v>
      </c>
      <c r="P67" s="149">
        <f t="shared" si="12"/>
        <v>6.177189905825345</v>
      </c>
      <c r="Q67" s="149">
        <f t="shared" si="12"/>
        <v>6.3625056030001055</v>
      </c>
      <c r="R67" s="149">
        <f t="shared" si="12"/>
        <v>6.55338077109011</v>
      </c>
    </row>
    <row r="68" spans="1:18" ht="15">
      <c r="A68" t="s">
        <v>219</v>
      </c>
      <c r="H68" s="149">
        <f>H26/H31</f>
        <v>2.751178877667492</v>
      </c>
      <c r="I68" s="149">
        <f aca="true" t="shared" si="13" ref="I68:R68">I26/I31</f>
        <v>3.008288114544018</v>
      </c>
      <c r="J68" s="149">
        <f t="shared" si="13"/>
        <v>3.3557958834055905</v>
      </c>
      <c r="K68" s="149">
        <f t="shared" si="13"/>
        <v>3.752265076584426</v>
      </c>
      <c r="L68" s="149">
        <f t="shared" si="13"/>
        <v>4.212129603206375</v>
      </c>
      <c r="M68" s="149">
        <f t="shared" si="13"/>
        <v>4.75873492826001</v>
      </c>
      <c r="N68" s="149">
        <f t="shared" si="13"/>
        <v>5.43348907592186</v>
      </c>
      <c r="O68" s="149">
        <f t="shared" si="13"/>
        <v>6.4446155674528605</v>
      </c>
      <c r="P68" s="149">
        <f t="shared" si="13"/>
        <v>7.470467838361766</v>
      </c>
      <c r="Q68" s="149">
        <f t="shared" si="13"/>
        <v>8.097734403818315</v>
      </c>
      <c r="R68" s="149">
        <f t="shared" si="13"/>
        <v>8.340666435932865</v>
      </c>
    </row>
    <row r="69" spans="1:18" ht="15">
      <c r="A69" t="s">
        <v>220</v>
      </c>
      <c r="H69" s="149">
        <f>(H26+H28)/H31</f>
        <v>2.161640546738744</v>
      </c>
      <c r="I69" s="149">
        <f aca="true" t="shared" si="14" ref="I69:R69">(I26+I28)/I31</f>
        <v>2.3636549471417285</v>
      </c>
      <c r="J69" s="149">
        <f t="shared" si="14"/>
        <v>2.6366967655329643</v>
      </c>
      <c r="K69" s="149">
        <f t="shared" si="14"/>
        <v>2.9482082744591915</v>
      </c>
      <c r="L69" s="149">
        <f t="shared" si="14"/>
        <v>3.309530402519295</v>
      </c>
      <c r="M69" s="149">
        <f t="shared" si="14"/>
        <v>3.7390060150614364</v>
      </c>
      <c r="N69" s="149">
        <f t="shared" si="14"/>
        <v>4.269169988224318</v>
      </c>
      <c r="O69" s="149">
        <f t="shared" si="14"/>
        <v>5.06362651728439</v>
      </c>
      <c r="P69" s="149">
        <f t="shared" si="14"/>
        <v>5.869653301569959</v>
      </c>
      <c r="Q69" s="149">
        <f t="shared" si="14"/>
        <v>6.3625056030001055</v>
      </c>
      <c r="R69" s="149">
        <f t="shared" si="14"/>
        <v>6.55338077109011</v>
      </c>
    </row>
    <row r="70" spans="1:18" ht="15">
      <c r="A70" t="s">
        <v>221</v>
      </c>
      <c r="H70" s="149">
        <f>H52/H26</f>
        <v>2.9701383306504106</v>
      </c>
      <c r="I70" s="149">
        <f aca="true" t="shared" si="15" ref="I70:R70">I52/I26</f>
        <v>2.4996208284361243</v>
      </c>
      <c r="J70" s="149">
        <f t="shared" si="15"/>
        <v>2.0636712044967758</v>
      </c>
      <c r="K70" s="149">
        <f t="shared" si="15"/>
        <v>1.6442366351808426</v>
      </c>
      <c r="L70" s="149">
        <f t="shared" si="15"/>
        <v>1.234300138660414</v>
      </c>
      <c r="M70" s="149">
        <f t="shared" si="15"/>
        <v>0.8269527143008787</v>
      </c>
      <c r="N70" s="149">
        <f t="shared" si="15"/>
        <v>0.41566657417362374</v>
      </c>
      <c r="O70" s="149">
        <f t="shared" si="15"/>
        <v>0</v>
      </c>
      <c r="P70" s="149">
        <f t="shared" si="15"/>
        <v>0</v>
      </c>
      <c r="Q70" s="149">
        <f t="shared" si="15"/>
        <v>0</v>
      </c>
      <c r="R70" s="149">
        <f t="shared" si="15"/>
        <v>0</v>
      </c>
    </row>
    <row r="71" spans="1:18" ht="15">
      <c r="A71" t="s">
        <v>222</v>
      </c>
      <c r="H71" s="149">
        <f>H54/H26</f>
        <v>5.042327863662325</v>
      </c>
      <c r="I71" s="149">
        <f aca="true" t="shared" si="16" ref="I71:R71">I54/I26</f>
        <v>4.427238998679766</v>
      </c>
      <c r="J71" s="149">
        <f t="shared" si="16"/>
        <v>3.8821789122737953</v>
      </c>
      <c r="K71" s="149">
        <f t="shared" si="16"/>
        <v>3.376148737825624</v>
      </c>
      <c r="L71" s="149">
        <f t="shared" si="16"/>
        <v>2.899600237357319</v>
      </c>
      <c r="M71" s="149">
        <f t="shared" si="16"/>
        <v>2.44374892662797</v>
      </c>
      <c r="N71" s="149">
        <f t="shared" si="16"/>
        <v>1.9853716346853636</v>
      </c>
      <c r="O71" s="149">
        <f t="shared" si="16"/>
        <v>1.523985495642466</v>
      </c>
      <c r="P71" s="149">
        <f t="shared" si="16"/>
        <v>1.4795975685849183</v>
      </c>
      <c r="Q71" s="149">
        <f t="shared" si="16"/>
        <v>1.4365024937717654</v>
      </c>
      <c r="R71" s="149">
        <f t="shared" si="16"/>
        <v>1.3946626153123933</v>
      </c>
    </row>
    <row r="72" spans="1:18" ht="15">
      <c r="A72" t="s">
        <v>223</v>
      </c>
      <c r="H72" s="149">
        <f>H56/H26</f>
        <v>5.042327863662325</v>
      </c>
      <c r="I72" s="149">
        <f aca="true" t="shared" si="17" ref="I72:R72">I56/I26</f>
        <v>4.427238998679766</v>
      </c>
      <c r="J72" s="149">
        <f t="shared" si="17"/>
        <v>3.8821789122737953</v>
      </c>
      <c r="K72" s="149">
        <f t="shared" si="17"/>
        <v>3.376148737825624</v>
      </c>
      <c r="L72" s="149">
        <f t="shared" si="17"/>
        <v>2.899600237357319</v>
      </c>
      <c r="M72" s="149">
        <f t="shared" si="17"/>
        <v>2.44374892662797</v>
      </c>
      <c r="N72" s="149">
        <f t="shared" si="17"/>
        <v>1.9853716346853636</v>
      </c>
      <c r="O72" s="149">
        <f t="shared" si="17"/>
        <v>1.523985495642466</v>
      </c>
      <c r="P72" s="149">
        <f t="shared" si="17"/>
        <v>1.4795975685849183</v>
      </c>
      <c r="Q72" s="149">
        <f t="shared" si="17"/>
        <v>1.4365024937717654</v>
      </c>
      <c r="R72" s="149">
        <f t="shared" si="17"/>
        <v>1.3946626153123933</v>
      </c>
    </row>
    <row r="73" spans="1:18" ht="15">
      <c r="A73" t="s">
        <v>224</v>
      </c>
      <c r="H73" s="149">
        <f>(H56-H44)/H26</f>
        <v>5.042327863662325</v>
      </c>
      <c r="I73" s="149">
        <f aca="true" t="shared" si="18" ref="I73:R73">(I56-I44)/I26</f>
        <v>4.427238998679766</v>
      </c>
      <c r="J73" s="149">
        <f t="shared" si="18"/>
        <v>3.8821789122737953</v>
      </c>
      <c r="K73" s="149">
        <f t="shared" si="18"/>
        <v>3.376148737825624</v>
      </c>
      <c r="L73" s="149">
        <f t="shared" si="18"/>
        <v>2.899600237357319</v>
      </c>
      <c r="M73" s="149">
        <f t="shared" si="18"/>
        <v>2.44374892662797</v>
      </c>
      <c r="N73" s="149">
        <f t="shared" si="18"/>
        <v>1.9853716346853636</v>
      </c>
      <c r="O73" s="149">
        <f t="shared" si="18"/>
        <v>1.523441029837508</v>
      </c>
      <c r="P73" s="149">
        <f t="shared" si="18"/>
        <v>1.0653521061110796</v>
      </c>
      <c r="Q73" s="149">
        <f t="shared" si="18"/>
        <v>0.6195928349937396</v>
      </c>
      <c r="R73" s="149">
        <f t="shared" si="18"/>
        <v>0.18336420084641644</v>
      </c>
    </row>
  </sheetData>
  <sheetProtection/>
  <mergeCells count="9">
    <mergeCell ref="I19:R19"/>
    <mergeCell ref="D19:G19"/>
    <mergeCell ref="A4:H4"/>
    <mergeCell ref="I4:L4"/>
    <mergeCell ref="M4:O4"/>
    <mergeCell ref="P4:R4"/>
    <mergeCell ref="F5:G5"/>
    <mergeCell ref="M11:O11"/>
    <mergeCell ref="P11:R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zoomScale="85" zoomScaleNormal="85" zoomScalePageLayoutView="0" workbookViewId="0" topLeftCell="A1">
      <selection activeCell="H34" sqref="H34"/>
    </sheetView>
  </sheetViews>
  <sheetFormatPr defaultColWidth="9.140625" defaultRowHeight="15"/>
  <cols>
    <col min="1" max="1" width="22.00390625" style="0" customWidth="1"/>
    <col min="2" max="2" width="18.421875" style="0" customWidth="1"/>
    <col min="4" max="18" width="11.57421875" style="0" bestFit="1" customWidth="1"/>
  </cols>
  <sheetData>
    <row r="1" spans="1:26" s="10" customFormat="1" ht="1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"/>
      <c r="T1" s="9"/>
      <c r="U1" s="9"/>
      <c r="V1" s="9"/>
      <c r="W1" s="9"/>
      <c r="X1" s="9"/>
      <c r="Y1" s="9"/>
      <c r="Z1" s="9"/>
    </row>
    <row r="2" spans="4:18" ht="15">
      <c r="D2" s="201" t="s">
        <v>13</v>
      </c>
      <c r="E2" s="201"/>
      <c r="F2" s="201"/>
      <c r="G2" s="206"/>
      <c r="I2" s="201" t="s">
        <v>14</v>
      </c>
      <c r="J2" s="201"/>
      <c r="K2" s="201"/>
      <c r="L2" s="201"/>
      <c r="M2" s="201"/>
      <c r="N2" s="201"/>
      <c r="O2" s="201"/>
      <c r="P2" s="201"/>
      <c r="Q2" s="201"/>
      <c r="R2" s="201"/>
    </row>
    <row r="3" spans="1:18" ht="15">
      <c r="A3" s="1"/>
      <c r="B3" s="1"/>
      <c r="C3" s="1"/>
      <c r="D3" s="5"/>
      <c r="E3" s="5"/>
      <c r="F3" s="5"/>
      <c r="G3" s="25" t="s">
        <v>1</v>
      </c>
      <c r="H3" s="26" t="s">
        <v>2</v>
      </c>
      <c r="I3" s="1" t="s">
        <v>3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8</v>
      </c>
      <c r="O3" s="1" t="s">
        <v>9</v>
      </c>
      <c r="P3" s="1" t="s">
        <v>10</v>
      </c>
      <c r="Q3" s="1" t="s">
        <v>11</v>
      </c>
      <c r="R3" s="1" t="s">
        <v>12</v>
      </c>
    </row>
    <row r="4" spans="1:18" ht="15">
      <c r="A4" s="1"/>
      <c r="B4" s="1"/>
      <c r="C4" s="1"/>
      <c r="D4" s="63">
        <v>2009</v>
      </c>
      <c r="E4" s="63">
        <v>2010</v>
      </c>
      <c r="F4" s="63">
        <v>2011</v>
      </c>
      <c r="G4" s="64">
        <v>41182</v>
      </c>
      <c r="H4" s="65">
        <v>2012</v>
      </c>
      <c r="I4" s="63">
        <v>2013</v>
      </c>
      <c r="J4" s="63">
        <v>2014</v>
      </c>
      <c r="K4" s="63">
        <v>2015</v>
      </c>
      <c r="L4" s="63">
        <v>2016</v>
      </c>
      <c r="M4" s="63">
        <v>2017</v>
      </c>
      <c r="N4" s="63">
        <v>2018</v>
      </c>
      <c r="O4" s="63">
        <v>2019</v>
      </c>
      <c r="P4" s="63">
        <v>2020</v>
      </c>
      <c r="Q4" s="63">
        <v>2021</v>
      </c>
      <c r="R4" s="63">
        <v>2022</v>
      </c>
    </row>
    <row r="5" spans="1:18" ht="15">
      <c r="A5" t="s">
        <v>15</v>
      </c>
      <c r="D5" s="66">
        <v>2600</v>
      </c>
      <c r="E5" s="66">
        <f>D5*(1+E43)</f>
        <v>2899</v>
      </c>
      <c r="F5" s="66">
        <f>E5*(1+F43)</f>
        <v>3197.5969999999998</v>
      </c>
      <c r="G5" s="67">
        <v>3385</v>
      </c>
      <c r="H5" s="66">
        <f>F5*(1+H43)</f>
        <v>3447.009566</v>
      </c>
      <c r="I5" s="66">
        <f aca="true" t="shared" si="0" ref="I5:R5">H5*(1+I43)</f>
        <v>3705.53528345</v>
      </c>
      <c r="J5" s="66">
        <f t="shared" si="0"/>
        <v>3927.8674004570003</v>
      </c>
      <c r="K5" s="66">
        <f t="shared" si="0"/>
        <v>4124.26077047985</v>
      </c>
      <c r="L5" s="66">
        <f t="shared" si="0"/>
        <v>4289.231201299044</v>
      </c>
      <c r="M5" s="66">
        <f t="shared" si="0"/>
        <v>4417.908137338016</v>
      </c>
      <c r="N5" s="66">
        <f t="shared" si="0"/>
        <v>4550.445381458157</v>
      </c>
      <c r="O5" s="66">
        <f t="shared" si="0"/>
        <v>4686.958742901901</v>
      </c>
      <c r="P5" s="66">
        <f t="shared" si="0"/>
        <v>4827.567505188958</v>
      </c>
      <c r="Q5" s="66">
        <f t="shared" si="0"/>
        <v>4972.394530344627</v>
      </c>
      <c r="R5" s="66">
        <f t="shared" si="0"/>
        <v>5121.566366254966</v>
      </c>
    </row>
    <row r="6" spans="1:18" ht="15">
      <c r="A6" s="6" t="s">
        <v>16</v>
      </c>
      <c r="D6" s="68" t="s">
        <v>54</v>
      </c>
      <c r="E6" s="69">
        <f aca="true" t="shared" si="1" ref="E6:R6">(E5-D5)/D5</f>
        <v>0.115</v>
      </c>
      <c r="F6" s="69">
        <f t="shared" si="1"/>
        <v>0.10299999999999991</v>
      </c>
      <c r="G6" s="70" t="s">
        <v>54</v>
      </c>
      <c r="H6" s="71">
        <f>(H5-F5)/F5</f>
        <v>0.07800000000000014</v>
      </c>
      <c r="I6" s="69">
        <f t="shared" si="1"/>
        <v>0.07499999999999993</v>
      </c>
      <c r="J6" s="69">
        <f t="shared" si="1"/>
        <v>0.06000000000000008</v>
      </c>
      <c r="K6" s="69">
        <f t="shared" si="1"/>
        <v>0.049999999999999975</v>
      </c>
      <c r="L6" s="69">
        <f t="shared" si="1"/>
        <v>0.04</v>
      </c>
      <c r="M6" s="69">
        <f t="shared" si="1"/>
        <v>0.030000000000000086</v>
      </c>
      <c r="N6" s="69">
        <f t="shared" si="1"/>
        <v>0.030000000000000054</v>
      </c>
      <c r="O6" s="69">
        <f t="shared" si="1"/>
        <v>0.029999999999999968</v>
      </c>
      <c r="P6" s="69">
        <f t="shared" si="1"/>
        <v>0.030000000000000054</v>
      </c>
      <c r="Q6" s="69">
        <f t="shared" si="1"/>
        <v>0.029999999999999992</v>
      </c>
      <c r="R6" s="69">
        <f t="shared" si="1"/>
        <v>0.03</v>
      </c>
    </row>
    <row r="7" spans="1:18" ht="15">
      <c r="A7" t="s">
        <v>17</v>
      </c>
      <c r="D7" s="72">
        <f aca="true" t="shared" si="2" ref="D7:R7">D5*D44</f>
        <v>1612</v>
      </c>
      <c r="E7" s="72">
        <f t="shared" si="2"/>
        <v>1768.3899999999999</v>
      </c>
      <c r="F7" s="72">
        <f t="shared" si="2"/>
        <v>1918.5581999999997</v>
      </c>
      <c r="G7" s="91">
        <f t="shared" si="2"/>
        <v>2034.385</v>
      </c>
      <c r="H7" s="72">
        <f t="shared" si="2"/>
        <v>2068.2057396</v>
      </c>
      <c r="I7" s="72">
        <f t="shared" si="2"/>
        <v>2223.32117007</v>
      </c>
      <c r="J7" s="72">
        <f t="shared" si="2"/>
        <v>2356.7204402742</v>
      </c>
      <c r="K7" s="72">
        <f t="shared" si="2"/>
        <v>2474.55646228791</v>
      </c>
      <c r="L7" s="72">
        <f t="shared" si="2"/>
        <v>2573.5387207794265</v>
      </c>
      <c r="M7" s="72">
        <f t="shared" si="2"/>
        <v>2650.7448824028093</v>
      </c>
      <c r="N7" s="72">
        <f t="shared" si="2"/>
        <v>2730.267228874894</v>
      </c>
      <c r="O7" s="72">
        <f t="shared" si="2"/>
        <v>2812.1752457411408</v>
      </c>
      <c r="P7" s="72">
        <f t="shared" si="2"/>
        <v>2896.540503113375</v>
      </c>
      <c r="Q7" s="72">
        <f t="shared" si="2"/>
        <v>2983.4367182067763</v>
      </c>
      <c r="R7" s="72">
        <f t="shared" si="2"/>
        <v>3072.9398197529795</v>
      </c>
    </row>
    <row r="8" spans="1:18" ht="15">
      <c r="A8" s="7" t="s">
        <v>18</v>
      </c>
      <c r="D8" s="66">
        <f>D5-D7</f>
        <v>988</v>
      </c>
      <c r="E8" s="66">
        <f aca="true" t="shared" si="3" ref="E8:R8">E5-E7</f>
        <v>1130.6100000000001</v>
      </c>
      <c r="F8" s="66">
        <f t="shared" si="3"/>
        <v>1279.0388</v>
      </c>
      <c r="G8" s="67">
        <f t="shared" si="3"/>
        <v>1350.615</v>
      </c>
      <c r="H8" s="73">
        <f t="shared" si="3"/>
        <v>1378.8038264000002</v>
      </c>
      <c r="I8" s="66">
        <f t="shared" si="3"/>
        <v>1482.21411338</v>
      </c>
      <c r="J8" s="66">
        <f t="shared" si="3"/>
        <v>1571.1469601828003</v>
      </c>
      <c r="K8" s="66">
        <f t="shared" si="3"/>
        <v>1649.70430819194</v>
      </c>
      <c r="L8" s="66">
        <f t="shared" si="3"/>
        <v>1715.6924805196177</v>
      </c>
      <c r="M8" s="66">
        <f t="shared" si="3"/>
        <v>1767.1632549352066</v>
      </c>
      <c r="N8" s="66">
        <f t="shared" si="3"/>
        <v>1820.1781525832625</v>
      </c>
      <c r="O8" s="66">
        <f t="shared" si="3"/>
        <v>1874.7834971607604</v>
      </c>
      <c r="P8" s="66">
        <f t="shared" si="3"/>
        <v>1931.0270020755834</v>
      </c>
      <c r="Q8" s="66">
        <f t="shared" si="3"/>
        <v>1988.9578121378509</v>
      </c>
      <c r="R8" s="66">
        <f t="shared" si="3"/>
        <v>2048.6265465019865</v>
      </c>
    </row>
    <row r="9" spans="1:18" ht="15">
      <c r="A9" s="6" t="s">
        <v>19</v>
      </c>
      <c r="D9" s="69">
        <f>D8/D5</f>
        <v>0.38</v>
      </c>
      <c r="E9" s="69">
        <f aca="true" t="shared" si="4" ref="E9:R9">E8/E5</f>
        <v>0.39000000000000007</v>
      </c>
      <c r="F9" s="69">
        <f t="shared" si="4"/>
        <v>0.4</v>
      </c>
      <c r="G9" s="70">
        <f t="shared" si="4"/>
        <v>0.399</v>
      </c>
      <c r="H9" s="71">
        <f t="shared" si="4"/>
        <v>0.4</v>
      </c>
      <c r="I9" s="69">
        <f t="shared" si="4"/>
        <v>0.4</v>
      </c>
      <c r="J9" s="69">
        <f t="shared" si="4"/>
        <v>0.4</v>
      </c>
      <c r="K9" s="69">
        <f t="shared" si="4"/>
        <v>0.4</v>
      </c>
      <c r="L9" s="69">
        <f t="shared" si="4"/>
        <v>0.4</v>
      </c>
      <c r="M9" s="69">
        <f t="shared" si="4"/>
        <v>0.4000000000000001</v>
      </c>
      <c r="N9" s="69">
        <f t="shared" si="4"/>
        <v>0.39999999999999997</v>
      </c>
      <c r="O9" s="69">
        <f t="shared" si="4"/>
        <v>0.39999999999999997</v>
      </c>
      <c r="P9" s="69">
        <f t="shared" si="4"/>
        <v>0.4</v>
      </c>
      <c r="Q9" s="69">
        <f t="shared" si="4"/>
        <v>0.4</v>
      </c>
      <c r="R9" s="69">
        <f t="shared" si="4"/>
        <v>0.4</v>
      </c>
    </row>
    <row r="10" spans="1:18" ht="15">
      <c r="A10" t="s">
        <v>20</v>
      </c>
      <c r="D10" s="66">
        <f aca="true" t="shared" si="5" ref="D10:R10">D5*D45</f>
        <v>496.6</v>
      </c>
      <c r="E10" s="66">
        <f t="shared" si="5"/>
        <v>550.8100000000001</v>
      </c>
      <c r="F10" s="66">
        <f t="shared" si="5"/>
        <v>607.54343</v>
      </c>
      <c r="G10" s="67">
        <f t="shared" si="5"/>
        <v>649.92</v>
      </c>
      <c r="H10" s="66">
        <f t="shared" si="5"/>
        <v>654.93181754</v>
      </c>
      <c r="I10" s="66">
        <f t="shared" si="5"/>
        <v>704.0517038555</v>
      </c>
      <c r="J10" s="66">
        <f t="shared" si="5"/>
        <v>746.29480608683</v>
      </c>
      <c r="K10" s="66">
        <f t="shared" si="5"/>
        <v>783.6095463911715</v>
      </c>
      <c r="L10" s="66">
        <f t="shared" si="5"/>
        <v>814.9539282468184</v>
      </c>
      <c r="M10" s="66">
        <f t="shared" si="5"/>
        <v>839.402546094223</v>
      </c>
      <c r="N10" s="66">
        <f t="shared" si="5"/>
        <v>864.5846224770497</v>
      </c>
      <c r="O10" s="66">
        <f t="shared" si="5"/>
        <v>890.5221611513613</v>
      </c>
      <c r="P10" s="66">
        <f t="shared" si="5"/>
        <v>917.2378259859021</v>
      </c>
      <c r="Q10" s="66">
        <f t="shared" si="5"/>
        <v>944.7549607654792</v>
      </c>
      <c r="R10" s="66">
        <f t="shared" si="5"/>
        <v>973.0976095884436</v>
      </c>
    </row>
    <row r="11" spans="1:18" ht="15">
      <c r="A11" s="6" t="s">
        <v>21</v>
      </c>
      <c r="D11" s="69">
        <f>D10/D5</f>
        <v>0.191</v>
      </c>
      <c r="E11" s="69">
        <f aca="true" t="shared" si="6" ref="E11:R11">E10/E5</f>
        <v>0.19000000000000003</v>
      </c>
      <c r="F11" s="69">
        <f t="shared" si="6"/>
        <v>0.19</v>
      </c>
      <c r="G11" s="70">
        <f t="shared" si="6"/>
        <v>0.19199999999999998</v>
      </c>
      <c r="H11" s="71">
        <f t="shared" si="6"/>
        <v>0.19</v>
      </c>
      <c r="I11" s="69">
        <f t="shared" si="6"/>
        <v>0.19</v>
      </c>
      <c r="J11" s="69">
        <f t="shared" si="6"/>
        <v>0.19</v>
      </c>
      <c r="K11" s="69">
        <f t="shared" si="6"/>
        <v>0.19</v>
      </c>
      <c r="L11" s="69">
        <f t="shared" si="6"/>
        <v>0.19</v>
      </c>
      <c r="M11" s="69">
        <f t="shared" si="6"/>
        <v>0.19</v>
      </c>
      <c r="N11" s="69">
        <f t="shared" si="6"/>
        <v>0.19</v>
      </c>
      <c r="O11" s="69">
        <f t="shared" si="6"/>
        <v>0.19</v>
      </c>
      <c r="P11" s="69">
        <f t="shared" si="6"/>
        <v>0.19</v>
      </c>
      <c r="Q11" s="69">
        <f t="shared" si="6"/>
        <v>0.19</v>
      </c>
      <c r="R11" s="69">
        <f t="shared" si="6"/>
        <v>0.19</v>
      </c>
    </row>
    <row r="12" spans="1:18" ht="15">
      <c r="A12" t="s">
        <v>22</v>
      </c>
      <c r="D12" s="72">
        <v>0</v>
      </c>
      <c r="E12" s="72">
        <v>0</v>
      </c>
      <c r="F12" s="72">
        <v>0</v>
      </c>
      <c r="G12" s="91">
        <v>0</v>
      </c>
      <c r="H12" s="9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</row>
    <row r="13" spans="1:18" ht="15">
      <c r="A13" s="7" t="s">
        <v>23</v>
      </c>
      <c r="D13" s="66">
        <f>D8-D10-D12</f>
        <v>491.4</v>
      </c>
      <c r="E13" s="66">
        <f aca="true" t="shared" si="7" ref="E13:R13">E8-E10-E12</f>
        <v>579.8000000000001</v>
      </c>
      <c r="F13" s="66">
        <f t="shared" si="7"/>
        <v>671.4953700000001</v>
      </c>
      <c r="G13" s="67">
        <f t="shared" si="7"/>
        <v>700.695</v>
      </c>
      <c r="H13" s="73">
        <f t="shared" si="7"/>
        <v>723.8720088600002</v>
      </c>
      <c r="I13" s="66">
        <f t="shared" si="7"/>
        <v>778.1624095245</v>
      </c>
      <c r="J13" s="66">
        <f t="shared" si="7"/>
        <v>824.8521540959703</v>
      </c>
      <c r="K13" s="66">
        <f t="shared" si="7"/>
        <v>866.0947618007685</v>
      </c>
      <c r="L13" s="66">
        <f t="shared" si="7"/>
        <v>900.7385522727993</v>
      </c>
      <c r="M13" s="66">
        <f t="shared" si="7"/>
        <v>927.7607088409836</v>
      </c>
      <c r="N13" s="66">
        <f t="shared" si="7"/>
        <v>955.5935301062128</v>
      </c>
      <c r="O13" s="66">
        <f t="shared" si="7"/>
        <v>984.2613360093991</v>
      </c>
      <c r="P13" s="66">
        <f t="shared" si="7"/>
        <v>1013.7891760896813</v>
      </c>
      <c r="Q13" s="66">
        <f t="shared" si="7"/>
        <v>1044.2028513723717</v>
      </c>
      <c r="R13" s="66">
        <f t="shared" si="7"/>
        <v>1075.528936913543</v>
      </c>
    </row>
    <row r="14" spans="1:18" ht="15">
      <c r="A14" s="6" t="s">
        <v>19</v>
      </c>
      <c r="D14" s="69">
        <f>D13/D5</f>
        <v>0.189</v>
      </c>
      <c r="E14" s="69">
        <f aca="true" t="shared" si="8" ref="E14:R14">E13/E5</f>
        <v>0.2</v>
      </c>
      <c r="F14" s="69">
        <f t="shared" si="8"/>
        <v>0.21000000000000005</v>
      </c>
      <c r="G14" s="70">
        <f t="shared" si="8"/>
        <v>0.20700000000000002</v>
      </c>
      <c r="H14" s="71">
        <f t="shared" si="8"/>
        <v>0.21000000000000005</v>
      </c>
      <c r="I14" s="69">
        <f t="shared" si="8"/>
        <v>0.21000000000000002</v>
      </c>
      <c r="J14" s="69">
        <f t="shared" si="8"/>
        <v>0.21000000000000005</v>
      </c>
      <c r="K14" s="69">
        <f t="shared" si="8"/>
        <v>0.21</v>
      </c>
      <c r="L14" s="69">
        <f t="shared" si="8"/>
        <v>0.21000000000000002</v>
      </c>
      <c r="M14" s="69">
        <f t="shared" si="8"/>
        <v>0.21000000000000008</v>
      </c>
      <c r="N14" s="69">
        <f t="shared" si="8"/>
        <v>0.21</v>
      </c>
      <c r="O14" s="69">
        <f t="shared" si="8"/>
        <v>0.20999999999999996</v>
      </c>
      <c r="P14" s="69">
        <f t="shared" si="8"/>
        <v>0.21</v>
      </c>
      <c r="Q14" s="69">
        <f t="shared" si="8"/>
        <v>0.21</v>
      </c>
      <c r="R14" s="69">
        <f t="shared" si="8"/>
        <v>0.21000000000000002</v>
      </c>
    </row>
    <row r="15" spans="1:18" ht="15">
      <c r="A15" t="s">
        <v>24</v>
      </c>
      <c r="D15" s="66">
        <f aca="true" t="shared" si="9" ref="D15:R15">D5*D47</f>
        <v>117</v>
      </c>
      <c r="E15" s="66">
        <f t="shared" si="9"/>
        <v>130.45499999999998</v>
      </c>
      <c r="F15" s="66">
        <f t="shared" si="9"/>
        <v>143.891865</v>
      </c>
      <c r="G15" s="67">
        <f t="shared" si="9"/>
        <v>152.325</v>
      </c>
      <c r="H15" s="66">
        <f t="shared" si="9"/>
        <v>155.11543047</v>
      </c>
      <c r="I15" s="66">
        <f t="shared" si="9"/>
        <v>166.74908775525</v>
      </c>
      <c r="J15" s="66">
        <f t="shared" si="9"/>
        <v>176.754033020565</v>
      </c>
      <c r="K15" s="66">
        <f t="shared" si="9"/>
        <v>185.59173467159326</v>
      </c>
      <c r="L15" s="66">
        <f t="shared" si="9"/>
        <v>193.015404058457</v>
      </c>
      <c r="M15" s="66">
        <f t="shared" si="9"/>
        <v>198.8058661802107</v>
      </c>
      <c r="N15" s="66">
        <f t="shared" si="9"/>
        <v>204.77004216561704</v>
      </c>
      <c r="O15" s="66">
        <f t="shared" si="9"/>
        <v>210.91314343058554</v>
      </c>
      <c r="P15" s="66">
        <f t="shared" si="9"/>
        <v>217.24053773350312</v>
      </c>
      <c r="Q15" s="66">
        <f t="shared" si="9"/>
        <v>223.75775386550822</v>
      </c>
      <c r="R15" s="66">
        <f t="shared" si="9"/>
        <v>230.47048648147347</v>
      </c>
    </row>
    <row r="16" spans="1:18" ht="15">
      <c r="A16" t="s">
        <v>25</v>
      </c>
      <c r="D16" s="72">
        <f aca="true" t="shared" si="10" ref="D16:R16">D5*D48</f>
        <v>39</v>
      </c>
      <c r="E16" s="72">
        <f t="shared" si="10"/>
        <v>43.485</v>
      </c>
      <c r="F16" s="72">
        <f t="shared" si="10"/>
        <v>47.96395499999999</v>
      </c>
      <c r="G16" s="91">
        <f t="shared" si="10"/>
        <v>50.775</v>
      </c>
      <c r="H16" s="72">
        <f t="shared" si="10"/>
        <v>51.70514349</v>
      </c>
      <c r="I16" s="72">
        <f t="shared" si="10"/>
        <v>55.58302925175</v>
      </c>
      <c r="J16" s="72">
        <f t="shared" si="10"/>
        <v>58.918011006855004</v>
      </c>
      <c r="K16" s="72">
        <f t="shared" si="10"/>
        <v>61.86391155719775</v>
      </c>
      <c r="L16" s="72">
        <f t="shared" si="10"/>
        <v>64.33846801948566</v>
      </c>
      <c r="M16" s="72">
        <f t="shared" si="10"/>
        <v>66.26862206007024</v>
      </c>
      <c r="N16" s="72">
        <f t="shared" si="10"/>
        <v>68.25668072187234</v>
      </c>
      <c r="O16" s="72">
        <f t="shared" si="10"/>
        <v>70.30438114352852</v>
      </c>
      <c r="P16" s="72">
        <f t="shared" si="10"/>
        <v>72.41351257783437</v>
      </c>
      <c r="Q16" s="72">
        <f t="shared" si="10"/>
        <v>74.5859179551694</v>
      </c>
      <c r="R16" s="72">
        <f t="shared" si="10"/>
        <v>76.82349549382448</v>
      </c>
    </row>
    <row r="17" spans="1:18" ht="15">
      <c r="A17" s="7" t="s">
        <v>26</v>
      </c>
      <c r="D17" s="66">
        <f>D13-SUM(D15:D16)</f>
        <v>335.4</v>
      </c>
      <c r="E17" s="66">
        <f>E13-SUM(E15:E16)</f>
        <v>405.86000000000007</v>
      </c>
      <c r="F17" s="66">
        <f aca="true" t="shared" si="11" ref="F17:R17">F13-SUM(F15:F16)</f>
        <v>479.6395500000001</v>
      </c>
      <c r="G17" s="67">
        <f t="shared" si="11"/>
        <v>497.595</v>
      </c>
      <c r="H17" s="73">
        <f t="shared" si="11"/>
        <v>517.0514349000002</v>
      </c>
      <c r="I17" s="66">
        <f t="shared" si="11"/>
        <v>555.8302925175001</v>
      </c>
      <c r="J17" s="66">
        <f t="shared" si="11"/>
        <v>589.1801100685502</v>
      </c>
      <c r="K17" s="66">
        <f t="shared" si="11"/>
        <v>618.6391155719775</v>
      </c>
      <c r="L17" s="66">
        <f t="shared" si="11"/>
        <v>643.3846801948566</v>
      </c>
      <c r="M17" s="66">
        <f t="shared" si="11"/>
        <v>662.6862206007027</v>
      </c>
      <c r="N17" s="66">
        <f t="shared" si="11"/>
        <v>682.5668072187234</v>
      </c>
      <c r="O17" s="66">
        <f t="shared" si="11"/>
        <v>703.0438114352851</v>
      </c>
      <c r="P17" s="66">
        <f t="shared" si="11"/>
        <v>724.1351257783438</v>
      </c>
      <c r="Q17" s="66">
        <f t="shared" si="11"/>
        <v>745.8591795516941</v>
      </c>
      <c r="R17" s="66">
        <f t="shared" si="11"/>
        <v>768.2349549382451</v>
      </c>
    </row>
    <row r="18" spans="1:18" ht="15">
      <c r="A18" s="6" t="s">
        <v>19</v>
      </c>
      <c r="D18" s="69">
        <f>D17/D5</f>
        <v>0.129</v>
      </c>
      <c r="E18" s="69">
        <f aca="true" t="shared" si="12" ref="E18:R18">E17/E5</f>
        <v>0.14</v>
      </c>
      <c r="F18" s="69">
        <f t="shared" si="12"/>
        <v>0.15000000000000005</v>
      </c>
      <c r="G18" s="74">
        <f t="shared" si="12"/>
        <v>0.14700000000000002</v>
      </c>
      <c r="H18" s="71">
        <f t="shared" si="12"/>
        <v>0.15000000000000005</v>
      </c>
      <c r="I18" s="69">
        <f t="shared" si="12"/>
        <v>0.15000000000000002</v>
      </c>
      <c r="J18" s="69">
        <f t="shared" si="12"/>
        <v>0.15000000000000005</v>
      </c>
      <c r="K18" s="69">
        <f t="shared" si="12"/>
        <v>0.15</v>
      </c>
      <c r="L18" s="69">
        <f t="shared" si="12"/>
        <v>0.15</v>
      </c>
      <c r="M18" s="69">
        <f t="shared" si="12"/>
        <v>0.15000000000000005</v>
      </c>
      <c r="N18" s="69">
        <f t="shared" si="12"/>
        <v>0.14999999999999997</v>
      </c>
      <c r="O18" s="69">
        <f t="shared" si="12"/>
        <v>0.15</v>
      </c>
      <c r="P18" s="69">
        <f t="shared" si="12"/>
        <v>0.15</v>
      </c>
      <c r="Q18" s="69">
        <f t="shared" si="12"/>
        <v>0.15</v>
      </c>
      <c r="R18" s="69">
        <f t="shared" si="12"/>
        <v>0.15000000000000005</v>
      </c>
    </row>
    <row r="19" spans="4:18" ht="15">
      <c r="D19" s="68"/>
      <c r="E19" s="68"/>
      <c r="F19" s="68"/>
      <c r="G19" s="68"/>
      <c r="H19" s="75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15">
      <c r="A20" s="8" t="s">
        <v>27</v>
      </c>
      <c r="D20" s="68"/>
      <c r="E20" s="68"/>
      <c r="F20" s="68"/>
      <c r="G20" s="68"/>
      <c r="H20" s="75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ht="15">
      <c r="A21" t="s">
        <v>28</v>
      </c>
      <c r="D21" s="66"/>
      <c r="E21" s="66"/>
      <c r="F21" s="68"/>
      <c r="G21" s="68"/>
      <c r="H21" s="75"/>
      <c r="I21" s="76"/>
      <c r="J21" s="77"/>
      <c r="K21" s="77"/>
      <c r="L21" s="77"/>
      <c r="M21" s="77"/>
      <c r="N21" s="77"/>
      <c r="O21" s="77"/>
      <c r="P21" s="77"/>
      <c r="Q21" s="77"/>
      <c r="R21" s="78"/>
    </row>
    <row r="22" spans="1:18" ht="15">
      <c r="A22" t="s">
        <v>29</v>
      </c>
      <c r="D22" s="68"/>
      <c r="E22" s="68"/>
      <c r="F22" s="68"/>
      <c r="G22" s="68"/>
      <c r="H22" s="75"/>
      <c r="I22" s="79"/>
      <c r="J22" s="80"/>
      <c r="K22" s="80"/>
      <c r="L22" s="80"/>
      <c r="M22" s="80"/>
      <c r="N22" s="80"/>
      <c r="O22" s="80"/>
      <c r="P22" s="80"/>
      <c r="Q22" s="80"/>
      <c r="R22" s="73"/>
    </row>
    <row r="23" spans="1:18" ht="15">
      <c r="A23" t="s">
        <v>30</v>
      </c>
      <c r="D23" s="68"/>
      <c r="E23" s="68"/>
      <c r="F23" s="68"/>
      <c r="G23" s="80"/>
      <c r="H23" s="135">
        <f>'Debt Schedule'!D43</f>
        <v>123.62499999999999</v>
      </c>
      <c r="I23" s="134">
        <f>'Debt Schedule'!E43</f>
        <v>117.73444029416258</v>
      </c>
      <c r="J23" s="134">
        <f>'Debt Schedule'!F43</f>
        <v>104.86086989744358</v>
      </c>
      <c r="K23" s="134">
        <f>'Debt Schedule'!G43</f>
        <v>89.88079078889865</v>
      </c>
      <c r="L23" s="134">
        <f>'Debt Schedule'!H43</f>
        <v>72.90558563467168</v>
      </c>
      <c r="M23" s="134">
        <f>'Debt Schedule'!I43</f>
        <v>54.021133745489585</v>
      </c>
      <c r="N23" s="134">
        <f>'Debt Schedule'!J43</f>
        <v>34.93267576078463</v>
      </c>
      <c r="O23" s="134">
        <f>'Debt Schedule'!K43</f>
        <v>12.412759030054033</v>
      </c>
      <c r="P23" s="134">
        <f>'Debt Schedule'!L43</f>
        <v>0</v>
      </c>
      <c r="Q23" s="134">
        <f>'Debt Schedule'!M43</f>
        <v>0</v>
      </c>
      <c r="R23" s="73">
        <f>'Debt Schedule'!N43</f>
        <v>0</v>
      </c>
    </row>
    <row r="24" spans="1:18" ht="15">
      <c r="A24" t="s">
        <v>31</v>
      </c>
      <c r="D24" s="68"/>
      <c r="E24" s="68"/>
      <c r="F24" s="68"/>
      <c r="G24" s="80"/>
      <c r="H24" s="75"/>
      <c r="I24" s="79"/>
      <c r="J24" s="80"/>
      <c r="K24" s="80"/>
      <c r="L24" s="80"/>
      <c r="M24" s="80"/>
      <c r="N24" s="80"/>
      <c r="O24" s="80"/>
      <c r="P24" s="80"/>
      <c r="Q24" s="80"/>
      <c r="R24" s="73"/>
    </row>
    <row r="25" spans="1:18" ht="15">
      <c r="A25" t="s">
        <v>32</v>
      </c>
      <c r="D25" s="68"/>
      <c r="E25" s="68"/>
      <c r="F25" s="68"/>
      <c r="G25" s="80"/>
      <c r="H25" s="75"/>
      <c r="I25" s="79"/>
      <c r="J25" s="80"/>
      <c r="K25" s="80"/>
      <c r="L25" s="80"/>
      <c r="M25" s="80"/>
      <c r="N25" s="80"/>
      <c r="O25" s="80"/>
      <c r="P25" s="80"/>
      <c r="Q25" s="80"/>
      <c r="R25" s="73"/>
    </row>
    <row r="26" spans="1:18" ht="15">
      <c r="A26" t="s">
        <v>33</v>
      </c>
      <c r="D26" s="68"/>
      <c r="E26" s="68"/>
      <c r="F26" s="68"/>
      <c r="G26" s="80"/>
      <c r="H26" s="75"/>
      <c r="I26" s="79"/>
      <c r="J26" s="80"/>
      <c r="K26" s="80"/>
      <c r="L26" s="80"/>
      <c r="M26" s="80"/>
      <c r="N26" s="80"/>
      <c r="O26" s="80"/>
      <c r="P26" s="80"/>
      <c r="Q26" s="80"/>
      <c r="R26" s="73"/>
    </row>
    <row r="27" spans="1:18" ht="15">
      <c r="A27" t="s">
        <v>34</v>
      </c>
      <c r="D27" s="68"/>
      <c r="E27" s="68"/>
      <c r="F27" s="68"/>
      <c r="G27" s="80"/>
      <c r="H27" s="135">
        <f>'Debt Schedule'!D54</f>
        <v>127.50000000000001</v>
      </c>
      <c r="I27" s="134">
        <f>'Debt Schedule'!E54</f>
        <v>127.50000000000001</v>
      </c>
      <c r="J27" s="135">
        <f>'Debt Schedule'!F54</f>
        <v>127.50000000000001</v>
      </c>
      <c r="K27" s="135">
        <f>'Debt Schedule'!G54</f>
        <v>127.50000000000001</v>
      </c>
      <c r="L27" s="135">
        <f>'Debt Schedule'!H54</f>
        <v>127.50000000000001</v>
      </c>
      <c r="M27" s="135">
        <f>'Debt Schedule'!I54</f>
        <v>127.50000000000001</v>
      </c>
      <c r="N27" s="135">
        <f>'Debt Schedule'!J54</f>
        <v>127.50000000000001</v>
      </c>
      <c r="O27" s="135">
        <f>'Debt Schedule'!K54</f>
        <v>127.50000000000001</v>
      </c>
      <c r="P27" s="135">
        <f>'Debt Schedule'!L54</f>
        <v>127.50000000000001</v>
      </c>
      <c r="Q27" s="135">
        <f>'Debt Schedule'!M54</f>
        <v>127.50000000000001</v>
      </c>
      <c r="R27" s="73">
        <f>'Debt Schedule'!N54</f>
        <v>127.50000000000001</v>
      </c>
    </row>
    <row r="28" spans="1:18" ht="15">
      <c r="A28" t="s">
        <v>35</v>
      </c>
      <c r="D28" s="68"/>
      <c r="E28" s="68"/>
      <c r="F28" s="68"/>
      <c r="G28" s="68"/>
      <c r="H28" s="75"/>
      <c r="I28" s="79"/>
      <c r="J28" s="80"/>
      <c r="K28" s="80"/>
      <c r="L28" s="80"/>
      <c r="M28" s="80"/>
      <c r="N28" s="80"/>
      <c r="O28" s="80"/>
      <c r="P28" s="80"/>
      <c r="Q28" s="80"/>
      <c r="R28" s="73"/>
    </row>
    <row r="29" spans="1:18" ht="15">
      <c r="A29" t="s">
        <v>36</v>
      </c>
      <c r="D29" s="68"/>
      <c r="E29" s="68"/>
      <c r="F29" s="68"/>
      <c r="G29" s="68"/>
      <c r="H29" s="75"/>
      <c r="I29" s="134">
        <f>'Debt Schedule'!E27</f>
        <v>1.25</v>
      </c>
      <c r="J29" s="135">
        <f>'Debt Schedule'!F27</f>
        <v>1.25</v>
      </c>
      <c r="K29" s="135">
        <f>'Debt Schedule'!G27</f>
        <v>1.25</v>
      </c>
      <c r="L29" s="135">
        <f>'Debt Schedule'!H27</f>
        <v>1.25</v>
      </c>
      <c r="M29" s="135">
        <f>'Debt Schedule'!I27</f>
        <v>1.25</v>
      </c>
      <c r="N29" s="135">
        <f>'Debt Schedule'!J27</f>
        <v>1.25</v>
      </c>
      <c r="O29" s="135">
        <f>'Debt Schedule'!K27</f>
        <v>1.25</v>
      </c>
      <c r="P29" s="135">
        <f>'Debt Schedule'!L27</f>
        <v>1.25</v>
      </c>
      <c r="Q29" s="135">
        <f>'Debt Schedule'!M27</f>
        <v>1.25</v>
      </c>
      <c r="R29" s="73">
        <f>'Debt Schedule'!N27</f>
        <v>1.25</v>
      </c>
    </row>
    <row r="30" spans="1:18" ht="15">
      <c r="A30" t="s">
        <v>37</v>
      </c>
      <c r="D30" s="68"/>
      <c r="E30" s="68"/>
      <c r="F30" s="68"/>
      <c r="G30" s="68"/>
      <c r="H30" s="65"/>
      <c r="I30" s="137">
        <f>'Debt Schedule'!E28</f>
        <v>0.2</v>
      </c>
      <c r="J30" s="72">
        <f>'Debt Schedule'!F28</f>
        <v>0.2</v>
      </c>
      <c r="K30" s="72">
        <f>'Debt Schedule'!G28</f>
        <v>0.2</v>
      </c>
      <c r="L30" s="72">
        <f>'Debt Schedule'!H28</f>
        <v>0.2</v>
      </c>
      <c r="M30" s="72">
        <f>'Debt Schedule'!I28</f>
        <v>0.2</v>
      </c>
      <c r="N30" s="72">
        <f>'Debt Schedule'!J28</f>
        <v>0.2</v>
      </c>
      <c r="O30" s="72">
        <f>'Debt Schedule'!K28</f>
        <v>0.2</v>
      </c>
      <c r="P30" s="72">
        <f>'Debt Schedule'!L28</f>
        <v>0.2</v>
      </c>
      <c r="Q30" s="72">
        <f>'Debt Schedule'!M28</f>
        <v>0.2</v>
      </c>
      <c r="R30" s="92">
        <f>'Debt Schedule'!N28</f>
        <v>0.2</v>
      </c>
    </row>
    <row r="31" spans="1:18" ht="15">
      <c r="A31" s="7" t="s">
        <v>38</v>
      </c>
      <c r="D31" s="68"/>
      <c r="E31" s="68"/>
      <c r="F31" s="68"/>
      <c r="G31" s="68"/>
      <c r="H31" s="73">
        <f aca="true" t="shared" si="13" ref="H31:R31">SUM(H21:H30)</f>
        <v>251.125</v>
      </c>
      <c r="I31" s="135">
        <f t="shared" si="13"/>
        <v>246.68444029416258</v>
      </c>
      <c r="J31" s="135">
        <f t="shared" si="13"/>
        <v>233.81086989744358</v>
      </c>
      <c r="K31" s="135">
        <f t="shared" si="13"/>
        <v>218.83079078889864</v>
      </c>
      <c r="L31" s="135">
        <f t="shared" si="13"/>
        <v>201.85558563467168</v>
      </c>
      <c r="M31" s="135">
        <f t="shared" si="13"/>
        <v>182.9711337454896</v>
      </c>
      <c r="N31" s="135">
        <f t="shared" si="13"/>
        <v>163.88267576078465</v>
      </c>
      <c r="O31" s="135">
        <f t="shared" si="13"/>
        <v>141.36275903005404</v>
      </c>
      <c r="P31" s="135">
        <f t="shared" si="13"/>
        <v>128.95</v>
      </c>
      <c r="Q31" s="135">
        <f t="shared" si="13"/>
        <v>128.95</v>
      </c>
      <c r="R31" s="73">
        <f t="shared" si="13"/>
        <v>128.95</v>
      </c>
    </row>
    <row r="32" spans="1:18" ht="15">
      <c r="A32" t="s">
        <v>39</v>
      </c>
      <c r="D32" s="68"/>
      <c r="E32" s="68"/>
      <c r="F32" s="68"/>
      <c r="G32" s="80"/>
      <c r="H32" s="72">
        <f>Assumptions!E85</f>
        <v>11.988392857142857</v>
      </c>
      <c r="I32" s="137">
        <f>Assumptions!F85</f>
        <v>11.988392857142857</v>
      </c>
      <c r="J32" s="72">
        <f>Assumptions!G85</f>
        <v>11.988392857142857</v>
      </c>
      <c r="K32" s="72">
        <f>Assumptions!H85</f>
        <v>11.988392857142857</v>
      </c>
      <c r="L32" s="72">
        <f>Assumptions!I85</f>
        <v>11.988392857142857</v>
      </c>
      <c r="M32" s="72">
        <f>Assumptions!J85</f>
        <v>11.988392857142857</v>
      </c>
      <c r="N32" s="72">
        <f>Assumptions!K85</f>
        <v>11.988392857142857</v>
      </c>
      <c r="O32" s="72">
        <f>Assumptions!L85</f>
        <v>11.363392857142857</v>
      </c>
      <c r="P32" s="72">
        <f>Assumptions!M85</f>
        <v>6.75625</v>
      </c>
      <c r="Q32" s="72">
        <f>Assumptions!N85</f>
        <v>0</v>
      </c>
      <c r="R32" s="92">
        <f>Assumptions!O85</f>
        <v>0</v>
      </c>
    </row>
    <row r="33" spans="1:18" ht="15">
      <c r="A33" s="7" t="s">
        <v>40</v>
      </c>
      <c r="D33" s="68"/>
      <c r="E33" s="68"/>
      <c r="F33" s="68"/>
      <c r="G33" s="68"/>
      <c r="H33" s="73">
        <f>SUM(H31:H32)</f>
        <v>263.11339285714286</v>
      </c>
      <c r="I33" s="134">
        <f>SUM(I31:I32)</f>
        <v>258.67283315130544</v>
      </c>
      <c r="J33" s="134">
        <f aca="true" t="shared" si="14" ref="J33:R33">SUM(J31:J32)</f>
        <v>245.79926275458644</v>
      </c>
      <c r="K33" s="134">
        <f t="shared" si="14"/>
        <v>230.8191836460415</v>
      </c>
      <c r="L33" s="134">
        <f t="shared" si="14"/>
        <v>213.84397849181454</v>
      </c>
      <c r="M33" s="134">
        <f t="shared" si="14"/>
        <v>194.95952660263245</v>
      </c>
      <c r="N33" s="134">
        <f t="shared" si="14"/>
        <v>175.8710686179275</v>
      </c>
      <c r="O33" s="134">
        <f t="shared" si="14"/>
        <v>152.7261518871969</v>
      </c>
      <c r="P33" s="134">
        <f t="shared" si="14"/>
        <v>135.70624999999998</v>
      </c>
      <c r="Q33" s="134">
        <f t="shared" si="14"/>
        <v>128.95</v>
      </c>
      <c r="R33" s="73">
        <f t="shared" si="14"/>
        <v>128.95</v>
      </c>
    </row>
    <row r="34" spans="1:18" ht="15">
      <c r="A34" t="s">
        <v>41</v>
      </c>
      <c r="D34" s="68"/>
      <c r="E34" s="68"/>
      <c r="F34" s="68"/>
      <c r="G34" s="68"/>
      <c r="H34" s="75"/>
      <c r="I34" s="140">
        <f>-'Balance Sheet'!H5*0.005</f>
        <v>0</v>
      </c>
      <c r="J34" s="140">
        <f>-'Balance Sheet'!I5*0.005</f>
        <v>0</v>
      </c>
      <c r="K34" s="140">
        <f>-'Balance Sheet'!J5*0.005</f>
        <v>0</v>
      </c>
      <c r="L34" s="140">
        <f>-'Balance Sheet'!K5*0.005</f>
        <v>0</v>
      </c>
      <c r="M34" s="140">
        <f>-'Balance Sheet'!L5*0.005</f>
        <v>0</v>
      </c>
      <c r="N34" s="140">
        <f>-'Balance Sheet'!M5*0.005</f>
        <v>0</v>
      </c>
      <c r="O34" s="140">
        <f>-'Balance Sheet'!N5*0.005</f>
        <v>-0.0026794832029972326</v>
      </c>
      <c r="P34" s="140">
        <f>-'Balance Sheet'!O5*0.005</f>
        <v>-2.09978783050121</v>
      </c>
      <c r="Q34" s="140">
        <f>-'Balance Sheet'!P5*0.005</f>
        <v>-4.265096975048229</v>
      </c>
      <c r="R34" s="140">
        <f>-'Balance Sheet'!Q5*0.005</f>
        <v>-6.513932479978262</v>
      </c>
    </row>
    <row r="35" spans="1:18" ht="15">
      <c r="A35" s="7" t="s">
        <v>42</v>
      </c>
      <c r="D35" s="68"/>
      <c r="E35" s="68"/>
      <c r="F35" s="68"/>
      <c r="G35" s="68"/>
      <c r="H35" s="75"/>
      <c r="I35" s="136">
        <f>SUM(I33:I34)</f>
        <v>258.67283315130544</v>
      </c>
      <c r="J35" s="136">
        <f aca="true" t="shared" si="15" ref="J35:R35">SUM(J33:J34)</f>
        <v>245.79926275458644</v>
      </c>
      <c r="K35" s="136">
        <f t="shared" si="15"/>
        <v>230.8191836460415</v>
      </c>
      <c r="L35" s="136">
        <f t="shared" si="15"/>
        <v>213.84397849181454</v>
      </c>
      <c r="M35" s="136">
        <f t="shared" si="15"/>
        <v>194.95952660263245</v>
      </c>
      <c r="N35" s="136">
        <f t="shared" si="15"/>
        <v>175.8710686179275</v>
      </c>
      <c r="O35" s="136">
        <f t="shared" si="15"/>
        <v>152.7234724039939</v>
      </c>
      <c r="P35" s="136">
        <f t="shared" si="15"/>
        <v>133.60646216949877</v>
      </c>
      <c r="Q35" s="136">
        <f t="shared" si="15"/>
        <v>124.68490302495177</v>
      </c>
      <c r="R35" s="136">
        <f t="shared" si="15"/>
        <v>122.43606752002172</v>
      </c>
    </row>
    <row r="36" spans="4:18" ht="15">
      <c r="D36" s="68"/>
      <c r="E36" s="68"/>
      <c r="F36" s="68"/>
      <c r="G36" s="68"/>
      <c r="H36" s="75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5">
      <c r="A37" s="11" t="s">
        <v>43</v>
      </c>
      <c r="D37" s="68"/>
      <c r="E37" s="68"/>
      <c r="F37" s="68"/>
      <c r="G37" s="68"/>
      <c r="H37" s="75"/>
      <c r="I37" s="66">
        <f aca="true" t="shared" si="16" ref="I37:R37">I17-I35</f>
        <v>297.15745936619464</v>
      </c>
      <c r="J37" s="66">
        <f t="shared" si="16"/>
        <v>343.3808473139638</v>
      </c>
      <c r="K37" s="66">
        <f t="shared" si="16"/>
        <v>387.81993192593603</v>
      </c>
      <c r="L37" s="66">
        <f t="shared" si="16"/>
        <v>429.5407017030421</v>
      </c>
      <c r="M37" s="66">
        <f t="shared" si="16"/>
        <v>467.72669399807023</v>
      </c>
      <c r="N37" s="66">
        <f t="shared" si="16"/>
        <v>506.6957386007959</v>
      </c>
      <c r="O37" s="66">
        <f t="shared" si="16"/>
        <v>550.3203390312912</v>
      </c>
      <c r="P37" s="66">
        <f t="shared" si="16"/>
        <v>590.528663608845</v>
      </c>
      <c r="Q37" s="66">
        <f t="shared" si="16"/>
        <v>621.1742765267423</v>
      </c>
      <c r="R37" s="66">
        <f t="shared" si="16"/>
        <v>645.7988874182233</v>
      </c>
    </row>
    <row r="38" spans="1:18" ht="15">
      <c r="A38" t="s">
        <v>44</v>
      </c>
      <c r="D38" s="68"/>
      <c r="E38" s="68"/>
      <c r="F38" s="68"/>
      <c r="G38" s="68"/>
      <c r="H38" s="75"/>
      <c r="I38" s="66">
        <f>I37*I50</f>
        <v>112.91983455915397</v>
      </c>
      <c r="J38" s="66">
        <f aca="true" t="shared" si="17" ref="J38:R38">J37*J50</f>
        <v>130.48472197930624</v>
      </c>
      <c r="K38" s="66">
        <f t="shared" si="17"/>
        <v>147.37157413185568</v>
      </c>
      <c r="L38" s="66">
        <f t="shared" si="17"/>
        <v>163.225466647156</v>
      </c>
      <c r="M38" s="66">
        <f t="shared" si="17"/>
        <v>177.7361437192667</v>
      </c>
      <c r="N38" s="66">
        <f t="shared" si="17"/>
        <v>192.54438066830244</v>
      </c>
      <c r="O38" s="66">
        <f t="shared" si="17"/>
        <v>209.12172883189064</v>
      </c>
      <c r="P38" s="66">
        <f t="shared" si="17"/>
        <v>224.4008921713611</v>
      </c>
      <c r="Q38" s="66">
        <f t="shared" si="17"/>
        <v>236.0462250801621</v>
      </c>
      <c r="R38" s="66">
        <f t="shared" si="17"/>
        <v>245.40357721892488</v>
      </c>
    </row>
    <row r="39" spans="1:18" ht="15.75" thickBot="1">
      <c r="A39" s="7" t="s">
        <v>45</v>
      </c>
      <c r="D39" s="68"/>
      <c r="E39" s="68"/>
      <c r="F39" s="68"/>
      <c r="G39" s="68"/>
      <c r="H39" s="75"/>
      <c r="I39" s="81">
        <f>I37-I38</f>
        <v>184.23762480704067</v>
      </c>
      <c r="J39" s="81">
        <f aca="true" t="shared" si="18" ref="J39:R39">J37-J38</f>
        <v>212.89612533465754</v>
      </c>
      <c r="K39" s="81">
        <f t="shared" si="18"/>
        <v>240.44835779408035</v>
      </c>
      <c r="L39" s="81">
        <f t="shared" si="18"/>
        <v>266.3152350558861</v>
      </c>
      <c r="M39" s="81">
        <f t="shared" si="18"/>
        <v>289.99055027880354</v>
      </c>
      <c r="N39" s="81">
        <f t="shared" si="18"/>
        <v>314.15135793249345</v>
      </c>
      <c r="O39" s="81">
        <f t="shared" si="18"/>
        <v>341.1986101994005</v>
      </c>
      <c r="P39" s="81">
        <f t="shared" si="18"/>
        <v>366.12777143748394</v>
      </c>
      <c r="Q39" s="81">
        <f t="shared" si="18"/>
        <v>385.12805144658023</v>
      </c>
      <c r="R39" s="81">
        <f t="shared" si="18"/>
        <v>400.3953101992985</v>
      </c>
    </row>
    <row r="40" spans="1:18" ht="15.75" thickTop="1">
      <c r="A40" s="6" t="s">
        <v>19</v>
      </c>
      <c r="D40" s="68"/>
      <c r="E40" s="68"/>
      <c r="F40" s="68"/>
      <c r="G40" s="68"/>
      <c r="H40" s="75"/>
      <c r="I40" s="69">
        <f>I39/I5</f>
        <v>0.049719571050881525</v>
      </c>
      <c r="J40" s="69">
        <f aca="true" t="shared" si="19" ref="J40:R40">J39/J5</f>
        <v>0.05420145428277122</v>
      </c>
      <c r="K40" s="69">
        <f t="shared" si="19"/>
        <v>0.058300958929448254</v>
      </c>
      <c r="L40" s="69">
        <f t="shared" si="19"/>
        <v>0.06208927021122792</v>
      </c>
      <c r="M40" s="69">
        <f t="shared" si="19"/>
        <v>0.06563978726219863</v>
      </c>
      <c r="N40" s="69">
        <f t="shared" si="19"/>
        <v>0.06903749668385778</v>
      </c>
      <c r="O40" s="69">
        <f t="shared" si="19"/>
        <v>0.07279744263081554</v>
      </c>
      <c r="P40" s="69">
        <f t="shared" si="19"/>
        <v>0.07584104645744423</v>
      </c>
      <c r="Q40" s="69">
        <f t="shared" si="19"/>
        <v>0.07745323688542625</v>
      </c>
      <c r="R40" s="69">
        <f t="shared" si="19"/>
        <v>0.07817829186739189</v>
      </c>
    </row>
    <row r="41" spans="4:18" ht="15">
      <c r="D41" s="68"/>
      <c r="E41" s="68"/>
      <c r="F41" s="68"/>
      <c r="G41" s="68"/>
      <c r="H41" s="75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5">
      <c r="A42" s="8" t="s">
        <v>46</v>
      </c>
      <c r="D42" s="68"/>
      <c r="E42" s="68"/>
      <c r="F42" s="68"/>
      <c r="G42" s="68"/>
      <c r="H42" s="75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15">
      <c r="A43" s="14" t="s">
        <v>47</v>
      </c>
      <c r="B43" s="15"/>
      <c r="C43" s="15"/>
      <c r="D43" s="82" t="s">
        <v>54</v>
      </c>
      <c r="E43" s="82">
        <v>0.115</v>
      </c>
      <c r="F43" s="82">
        <v>0.103</v>
      </c>
      <c r="G43" s="82" t="s">
        <v>54</v>
      </c>
      <c r="H43" s="83">
        <v>0.078</v>
      </c>
      <c r="I43" s="82">
        <v>0.075</v>
      </c>
      <c r="J43" s="82">
        <v>0.06</v>
      </c>
      <c r="K43" s="82">
        <v>0.05</v>
      </c>
      <c r="L43" s="82">
        <v>0.04</v>
      </c>
      <c r="M43" s="82">
        <v>0.03</v>
      </c>
      <c r="N43" s="82">
        <v>0.03</v>
      </c>
      <c r="O43" s="82">
        <v>0.03</v>
      </c>
      <c r="P43" s="82">
        <v>0.03</v>
      </c>
      <c r="Q43" s="82">
        <v>0.03</v>
      </c>
      <c r="R43" s="84">
        <v>0.03</v>
      </c>
    </row>
    <row r="44" spans="1:18" ht="15">
      <c r="A44" s="17" t="s">
        <v>48</v>
      </c>
      <c r="B44" s="18"/>
      <c r="C44" s="18"/>
      <c r="D44" s="85">
        <v>0.62</v>
      </c>
      <c r="E44" s="85">
        <v>0.61</v>
      </c>
      <c r="F44" s="85">
        <v>0.6</v>
      </c>
      <c r="G44" s="85">
        <v>0.601</v>
      </c>
      <c r="H44" s="86">
        <v>0.6</v>
      </c>
      <c r="I44" s="85">
        <v>0.6</v>
      </c>
      <c r="J44" s="85">
        <v>0.6</v>
      </c>
      <c r="K44" s="85">
        <v>0.6</v>
      </c>
      <c r="L44" s="85">
        <v>0.6</v>
      </c>
      <c r="M44" s="85">
        <v>0.6</v>
      </c>
      <c r="N44" s="85">
        <v>0.6</v>
      </c>
      <c r="O44" s="85">
        <v>0.6</v>
      </c>
      <c r="P44" s="85">
        <v>0.6</v>
      </c>
      <c r="Q44" s="85">
        <v>0.6</v>
      </c>
      <c r="R44" s="87">
        <v>0.6</v>
      </c>
    </row>
    <row r="45" spans="1:18" ht="15">
      <c r="A45" s="17" t="s">
        <v>49</v>
      </c>
      <c r="B45" s="18"/>
      <c r="C45" s="18"/>
      <c r="D45" s="85">
        <v>0.191</v>
      </c>
      <c r="E45" s="85">
        <v>0.19</v>
      </c>
      <c r="F45" s="85">
        <v>0.19</v>
      </c>
      <c r="G45" s="85">
        <v>0.192</v>
      </c>
      <c r="H45" s="86">
        <v>0.19</v>
      </c>
      <c r="I45" s="85">
        <v>0.19</v>
      </c>
      <c r="J45" s="85">
        <v>0.19</v>
      </c>
      <c r="K45" s="85">
        <v>0.19</v>
      </c>
      <c r="L45" s="85">
        <v>0.19</v>
      </c>
      <c r="M45" s="85">
        <v>0.19</v>
      </c>
      <c r="N45" s="85">
        <v>0.19</v>
      </c>
      <c r="O45" s="85">
        <v>0.19</v>
      </c>
      <c r="P45" s="85">
        <v>0.19</v>
      </c>
      <c r="Q45" s="85">
        <v>0.19</v>
      </c>
      <c r="R45" s="87">
        <v>0.19</v>
      </c>
    </row>
    <row r="46" spans="1:18" ht="15">
      <c r="A46" s="17" t="s">
        <v>50</v>
      </c>
      <c r="B46" s="18"/>
      <c r="C46" s="18"/>
      <c r="D46" s="85">
        <v>0</v>
      </c>
      <c r="E46" s="85">
        <v>0</v>
      </c>
      <c r="F46" s="85">
        <v>0</v>
      </c>
      <c r="G46" s="85">
        <v>0</v>
      </c>
      <c r="H46" s="86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7">
        <v>0</v>
      </c>
    </row>
    <row r="47" spans="1:18" ht="15">
      <c r="A47" s="17" t="s">
        <v>51</v>
      </c>
      <c r="B47" s="18"/>
      <c r="C47" s="18"/>
      <c r="D47" s="85">
        <v>0.045</v>
      </c>
      <c r="E47" s="85">
        <v>0.045</v>
      </c>
      <c r="F47" s="85">
        <v>0.045</v>
      </c>
      <c r="G47" s="85">
        <v>0.045</v>
      </c>
      <c r="H47" s="86">
        <v>0.045</v>
      </c>
      <c r="I47" s="85">
        <v>0.045</v>
      </c>
      <c r="J47" s="85">
        <v>0.045</v>
      </c>
      <c r="K47" s="85">
        <v>0.045</v>
      </c>
      <c r="L47" s="85">
        <v>0.045</v>
      </c>
      <c r="M47" s="85">
        <v>0.045</v>
      </c>
      <c r="N47" s="85">
        <v>0.045</v>
      </c>
      <c r="O47" s="85">
        <v>0.045</v>
      </c>
      <c r="P47" s="85">
        <v>0.045</v>
      </c>
      <c r="Q47" s="85">
        <v>0.045</v>
      </c>
      <c r="R47" s="87">
        <v>0.045</v>
      </c>
    </row>
    <row r="48" spans="1:18" ht="15">
      <c r="A48" s="17" t="s">
        <v>52</v>
      </c>
      <c r="B48" s="18"/>
      <c r="C48" s="18"/>
      <c r="D48" s="85">
        <v>0.015</v>
      </c>
      <c r="E48" s="85">
        <v>0.015</v>
      </c>
      <c r="F48" s="85">
        <v>0.015</v>
      </c>
      <c r="G48" s="85">
        <v>0.015</v>
      </c>
      <c r="H48" s="86">
        <v>0.015</v>
      </c>
      <c r="I48" s="85">
        <v>0.015</v>
      </c>
      <c r="J48" s="85">
        <v>0.015</v>
      </c>
      <c r="K48" s="85">
        <v>0.015</v>
      </c>
      <c r="L48" s="85">
        <v>0.015</v>
      </c>
      <c r="M48" s="85">
        <v>0.015</v>
      </c>
      <c r="N48" s="85">
        <v>0.015</v>
      </c>
      <c r="O48" s="85">
        <v>0.015</v>
      </c>
      <c r="P48" s="85">
        <v>0.015</v>
      </c>
      <c r="Q48" s="85">
        <v>0.015</v>
      </c>
      <c r="R48" s="87">
        <v>0.015</v>
      </c>
    </row>
    <row r="49" spans="1:18" ht="15">
      <c r="A49" s="17" t="s">
        <v>41</v>
      </c>
      <c r="B49" s="18"/>
      <c r="C49" s="18"/>
      <c r="D49" s="85"/>
      <c r="E49" s="85"/>
      <c r="F49" s="85"/>
      <c r="G49" s="85"/>
      <c r="H49" s="86">
        <v>0.005</v>
      </c>
      <c r="I49" s="85">
        <v>0.005</v>
      </c>
      <c r="J49" s="85">
        <v>0.005</v>
      </c>
      <c r="K49" s="85">
        <v>0.005</v>
      </c>
      <c r="L49" s="85">
        <v>0.005</v>
      </c>
      <c r="M49" s="85">
        <v>0.005</v>
      </c>
      <c r="N49" s="85">
        <v>0.005</v>
      </c>
      <c r="O49" s="85">
        <v>0.005</v>
      </c>
      <c r="P49" s="85">
        <v>0.005</v>
      </c>
      <c r="Q49" s="85">
        <v>0.005</v>
      </c>
      <c r="R49" s="87">
        <v>0.005</v>
      </c>
    </row>
    <row r="50" spans="1:18" ht="15">
      <c r="A50" s="20" t="s">
        <v>53</v>
      </c>
      <c r="B50" s="21"/>
      <c r="C50" s="21"/>
      <c r="D50" s="88"/>
      <c r="E50" s="88"/>
      <c r="F50" s="88"/>
      <c r="G50" s="88"/>
      <c r="H50" s="89"/>
      <c r="I50" s="88">
        <v>0.38</v>
      </c>
      <c r="J50" s="88">
        <v>0.38</v>
      </c>
      <c r="K50" s="88">
        <v>0.38</v>
      </c>
      <c r="L50" s="88">
        <v>0.38</v>
      </c>
      <c r="M50" s="88">
        <v>0.38</v>
      </c>
      <c r="N50" s="88">
        <v>0.38</v>
      </c>
      <c r="O50" s="88">
        <v>0.38</v>
      </c>
      <c r="P50" s="88">
        <v>0.38</v>
      </c>
      <c r="Q50" s="88">
        <v>0.38</v>
      </c>
      <c r="R50" s="90">
        <v>0.38</v>
      </c>
    </row>
  </sheetData>
  <sheetProtection/>
  <mergeCells count="2">
    <mergeCell ref="D2:G2"/>
    <mergeCell ref="I2:R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zoomScale="85" zoomScaleNormal="85" zoomScalePageLayoutView="0" workbookViewId="0" topLeftCell="A16">
      <selection activeCell="D5" sqref="D5"/>
    </sheetView>
  </sheetViews>
  <sheetFormatPr defaultColWidth="9.140625" defaultRowHeight="15"/>
  <cols>
    <col min="1" max="1" width="21.57421875" style="0" customWidth="1"/>
    <col min="2" max="3" width="14.57421875" style="0" customWidth="1"/>
    <col min="4" max="5" width="10.57421875" style="0" bestFit="1" customWidth="1"/>
    <col min="6" max="6" width="11.28125" style="0" bestFit="1" customWidth="1"/>
    <col min="7" max="7" width="10.57421875" style="0" bestFit="1" customWidth="1"/>
    <col min="8" max="17" width="11.28125" style="0" bestFit="1" customWidth="1"/>
  </cols>
  <sheetData>
    <row r="1" spans="1:19" ht="15">
      <c r="A1" s="3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7"/>
      <c r="S1" s="37"/>
    </row>
    <row r="2" spans="8:19" ht="15.75" thickBot="1">
      <c r="H2" s="208" t="s">
        <v>14</v>
      </c>
      <c r="I2" s="208"/>
      <c r="J2" s="208"/>
      <c r="K2" s="208"/>
      <c r="L2" s="208"/>
      <c r="M2" s="208"/>
      <c r="N2" s="208"/>
      <c r="O2" s="208"/>
      <c r="P2" s="208"/>
      <c r="Q2" s="208"/>
      <c r="R2" s="38"/>
      <c r="S2" s="38"/>
    </row>
    <row r="3" spans="4:17" ht="15">
      <c r="D3" s="1" t="s">
        <v>60</v>
      </c>
      <c r="E3" s="207" t="s">
        <v>56</v>
      </c>
      <c r="F3" s="207"/>
      <c r="G3" s="1" t="s">
        <v>59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</row>
    <row r="4" spans="4:17" ht="15">
      <c r="D4" s="4">
        <v>2012</v>
      </c>
      <c r="E4" s="1" t="s">
        <v>57</v>
      </c>
      <c r="F4" s="1" t="s">
        <v>58</v>
      </c>
      <c r="G4" s="4">
        <v>2012</v>
      </c>
      <c r="H4" s="4">
        <v>2013</v>
      </c>
      <c r="I4" s="4">
        <v>2014</v>
      </c>
      <c r="J4" s="4">
        <v>2015</v>
      </c>
      <c r="K4" s="4">
        <v>2016</v>
      </c>
      <c r="L4" s="4">
        <v>2017</v>
      </c>
      <c r="M4" s="4">
        <v>2018</v>
      </c>
      <c r="N4" s="4">
        <v>2019</v>
      </c>
      <c r="O4" s="4">
        <v>2020</v>
      </c>
      <c r="P4" s="4">
        <v>2021</v>
      </c>
      <c r="Q4" s="4">
        <v>2022</v>
      </c>
    </row>
    <row r="5" spans="1:17" ht="15">
      <c r="A5" t="s">
        <v>61</v>
      </c>
      <c r="D5" s="22">
        <v>250</v>
      </c>
      <c r="E5" s="45"/>
      <c r="F5" s="46">
        <v>-250</v>
      </c>
      <c r="G5" s="22">
        <f>D5+SUM(E5:F5)</f>
        <v>0</v>
      </c>
      <c r="H5" s="22">
        <f>'Cash Flow Statement'!H43</f>
        <v>0</v>
      </c>
      <c r="I5" s="22">
        <f>'Cash Flow Statement'!I43</f>
        <v>0</v>
      </c>
      <c r="J5" s="22">
        <f>'Cash Flow Statement'!J43</f>
        <v>0</v>
      </c>
      <c r="K5" s="22">
        <f>'Cash Flow Statement'!K43</f>
        <v>0</v>
      </c>
      <c r="L5" s="22">
        <f>'Cash Flow Statement'!L43</f>
        <v>0</v>
      </c>
      <c r="M5" s="22">
        <f>'Cash Flow Statement'!M43</f>
        <v>0</v>
      </c>
      <c r="N5" s="22">
        <f>'Cash Flow Statement'!N43</f>
        <v>0.5358966405994465</v>
      </c>
      <c r="O5" s="22">
        <f>'Cash Flow Statement'!O43</f>
        <v>419.95756610024205</v>
      </c>
      <c r="P5" s="22">
        <f>'Cash Flow Statement'!P43</f>
        <v>853.0193950096457</v>
      </c>
      <c r="Q5" s="22">
        <f>'Cash Flow Statement'!Q43</f>
        <v>1302.7864959956523</v>
      </c>
    </row>
    <row r="6" spans="1:17" ht="15">
      <c r="A6" t="s">
        <v>62</v>
      </c>
      <c r="D6" s="22">
        <v>450</v>
      </c>
      <c r="E6" s="48"/>
      <c r="F6" s="27"/>
      <c r="G6" s="22">
        <f>D6+SUM(E6:F6)</f>
        <v>450</v>
      </c>
      <c r="H6" s="22">
        <f>('Income Statement'!I5*'Balance Sheet'!H49)/365</f>
        <v>483.24240956772604</v>
      </c>
      <c r="I6" s="22">
        <f>('Income Statement'!J5*'Balance Sheet'!I49)/365</f>
        <v>512.2369541417896</v>
      </c>
      <c r="J6" s="22">
        <f>('Income Statement'!K5*'Balance Sheet'!J49)/365</f>
        <v>537.8488018488791</v>
      </c>
      <c r="K6" s="22">
        <f>('Income Statement'!L5*'Balance Sheet'!K49)/365</f>
        <v>559.3627539228343</v>
      </c>
      <c r="L6" s="22">
        <f>('Income Statement'!M5*'Balance Sheet'!L49)/365</f>
        <v>576.1436365405193</v>
      </c>
      <c r="M6" s="22">
        <f>('Income Statement'!N5*'Balance Sheet'!M49)/365</f>
        <v>593.427945636735</v>
      </c>
      <c r="N6" s="22">
        <f>('Income Statement'!O5*'Balance Sheet'!N49)/365</f>
        <v>611.230784005837</v>
      </c>
      <c r="O6" s="22">
        <f>('Income Statement'!P5*'Balance Sheet'!O49)/365</f>
        <v>629.5677075260121</v>
      </c>
      <c r="P6" s="22">
        <f>('Income Statement'!Q5*'Balance Sheet'!P49)/365</f>
        <v>648.4547387517924</v>
      </c>
      <c r="Q6" s="22">
        <f>('Income Statement'!R5*'Balance Sheet'!Q49)/365</f>
        <v>667.9083809143463</v>
      </c>
    </row>
    <row r="7" spans="1:17" ht="15">
      <c r="A7" t="s">
        <v>63</v>
      </c>
      <c r="D7" s="22">
        <v>600</v>
      </c>
      <c r="E7" s="48"/>
      <c r="F7" s="27"/>
      <c r="G7" s="22">
        <f>D7+SUM(E7:F7)</f>
        <v>600</v>
      </c>
      <c r="H7" s="22">
        <f>(H50/365)*'Income Statement'!I7</f>
        <v>644.4585747764548</v>
      </c>
      <c r="I7" s="22">
        <f>(I50/365)*'Income Statement'!J7</f>
        <v>683.1260892630421</v>
      </c>
      <c r="J7" s="22">
        <f>(J50/365)*'Income Statement'!K7</f>
        <v>717.2823937261943</v>
      </c>
      <c r="K7" s="22">
        <f>(K50/365)*'Income Statement'!L7</f>
        <v>745.973689475242</v>
      </c>
      <c r="L7" s="22">
        <f>(L50/365)*'Income Statement'!M7</f>
        <v>768.3529001594993</v>
      </c>
      <c r="M7" s="22">
        <f>(M50/365)*'Income Statement'!N7</f>
        <v>791.4034871642845</v>
      </c>
      <c r="N7" s="22">
        <f>(N50/365)*'Income Statement'!O7</f>
        <v>815.145591779213</v>
      </c>
      <c r="O7" s="22">
        <f>(O50/365)*'Income Statement'!P7</f>
        <v>839.5999595325893</v>
      </c>
      <c r="P7" s="22">
        <f>(P50/365)*'Income Statement'!Q7</f>
        <v>864.787958318567</v>
      </c>
      <c r="Q7" s="22">
        <f>(Q50/365)*'Income Statement'!R7</f>
        <v>890.731597068124</v>
      </c>
    </row>
    <row r="8" spans="1:17" ht="15">
      <c r="A8" t="s">
        <v>64</v>
      </c>
      <c r="D8" s="23">
        <v>175</v>
      </c>
      <c r="E8" s="48"/>
      <c r="F8" s="27"/>
      <c r="G8" s="50">
        <f>D8+SUM(E8:F8)</f>
        <v>175</v>
      </c>
      <c r="H8" s="23">
        <f>'Income Statement'!I5*'Balance Sheet'!H51</f>
        <v>188.98229945595</v>
      </c>
      <c r="I8" s="23">
        <f>'Income Statement'!J5*'Balance Sheet'!I51</f>
        <v>200.321237423307</v>
      </c>
      <c r="J8" s="23">
        <f>'Income Statement'!K5*'Balance Sheet'!J51</f>
        <v>210.33729929447236</v>
      </c>
      <c r="K8" s="23">
        <f>'Income Statement'!L5*'Balance Sheet'!K51</f>
        <v>218.75079126625124</v>
      </c>
      <c r="L8" s="23">
        <f>'Income Statement'!M5*'Balance Sheet'!L51</f>
        <v>225.3133150042388</v>
      </c>
      <c r="M8" s="23">
        <f>'Income Statement'!N5*'Balance Sheet'!M51</f>
        <v>232.07271445436598</v>
      </c>
      <c r="N8" s="23">
        <f>'Income Statement'!O5*'Balance Sheet'!N51</f>
        <v>239.03489588799695</v>
      </c>
      <c r="O8" s="23">
        <f>'Income Statement'!P5*'Balance Sheet'!O51</f>
        <v>246.20594276463686</v>
      </c>
      <c r="P8" s="23">
        <f>'Income Statement'!Q5*'Balance Sheet'!P51</f>
        <v>253.59212104757597</v>
      </c>
      <c r="Q8" s="23">
        <f>'Income Statement'!R5*'Balance Sheet'!Q51</f>
        <v>261.1998846790032</v>
      </c>
    </row>
    <row r="9" spans="1:17" ht="15">
      <c r="A9" s="7" t="s">
        <v>65</v>
      </c>
      <c r="D9" s="43">
        <f>SUM(D5:D8)</f>
        <v>1475</v>
      </c>
      <c r="E9" s="48"/>
      <c r="F9" s="27"/>
      <c r="G9" s="43">
        <f>SUM(G5:G8)</f>
        <v>1225</v>
      </c>
      <c r="H9" s="43">
        <f>SUM(H5:H8)</f>
        <v>1316.6832838001308</v>
      </c>
      <c r="I9" s="43">
        <f aca="true" t="shared" si="0" ref="I9:Q9">SUM(I5:I8)</f>
        <v>1395.6842808281388</v>
      </c>
      <c r="J9" s="43">
        <f t="shared" si="0"/>
        <v>1465.4684948695458</v>
      </c>
      <c r="K9" s="43">
        <f t="shared" si="0"/>
        <v>1524.0872346643278</v>
      </c>
      <c r="L9" s="43">
        <f t="shared" si="0"/>
        <v>1569.8098517042574</v>
      </c>
      <c r="M9" s="43">
        <f t="shared" si="0"/>
        <v>1616.9041472553854</v>
      </c>
      <c r="N9" s="43">
        <f t="shared" si="0"/>
        <v>1665.9471683136464</v>
      </c>
      <c r="O9" s="43">
        <f t="shared" si="0"/>
        <v>2135.3311759234803</v>
      </c>
      <c r="P9" s="43">
        <f t="shared" si="0"/>
        <v>2619.8542131275813</v>
      </c>
      <c r="Q9" s="43">
        <f t="shared" si="0"/>
        <v>3122.626358657126</v>
      </c>
    </row>
    <row r="10" spans="4:17" ht="15">
      <c r="D10" s="22"/>
      <c r="E10" s="48"/>
      <c r="F10" s="27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5">
      <c r="A11" t="s">
        <v>66</v>
      </c>
      <c r="D11" s="22">
        <v>2500</v>
      </c>
      <c r="E11" s="48"/>
      <c r="F11" s="27"/>
      <c r="G11" s="22">
        <f>D11+SUM(E11:F11)</f>
        <v>2500</v>
      </c>
      <c r="H11" s="22">
        <f>G11-'Income Statement'!I15-'Cash Flow Statement'!H23</f>
        <v>2500</v>
      </c>
      <c r="I11" s="22">
        <f>H11-'Income Statement'!J15-'Cash Flow Statement'!I23</f>
        <v>2500</v>
      </c>
      <c r="J11" s="22">
        <f>I11-'Income Statement'!K15-'Cash Flow Statement'!J23</f>
        <v>2500</v>
      </c>
      <c r="K11" s="22">
        <f>J11-'Income Statement'!L15-'Cash Flow Statement'!K23</f>
        <v>2500</v>
      </c>
      <c r="L11" s="22">
        <f>K11-'Income Statement'!M15-'Cash Flow Statement'!L23</f>
        <v>2500</v>
      </c>
      <c r="M11" s="22">
        <f>L11-'Income Statement'!N15-'Cash Flow Statement'!M23</f>
        <v>2500</v>
      </c>
      <c r="N11" s="22">
        <f>M11-'Income Statement'!O15-'Cash Flow Statement'!N23</f>
        <v>2500</v>
      </c>
      <c r="O11" s="22">
        <f>N11-'Income Statement'!P15-'Cash Flow Statement'!O23</f>
        <v>2500</v>
      </c>
      <c r="P11" s="22">
        <f>O11-'Income Statement'!Q15-'Cash Flow Statement'!P23</f>
        <v>2500</v>
      </c>
      <c r="Q11" s="22">
        <f>P11-'Income Statement'!R15-'Cash Flow Statement'!Q23</f>
        <v>2500</v>
      </c>
    </row>
    <row r="12" spans="1:17" ht="15">
      <c r="A12" t="s">
        <v>67</v>
      </c>
      <c r="D12" s="22">
        <v>1000</v>
      </c>
      <c r="E12" s="48">
        <f>Assumptions!E19-(D38-D12)</f>
        <v>1850</v>
      </c>
      <c r="F12" s="27">
        <f>-D12</f>
        <v>-1000</v>
      </c>
      <c r="G12" s="22">
        <f>D12+SUM(E12:F12)</f>
        <v>1850</v>
      </c>
      <c r="H12" s="22">
        <f aca="true" t="shared" si="1" ref="H12:Q12">$G$12</f>
        <v>1850</v>
      </c>
      <c r="I12" s="22">
        <f t="shared" si="1"/>
        <v>1850</v>
      </c>
      <c r="J12" s="22">
        <f t="shared" si="1"/>
        <v>1850</v>
      </c>
      <c r="K12" s="22">
        <f t="shared" si="1"/>
        <v>1850</v>
      </c>
      <c r="L12" s="22">
        <f t="shared" si="1"/>
        <v>1850</v>
      </c>
      <c r="M12" s="22">
        <f t="shared" si="1"/>
        <v>1850</v>
      </c>
      <c r="N12" s="22">
        <f t="shared" si="1"/>
        <v>1850</v>
      </c>
      <c r="O12" s="22">
        <f t="shared" si="1"/>
        <v>1850</v>
      </c>
      <c r="P12" s="22">
        <f t="shared" si="1"/>
        <v>1850</v>
      </c>
      <c r="Q12" s="22">
        <f t="shared" si="1"/>
        <v>1850</v>
      </c>
    </row>
    <row r="13" spans="1:17" ht="15">
      <c r="A13" t="s">
        <v>68</v>
      </c>
      <c r="D13" s="22">
        <v>875</v>
      </c>
      <c r="E13" s="48"/>
      <c r="F13" s="27"/>
      <c r="G13" s="22">
        <f>D13+SUM(E13:F13)</f>
        <v>875</v>
      </c>
      <c r="H13" s="22">
        <f>G13-'Income Statement'!I16</f>
        <v>819.41697074825</v>
      </c>
      <c r="I13" s="22">
        <f>H13-'Income Statement'!J16</f>
        <v>760.4989597413951</v>
      </c>
      <c r="J13" s="22">
        <f>I13-'Income Statement'!K16</f>
        <v>698.6350481841973</v>
      </c>
      <c r="K13" s="22">
        <f>J13-'Income Statement'!L16</f>
        <v>634.2965801647117</v>
      </c>
      <c r="L13" s="22">
        <f>K13-'Income Statement'!M16</f>
        <v>568.0279581046415</v>
      </c>
      <c r="M13" s="22">
        <f>L13-'Income Statement'!N16</f>
        <v>499.77127738276914</v>
      </c>
      <c r="N13" s="22">
        <f>M13-'Income Statement'!O16</f>
        <v>429.4668962392406</v>
      </c>
      <c r="O13" s="22">
        <f>N13-'Income Statement'!P16</f>
        <v>357.05338366140626</v>
      </c>
      <c r="P13" s="22">
        <f>O13-'Income Statement'!Q16</f>
        <v>282.46746570623685</v>
      </c>
      <c r="Q13" s="22">
        <f>P13-'Income Statement'!R16</f>
        <v>205.64397021241237</v>
      </c>
    </row>
    <row r="14" spans="1:17" ht="15">
      <c r="A14" t="s">
        <v>69</v>
      </c>
      <c r="D14" s="22">
        <v>150</v>
      </c>
      <c r="E14" s="48"/>
      <c r="F14" s="27"/>
      <c r="G14" s="22">
        <f>D14+SUM(E14:F14)</f>
        <v>150</v>
      </c>
      <c r="H14" s="22">
        <v>150</v>
      </c>
      <c r="I14" s="22">
        <v>150</v>
      </c>
      <c r="J14" s="22">
        <v>150</v>
      </c>
      <c r="K14" s="22">
        <v>150</v>
      </c>
      <c r="L14" s="22">
        <v>150</v>
      </c>
      <c r="M14" s="22">
        <v>150</v>
      </c>
      <c r="N14" s="22">
        <v>150</v>
      </c>
      <c r="O14" s="22">
        <v>150</v>
      </c>
      <c r="P14" s="22">
        <v>150</v>
      </c>
      <c r="Q14" s="22">
        <v>150</v>
      </c>
    </row>
    <row r="15" spans="1:17" ht="15">
      <c r="A15" t="s">
        <v>70</v>
      </c>
      <c r="D15" s="23">
        <v>0</v>
      </c>
      <c r="E15" s="48">
        <f>Assumptions!G69</f>
        <v>90.05</v>
      </c>
      <c r="F15" s="27"/>
      <c r="G15" s="22">
        <f>D15+SUM(E15:F15)</f>
        <v>90.05</v>
      </c>
      <c r="H15" s="22">
        <f>G15-($G$15*Assumptions!F86)</f>
        <v>78.06160714285714</v>
      </c>
      <c r="I15" s="22">
        <f>H15-($G$15*Assumptions!G86)</f>
        <v>66.07321428571429</v>
      </c>
      <c r="J15" s="22">
        <f>I15-($G$15*Assumptions!H86)</f>
        <v>54.08482142857143</v>
      </c>
      <c r="K15" s="22">
        <f>J15-($G$15*Assumptions!I86)</f>
        <v>42.096428571428575</v>
      </c>
      <c r="L15" s="22">
        <f>K15-($G$15*Assumptions!J86)</f>
        <v>30.10803571428572</v>
      </c>
      <c r="M15" s="22">
        <f>L15-($G$15*Assumptions!K86)</f>
        <v>18.119642857142864</v>
      </c>
      <c r="N15" s="22">
        <f>M15-($G$15*Assumptions!L86)</f>
        <v>6.756250000000007</v>
      </c>
      <c r="O15" s="22">
        <f>N15-($G$15*Assumptions!M86)</f>
        <v>7.105427357601002E-15</v>
      </c>
      <c r="P15" s="22">
        <f>O15-($G$15*Assumptions!N86)</f>
        <v>7.105427357601002E-15</v>
      </c>
      <c r="Q15" s="22">
        <f>P15-($G$15*Assumptions!O86)</f>
        <v>7.105427357601002E-15</v>
      </c>
    </row>
    <row r="16" spans="1:17" ht="15.75" thickBot="1">
      <c r="A16" s="7" t="s">
        <v>71</v>
      </c>
      <c r="D16" s="44">
        <f>D9+SUM(D11:D15)</f>
        <v>6000</v>
      </c>
      <c r="E16" s="48"/>
      <c r="F16" s="27"/>
      <c r="G16" s="44">
        <f aca="true" t="shared" si="2" ref="G16:Q16">G9+SUM(G11:G15)</f>
        <v>6690.05</v>
      </c>
      <c r="H16" s="44">
        <f t="shared" si="2"/>
        <v>6714.161861691237</v>
      </c>
      <c r="I16" s="44">
        <f t="shared" si="2"/>
        <v>6722.256454855248</v>
      </c>
      <c r="J16" s="44">
        <f t="shared" si="2"/>
        <v>6718.188364482315</v>
      </c>
      <c r="K16" s="44">
        <f t="shared" si="2"/>
        <v>6700.480243400469</v>
      </c>
      <c r="L16" s="44">
        <f t="shared" si="2"/>
        <v>6667.945845523184</v>
      </c>
      <c r="M16" s="44">
        <f t="shared" si="2"/>
        <v>6634.795067495297</v>
      </c>
      <c r="N16" s="44">
        <f t="shared" si="2"/>
        <v>6602.170314552887</v>
      </c>
      <c r="O16" s="44">
        <f t="shared" si="2"/>
        <v>6992.384559584886</v>
      </c>
      <c r="P16" s="44">
        <f t="shared" si="2"/>
        <v>7402.321678833818</v>
      </c>
      <c r="Q16" s="44">
        <f t="shared" si="2"/>
        <v>7828.270328869538</v>
      </c>
    </row>
    <row r="17" spans="4:17" ht="15.75" thickTop="1">
      <c r="D17" s="22"/>
      <c r="E17" s="48"/>
      <c r="F17" s="27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5">
      <c r="A18" t="s">
        <v>72</v>
      </c>
      <c r="D18" s="22">
        <v>215</v>
      </c>
      <c r="E18" s="48"/>
      <c r="F18" s="27"/>
      <c r="G18" s="22">
        <f>D18+SUM(E18:F18)</f>
        <v>215</v>
      </c>
      <c r="H18" s="22">
        <f>(H54/365)*'Income Statement'!I7</f>
        <v>230.85992423466573</v>
      </c>
      <c r="I18" s="22">
        <f>(I54/365)*'Income Statement'!J7</f>
        <v>244.71151968874568</v>
      </c>
      <c r="J18" s="22">
        <f>(J54/365)*'Income Statement'!K7</f>
        <v>256.947095673183</v>
      </c>
      <c r="K18" s="22">
        <f>(K54/365)*'Income Statement'!L7</f>
        <v>267.2249795001103</v>
      </c>
      <c r="L18" s="22">
        <f>(L54/365)*'Income Statement'!M7</f>
        <v>275.2417288851136</v>
      </c>
      <c r="M18" s="22">
        <f>(M54/365)*'Income Statement'!N7</f>
        <v>283.4989807516671</v>
      </c>
      <c r="N18" s="22">
        <f>(N54/365)*'Income Statement'!O7</f>
        <v>292.0039501742171</v>
      </c>
      <c r="O18" s="22">
        <f>(O54/365)*'Income Statement'!P7</f>
        <v>300.7640686794436</v>
      </c>
      <c r="P18" s="22">
        <f>(P54/365)*'Income Statement'!Q7</f>
        <v>309.7869907398269</v>
      </c>
      <c r="Q18" s="22">
        <f>(Q54/365)*'Income Statement'!R7</f>
        <v>319.0806004620217</v>
      </c>
    </row>
    <row r="19" spans="1:17" ht="15">
      <c r="A19" t="s">
        <v>73</v>
      </c>
      <c r="D19" s="22">
        <v>275</v>
      </c>
      <c r="E19" s="48"/>
      <c r="F19" s="27"/>
      <c r="G19" s="22">
        <f>D19+SUM(E19:F19)</f>
        <v>275</v>
      </c>
      <c r="H19" s="22">
        <f>'Income Statement'!I5*'Balance Sheet'!H55</f>
        <v>296.442822676</v>
      </c>
      <c r="I19" s="22">
        <f>'Income Statement'!J5*'Balance Sheet'!I55</f>
        <v>314.22939203656</v>
      </c>
      <c r="J19" s="22">
        <f>'Income Statement'!K5*'Balance Sheet'!J55</f>
        <v>329.940861638388</v>
      </c>
      <c r="K19" s="22">
        <f>'Income Statement'!L5*'Balance Sheet'!K55</f>
        <v>343.13849610392356</v>
      </c>
      <c r="L19" s="22">
        <f>'Income Statement'!M5*'Balance Sheet'!L55</f>
        <v>353.43265098704126</v>
      </c>
      <c r="M19" s="22">
        <f>'Income Statement'!N5*'Balance Sheet'!M55</f>
        <v>364.03563051665253</v>
      </c>
      <c r="N19" s="22">
        <f>'Income Statement'!O5*'Balance Sheet'!N55</f>
        <v>374.9566994321521</v>
      </c>
      <c r="O19" s="22">
        <f>'Income Statement'!P5*'Balance Sheet'!O55</f>
        <v>386.2054004151167</v>
      </c>
      <c r="P19" s="22">
        <f>'Income Statement'!Q5*'Balance Sheet'!P55</f>
        <v>397.79156242757017</v>
      </c>
      <c r="Q19" s="22">
        <f>'Income Statement'!R5*'Balance Sheet'!Q55</f>
        <v>409.72530930039727</v>
      </c>
    </row>
    <row r="20" spans="1:17" ht="15">
      <c r="A20" t="s">
        <v>74</v>
      </c>
      <c r="D20" s="23">
        <v>100</v>
      </c>
      <c r="E20" s="48"/>
      <c r="F20" s="27"/>
      <c r="G20" s="50">
        <f>D20+SUM(E20:F20)</f>
        <v>100</v>
      </c>
      <c r="H20" s="23">
        <f>'Income Statement'!I5*'Balance Sheet'!H56</f>
        <v>107.46052322005</v>
      </c>
      <c r="I20" s="23">
        <f>'Income Statement'!J5*'Balance Sheet'!I56</f>
        <v>113.90815461325302</v>
      </c>
      <c r="J20" s="23">
        <f>'Income Statement'!K5*'Balance Sheet'!J56</f>
        <v>119.60356234391566</v>
      </c>
      <c r="K20" s="23">
        <f>'Income Statement'!L5*'Balance Sheet'!K56</f>
        <v>124.38770483767229</v>
      </c>
      <c r="L20" s="23">
        <f>'Income Statement'!M5*'Balance Sheet'!L56</f>
        <v>128.11933598280245</v>
      </c>
      <c r="M20" s="23">
        <f>'Income Statement'!N5*'Balance Sheet'!M56</f>
        <v>131.96291606228655</v>
      </c>
      <c r="N20" s="23">
        <f>'Income Statement'!O5*'Balance Sheet'!N56</f>
        <v>135.92180354415515</v>
      </c>
      <c r="O20" s="23">
        <f>'Income Statement'!P5*'Balance Sheet'!O56</f>
        <v>139.9994576504798</v>
      </c>
      <c r="P20" s="23">
        <f>'Income Statement'!Q5*'Balance Sheet'!P56</f>
        <v>144.1994413799942</v>
      </c>
      <c r="Q20" s="23">
        <f>'Income Statement'!R5*'Balance Sheet'!Q56</f>
        <v>148.52542462139402</v>
      </c>
    </row>
    <row r="21" spans="1:17" ht="15">
      <c r="A21" s="7" t="s">
        <v>75</v>
      </c>
      <c r="D21" s="43">
        <f>SUM(D18:D20)</f>
        <v>590</v>
      </c>
      <c r="E21" s="48"/>
      <c r="F21" s="27"/>
      <c r="G21" s="43">
        <f aca="true" t="shared" si="3" ref="G21:Q21">SUM(G18:G20)</f>
        <v>590</v>
      </c>
      <c r="H21" s="43">
        <f t="shared" si="3"/>
        <v>634.7632701307158</v>
      </c>
      <c r="I21" s="43">
        <f t="shared" si="3"/>
        <v>672.8490663385587</v>
      </c>
      <c r="J21" s="43">
        <f t="shared" si="3"/>
        <v>706.4915196554866</v>
      </c>
      <c r="K21" s="43">
        <f t="shared" si="3"/>
        <v>734.7511804417061</v>
      </c>
      <c r="L21" s="43">
        <f t="shared" si="3"/>
        <v>756.7937158549573</v>
      </c>
      <c r="M21" s="43">
        <f t="shared" si="3"/>
        <v>779.4975273306062</v>
      </c>
      <c r="N21" s="43">
        <f t="shared" si="3"/>
        <v>802.8824531505244</v>
      </c>
      <c r="O21" s="43">
        <f t="shared" si="3"/>
        <v>826.9689267450401</v>
      </c>
      <c r="P21" s="43">
        <f t="shared" si="3"/>
        <v>851.7779945473912</v>
      </c>
      <c r="Q21" s="43">
        <f t="shared" si="3"/>
        <v>877.331334383813</v>
      </c>
    </row>
    <row r="22" spans="4:17" ht="15">
      <c r="D22" s="22"/>
      <c r="E22" s="48"/>
      <c r="F22" s="27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5">
      <c r="A23" t="s">
        <v>28</v>
      </c>
      <c r="D23" s="22">
        <v>0</v>
      </c>
      <c r="E23" s="48">
        <f>Assumptions!D32</f>
        <v>0</v>
      </c>
      <c r="F23" s="27"/>
      <c r="G23" s="22">
        <f aca="true" t="shared" si="4" ref="G23:G34">D23+SUM(E23:F23)</f>
        <v>0</v>
      </c>
      <c r="H23" s="45"/>
      <c r="I23" s="51"/>
      <c r="J23" s="51"/>
      <c r="K23" s="51"/>
      <c r="L23" s="51"/>
      <c r="M23" s="51"/>
      <c r="N23" s="51"/>
      <c r="O23" s="51"/>
      <c r="P23" s="51"/>
      <c r="Q23" s="46"/>
    </row>
    <row r="24" spans="1:17" ht="15">
      <c r="A24" t="s">
        <v>29</v>
      </c>
      <c r="D24" s="22">
        <v>0</v>
      </c>
      <c r="E24" s="48">
        <f>Assumptions!D33</f>
        <v>0</v>
      </c>
      <c r="F24" s="27"/>
      <c r="G24" s="22">
        <f t="shared" si="4"/>
        <v>0</v>
      </c>
      <c r="H24" s="48"/>
      <c r="I24" s="52"/>
      <c r="J24" s="52"/>
      <c r="K24" s="52"/>
      <c r="L24" s="52"/>
      <c r="M24" s="52"/>
      <c r="N24" s="52"/>
      <c r="O24" s="52"/>
      <c r="P24" s="52"/>
      <c r="Q24" s="27"/>
    </row>
    <row r="25" spans="1:17" ht="15">
      <c r="A25" t="s">
        <v>30</v>
      </c>
      <c r="D25" s="22">
        <v>0</v>
      </c>
      <c r="E25" s="48">
        <f>Assumptions!D34</f>
        <v>2150</v>
      </c>
      <c r="F25" s="27"/>
      <c r="G25" s="22">
        <f t="shared" si="4"/>
        <v>2150</v>
      </c>
      <c r="H25" s="48">
        <f>'Debt Schedule'!F37</f>
        <v>1945.1109667534815</v>
      </c>
      <c r="I25" s="48">
        <f>'Debt Schedule'!G37</f>
        <v>1702.223638374991</v>
      </c>
      <c r="J25" s="48">
        <f>'Debt Schedule'!H37</f>
        <v>1424.064736891049</v>
      </c>
      <c r="K25" s="48">
        <f>'Debt Schedule'!I37</f>
        <v>1111.7817199670967</v>
      </c>
      <c r="L25" s="48">
        <f>'Debt Schedule'!J37</f>
        <v>767.2142363977587</v>
      </c>
      <c r="M25" s="48">
        <f>'Debt Schedule'!K37</f>
        <v>397.20828896172907</v>
      </c>
      <c r="N25" s="48">
        <f>'Debt Schedule'!L37</f>
        <v>0</v>
      </c>
      <c r="O25" s="48">
        <f>'Debt Schedule'!M37</f>
        <v>0</v>
      </c>
      <c r="P25" s="48">
        <f>'Debt Schedule'!N37</f>
        <v>0</v>
      </c>
      <c r="Q25" s="27">
        <f>'Debt Schedule'!O37</f>
        <v>0</v>
      </c>
    </row>
    <row r="26" spans="1:17" ht="15">
      <c r="A26" t="s">
        <v>31</v>
      </c>
      <c r="D26" s="22">
        <v>0</v>
      </c>
      <c r="E26" s="48">
        <f>Assumptions!D35</f>
        <v>0</v>
      </c>
      <c r="F26" s="27"/>
      <c r="G26" s="22">
        <f t="shared" si="4"/>
        <v>0</v>
      </c>
      <c r="H26" s="48"/>
      <c r="I26" s="52"/>
      <c r="J26" s="52"/>
      <c r="K26" s="52"/>
      <c r="L26" s="52"/>
      <c r="M26" s="52"/>
      <c r="N26" s="52"/>
      <c r="O26" s="52"/>
      <c r="P26" s="52"/>
      <c r="Q26" s="27"/>
    </row>
    <row r="27" spans="1:17" ht="15">
      <c r="A27" t="s">
        <v>32</v>
      </c>
      <c r="D27" s="22">
        <v>1000</v>
      </c>
      <c r="E27" s="48"/>
      <c r="F27" s="27">
        <v>-1000</v>
      </c>
      <c r="G27" s="22">
        <f aca="true" t="shared" si="5" ref="G27:Q27">$D$27+SUM($E$27:$F$27)</f>
        <v>0</v>
      </c>
      <c r="H27" s="48">
        <f t="shared" si="5"/>
        <v>0</v>
      </c>
      <c r="I27" s="22">
        <f t="shared" si="5"/>
        <v>0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0</v>
      </c>
      <c r="P27" s="22">
        <f t="shared" si="5"/>
        <v>0</v>
      </c>
      <c r="Q27" s="27">
        <f t="shared" si="5"/>
        <v>0</v>
      </c>
    </row>
    <row r="28" spans="1:17" ht="15">
      <c r="A28" t="s">
        <v>33</v>
      </c>
      <c r="D28" s="22">
        <v>0</v>
      </c>
      <c r="E28" s="48">
        <f>Assumptions!D36</f>
        <v>0</v>
      </c>
      <c r="F28" s="27"/>
      <c r="G28" s="22">
        <f t="shared" si="4"/>
        <v>0</v>
      </c>
      <c r="H28" s="48"/>
      <c r="I28" s="52"/>
      <c r="J28" s="52"/>
      <c r="K28" s="52"/>
      <c r="L28" s="52"/>
      <c r="M28" s="52"/>
      <c r="N28" s="52"/>
      <c r="O28" s="52"/>
      <c r="P28" s="52"/>
      <c r="Q28" s="27"/>
    </row>
    <row r="29" spans="1:17" ht="15">
      <c r="A29" t="s">
        <v>34</v>
      </c>
      <c r="D29" s="22">
        <v>0</v>
      </c>
      <c r="E29" s="48">
        <f>Assumptions!D37</f>
        <v>1500</v>
      </c>
      <c r="F29" s="27"/>
      <c r="G29" s="22">
        <f t="shared" si="4"/>
        <v>1500</v>
      </c>
      <c r="H29" s="48">
        <f>'Debt Schedule'!D50</f>
        <v>1500</v>
      </c>
      <c r="I29" s="48">
        <f>'Debt Schedule'!E50</f>
        <v>1500</v>
      </c>
      <c r="J29" s="48">
        <f>'Debt Schedule'!F50</f>
        <v>1500</v>
      </c>
      <c r="K29" s="48">
        <f>'Debt Schedule'!G50</f>
        <v>1500</v>
      </c>
      <c r="L29" s="48">
        <f>'Debt Schedule'!H50</f>
        <v>1500</v>
      </c>
      <c r="M29" s="48">
        <f>'Debt Schedule'!I50</f>
        <v>1500</v>
      </c>
      <c r="N29" s="48">
        <f>'Debt Schedule'!J50</f>
        <v>1500</v>
      </c>
      <c r="O29" s="48">
        <f>'Debt Schedule'!K50</f>
        <v>1500</v>
      </c>
      <c r="P29" s="48">
        <f>'Debt Schedule'!L50</f>
        <v>1500</v>
      </c>
      <c r="Q29" s="27">
        <f>'Debt Schedule'!M50</f>
        <v>1500</v>
      </c>
    </row>
    <row r="30" spans="1:17" ht="15">
      <c r="A30" t="s">
        <v>76</v>
      </c>
      <c r="D30" s="22">
        <v>500</v>
      </c>
      <c r="E30" s="48"/>
      <c r="F30" s="27">
        <v>-500</v>
      </c>
      <c r="G30" s="22">
        <f aca="true" t="shared" si="6" ref="G30:Q30">$D$30+SUM($E$30:$F$30)</f>
        <v>0</v>
      </c>
      <c r="H30" s="48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2">
        <f t="shared" si="6"/>
        <v>0</v>
      </c>
      <c r="P30" s="22">
        <f t="shared" si="6"/>
        <v>0</v>
      </c>
      <c r="Q30" s="27">
        <f t="shared" si="6"/>
        <v>0</v>
      </c>
    </row>
    <row r="31" spans="1:17" ht="15">
      <c r="A31" t="s">
        <v>35</v>
      </c>
      <c r="D31" s="22">
        <v>0</v>
      </c>
      <c r="E31" s="48">
        <f>Assumptions!D38</f>
        <v>0</v>
      </c>
      <c r="F31" s="27"/>
      <c r="G31" s="22">
        <f>D31+SUM(E31:F31)</f>
        <v>0</v>
      </c>
      <c r="H31" s="48"/>
      <c r="I31" s="52"/>
      <c r="J31" s="52"/>
      <c r="K31" s="52"/>
      <c r="L31" s="52"/>
      <c r="M31" s="52"/>
      <c r="N31" s="52"/>
      <c r="O31" s="52"/>
      <c r="P31" s="52"/>
      <c r="Q31" s="27"/>
    </row>
    <row r="32" spans="1:17" ht="15">
      <c r="A32" t="s">
        <v>77</v>
      </c>
      <c r="D32" s="22">
        <v>0</v>
      </c>
      <c r="E32" s="48"/>
      <c r="F32" s="27"/>
      <c r="G32" s="22">
        <f t="shared" si="4"/>
        <v>0</v>
      </c>
      <c r="H32" s="49"/>
      <c r="I32" s="53"/>
      <c r="J32" s="53"/>
      <c r="K32" s="53"/>
      <c r="L32" s="53"/>
      <c r="M32" s="53"/>
      <c r="N32" s="53"/>
      <c r="O32" s="53"/>
      <c r="P32" s="53"/>
      <c r="Q32" s="47"/>
    </row>
    <row r="33" spans="1:17" ht="15">
      <c r="A33" t="s">
        <v>78</v>
      </c>
      <c r="D33" s="22">
        <v>300</v>
      </c>
      <c r="E33" s="48"/>
      <c r="F33" s="27"/>
      <c r="G33" s="22">
        <f t="shared" si="4"/>
        <v>300</v>
      </c>
      <c r="H33" s="22">
        <v>300</v>
      </c>
      <c r="I33" s="22">
        <v>300</v>
      </c>
      <c r="J33" s="22">
        <v>300</v>
      </c>
      <c r="K33" s="22">
        <v>300</v>
      </c>
      <c r="L33" s="22">
        <v>300</v>
      </c>
      <c r="M33" s="22">
        <v>300</v>
      </c>
      <c r="N33" s="22">
        <v>300</v>
      </c>
      <c r="O33" s="22">
        <v>300</v>
      </c>
      <c r="P33" s="22">
        <v>300</v>
      </c>
      <c r="Q33" s="22">
        <v>300</v>
      </c>
    </row>
    <row r="34" spans="1:17" ht="15">
      <c r="A34" t="s">
        <v>79</v>
      </c>
      <c r="D34" s="23">
        <v>110</v>
      </c>
      <c r="E34" s="48"/>
      <c r="F34" s="27"/>
      <c r="G34" s="50">
        <f t="shared" si="4"/>
        <v>110</v>
      </c>
      <c r="H34" s="23">
        <v>110</v>
      </c>
      <c r="I34" s="23">
        <v>110</v>
      </c>
      <c r="J34" s="23">
        <v>110</v>
      </c>
      <c r="K34" s="23">
        <v>110</v>
      </c>
      <c r="L34" s="23">
        <v>110</v>
      </c>
      <c r="M34" s="23">
        <v>110</v>
      </c>
      <c r="N34" s="23">
        <v>110</v>
      </c>
      <c r="O34" s="23">
        <v>110</v>
      </c>
      <c r="P34" s="23">
        <v>110</v>
      </c>
      <c r="Q34" s="23">
        <v>110</v>
      </c>
    </row>
    <row r="35" spans="1:17" ht="15">
      <c r="A35" s="7" t="s">
        <v>80</v>
      </c>
      <c r="D35" s="43">
        <f>D21+SUM(D23:D34)</f>
        <v>2500</v>
      </c>
      <c r="E35" s="48"/>
      <c r="F35" s="27"/>
      <c r="G35" s="43">
        <f aca="true" t="shared" si="7" ref="G35:Q35">G21+SUM(G23:G34)</f>
        <v>4650</v>
      </c>
      <c r="H35" s="43">
        <f>H21+SUM(H23:H34)</f>
        <v>4489.874236884198</v>
      </c>
      <c r="I35" s="43">
        <f t="shared" si="7"/>
        <v>4285.07270471355</v>
      </c>
      <c r="J35" s="43">
        <f t="shared" si="7"/>
        <v>4040.5562565465357</v>
      </c>
      <c r="K35" s="43">
        <f t="shared" si="7"/>
        <v>3756.5329004088026</v>
      </c>
      <c r="L35" s="43">
        <f t="shared" si="7"/>
        <v>3434.0079522527158</v>
      </c>
      <c r="M35" s="43">
        <f t="shared" si="7"/>
        <v>3086.7058162923354</v>
      </c>
      <c r="N35" s="43">
        <f t="shared" si="7"/>
        <v>2712.8824531505243</v>
      </c>
      <c r="O35" s="43">
        <f t="shared" si="7"/>
        <v>2736.9689267450403</v>
      </c>
      <c r="P35" s="43">
        <f t="shared" si="7"/>
        <v>2761.7779945473912</v>
      </c>
      <c r="Q35" s="43">
        <f t="shared" si="7"/>
        <v>2787.331334383813</v>
      </c>
    </row>
    <row r="36" spans="4:17" ht="15">
      <c r="D36" s="22"/>
      <c r="E36" s="48"/>
      <c r="F36" s="27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5">
      <c r="A37" t="s">
        <v>81</v>
      </c>
      <c r="D37" s="22">
        <v>0</v>
      </c>
      <c r="E37" s="48"/>
      <c r="F37" s="27"/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1:17" ht="15">
      <c r="A38" t="s">
        <v>83</v>
      </c>
      <c r="D38" s="23">
        <v>3500</v>
      </c>
      <c r="E38" s="48">
        <f>(Assumptions!D39-Assumptions!D48-Assumptions!D50)</f>
        <v>2040</v>
      </c>
      <c r="F38" s="27">
        <f>-D38</f>
        <v>-3500</v>
      </c>
      <c r="G38" s="50">
        <f>D38+SUM(E38:F38)</f>
        <v>2040</v>
      </c>
      <c r="H38" s="23">
        <f>G38+'Income Statement'!I39</f>
        <v>2224.2376248070404</v>
      </c>
      <c r="I38" s="23">
        <f>H38+'Income Statement'!J39</f>
        <v>2437.133750141698</v>
      </c>
      <c r="J38" s="23">
        <f>I38+'Income Statement'!K39</f>
        <v>2677.5821079357784</v>
      </c>
      <c r="K38" s="23">
        <f>J38+'Income Statement'!L39</f>
        <v>2943.8973429916646</v>
      </c>
      <c r="L38" s="23">
        <f>K38+'Income Statement'!M39</f>
        <v>3233.8878932704683</v>
      </c>
      <c r="M38" s="23">
        <f>L38+'Income Statement'!N39</f>
        <v>3548.0392512029616</v>
      </c>
      <c r="N38" s="23">
        <f>M38+'Income Statement'!O39</f>
        <v>3889.237861402362</v>
      </c>
      <c r="O38" s="23">
        <f>N38+'Income Statement'!P39</f>
        <v>4255.365632839846</v>
      </c>
      <c r="P38" s="23">
        <f>O38+'Income Statement'!Q39</f>
        <v>4640.493684286426</v>
      </c>
      <c r="Q38" s="23">
        <f>P38+'Income Statement'!R39</f>
        <v>5040.888994485725</v>
      </c>
    </row>
    <row r="39" spans="1:17" ht="15">
      <c r="A39" s="7" t="s">
        <v>82</v>
      </c>
      <c r="D39" s="43">
        <f>SUM(D37:D38)</f>
        <v>3500</v>
      </c>
      <c r="E39" s="48"/>
      <c r="F39" s="27"/>
      <c r="G39" s="43">
        <f aca="true" t="shared" si="8" ref="G39:Q39">SUM(G37:G38)</f>
        <v>2040</v>
      </c>
      <c r="H39" s="43">
        <f t="shared" si="8"/>
        <v>2224.2376248070404</v>
      </c>
      <c r="I39" s="43">
        <f t="shared" si="8"/>
        <v>2437.133750141698</v>
      </c>
      <c r="J39" s="43">
        <f t="shared" si="8"/>
        <v>2677.5821079357784</v>
      </c>
      <c r="K39" s="43">
        <f t="shared" si="8"/>
        <v>2943.8973429916646</v>
      </c>
      <c r="L39" s="43">
        <f t="shared" si="8"/>
        <v>3233.8878932704683</v>
      </c>
      <c r="M39" s="43">
        <f t="shared" si="8"/>
        <v>3548.0392512029616</v>
      </c>
      <c r="N39" s="43">
        <f t="shared" si="8"/>
        <v>3889.237861402362</v>
      </c>
      <c r="O39" s="43">
        <f t="shared" si="8"/>
        <v>4255.365632839846</v>
      </c>
      <c r="P39" s="43">
        <f t="shared" si="8"/>
        <v>4640.493684286426</v>
      </c>
      <c r="Q39" s="43">
        <f t="shared" si="8"/>
        <v>5040.888994485725</v>
      </c>
    </row>
    <row r="40" spans="1:17" ht="15.75" thickBot="1">
      <c r="A40" s="7" t="s">
        <v>84</v>
      </c>
      <c r="D40" s="44">
        <f>D39+D35</f>
        <v>6000</v>
      </c>
      <c r="E40" s="49"/>
      <c r="F40" s="47"/>
      <c r="G40" s="44">
        <f aca="true" t="shared" si="9" ref="G40:Q40">G39+G35</f>
        <v>6690</v>
      </c>
      <c r="H40" s="44">
        <f>H39+H35</f>
        <v>6714.111861691238</v>
      </c>
      <c r="I40" s="44">
        <f t="shared" si="9"/>
        <v>6722.206454855248</v>
      </c>
      <c r="J40" s="44">
        <f t="shared" si="9"/>
        <v>6718.1383644823145</v>
      </c>
      <c r="K40" s="44">
        <f t="shared" si="9"/>
        <v>6700.430243400468</v>
      </c>
      <c r="L40" s="44">
        <f t="shared" si="9"/>
        <v>6667.895845523184</v>
      </c>
      <c r="M40" s="44">
        <f t="shared" si="9"/>
        <v>6634.745067495297</v>
      </c>
      <c r="N40" s="44">
        <f t="shared" si="9"/>
        <v>6602.120314552886</v>
      </c>
      <c r="O40" s="44">
        <f t="shared" si="9"/>
        <v>6992.334559584886</v>
      </c>
      <c r="P40" s="44">
        <f t="shared" si="9"/>
        <v>7402.2716788338175</v>
      </c>
      <c r="Q40" s="44">
        <f t="shared" si="9"/>
        <v>7828.220328869538</v>
      </c>
    </row>
    <row r="41" spans="4:17" ht="15.75" thickTop="1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5">
      <c r="A42" s="6" t="s">
        <v>85</v>
      </c>
      <c r="D42" s="22">
        <f>IF(D40=D16,D16-D40,D16-D40)</f>
        <v>0</v>
      </c>
      <c r="E42" s="22"/>
      <c r="F42" s="22"/>
      <c r="G42" s="22">
        <f aca="true" t="shared" si="10" ref="G42:Q42">IF(G40=G16,G16-G40,G16-G40)</f>
        <v>0.0500000000001819</v>
      </c>
      <c r="H42" s="22">
        <f>IF(H40=H16,H16-H40,H16-H40)</f>
        <v>0.049999999999272404</v>
      </c>
      <c r="I42" s="22">
        <f>IF(I40=I16,I16-I40,I16-I40)</f>
        <v>0.0500000000001819</v>
      </c>
      <c r="J42" s="22">
        <f t="shared" si="10"/>
        <v>0.0500000000001819</v>
      </c>
      <c r="K42" s="22">
        <f t="shared" si="10"/>
        <v>0.050000000001091394</v>
      </c>
      <c r="L42" s="22">
        <f t="shared" si="10"/>
        <v>0.0500000000001819</v>
      </c>
      <c r="M42" s="22">
        <f t="shared" si="10"/>
        <v>0.0500000000001819</v>
      </c>
      <c r="N42" s="22">
        <f t="shared" si="10"/>
        <v>0.050000000001091394</v>
      </c>
      <c r="O42" s="22">
        <f t="shared" si="10"/>
        <v>0.0500000000001819</v>
      </c>
      <c r="P42" s="22">
        <f t="shared" si="10"/>
        <v>0.0500000000001819</v>
      </c>
      <c r="Q42" s="22">
        <f t="shared" si="10"/>
        <v>0.0500000000001819</v>
      </c>
    </row>
    <row r="43" spans="4:17" ht="1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5">
      <c r="A44" t="s">
        <v>86</v>
      </c>
      <c r="D44" s="22">
        <f>SUM(D6:D8)-D21</f>
        <v>635</v>
      </c>
      <c r="E44" s="22"/>
      <c r="F44" s="22"/>
      <c r="G44" s="22">
        <f aca="true" t="shared" si="11" ref="G44:Q44">SUM(G6:G8)-G21</f>
        <v>635</v>
      </c>
      <c r="H44" s="22">
        <f>SUM(H6:H8)-H21</f>
        <v>681.920013669415</v>
      </c>
      <c r="I44" s="22">
        <f t="shared" si="11"/>
        <v>722.83521448958</v>
      </c>
      <c r="J44" s="22">
        <f t="shared" si="11"/>
        <v>758.9769752140592</v>
      </c>
      <c r="K44" s="22">
        <f t="shared" si="11"/>
        <v>789.3360542226217</v>
      </c>
      <c r="L44" s="22">
        <f t="shared" si="11"/>
        <v>813.0161358493001</v>
      </c>
      <c r="M44" s="22">
        <f t="shared" si="11"/>
        <v>837.4066199247792</v>
      </c>
      <c r="N44" s="22">
        <f t="shared" si="11"/>
        <v>862.5288185225226</v>
      </c>
      <c r="O44" s="22">
        <f t="shared" si="11"/>
        <v>888.4046830781981</v>
      </c>
      <c r="P44" s="22">
        <f t="shared" si="11"/>
        <v>915.0568235705443</v>
      </c>
      <c r="Q44" s="22">
        <f t="shared" si="11"/>
        <v>942.5085282776603</v>
      </c>
    </row>
    <row r="45" spans="1:17" ht="15">
      <c r="A45" t="s">
        <v>87</v>
      </c>
      <c r="D45" s="22"/>
      <c r="E45" s="22"/>
      <c r="F45" s="22"/>
      <c r="G45" s="22"/>
      <c r="H45" s="22">
        <f aca="true" t="shared" si="12" ref="H45:Q45">G44-H44</f>
        <v>-46.92001366941497</v>
      </c>
      <c r="I45" s="22">
        <f t="shared" si="12"/>
        <v>-40.91520082016507</v>
      </c>
      <c r="J45" s="22">
        <f t="shared" si="12"/>
        <v>-36.14176072447913</v>
      </c>
      <c r="K45" s="22">
        <f t="shared" si="12"/>
        <v>-30.359079008562503</v>
      </c>
      <c r="L45" s="22">
        <f t="shared" si="12"/>
        <v>-23.68008162667843</v>
      </c>
      <c r="M45" s="22">
        <f t="shared" si="12"/>
        <v>-24.390484075479094</v>
      </c>
      <c r="N45" s="22">
        <f t="shared" si="12"/>
        <v>-25.122198597743363</v>
      </c>
      <c r="O45" s="22">
        <f t="shared" si="12"/>
        <v>-25.875864555675548</v>
      </c>
      <c r="P45" s="22">
        <f t="shared" si="12"/>
        <v>-26.652140492346234</v>
      </c>
      <c r="Q45" s="22">
        <f t="shared" si="12"/>
        <v>-27.451704707115937</v>
      </c>
    </row>
    <row r="47" ht="15">
      <c r="A47" s="8" t="s">
        <v>88</v>
      </c>
    </row>
    <row r="48" spans="1:17" ht="15">
      <c r="A48" s="39" t="s">
        <v>89</v>
      </c>
      <c r="B48" s="40"/>
      <c r="C48" s="40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</row>
    <row r="49" spans="1:17" ht="15">
      <c r="A49" s="17" t="s">
        <v>96</v>
      </c>
      <c r="B49" s="18"/>
      <c r="C49" s="18"/>
      <c r="D49" s="18">
        <v>47.6</v>
      </c>
      <c r="E49" s="18"/>
      <c r="F49" s="18"/>
      <c r="G49" s="18">
        <v>47.6</v>
      </c>
      <c r="H49" s="18">
        <v>47.6</v>
      </c>
      <c r="I49" s="18">
        <v>47.6</v>
      </c>
      <c r="J49" s="18">
        <v>47.6</v>
      </c>
      <c r="K49" s="18">
        <v>47.6</v>
      </c>
      <c r="L49" s="18">
        <v>47.6</v>
      </c>
      <c r="M49" s="18">
        <v>47.6</v>
      </c>
      <c r="N49" s="18">
        <v>47.6</v>
      </c>
      <c r="O49" s="18">
        <v>47.6</v>
      </c>
      <c r="P49" s="18">
        <v>47.6</v>
      </c>
      <c r="Q49" s="19">
        <v>47.6</v>
      </c>
    </row>
    <row r="50" spans="1:17" ht="15">
      <c r="A50" s="17" t="s">
        <v>90</v>
      </c>
      <c r="B50" s="18"/>
      <c r="C50" s="18"/>
      <c r="D50" s="18">
        <v>105.8</v>
      </c>
      <c r="E50" s="18"/>
      <c r="F50" s="18"/>
      <c r="G50" s="18">
        <v>105.8</v>
      </c>
      <c r="H50" s="18">
        <v>105.8</v>
      </c>
      <c r="I50" s="18">
        <v>105.8</v>
      </c>
      <c r="J50" s="18">
        <v>105.8</v>
      </c>
      <c r="K50" s="18">
        <v>105.8</v>
      </c>
      <c r="L50" s="18">
        <v>105.8</v>
      </c>
      <c r="M50" s="18">
        <v>105.8</v>
      </c>
      <c r="N50" s="18">
        <v>105.8</v>
      </c>
      <c r="O50" s="18">
        <v>105.8</v>
      </c>
      <c r="P50" s="18">
        <v>105.8</v>
      </c>
      <c r="Q50" s="19">
        <v>105.8</v>
      </c>
    </row>
    <row r="51" spans="1:17" ht="15">
      <c r="A51" s="17" t="s">
        <v>91</v>
      </c>
      <c r="B51" s="18"/>
      <c r="C51" s="18"/>
      <c r="D51" s="59">
        <v>0.051</v>
      </c>
      <c r="E51" s="18"/>
      <c r="F51" s="18"/>
      <c r="G51" s="59">
        <v>0.051</v>
      </c>
      <c r="H51" s="59">
        <v>0.051</v>
      </c>
      <c r="I51" s="59">
        <v>0.051</v>
      </c>
      <c r="J51" s="59">
        <v>0.051</v>
      </c>
      <c r="K51" s="59">
        <v>0.051</v>
      </c>
      <c r="L51" s="59">
        <v>0.051</v>
      </c>
      <c r="M51" s="59">
        <v>0.051</v>
      </c>
      <c r="N51" s="59">
        <v>0.051</v>
      </c>
      <c r="O51" s="59">
        <v>0.051</v>
      </c>
      <c r="P51" s="59">
        <v>0.051</v>
      </c>
      <c r="Q51" s="61">
        <v>0.051</v>
      </c>
    </row>
    <row r="52" spans="1:17" ht="1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</row>
    <row r="53" spans="1:17" ht="15">
      <c r="A53" s="41" t="s">
        <v>92</v>
      </c>
      <c r="B53" s="21"/>
      <c r="C53" s="2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</row>
    <row r="54" spans="1:17" ht="15">
      <c r="A54" s="17" t="s">
        <v>93</v>
      </c>
      <c r="B54" s="18"/>
      <c r="C54" s="18"/>
      <c r="D54" s="18">
        <v>37.9</v>
      </c>
      <c r="E54" s="18"/>
      <c r="F54" s="18"/>
      <c r="G54" s="18">
        <v>37.9</v>
      </c>
      <c r="H54" s="18">
        <v>37.9</v>
      </c>
      <c r="I54" s="18">
        <v>37.9</v>
      </c>
      <c r="J54" s="18">
        <v>37.9</v>
      </c>
      <c r="K54" s="18">
        <v>37.9</v>
      </c>
      <c r="L54" s="18">
        <v>37.9</v>
      </c>
      <c r="M54" s="18">
        <v>37.9</v>
      </c>
      <c r="N54" s="18">
        <v>37.9</v>
      </c>
      <c r="O54" s="18">
        <v>37.9</v>
      </c>
      <c r="P54" s="18">
        <v>37.9</v>
      </c>
      <c r="Q54" s="19">
        <v>37.9</v>
      </c>
    </row>
    <row r="55" spans="1:17" ht="15">
      <c r="A55" s="17" t="s">
        <v>94</v>
      </c>
      <c r="B55" s="18"/>
      <c r="C55" s="18"/>
      <c r="D55" s="59">
        <v>0.08</v>
      </c>
      <c r="E55" s="18"/>
      <c r="F55" s="18"/>
      <c r="G55" s="59">
        <v>0.08</v>
      </c>
      <c r="H55" s="59">
        <v>0.08</v>
      </c>
      <c r="I55" s="59">
        <v>0.08</v>
      </c>
      <c r="J55" s="59">
        <v>0.08</v>
      </c>
      <c r="K55" s="59">
        <v>0.08</v>
      </c>
      <c r="L55" s="59">
        <v>0.08</v>
      </c>
      <c r="M55" s="59">
        <v>0.08</v>
      </c>
      <c r="N55" s="59">
        <v>0.08</v>
      </c>
      <c r="O55" s="59">
        <v>0.08</v>
      </c>
      <c r="P55" s="59">
        <v>0.08</v>
      </c>
      <c r="Q55" s="61">
        <v>0.08</v>
      </c>
    </row>
    <row r="56" spans="1:17" ht="15">
      <c r="A56" s="20" t="s">
        <v>95</v>
      </c>
      <c r="B56" s="21"/>
      <c r="C56" s="21"/>
      <c r="D56" s="60">
        <v>0.029</v>
      </c>
      <c r="E56" s="21"/>
      <c r="F56" s="21"/>
      <c r="G56" s="60">
        <v>0.029</v>
      </c>
      <c r="H56" s="60">
        <v>0.029</v>
      </c>
      <c r="I56" s="60">
        <v>0.029</v>
      </c>
      <c r="J56" s="60">
        <v>0.029</v>
      </c>
      <c r="K56" s="60">
        <v>0.029</v>
      </c>
      <c r="L56" s="60">
        <v>0.029</v>
      </c>
      <c r="M56" s="60">
        <v>0.029</v>
      </c>
      <c r="N56" s="60">
        <v>0.029</v>
      </c>
      <c r="O56" s="60">
        <v>0.029</v>
      </c>
      <c r="P56" s="60">
        <v>0.029</v>
      </c>
      <c r="Q56" s="62">
        <v>0.029</v>
      </c>
    </row>
  </sheetData>
  <sheetProtection/>
  <mergeCells count="2">
    <mergeCell ref="E3:F3"/>
    <mergeCell ref="H2:Q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="85" zoomScaleNormal="85" zoomScalePageLayoutView="0" workbookViewId="0" topLeftCell="A1">
      <selection activeCell="N30" sqref="N30"/>
    </sheetView>
  </sheetViews>
  <sheetFormatPr defaultColWidth="9.140625" defaultRowHeight="15"/>
  <cols>
    <col min="8" max="8" width="9.7109375" style="0" bestFit="1" customWidth="1"/>
    <col min="9" max="17" width="10.57421875" style="0" bestFit="1" customWidth="1"/>
  </cols>
  <sheetData>
    <row r="1" spans="1:17" ht="15">
      <c r="A1" s="3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138"/>
      <c r="B2" s="9"/>
      <c r="C2" s="9"/>
      <c r="D2" s="9"/>
      <c r="E2" s="9"/>
      <c r="F2" s="9"/>
      <c r="G2" s="9"/>
      <c r="H2" s="209" t="s">
        <v>14</v>
      </c>
      <c r="I2" s="209"/>
      <c r="J2" s="209"/>
      <c r="K2" s="209"/>
      <c r="L2" s="209"/>
      <c r="M2" s="209"/>
      <c r="N2" s="209"/>
      <c r="O2" s="209"/>
      <c r="P2" s="209"/>
      <c r="Q2" s="209"/>
    </row>
    <row r="3" spans="8:17" ht="15"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</row>
    <row r="4" spans="8:17" ht="15">
      <c r="H4" s="4">
        <v>2013</v>
      </c>
      <c r="I4" s="4">
        <v>2014</v>
      </c>
      <c r="J4" s="4">
        <v>2015</v>
      </c>
      <c r="K4" s="4">
        <v>2016</v>
      </c>
      <c r="L4" s="4">
        <v>2017</v>
      </c>
      <c r="M4" s="4">
        <v>2018</v>
      </c>
      <c r="N4" s="4">
        <v>2019</v>
      </c>
      <c r="O4" s="4">
        <v>2020</v>
      </c>
      <c r="P4" s="4">
        <v>2021</v>
      </c>
      <c r="Q4" s="4">
        <v>2022</v>
      </c>
    </row>
    <row r="5" ht="15">
      <c r="A5" s="8" t="s">
        <v>98</v>
      </c>
    </row>
    <row r="6" spans="1:17" ht="15">
      <c r="A6" t="s">
        <v>45</v>
      </c>
      <c r="H6" s="22">
        <f>'Income Statement'!I39</f>
        <v>184.23762480704067</v>
      </c>
      <c r="I6" s="22">
        <f>'Income Statement'!J39</f>
        <v>212.89612533465754</v>
      </c>
      <c r="J6" s="22">
        <f>'Income Statement'!K39</f>
        <v>240.44835779408035</v>
      </c>
      <c r="K6" s="22">
        <f>'Income Statement'!L39</f>
        <v>266.3152350558861</v>
      </c>
      <c r="L6" s="22">
        <f>'Income Statement'!M39</f>
        <v>289.99055027880354</v>
      </c>
      <c r="M6" s="22">
        <f>'Income Statement'!N39</f>
        <v>314.15135793249345</v>
      </c>
      <c r="N6" s="22">
        <f>'Income Statement'!O39</f>
        <v>341.1986101994005</v>
      </c>
      <c r="O6" s="22">
        <f>'Income Statement'!P39</f>
        <v>366.12777143748394</v>
      </c>
      <c r="P6" s="22">
        <f>'Income Statement'!Q39</f>
        <v>385.12805144658023</v>
      </c>
      <c r="Q6" s="22">
        <f>'Income Statement'!R39</f>
        <v>400.3953101992985</v>
      </c>
    </row>
    <row r="7" spans="1:17" ht="15">
      <c r="A7" t="s">
        <v>99</v>
      </c>
      <c r="H7" s="22">
        <f>'Income Statement'!I15</f>
        <v>166.74908775525</v>
      </c>
      <c r="I7" s="22">
        <f>'Income Statement'!J15</f>
        <v>176.754033020565</v>
      </c>
      <c r="J7" s="22">
        <f>'Income Statement'!K15</f>
        <v>185.59173467159326</v>
      </c>
      <c r="K7" s="22">
        <f>'Income Statement'!L15</f>
        <v>193.015404058457</v>
      </c>
      <c r="L7" s="22">
        <f>'Income Statement'!M15</f>
        <v>198.8058661802107</v>
      </c>
      <c r="M7" s="22">
        <f>'Income Statement'!N15</f>
        <v>204.77004216561704</v>
      </c>
      <c r="N7" s="22">
        <f>'Income Statement'!O15</f>
        <v>210.91314343058554</v>
      </c>
      <c r="O7" s="22">
        <f>'Income Statement'!P15</f>
        <v>217.24053773350312</v>
      </c>
      <c r="P7" s="22">
        <f>'Income Statement'!Q15</f>
        <v>223.75775386550822</v>
      </c>
      <c r="Q7" s="22">
        <f>'Income Statement'!R15</f>
        <v>230.47048648147347</v>
      </c>
    </row>
    <row r="8" spans="1:17" ht="15">
      <c r="A8" t="s">
        <v>100</v>
      </c>
      <c r="H8" s="22">
        <f>'Income Statement'!I16</f>
        <v>55.58302925175</v>
      </c>
      <c r="I8" s="22">
        <f>'Income Statement'!J16</f>
        <v>58.918011006855004</v>
      </c>
      <c r="J8" s="22">
        <f>'Income Statement'!K16</f>
        <v>61.86391155719775</v>
      </c>
      <c r="K8" s="22">
        <f>'Income Statement'!L16</f>
        <v>64.33846801948566</v>
      </c>
      <c r="L8" s="22">
        <f>'Income Statement'!M16</f>
        <v>66.26862206007024</v>
      </c>
      <c r="M8" s="22">
        <f>'Income Statement'!N16</f>
        <v>68.25668072187234</v>
      </c>
      <c r="N8" s="22">
        <f>'Income Statement'!O16</f>
        <v>70.30438114352852</v>
      </c>
      <c r="O8" s="22">
        <f>'Income Statement'!P16</f>
        <v>72.41351257783437</v>
      </c>
      <c r="P8" s="22">
        <f>'Income Statement'!Q16</f>
        <v>74.5859179551694</v>
      </c>
      <c r="Q8" s="22">
        <f>'Income Statement'!R16</f>
        <v>76.82349549382448</v>
      </c>
    </row>
    <row r="9" spans="1:17" ht="15">
      <c r="A9" t="s">
        <v>101</v>
      </c>
      <c r="H9" s="22">
        <f>'Income Statement'!I32</f>
        <v>11.988392857142857</v>
      </c>
      <c r="I9" s="22">
        <f>'Income Statement'!J32</f>
        <v>11.988392857142857</v>
      </c>
      <c r="J9" s="22">
        <f>'Income Statement'!K32</f>
        <v>11.988392857142857</v>
      </c>
      <c r="K9" s="22">
        <f>'Income Statement'!L32</f>
        <v>11.988392857142857</v>
      </c>
      <c r="L9" s="22">
        <f>'Income Statement'!M32</f>
        <v>11.988392857142857</v>
      </c>
      <c r="M9" s="22">
        <f>'Income Statement'!N32</f>
        <v>11.988392857142857</v>
      </c>
      <c r="N9" s="22">
        <f>'Income Statement'!O32</f>
        <v>11.363392857142857</v>
      </c>
      <c r="O9" s="22">
        <f>'Income Statement'!P32</f>
        <v>6.75625</v>
      </c>
      <c r="P9" s="22">
        <f>'Income Statement'!Q32</f>
        <v>0</v>
      </c>
      <c r="Q9" s="22">
        <f>'Income Statement'!R32</f>
        <v>0</v>
      </c>
    </row>
    <row r="11" ht="15">
      <c r="A11" s="8" t="s">
        <v>102</v>
      </c>
    </row>
    <row r="12" spans="1:17" ht="15">
      <c r="A12" t="s">
        <v>103</v>
      </c>
      <c r="H12" s="22">
        <f>'Balance Sheet'!G6-'Balance Sheet'!H6</f>
        <v>-33.24240956772604</v>
      </c>
      <c r="I12" s="22">
        <f>'Balance Sheet'!H6-'Balance Sheet'!I6</f>
        <v>-28.994544574063582</v>
      </c>
      <c r="J12" s="22">
        <f>'Balance Sheet'!I6-'Balance Sheet'!J6</f>
        <v>-25.61184770708951</v>
      </c>
      <c r="K12" s="22">
        <f>'Balance Sheet'!J6-'Balance Sheet'!K6</f>
        <v>-21.513952073955124</v>
      </c>
      <c r="L12" s="22">
        <f>'Balance Sheet'!K6-'Balance Sheet'!L6</f>
        <v>-16.78088261768505</v>
      </c>
      <c r="M12" s="22">
        <f>'Balance Sheet'!L6-'Balance Sheet'!M6</f>
        <v>-17.28430909621568</v>
      </c>
      <c r="N12" s="22">
        <f>'Balance Sheet'!M6-'Balance Sheet'!N6</f>
        <v>-17.802838369102005</v>
      </c>
      <c r="O12" s="22">
        <f>'Balance Sheet'!N6-'Balance Sheet'!O6</f>
        <v>-18.336923520175105</v>
      </c>
      <c r="P12" s="22">
        <f>'Balance Sheet'!O6-'Balance Sheet'!P6</f>
        <v>-18.887031225780333</v>
      </c>
      <c r="Q12" s="22">
        <f>'Balance Sheet'!P6-'Balance Sheet'!Q6</f>
        <v>-19.45364216255382</v>
      </c>
    </row>
    <row r="13" spans="1:17" ht="15">
      <c r="A13" t="s">
        <v>104</v>
      </c>
      <c r="H13" s="22">
        <f>'Balance Sheet'!G7-'Balance Sheet'!H7</f>
        <v>-44.45857477645484</v>
      </c>
      <c r="I13" s="22">
        <f>'Balance Sheet'!H7-'Balance Sheet'!I7</f>
        <v>-38.667514486587265</v>
      </c>
      <c r="J13" s="22">
        <f>'Balance Sheet'!I7-'Balance Sheet'!J7</f>
        <v>-34.156304463152196</v>
      </c>
      <c r="K13" s="22">
        <f>'Balance Sheet'!J7-'Balance Sheet'!K7</f>
        <v>-28.691295749047754</v>
      </c>
      <c r="L13" s="22">
        <f>'Balance Sheet'!K7-'Balance Sheet'!L7</f>
        <v>-22.37921068425726</v>
      </c>
      <c r="M13" s="22">
        <f>'Balance Sheet'!L7-'Balance Sheet'!M7</f>
        <v>-23.050587004785143</v>
      </c>
      <c r="N13" s="22">
        <f>'Balance Sheet'!M7-'Balance Sheet'!N7</f>
        <v>-23.742104614928508</v>
      </c>
      <c r="O13" s="22">
        <f>'Balance Sheet'!N7-'Balance Sheet'!O7</f>
        <v>-24.454367753376346</v>
      </c>
      <c r="P13" s="22">
        <f>'Balance Sheet'!O7-'Balance Sheet'!P7</f>
        <v>-25.187998785977697</v>
      </c>
      <c r="Q13" s="22">
        <f>'Balance Sheet'!P7-'Balance Sheet'!Q7</f>
        <v>-25.943638749556953</v>
      </c>
    </row>
    <row r="14" spans="1:17" ht="15">
      <c r="A14" t="s">
        <v>105</v>
      </c>
      <c r="H14" s="22">
        <f>'Balance Sheet'!G8-'Balance Sheet'!H8</f>
        <v>-13.982299455949999</v>
      </c>
      <c r="I14" s="22">
        <f>'Balance Sheet'!H8-'Balance Sheet'!I8</f>
        <v>-11.338937967356998</v>
      </c>
      <c r="J14" s="22">
        <f>'Balance Sheet'!I8-'Balance Sheet'!J8</f>
        <v>-10.016061871165363</v>
      </c>
      <c r="K14" s="22">
        <f>'Balance Sheet'!J8-'Balance Sheet'!K8</f>
        <v>-8.413491971778882</v>
      </c>
      <c r="L14" s="22">
        <f>'Balance Sheet'!K8-'Balance Sheet'!L8</f>
        <v>-6.562523737987561</v>
      </c>
      <c r="M14" s="22">
        <f>'Balance Sheet'!L8-'Balance Sheet'!M8</f>
        <v>-6.759399450127177</v>
      </c>
      <c r="N14" s="22">
        <f>'Balance Sheet'!M8-'Balance Sheet'!N8</f>
        <v>-6.962181433630974</v>
      </c>
      <c r="O14" s="22">
        <f>'Balance Sheet'!N8-'Balance Sheet'!O8</f>
        <v>-7.171046876639906</v>
      </c>
      <c r="P14" s="22">
        <f>'Balance Sheet'!O8-'Balance Sheet'!P8</f>
        <v>-7.386178282939113</v>
      </c>
      <c r="Q14" s="22">
        <f>'Balance Sheet'!P8-'Balance Sheet'!Q8</f>
        <v>-7.607763631427247</v>
      </c>
    </row>
    <row r="16" spans="1:17" ht="15">
      <c r="A16" t="s">
        <v>106</v>
      </c>
      <c r="H16" s="22">
        <f>'Balance Sheet'!H18-'Balance Sheet'!G18</f>
        <v>15.859924234665726</v>
      </c>
      <c r="I16" s="22">
        <f>'Balance Sheet'!I18-'Balance Sheet'!H18</f>
        <v>13.851595454079956</v>
      </c>
      <c r="J16" s="22">
        <f>'Balance Sheet'!J18-'Balance Sheet'!I18</f>
        <v>12.235575984437332</v>
      </c>
      <c r="K16" s="22">
        <f>'Balance Sheet'!K18-'Balance Sheet'!J18</f>
        <v>10.27788382692728</v>
      </c>
      <c r="L16" s="22">
        <f>'Balance Sheet'!L18-'Balance Sheet'!K18</f>
        <v>8.016749385003322</v>
      </c>
      <c r="M16" s="22">
        <f>'Balance Sheet'!M18-'Balance Sheet'!L18</f>
        <v>8.257251866553474</v>
      </c>
      <c r="N16" s="22">
        <f>'Balance Sheet'!N18-'Balance Sheet'!M18</f>
        <v>8.504969422550005</v>
      </c>
      <c r="O16" s="22">
        <f>'Balance Sheet'!O18-'Balance Sheet'!N18</f>
        <v>8.760118505226501</v>
      </c>
      <c r="P16" s="22">
        <f>'Balance Sheet'!P18-'Balance Sheet'!O18</f>
        <v>9.02292206038328</v>
      </c>
      <c r="Q16" s="22">
        <f>'Balance Sheet'!Q18-'Balance Sheet'!P18</f>
        <v>9.293609722194844</v>
      </c>
    </row>
    <row r="17" spans="1:17" ht="15">
      <c r="A17" t="s">
        <v>107</v>
      </c>
      <c r="H17" s="22">
        <f>'Balance Sheet'!H19-'Balance Sheet'!G19</f>
        <v>21.44282267599999</v>
      </c>
      <c r="I17" s="22">
        <f>'Balance Sheet'!I19-'Balance Sheet'!H19</f>
        <v>17.78656936056001</v>
      </c>
      <c r="J17" s="22">
        <f>'Balance Sheet'!J19-'Balance Sheet'!I19</f>
        <v>15.711469601828014</v>
      </c>
      <c r="K17" s="22">
        <f>'Balance Sheet'!K19-'Balance Sheet'!J19</f>
        <v>13.197634465535543</v>
      </c>
      <c r="L17" s="22">
        <f>'Balance Sheet'!L19-'Balance Sheet'!K19</f>
        <v>10.294154883117699</v>
      </c>
      <c r="M17" s="22">
        <f>'Balance Sheet'!M19-'Balance Sheet'!L19</f>
        <v>10.602979529611275</v>
      </c>
      <c r="N17" s="22">
        <f>'Balance Sheet'!N19-'Balance Sheet'!M19</f>
        <v>10.921068915499575</v>
      </c>
      <c r="O17" s="22">
        <f>'Balance Sheet'!O19-'Balance Sheet'!N19</f>
        <v>11.248700982964579</v>
      </c>
      <c r="P17" s="22">
        <f>'Balance Sheet'!P19-'Balance Sheet'!O19</f>
        <v>11.586162012453485</v>
      </c>
      <c r="Q17" s="22">
        <f>'Balance Sheet'!Q19-'Balance Sheet'!P19</f>
        <v>11.9337468728271</v>
      </c>
    </row>
    <row r="18" spans="1:17" ht="15">
      <c r="A18" t="s">
        <v>108</v>
      </c>
      <c r="H18" s="22">
        <f>'Balance Sheet'!H20-'Balance Sheet'!G20</f>
        <v>7.460523220050007</v>
      </c>
      <c r="I18" s="22">
        <f>'Balance Sheet'!I20-'Balance Sheet'!H20</f>
        <v>6.447631393203011</v>
      </c>
      <c r="J18" s="22">
        <f>'Balance Sheet'!J20-'Balance Sheet'!I20</f>
        <v>5.695407730662637</v>
      </c>
      <c r="K18" s="22">
        <f>'Balance Sheet'!K20-'Balance Sheet'!J20</f>
        <v>4.784142493756633</v>
      </c>
      <c r="L18" s="22">
        <f>'Balance Sheet'!L20-'Balance Sheet'!K20</f>
        <v>3.731631145130166</v>
      </c>
      <c r="M18" s="22">
        <f>'Balance Sheet'!M20-'Balance Sheet'!L20</f>
        <v>3.8435800794840986</v>
      </c>
      <c r="N18" s="22">
        <f>'Balance Sheet'!N20-'Balance Sheet'!M20</f>
        <v>3.958887481868601</v>
      </c>
      <c r="O18" s="22">
        <f>'Balance Sheet'!O20-'Balance Sheet'!N20</f>
        <v>4.077654106324644</v>
      </c>
      <c r="P18" s="22">
        <f>'Balance Sheet'!P20-'Balance Sheet'!O20</f>
        <v>4.1999837295144005</v>
      </c>
      <c r="Q18" s="22">
        <f>'Balance Sheet'!Q20-'Balance Sheet'!P20</f>
        <v>4.325983241399825</v>
      </c>
    </row>
    <row r="19" spans="1:17" ht="15">
      <c r="A19" t="s">
        <v>109</v>
      </c>
      <c r="H19" s="55">
        <f>SUM(H12:H14,H16:H18)</f>
        <v>-46.920013669415155</v>
      </c>
      <c r="I19" s="55">
        <f aca="true" t="shared" si="0" ref="I19:Q19">SUM(I12:I14,I16:I18)</f>
        <v>-40.91520082016487</v>
      </c>
      <c r="J19" s="55">
        <f t="shared" si="0"/>
        <v>-36.141760724479084</v>
      </c>
      <c r="K19" s="55">
        <f t="shared" si="0"/>
        <v>-30.359079008562304</v>
      </c>
      <c r="L19" s="55">
        <f t="shared" si="0"/>
        <v>-23.680081626678685</v>
      </c>
      <c r="M19" s="55">
        <f t="shared" si="0"/>
        <v>-24.39048407547915</v>
      </c>
      <c r="N19" s="55">
        <f t="shared" si="0"/>
        <v>-25.122198597743306</v>
      </c>
      <c r="O19" s="55">
        <f t="shared" si="0"/>
        <v>-25.875864555675633</v>
      </c>
      <c r="P19" s="55">
        <f t="shared" si="0"/>
        <v>-26.65214049234598</v>
      </c>
      <c r="Q19" s="55">
        <f t="shared" si="0"/>
        <v>-27.45170470711625</v>
      </c>
    </row>
    <row r="20" spans="1:17" ht="15">
      <c r="A20" s="7" t="s">
        <v>110</v>
      </c>
      <c r="H20" s="55">
        <f>H19+SUM(H6:H9)</f>
        <v>371.6381210017684</v>
      </c>
      <c r="I20" s="55">
        <f aca="true" t="shared" si="1" ref="I20:Q20">I19+SUM(I6:I9)</f>
        <v>419.64136139905554</v>
      </c>
      <c r="J20" s="55">
        <f t="shared" si="1"/>
        <v>463.7506361555352</v>
      </c>
      <c r="K20" s="55">
        <f t="shared" si="1"/>
        <v>505.2984209824093</v>
      </c>
      <c r="L20" s="55">
        <f t="shared" si="1"/>
        <v>543.3733497495488</v>
      </c>
      <c r="M20" s="55">
        <f t="shared" si="1"/>
        <v>574.7759896016466</v>
      </c>
      <c r="N20" s="55">
        <f t="shared" si="1"/>
        <v>608.657329032914</v>
      </c>
      <c r="O20" s="55">
        <f t="shared" si="1"/>
        <v>636.6622071931457</v>
      </c>
      <c r="P20" s="55">
        <f t="shared" si="1"/>
        <v>656.8195827749119</v>
      </c>
      <c r="Q20" s="55">
        <f t="shared" si="1"/>
        <v>680.2375874674801</v>
      </c>
    </row>
    <row r="22" ht="15">
      <c r="A22" s="8" t="s">
        <v>111</v>
      </c>
    </row>
    <row r="23" spans="1:17" ht="15">
      <c r="A23" t="s">
        <v>112</v>
      </c>
      <c r="H23" s="22">
        <f>'Income Statement'!I5*-('Cash Flow Statement'!H46)</f>
        <v>-166.74908775525</v>
      </c>
      <c r="I23" s="22">
        <f>'Income Statement'!J5*-('Cash Flow Statement'!I46)</f>
        <v>-176.754033020565</v>
      </c>
      <c r="J23" s="22">
        <f>'Income Statement'!K5*-('Cash Flow Statement'!J46)</f>
        <v>-185.59173467159326</v>
      </c>
      <c r="K23" s="22">
        <f>'Income Statement'!L5*-('Cash Flow Statement'!K46)</f>
        <v>-193.015404058457</v>
      </c>
      <c r="L23" s="22">
        <f>'Income Statement'!M5*-('Cash Flow Statement'!L46)</f>
        <v>-198.8058661802107</v>
      </c>
      <c r="M23" s="22">
        <f>'Income Statement'!N5*-('Cash Flow Statement'!M46)</f>
        <v>-204.77004216561704</v>
      </c>
      <c r="N23" s="22">
        <f>'Income Statement'!O5*-('Cash Flow Statement'!N46)</f>
        <v>-210.91314343058554</v>
      </c>
      <c r="O23" s="22">
        <f>'Income Statement'!P5*-('Cash Flow Statement'!O46)</f>
        <v>-217.24053773350312</v>
      </c>
      <c r="P23" s="22">
        <f>'Income Statement'!Q5*-('Cash Flow Statement'!P46)</f>
        <v>-223.75775386550822</v>
      </c>
      <c r="Q23" s="22">
        <f>'Income Statement'!R5*-('Cash Flow Statement'!Q46)</f>
        <v>-230.47048648147347</v>
      </c>
    </row>
    <row r="24" spans="1:17" ht="15">
      <c r="A24" t="s">
        <v>113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</row>
    <row r="25" spans="1:17" ht="15">
      <c r="A25" s="7" t="s">
        <v>114</v>
      </c>
      <c r="H25" s="23">
        <f>SUM(H23:H24)</f>
        <v>-166.74908775525</v>
      </c>
      <c r="I25" s="23">
        <f aca="true" t="shared" si="2" ref="I25:Q25">SUM(I23:I24)</f>
        <v>-176.754033020565</v>
      </c>
      <c r="J25" s="23">
        <f t="shared" si="2"/>
        <v>-185.59173467159326</v>
      </c>
      <c r="K25" s="23">
        <f t="shared" si="2"/>
        <v>-193.015404058457</v>
      </c>
      <c r="L25" s="23">
        <f t="shared" si="2"/>
        <v>-198.8058661802107</v>
      </c>
      <c r="M25" s="23">
        <f t="shared" si="2"/>
        <v>-204.77004216561704</v>
      </c>
      <c r="N25" s="23">
        <f t="shared" si="2"/>
        <v>-210.91314343058554</v>
      </c>
      <c r="O25" s="23">
        <f t="shared" si="2"/>
        <v>-217.24053773350312</v>
      </c>
      <c r="P25" s="23">
        <f t="shared" si="2"/>
        <v>-223.75775386550822</v>
      </c>
      <c r="Q25" s="23">
        <f t="shared" si="2"/>
        <v>-230.47048648147347</v>
      </c>
    </row>
    <row r="27" ht="15">
      <c r="A27" s="8" t="s">
        <v>115</v>
      </c>
    </row>
    <row r="28" spans="1:17" ht="15">
      <c r="A28" t="s">
        <v>28</v>
      </c>
      <c r="H28" s="29"/>
      <c r="I28" s="30"/>
      <c r="J28" s="30"/>
      <c r="K28" s="30"/>
      <c r="L28" s="30"/>
      <c r="M28" s="30"/>
      <c r="N28" s="30"/>
      <c r="O28" s="30"/>
      <c r="P28" s="30"/>
      <c r="Q28" s="31"/>
    </row>
    <row r="29" spans="1:17" ht="15">
      <c r="A29" t="s">
        <v>29</v>
      </c>
      <c r="H29" s="32"/>
      <c r="I29" s="12"/>
      <c r="J29" s="12"/>
      <c r="K29" s="12"/>
      <c r="L29" s="12"/>
      <c r="M29" s="12"/>
      <c r="N29" s="12"/>
      <c r="O29" s="12"/>
      <c r="P29" s="12"/>
      <c r="Q29" s="28"/>
    </row>
    <row r="30" spans="1:17" ht="15">
      <c r="A30" t="s">
        <v>30</v>
      </c>
      <c r="H30" s="48">
        <f>'Debt Schedule'!E38+'Debt Schedule'!E39</f>
        <v>-204.8890332465184</v>
      </c>
      <c r="I30" s="52">
        <f>'Debt Schedule'!F38+'Debt Schedule'!F39</f>
        <v>-242.88732837849054</v>
      </c>
      <c r="J30" s="52">
        <f>'Debt Schedule'!G38+'Debt Schedule'!G39</f>
        <v>-278.1589014839419</v>
      </c>
      <c r="K30" s="52">
        <f>'Debt Schedule'!H38+'Debt Schedule'!H39</f>
        <v>-312.28301692395235</v>
      </c>
      <c r="L30" s="52">
        <f>'Debt Schedule'!I38+'Debt Schedule'!I39</f>
        <v>-344.56748356933804</v>
      </c>
      <c r="M30" s="52">
        <f>'Debt Schedule'!J38+'Debt Schedule'!J39</f>
        <v>-370.0059474360296</v>
      </c>
      <c r="N30" s="52">
        <f>'Debt Schedule'!K38+'Debt Schedule'!K39</f>
        <v>-397.20828896172907</v>
      </c>
      <c r="O30" s="52">
        <f>'Debt Schedule'!L38+'Debt Schedule'!L39</f>
        <v>0</v>
      </c>
      <c r="P30" s="52">
        <f>'Debt Schedule'!M38+'Debt Schedule'!M39</f>
        <v>0</v>
      </c>
      <c r="Q30" s="27">
        <f>'Debt Schedule'!N38+'Debt Schedule'!N39</f>
        <v>0</v>
      </c>
    </row>
    <row r="31" spans="1:17" ht="15">
      <c r="A31" t="s">
        <v>31</v>
      </c>
      <c r="H31" s="32"/>
      <c r="I31" s="12"/>
      <c r="J31" s="12"/>
      <c r="K31" s="12"/>
      <c r="L31" s="12"/>
      <c r="M31" s="12"/>
      <c r="N31" s="12"/>
      <c r="O31" s="12"/>
      <c r="P31" s="12"/>
      <c r="Q31" s="28"/>
    </row>
    <row r="32" spans="1:17" ht="15">
      <c r="A32" t="s">
        <v>32</v>
      </c>
      <c r="H32" s="32"/>
      <c r="I32" s="12"/>
      <c r="J32" s="12"/>
      <c r="K32" s="12"/>
      <c r="L32" s="12"/>
      <c r="M32" s="12"/>
      <c r="N32" s="12"/>
      <c r="O32" s="12"/>
      <c r="P32" s="12"/>
      <c r="Q32" s="28"/>
    </row>
    <row r="33" spans="1:17" ht="15">
      <c r="A33" t="s">
        <v>33</v>
      </c>
      <c r="H33" s="32"/>
      <c r="I33" s="12"/>
      <c r="J33" s="12"/>
      <c r="K33" s="12"/>
      <c r="L33" s="12"/>
      <c r="M33" s="12"/>
      <c r="N33" s="12"/>
      <c r="O33" s="12"/>
      <c r="P33" s="12"/>
      <c r="Q33" s="28"/>
    </row>
    <row r="34" spans="1:17" ht="15">
      <c r="A34" t="s">
        <v>34</v>
      </c>
      <c r="H34" s="33"/>
      <c r="I34" s="34"/>
      <c r="J34" s="34"/>
      <c r="K34" s="34"/>
      <c r="L34" s="34"/>
      <c r="M34" s="34"/>
      <c r="N34" s="34"/>
      <c r="O34" s="34"/>
      <c r="P34" s="34"/>
      <c r="Q34" s="35"/>
    </row>
    <row r="35" ht="15">
      <c r="A35" t="s">
        <v>35</v>
      </c>
    </row>
    <row r="36" ht="15">
      <c r="A36" t="s">
        <v>77</v>
      </c>
    </row>
    <row r="37" ht="15">
      <c r="A37" t="s">
        <v>116</v>
      </c>
    </row>
    <row r="38" spans="1:17" ht="15">
      <c r="A38" t="s">
        <v>117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5">
      <c r="A39" s="7" t="s">
        <v>118</v>
      </c>
      <c r="H39" s="55">
        <f>SUM(H28:H38)</f>
        <v>-204.8890332465184</v>
      </c>
      <c r="I39" s="55">
        <f aca="true" t="shared" si="3" ref="I39:Q39">SUM(I28:I38)</f>
        <v>-242.88732837849054</v>
      </c>
      <c r="J39" s="55">
        <f t="shared" si="3"/>
        <v>-278.1589014839419</v>
      </c>
      <c r="K39" s="55">
        <f t="shared" si="3"/>
        <v>-312.28301692395235</v>
      </c>
      <c r="L39" s="55">
        <f t="shared" si="3"/>
        <v>-344.56748356933804</v>
      </c>
      <c r="M39" s="55">
        <f t="shared" si="3"/>
        <v>-370.0059474360296</v>
      </c>
      <c r="N39" s="55">
        <f t="shared" si="3"/>
        <v>-397.20828896172907</v>
      </c>
      <c r="O39" s="55">
        <f t="shared" si="3"/>
        <v>0</v>
      </c>
      <c r="P39" s="55">
        <f t="shared" si="3"/>
        <v>0</v>
      </c>
      <c r="Q39" s="55">
        <f t="shared" si="3"/>
        <v>0</v>
      </c>
    </row>
    <row r="41" spans="1:17" ht="15">
      <c r="A41" t="s">
        <v>119</v>
      </c>
      <c r="H41" s="22">
        <f>H20+H25+H39</f>
        <v>0</v>
      </c>
      <c r="I41" s="22">
        <f>I20+I25+I39</f>
        <v>0</v>
      </c>
      <c r="J41" s="22">
        <f aca="true" t="shared" si="4" ref="J41:Q41">J20+J25+J39</f>
        <v>0</v>
      </c>
      <c r="K41" s="22">
        <f t="shared" si="4"/>
        <v>0</v>
      </c>
      <c r="L41" s="22">
        <f t="shared" si="4"/>
        <v>0</v>
      </c>
      <c r="M41" s="22">
        <f t="shared" si="4"/>
        <v>0</v>
      </c>
      <c r="N41" s="22">
        <f t="shared" si="4"/>
        <v>0.5358966405994465</v>
      </c>
      <c r="O41" s="22">
        <f>O20+O25+O39</f>
        <v>419.4216694596426</v>
      </c>
      <c r="P41" s="22">
        <f t="shared" si="4"/>
        <v>433.06182890940363</v>
      </c>
      <c r="Q41" s="22">
        <f t="shared" si="4"/>
        <v>449.76710098600665</v>
      </c>
    </row>
    <row r="42" spans="1:17" ht="15">
      <c r="A42" t="s">
        <v>120</v>
      </c>
      <c r="H42" s="22">
        <f>'Balance Sheet'!G5</f>
        <v>0</v>
      </c>
      <c r="I42" s="22">
        <f aca="true" t="shared" si="5" ref="I42:Q42">H43</f>
        <v>0</v>
      </c>
      <c r="J42" s="22">
        <f t="shared" si="5"/>
        <v>0</v>
      </c>
      <c r="K42" s="22">
        <f t="shared" si="5"/>
        <v>0</v>
      </c>
      <c r="L42" s="22">
        <f t="shared" si="5"/>
        <v>0</v>
      </c>
      <c r="M42" s="22">
        <f t="shared" si="5"/>
        <v>0</v>
      </c>
      <c r="N42" s="22">
        <f t="shared" si="5"/>
        <v>0</v>
      </c>
      <c r="O42" s="22">
        <f t="shared" si="5"/>
        <v>0.5358966405994465</v>
      </c>
      <c r="P42" s="22">
        <f t="shared" si="5"/>
        <v>419.95756610024205</v>
      </c>
      <c r="Q42" s="22">
        <f t="shared" si="5"/>
        <v>853.0193950096457</v>
      </c>
    </row>
    <row r="43" spans="1:17" ht="15.75" thickBot="1">
      <c r="A43" s="7" t="s">
        <v>121</v>
      </c>
      <c r="H43" s="58">
        <f>H41+H42</f>
        <v>0</v>
      </c>
      <c r="I43" s="58">
        <f aca="true" t="shared" si="6" ref="I43:Q43">I41+I42</f>
        <v>0</v>
      </c>
      <c r="J43" s="58">
        <f t="shared" si="6"/>
        <v>0</v>
      </c>
      <c r="K43" s="58">
        <f t="shared" si="6"/>
        <v>0</v>
      </c>
      <c r="L43" s="58">
        <f t="shared" si="6"/>
        <v>0</v>
      </c>
      <c r="M43" s="58">
        <f t="shared" si="6"/>
        <v>0</v>
      </c>
      <c r="N43" s="58">
        <f>N41+N42</f>
        <v>0.5358966405994465</v>
      </c>
      <c r="O43" s="58">
        <f t="shared" si="6"/>
        <v>419.95756610024205</v>
      </c>
      <c r="P43" s="58">
        <f t="shared" si="6"/>
        <v>853.0193950096457</v>
      </c>
      <c r="Q43" s="58">
        <f t="shared" si="6"/>
        <v>1302.7864959956523</v>
      </c>
    </row>
    <row r="44" ht="15.75" thickTop="1"/>
    <row r="45" ht="15">
      <c r="A45" s="8" t="s">
        <v>122</v>
      </c>
    </row>
    <row r="46" spans="1:17" ht="15">
      <c r="A46" s="54" t="s">
        <v>123</v>
      </c>
      <c r="B46" s="40"/>
      <c r="C46" s="40"/>
      <c r="D46" s="40"/>
      <c r="E46" s="40"/>
      <c r="F46" s="40"/>
      <c r="G46" s="40"/>
      <c r="H46" s="56">
        <v>0.045</v>
      </c>
      <c r="I46" s="56">
        <v>0.045</v>
      </c>
      <c r="J46" s="56">
        <v>0.045</v>
      </c>
      <c r="K46" s="56">
        <v>0.045</v>
      </c>
      <c r="L46" s="56">
        <v>0.045</v>
      </c>
      <c r="M46" s="56">
        <v>0.045</v>
      </c>
      <c r="N46" s="56">
        <v>0.045</v>
      </c>
      <c r="O46" s="56">
        <v>0.045</v>
      </c>
      <c r="P46" s="56">
        <v>0.045</v>
      </c>
      <c r="Q46" s="57">
        <v>0.045</v>
      </c>
    </row>
  </sheetData>
  <sheetProtection/>
  <mergeCells count="1">
    <mergeCell ref="H2:Q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="85" zoomScaleNormal="85" zoomScalePageLayoutView="0" workbookViewId="0" topLeftCell="A1">
      <selection activeCell="A37" sqref="A37"/>
    </sheetView>
  </sheetViews>
  <sheetFormatPr defaultColWidth="9.140625" defaultRowHeight="15"/>
  <cols>
    <col min="1" max="1" width="28.28125" style="0" customWidth="1"/>
    <col min="2" max="2" width="12.28125" style="0" customWidth="1"/>
    <col min="4" max="14" width="10.57421875" style="0" bestFit="1" customWidth="1"/>
  </cols>
  <sheetData>
    <row r="1" spans="1:14" ht="15">
      <c r="A1" s="93" t="s">
        <v>166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5:14" ht="15">
      <c r="E2" s="209" t="s">
        <v>14</v>
      </c>
      <c r="F2" s="209"/>
      <c r="G2" s="209"/>
      <c r="H2" s="209"/>
      <c r="I2" s="209"/>
      <c r="J2" s="209"/>
      <c r="K2" s="209"/>
      <c r="L2" s="209"/>
      <c r="M2" s="209"/>
      <c r="N2" s="209"/>
    </row>
    <row r="3" spans="4:14" ht="15">
      <c r="D3" s="5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</row>
    <row r="4" spans="4:14" ht="15"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  <c r="M4" s="4">
        <v>2021</v>
      </c>
      <c r="N4" s="4">
        <v>2022</v>
      </c>
    </row>
    <row r="5" spans="1:14" ht="15">
      <c r="A5" t="s">
        <v>167</v>
      </c>
      <c r="D5" s="108">
        <v>0.0025</v>
      </c>
      <c r="E5" s="108">
        <v>0.0035</v>
      </c>
      <c r="F5" s="108">
        <v>0.005</v>
      </c>
      <c r="G5" s="108">
        <v>0.0075</v>
      </c>
      <c r="H5" s="108">
        <v>0.01</v>
      </c>
      <c r="I5" s="108">
        <v>0.0125</v>
      </c>
      <c r="J5" s="108">
        <v>0.015</v>
      </c>
      <c r="K5" s="108">
        <v>0.0175</v>
      </c>
      <c r="L5" s="108">
        <v>0.02</v>
      </c>
      <c r="M5" s="108">
        <v>0.0225</v>
      </c>
      <c r="N5" s="108">
        <v>0.025</v>
      </c>
    </row>
    <row r="7" spans="1:14" ht="15">
      <c r="A7" t="s">
        <v>110</v>
      </c>
      <c r="E7" s="22">
        <f>'Cash Flow Statement'!H20</f>
        <v>371.6381210017684</v>
      </c>
      <c r="F7" s="22">
        <f>'Cash Flow Statement'!I20</f>
        <v>419.64136139905554</v>
      </c>
      <c r="G7" s="22">
        <f>'Cash Flow Statement'!J20</f>
        <v>463.7506361555352</v>
      </c>
      <c r="H7" s="22">
        <f>'Cash Flow Statement'!K20</f>
        <v>505.2984209824093</v>
      </c>
      <c r="I7" s="22">
        <f>'Cash Flow Statement'!L20</f>
        <v>543.3733497495488</v>
      </c>
      <c r="J7" s="22">
        <f>'Cash Flow Statement'!M20</f>
        <v>574.7759896016466</v>
      </c>
      <c r="K7" s="22">
        <f>'Cash Flow Statement'!N20</f>
        <v>608.657329032914</v>
      </c>
      <c r="L7" s="22">
        <f>'Cash Flow Statement'!O20</f>
        <v>636.6622071931457</v>
      </c>
      <c r="M7" s="22">
        <f>'Cash Flow Statement'!P20</f>
        <v>656.8195827749119</v>
      </c>
      <c r="N7" s="22">
        <f>'Cash Flow Statement'!Q20</f>
        <v>680.2375874674801</v>
      </c>
    </row>
    <row r="8" spans="1:14" ht="15">
      <c r="A8" t="s">
        <v>114</v>
      </c>
      <c r="E8" s="23">
        <f>'Cash Flow Statement'!H25</f>
        <v>-166.74908775525</v>
      </c>
      <c r="F8" s="23">
        <f>'Cash Flow Statement'!I25</f>
        <v>-176.754033020565</v>
      </c>
      <c r="G8" s="23">
        <f>'Cash Flow Statement'!J25</f>
        <v>-185.59173467159326</v>
      </c>
      <c r="H8" s="23">
        <f>'Cash Flow Statement'!K25</f>
        <v>-193.015404058457</v>
      </c>
      <c r="I8" s="23">
        <f>'Cash Flow Statement'!L25</f>
        <v>-198.8058661802107</v>
      </c>
      <c r="J8" s="23">
        <f>'Cash Flow Statement'!M25</f>
        <v>-204.77004216561704</v>
      </c>
      <c r="K8" s="23">
        <f>'Cash Flow Statement'!N25</f>
        <v>-210.91314343058554</v>
      </c>
      <c r="L8" s="23">
        <f>'Cash Flow Statement'!O25</f>
        <v>-217.24053773350312</v>
      </c>
      <c r="M8" s="23">
        <f>'Cash Flow Statement'!P25</f>
        <v>-223.75775386550822</v>
      </c>
      <c r="N8" s="23">
        <f>'Cash Flow Statement'!Q25</f>
        <v>-230.47048648147347</v>
      </c>
    </row>
    <row r="9" spans="1:14" ht="15">
      <c r="A9" s="7" t="s">
        <v>168</v>
      </c>
      <c r="E9" s="22">
        <f>SUM(E7:E8)</f>
        <v>204.8890332465184</v>
      </c>
      <c r="F9" s="22">
        <f aca="true" t="shared" si="0" ref="F9:N9">SUM(F7:F8)</f>
        <v>242.88732837849054</v>
      </c>
      <c r="G9" s="22">
        <f t="shared" si="0"/>
        <v>278.1589014839419</v>
      </c>
      <c r="H9" s="22">
        <f t="shared" si="0"/>
        <v>312.28301692395235</v>
      </c>
      <c r="I9" s="22">
        <f t="shared" si="0"/>
        <v>344.56748356933804</v>
      </c>
      <c r="J9" s="22">
        <f t="shared" si="0"/>
        <v>370.0059474360296</v>
      </c>
      <c r="K9" s="22">
        <f t="shared" si="0"/>
        <v>397.7441856023285</v>
      </c>
      <c r="L9" s="22">
        <f t="shared" si="0"/>
        <v>419.4216694596426</v>
      </c>
      <c r="M9" s="22">
        <f t="shared" si="0"/>
        <v>433.06182890940363</v>
      </c>
      <c r="N9" s="22">
        <f t="shared" si="0"/>
        <v>449.76710098600665</v>
      </c>
    </row>
    <row r="10" spans="1:14" ht="15">
      <c r="A10" t="s">
        <v>169</v>
      </c>
      <c r="D10" s="109" t="s">
        <v>172</v>
      </c>
      <c r="E10" s="22">
        <f aca="true" t="shared" si="1" ref="E10:J10">-($D$31*$D$35)</f>
        <v>-21.5</v>
      </c>
      <c r="F10" s="22">
        <f t="shared" si="1"/>
        <v>-21.5</v>
      </c>
      <c r="G10" s="22">
        <f t="shared" si="1"/>
        <v>-21.5</v>
      </c>
      <c r="H10" s="22">
        <f t="shared" si="1"/>
        <v>-21.5</v>
      </c>
      <c r="I10" s="22">
        <f t="shared" si="1"/>
        <v>-21.5</v>
      </c>
      <c r="J10" s="22">
        <f t="shared" si="1"/>
        <v>-21.5</v>
      </c>
      <c r="K10" s="22">
        <f>-($D$31*$D$35)</f>
        <v>-21.5</v>
      </c>
      <c r="L10" s="22">
        <v>0</v>
      </c>
      <c r="M10" s="22">
        <v>0</v>
      </c>
      <c r="N10" s="22">
        <v>0</v>
      </c>
    </row>
    <row r="11" spans="1:14" ht="15">
      <c r="A11" t="s">
        <v>170</v>
      </c>
      <c r="D11" s="133">
        <v>0</v>
      </c>
      <c r="E11" s="23">
        <f>IF('Balance Sheet'!G5&gt;0,'Balance Sheet'!G5,0)</f>
        <v>0</v>
      </c>
      <c r="F11" s="23">
        <f>IF('Balance Sheet'!H5&gt;0,'Balance Sheet'!H5,0)</f>
        <v>0</v>
      </c>
      <c r="G11" s="23">
        <f>IF('Balance Sheet'!I5&gt;0,'Balance Sheet'!I5,0)</f>
        <v>0</v>
      </c>
      <c r="H11" s="23">
        <f>IF('Balance Sheet'!J5&gt;0,'Balance Sheet'!J5,0)</f>
        <v>0</v>
      </c>
      <c r="I11" s="23">
        <f>IF('Balance Sheet'!K5&gt;0,'Balance Sheet'!K5,0)</f>
        <v>0</v>
      </c>
      <c r="J11" s="23">
        <f>IF('Balance Sheet'!L5&gt;0,'Balance Sheet'!L5,0)</f>
        <v>0</v>
      </c>
      <c r="K11" s="23">
        <f>IF('Balance Sheet'!M5&gt;0,'Balance Sheet'!M5,0)</f>
        <v>0</v>
      </c>
      <c r="L11" s="23">
        <f>IF('Balance Sheet'!N5&gt;0,'Balance Sheet'!N5,0)</f>
        <v>0.5358966405994465</v>
      </c>
      <c r="M11" s="23">
        <f>IF('Balance Sheet'!O5&gt;0,'Balance Sheet'!O5,0)</f>
        <v>419.95756610024205</v>
      </c>
      <c r="N11" s="23">
        <f>IF('Balance Sheet'!P5&gt;0,'Balance Sheet'!P5,0)</f>
        <v>853.0193950096457</v>
      </c>
    </row>
    <row r="12" spans="1:14" ht="15">
      <c r="A12" s="7" t="s">
        <v>171</v>
      </c>
      <c r="E12" s="22">
        <f>SUM(E9:E11)</f>
        <v>183.3890332465184</v>
      </c>
      <c r="F12" s="22">
        <f aca="true" t="shared" si="2" ref="F12:N12">SUM(F9:F11)</f>
        <v>221.38732837849054</v>
      </c>
      <c r="G12" s="22">
        <f t="shared" si="2"/>
        <v>256.6589014839419</v>
      </c>
      <c r="H12" s="22">
        <f t="shared" si="2"/>
        <v>290.78301692395235</v>
      </c>
      <c r="I12" s="22">
        <f t="shared" si="2"/>
        <v>323.06748356933804</v>
      </c>
      <c r="J12" s="22">
        <f t="shared" si="2"/>
        <v>348.5059474360296</v>
      </c>
      <c r="K12" s="22">
        <f t="shared" si="2"/>
        <v>376.2441856023285</v>
      </c>
      <c r="L12" s="22">
        <f t="shared" si="2"/>
        <v>419.95756610024205</v>
      </c>
      <c r="M12" s="22">
        <f t="shared" si="2"/>
        <v>853.0193950096457</v>
      </c>
      <c r="N12" s="22">
        <f t="shared" si="2"/>
        <v>1302.7864959956523</v>
      </c>
    </row>
    <row r="14" ht="15">
      <c r="A14" s="8" t="s">
        <v>28</v>
      </c>
    </row>
    <row r="15" spans="1:14" ht="15">
      <c r="A15" s="111" t="s">
        <v>147</v>
      </c>
      <c r="B15" s="112"/>
      <c r="C15" s="112"/>
      <c r="D15" s="113">
        <f>Assumptions!E59</f>
        <v>250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4"/>
    </row>
    <row r="16" spans="1:14" ht="15">
      <c r="A16" s="115" t="s">
        <v>173</v>
      </c>
      <c r="B16" s="116"/>
      <c r="C16" s="116"/>
      <c r="D16" s="128">
        <v>0.0425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8"/>
    </row>
    <row r="17" spans="1:14" ht="15">
      <c r="A17" s="115" t="s">
        <v>174</v>
      </c>
      <c r="B17" s="116"/>
      <c r="C17" s="116"/>
      <c r="D17" s="128">
        <v>0.0125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8"/>
    </row>
    <row r="18" spans="1:14" ht="15">
      <c r="A18" s="115" t="s">
        <v>175</v>
      </c>
      <c r="B18" s="116"/>
      <c r="C18" s="116"/>
      <c r="D18" s="129" t="s">
        <v>177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8"/>
    </row>
    <row r="19" spans="1:14" ht="15">
      <c r="A19" s="115" t="s">
        <v>176</v>
      </c>
      <c r="B19" s="116"/>
      <c r="C19" s="116"/>
      <c r="D19" s="128">
        <v>0.005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8"/>
    </row>
    <row r="20" spans="1:14" ht="1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8"/>
    </row>
    <row r="21" spans="1:14" ht="15">
      <c r="A21" s="115" t="s">
        <v>178</v>
      </c>
      <c r="B21" s="116"/>
      <c r="C21" s="116"/>
      <c r="D21" s="116"/>
      <c r="E21" s="121">
        <f>'Balance Sheet'!G23</f>
        <v>0</v>
      </c>
      <c r="F21" s="121">
        <f aca="true" t="shared" si="3" ref="F21:N21">E23</f>
        <v>0</v>
      </c>
      <c r="G21" s="121">
        <f t="shared" si="3"/>
        <v>0</v>
      </c>
      <c r="H21" s="121">
        <f t="shared" si="3"/>
        <v>0</v>
      </c>
      <c r="I21" s="121">
        <f t="shared" si="3"/>
        <v>0</v>
      </c>
      <c r="J21" s="121">
        <f t="shared" si="3"/>
        <v>0</v>
      </c>
      <c r="K21" s="121">
        <f t="shared" si="3"/>
        <v>0</v>
      </c>
      <c r="L21" s="121">
        <f t="shared" si="3"/>
        <v>0</v>
      </c>
      <c r="M21" s="121">
        <f t="shared" si="3"/>
        <v>0</v>
      </c>
      <c r="N21" s="122">
        <f t="shared" si="3"/>
        <v>0</v>
      </c>
    </row>
    <row r="22" spans="1:14" ht="15">
      <c r="A22" s="115" t="s">
        <v>179</v>
      </c>
      <c r="B22" s="116"/>
      <c r="C22" s="116"/>
      <c r="D22" s="124"/>
      <c r="E22" s="126">
        <f aca="true" t="shared" si="4" ref="E22:N22">IF(E12&gt;0,-MIN(E12,0),-MIN(E12,0))</f>
        <v>0</v>
      </c>
      <c r="F22" s="126">
        <f t="shared" si="4"/>
        <v>0</v>
      </c>
      <c r="G22" s="126">
        <f t="shared" si="4"/>
        <v>0</v>
      </c>
      <c r="H22" s="126">
        <f t="shared" si="4"/>
        <v>0</v>
      </c>
      <c r="I22" s="126">
        <f t="shared" si="4"/>
        <v>0</v>
      </c>
      <c r="J22" s="126">
        <f t="shared" si="4"/>
        <v>0</v>
      </c>
      <c r="K22" s="126">
        <f t="shared" si="4"/>
        <v>0</v>
      </c>
      <c r="L22" s="126">
        <f t="shared" si="4"/>
        <v>0</v>
      </c>
      <c r="M22" s="126">
        <f t="shared" si="4"/>
        <v>0</v>
      </c>
      <c r="N22" s="126">
        <f t="shared" si="4"/>
        <v>0</v>
      </c>
    </row>
    <row r="23" spans="1:14" ht="15">
      <c r="A23" s="119" t="s">
        <v>180</v>
      </c>
      <c r="B23" s="116"/>
      <c r="C23" s="116"/>
      <c r="D23" s="116"/>
      <c r="E23" s="121">
        <f aca="true" t="shared" si="5" ref="E23:N23">E21-E22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5">
        <f t="shared" si="5"/>
        <v>0</v>
      </c>
    </row>
    <row r="24" spans="1:14" ht="1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8"/>
    </row>
    <row r="25" spans="1:14" ht="15">
      <c r="A25" s="115" t="s">
        <v>181</v>
      </c>
      <c r="B25" s="116"/>
      <c r="C25" s="116"/>
      <c r="D25" s="117"/>
      <c r="E25" s="117">
        <f aca="true" t="shared" si="6" ref="E25:N25">IF($D$17&gt;E5,$D$17,E5)+$D$16</f>
        <v>0.05500000000000001</v>
      </c>
      <c r="F25" s="117">
        <f t="shared" si="6"/>
        <v>0.05500000000000001</v>
      </c>
      <c r="G25" s="117">
        <f t="shared" si="6"/>
        <v>0.05500000000000001</v>
      </c>
      <c r="H25" s="117">
        <f t="shared" si="6"/>
        <v>0.05500000000000001</v>
      </c>
      <c r="I25" s="117">
        <f t="shared" si="6"/>
        <v>0.05500000000000001</v>
      </c>
      <c r="J25" s="117">
        <f t="shared" si="6"/>
        <v>0.0575</v>
      </c>
      <c r="K25" s="117">
        <f t="shared" si="6"/>
        <v>0.060000000000000005</v>
      </c>
      <c r="L25" s="117">
        <f t="shared" si="6"/>
        <v>0.0625</v>
      </c>
      <c r="M25" s="117">
        <f t="shared" si="6"/>
        <v>0.065</v>
      </c>
      <c r="N25" s="120">
        <f t="shared" si="6"/>
        <v>0.0675</v>
      </c>
    </row>
    <row r="26" spans="1:14" ht="15">
      <c r="A26" s="115" t="s">
        <v>27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8"/>
    </row>
    <row r="27" spans="1:14" ht="15">
      <c r="A27" s="115" t="s">
        <v>182</v>
      </c>
      <c r="B27" s="116"/>
      <c r="C27" s="116"/>
      <c r="D27" s="116"/>
      <c r="E27" s="121">
        <f>$D$19*$D$15</f>
        <v>1.25</v>
      </c>
      <c r="F27" s="121">
        <f>$D$19*$D$15</f>
        <v>1.25</v>
      </c>
      <c r="G27" s="121">
        <f aca="true" t="shared" si="7" ref="G27:N27">$D$19*$D$15</f>
        <v>1.25</v>
      </c>
      <c r="H27" s="121">
        <f t="shared" si="7"/>
        <v>1.25</v>
      </c>
      <c r="I27" s="121">
        <f t="shared" si="7"/>
        <v>1.25</v>
      </c>
      <c r="J27" s="121">
        <f t="shared" si="7"/>
        <v>1.25</v>
      </c>
      <c r="K27" s="121">
        <f t="shared" si="7"/>
        <v>1.25</v>
      </c>
      <c r="L27" s="121">
        <f t="shared" si="7"/>
        <v>1.25</v>
      </c>
      <c r="M27" s="121">
        <f t="shared" si="7"/>
        <v>1.25</v>
      </c>
      <c r="N27" s="122">
        <f t="shared" si="7"/>
        <v>1.25</v>
      </c>
    </row>
    <row r="28" spans="1:14" ht="15">
      <c r="A28" s="123" t="s">
        <v>37</v>
      </c>
      <c r="B28" s="124"/>
      <c r="C28" s="124"/>
      <c r="D28" s="124"/>
      <c r="E28" s="126">
        <v>0.2</v>
      </c>
      <c r="F28" s="126">
        <v>0.2</v>
      </c>
      <c r="G28" s="126">
        <v>0.2</v>
      </c>
      <c r="H28" s="126">
        <v>0.2</v>
      </c>
      <c r="I28" s="126">
        <v>0.2</v>
      </c>
      <c r="J28" s="126">
        <v>0.2</v>
      </c>
      <c r="K28" s="126">
        <v>0.2</v>
      </c>
      <c r="L28" s="126">
        <v>0.2</v>
      </c>
      <c r="M28" s="126">
        <v>0.2</v>
      </c>
      <c r="N28" s="127">
        <v>0.2</v>
      </c>
    </row>
    <row r="30" ht="15">
      <c r="A30" s="8" t="s">
        <v>183</v>
      </c>
    </row>
    <row r="31" spans="1:14" ht="15">
      <c r="A31" s="111" t="s">
        <v>184</v>
      </c>
      <c r="B31" s="112"/>
      <c r="C31" s="112"/>
      <c r="D31" s="113">
        <f>Assumptions!E61</f>
        <v>2150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4"/>
    </row>
    <row r="32" spans="1:14" ht="15">
      <c r="A32" s="115" t="s">
        <v>173</v>
      </c>
      <c r="B32" s="116"/>
      <c r="C32" s="116"/>
      <c r="D32" s="128">
        <v>0.045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8"/>
    </row>
    <row r="33" spans="1:14" ht="15">
      <c r="A33" s="115" t="s">
        <v>174</v>
      </c>
      <c r="B33" s="116"/>
      <c r="C33" s="116"/>
      <c r="D33" s="128">
        <v>0.0125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8"/>
    </row>
    <row r="34" spans="1:14" ht="15">
      <c r="A34" s="115" t="s">
        <v>175</v>
      </c>
      <c r="B34" s="116"/>
      <c r="C34" s="116"/>
      <c r="D34" s="129" t="s">
        <v>188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8"/>
    </row>
    <row r="35" spans="1:14" ht="15">
      <c r="A35" s="115" t="s">
        <v>185</v>
      </c>
      <c r="B35" s="116"/>
      <c r="C35" s="116"/>
      <c r="D35" s="128">
        <v>0.01</v>
      </c>
      <c r="E35" s="116" t="s">
        <v>189</v>
      </c>
      <c r="F35" s="116"/>
      <c r="G35" s="116"/>
      <c r="H35" s="116"/>
      <c r="I35" s="116"/>
      <c r="J35" s="116"/>
      <c r="K35" s="116"/>
      <c r="L35" s="116"/>
      <c r="M35" s="116"/>
      <c r="N35" s="118"/>
    </row>
    <row r="36" spans="1:14" ht="15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8"/>
    </row>
    <row r="37" spans="1:14" ht="15">
      <c r="A37" s="115" t="s">
        <v>178</v>
      </c>
      <c r="B37" s="116"/>
      <c r="C37" s="116"/>
      <c r="D37" s="116"/>
      <c r="E37" s="121">
        <f>D40</f>
        <v>2150</v>
      </c>
      <c r="F37" s="121">
        <f aca="true" t="shared" si="8" ref="F37:N37">E40</f>
        <v>1945.1109667534815</v>
      </c>
      <c r="G37" s="121">
        <f t="shared" si="8"/>
        <v>1702.223638374991</v>
      </c>
      <c r="H37" s="121">
        <f t="shared" si="8"/>
        <v>1424.064736891049</v>
      </c>
      <c r="I37" s="121">
        <f t="shared" si="8"/>
        <v>1111.7817199670967</v>
      </c>
      <c r="J37" s="121">
        <f t="shared" si="8"/>
        <v>767.2142363977587</v>
      </c>
      <c r="K37" s="121">
        <f t="shared" si="8"/>
        <v>397.20828896172907</v>
      </c>
      <c r="L37" s="121">
        <f t="shared" si="8"/>
        <v>0</v>
      </c>
      <c r="M37" s="121">
        <f t="shared" si="8"/>
        <v>0</v>
      </c>
      <c r="N37" s="122">
        <f t="shared" si="8"/>
        <v>0</v>
      </c>
    </row>
    <row r="38" spans="1:15" ht="15">
      <c r="A38" s="115" t="s">
        <v>186</v>
      </c>
      <c r="B38" s="116"/>
      <c r="C38" s="116"/>
      <c r="D38" s="116"/>
      <c r="E38" s="121">
        <f aca="true" t="shared" si="9" ref="E38:N38">IF(AND(E37&gt;0,E37&gt;E10),E10,0)</f>
        <v>-21.5</v>
      </c>
      <c r="F38" s="121">
        <f t="shared" si="9"/>
        <v>-21.5</v>
      </c>
      <c r="G38" s="121">
        <f t="shared" si="9"/>
        <v>-21.5</v>
      </c>
      <c r="H38" s="121">
        <f t="shared" si="9"/>
        <v>-21.5</v>
      </c>
      <c r="I38" s="121">
        <f t="shared" si="9"/>
        <v>-21.5</v>
      </c>
      <c r="J38" s="121">
        <f t="shared" si="9"/>
        <v>-21.5</v>
      </c>
      <c r="K38" s="121">
        <f t="shared" si="9"/>
        <v>-21.5</v>
      </c>
      <c r="L38" s="121">
        <f t="shared" si="9"/>
        <v>0</v>
      </c>
      <c r="M38" s="121">
        <f t="shared" si="9"/>
        <v>0</v>
      </c>
      <c r="N38" s="121">
        <f t="shared" si="9"/>
        <v>0</v>
      </c>
      <c r="O38" s="130"/>
    </row>
    <row r="39" spans="1:14" ht="15">
      <c r="A39" s="115" t="s">
        <v>187</v>
      </c>
      <c r="B39" s="116"/>
      <c r="C39" s="116"/>
      <c r="D39" s="124"/>
      <c r="E39" s="126">
        <f aca="true" t="shared" si="10" ref="E39:N39">-MIN(E12,(E37+E10))</f>
        <v>-183.3890332465184</v>
      </c>
      <c r="F39" s="126">
        <f t="shared" si="10"/>
        <v>-221.38732837849054</v>
      </c>
      <c r="G39" s="126">
        <f t="shared" si="10"/>
        <v>-256.6589014839419</v>
      </c>
      <c r="H39" s="126">
        <f t="shared" si="10"/>
        <v>-290.78301692395235</v>
      </c>
      <c r="I39" s="126">
        <f t="shared" si="10"/>
        <v>-323.06748356933804</v>
      </c>
      <c r="J39" s="126">
        <f t="shared" si="10"/>
        <v>-348.5059474360296</v>
      </c>
      <c r="K39" s="126">
        <f>-MIN(K12,(K37+K10))</f>
        <v>-375.70828896172907</v>
      </c>
      <c r="L39" s="126">
        <f t="shared" si="10"/>
        <v>0</v>
      </c>
      <c r="M39" s="126">
        <f t="shared" si="10"/>
        <v>0</v>
      </c>
      <c r="N39" s="127">
        <f t="shared" si="10"/>
        <v>0</v>
      </c>
    </row>
    <row r="40" spans="1:14" ht="15">
      <c r="A40" s="119" t="s">
        <v>180</v>
      </c>
      <c r="B40" s="116"/>
      <c r="C40" s="116"/>
      <c r="D40" s="121">
        <f>D31</f>
        <v>2150</v>
      </c>
      <c r="E40" s="121">
        <f aca="true" t="shared" si="11" ref="E40:N40">SUM(E37:E39)</f>
        <v>1945.1109667534815</v>
      </c>
      <c r="F40" s="121">
        <f t="shared" si="11"/>
        <v>1702.223638374991</v>
      </c>
      <c r="G40" s="121">
        <f t="shared" si="11"/>
        <v>1424.064736891049</v>
      </c>
      <c r="H40" s="121">
        <f t="shared" si="11"/>
        <v>1111.7817199670967</v>
      </c>
      <c r="I40" s="121">
        <f t="shared" si="11"/>
        <v>767.2142363977587</v>
      </c>
      <c r="J40" s="121">
        <f t="shared" si="11"/>
        <v>397.20828896172907</v>
      </c>
      <c r="K40" s="121">
        <f t="shared" si="11"/>
        <v>0</v>
      </c>
      <c r="L40" s="121">
        <f t="shared" si="11"/>
        <v>0</v>
      </c>
      <c r="M40" s="121">
        <f t="shared" si="11"/>
        <v>0</v>
      </c>
      <c r="N40" s="122">
        <f t="shared" si="11"/>
        <v>0</v>
      </c>
    </row>
    <row r="41" spans="1:14" ht="15">
      <c r="A41" s="115"/>
      <c r="B41" s="116"/>
      <c r="C41" s="116"/>
      <c r="D41" s="116"/>
      <c r="E41" s="116"/>
      <c r="F41" s="116"/>
      <c r="G41" s="116"/>
      <c r="H41" s="116"/>
      <c r="I41" s="116"/>
      <c r="J41" s="121"/>
      <c r="K41" s="116"/>
      <c r="L41" s="116"/>
      <c r="M41" s="116"/>
      <c r="N41" s="118"/>
    </row>
    <row r="42" spans="1:14" ht="15">
      <c r="A42" s="115" t="s">
        <v>181</v>
      </c>
      <c r="B42" s="116"/>
      <c r="C42" s="116"/>
      <c r="D42" s="117">
        <f aca="true" t="shared" si="12" ref="D42:N42">IF($D$32+$D$33&gt;$D$32+D5,$D$32+$D$33,$D$32+D5)</f>
        <v>0.057499999999999996</v>
      </c>
      <c r="E42" s="117">
        <f t="shared" si="12"/>
        <v>0.057499999999999996</v>
      </c>
      <c r="F42" s="117">
        <f t="shared" si="12"/>
        <v>0.057499999999999996</v>
      </c>
      <c r="G42" s="117">
        <f t="shared" si="12"/>
        <v>0.057499999999999996</v>
      </c>
      <c r="H42" s="117">
        <f t="shared" si="12"/>
        <v>0.057499999999999996</v>
      </c>
      <c r="I42" s="117">
        <f t="shared" si="12"/>
        <v>0.057499999999999996</v>
      </c>
      <c r="J42" s="117">
        <f t="shared" si="12"/>
        <v>0.06</v>
      </c>
      <c r="K42" s="117">
        <f t="shared" si="12"/>
        <v>0.0625</v>
      </c>
      <c r="L42" s="117">
        <f t="shared" si="12"/>
        <v>0.065</v>
      </c>
      <c r="M42" s="117">
        <f t="shared" si="12"/>
        <v>0.0675</v>
      </c>
      <c r="N42" s="120">
        <f t="shared" si="12"/>
        <v>0.07</v>
      </c>
    </row>
    <row r="43" spans="1:14" ht="15">
      <c r="A43" s="123" t="s">
        <v>27</v>
      </c>
      <c r="B43" s="124"/>
      <c r="C43" s="124"/>
      <c r="D43" s="126">
        <f>D40*D42</f>
        <v>123.62499999999999</v>
      </c>
      <c r="E43" s="126">
        <f>E42*AVERAGE(E37,E40)</f>
        <v>117.73444029416258</v>
      </c>
      <c r="F43" s="126">
        <f aca="true" t="shared" si="13" ref="F43:N43">F42*AVERAGE(F37,F40)</f>
        <v>104.86086989744358</v>
      </c>
      <c r="G43" s="126">
        <f t="shared" si="13"/>
        <v>89.88079078889865</v>
      </c>
      <c r="H43" s="126">
        <f t="shared" si="13"/>
        <v>72.90558563467168</v>
      </c>
      <c r="I43" s="126">
        <f t="shared" si="13"/>
        <v>54.021133745489585</v>
      </c>
      <c r="J43" s="126">
        <f t="shared" si="13"/>
        <v>34.93267576078463</v>
      </c>
      <c r="K43" s="126">
        <f t="shared" si="13"/>
        <v>12.412759030054033</v>
      </c>
      <c r="L43" s="126">
        <f t="shared" si="13"/>
        <v>0</v>
      </c>
      <c r="M43" s="126">
        <f t="shared" si="13"/>
        <v>0</v>
      </c>
      <c r="N43" s="127">
        <f t="shared" si="13"/>
        <v>0</v>
      </c>
    </row>
    <row r="45" ht="15">
      <c r="A45" s="8" t="s">
        <v>34</v>
      </c>
    </row>
    <row r="46" spans="1:14" ht="15">
      <c r="A46" s="111" t="s">
        <v>184</v>
      </c>
      <c r="B46" s="112"/>
      <c r="C46" s="112"/>
      <c r="D46" s="113">
        <f>Assumptions!E64</f>
        <v>1500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4"/>
    </row>
    <row r="47" spans="1:14" ht="15">
      <c r="A47" s="115" t="s">
        <v>191</v>
      </c>
      <c r="B47" s="116"/>
      <c r="C47" s="116"/>
      <c r="D47" s="128">
        <v>0.085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8"/>
    </row>
    <row r="48" spans="1:14" ht="15">
      <c r="A48" s="115" t="s">
        <v>175</v>
      </c>
      <c r="B48" s="116"/>
      <c r="C48" s="116"/>
      <c r="D48" s="129" t="s">
        <v>190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8"/>
    </row>
    <row r="49" spans="1:14" ht="15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8"/>
    </row>
    <row r="50" spans="1:14" ht="15">
      <c r="A50" s="115" t="s">
        <v>178</v>
      </c>
      <c r="B50" s="116"/>
      <c r="C50" s="116"/>
      <c r="D50" s="121">
        <f aca="true" t="shared" si="14" ref="D50:I50">$D$46</f>
        <v>1500</v>
      </c>
      <c r="E50" s="121">
        <f t="shared" si="14"/>
        <v>1500</v>
      </c>
      <c r="F50" s="121">
        <f t="shared" si="14"/>
        <v>1500</v>
      </c>
      <c r="G50" s="121">
        <f t="shared" si="14"/>
        <v>1500</v>
      </c>
      <c r="H50" s="121">
        <f t="shared" si="14"/>
        <v>1500</v>
      </c>
      <c r="I50" s="121">
        <f t="shared" si="14"/>
        <v>1500</v>
      </c>
      <c r="J50" s="121">
        <f>$D$46</f>
        <v>1500</v>
      </c>
      <c r="K50" s="121">
        <f>$D$46</f>
        <v>1500</v>
      </c>
      <c r="L50" s="121">
        <f>$D$46</f>
        <v>1500</v>
      </c>
      <c r="M50" s="121">
        <f>$D$46</f>
        <v>1500</v>
      </c>
      <c r="N50" s="122">
        <f>$D$46</f>
        <v>1500</v>
      </c>
    </row>
    <row r="51" spans="1:14" ht="15">
      <c r="A51" s="115" t="s">
        <v>192</v>
      </c>
      <c r="B51" s="116"/>
      <c r="C51" s="116"/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2">
        <v>0</v>
      </c>
    </row>
    <row r="52" spans="1:14" ht="15">
      <c r="A52" s="119" t="s">
        <v>180</v>
      </c>
      <c r="B52" s="116"/>
      <c r="C52" s="116"/>
      <c r="D52" s="113">
        <f>SUM(D50:D51)</f>
        <v>1500</v>
      </c>
      <c r="E52" s="113">
        <f aca="true" t="shared" si="15" ref="E52:N52">SUM(E50:E51)</f>
        <v>1500</v>
      </c>
      <c r="F52" s="113">
        <f t="shared" si="15"/>
        <v>1500</v>
      </c>
      <c r="G52" s="113">
        <f t="shared" si="15"/>
        <v>1500</v>
      </c>
      <c r="H52" s="113">
        <f t="shared" si="15"/>
        <v>1500</v>
      </c>
      <c r="I52" s="113">
        <f t="shared" si="15"/>
        <v>1500</v>
      </c>
      <c r="J52" s="113">
        <f t="shared" si="15"/>
        <v>1500</v>
      </c>
      <c r="K52" s="113">
        <f t="shared" si="15"/>
        <v>1500</v>
      </c>
      <c r="L52" s="113">
        <f t="shared" si="15"/>
        <v>1500</v>
      </c>
      <c r="M52" s="113">
        <f t="shared" si="15"/>
        <v>1500</v>
      </c>
      <c r="N52" s="125">
        <f t="shared" si="15"/>
        <v>1500</v>
      </c>
    </row>
    <row r="53" spans="1:14" ht="15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8"/>
    </row>
    <row r="54" spans="1:14" ht="15">
      <c r="A54" s="123" t="s">
        <v>27</v>
      </c>
      <c r="B54" s="124"/>
      <c r="C54" s="124"/>
      <c r="D54" s="126">
        <f aca="true" t="shared" si="16" ref="D54:N54">$D$47*$D$46</f>
        <v>127.50000000000001</v>
      </c>
      <c r="E54" s="126">
        <f t="shared" si="16"/>
        <v>127.50000000000001</v>
      </c>
      <c r="F54" s="126">
        <f t="shared" si="16"/>
        <v>127.50000000000001</v>
      </c>
      <c r="G54" s="126">
        <f t="shared" si="16"/>
        <v>127.50000000000001</v>
      </c>
      <c r="H54" s="126">
        <f t="shared" si="16"/>
        <v>127.50000000000001</v>
      </c>
      <c r="I54" s="126">
        <f t="shared" si="16"/>
        <v>127.50000000000001</v>
      </c>
      <c r="J54" s="126">
        <f t="shared" si="16"/>
        <v>127.50000000000001</v>
      </c>
      <c r="K54" s="126">
        <f t="shared" si="16"/>
        <v>127.50000000000001</v>
      </c>
      <c r="L54" s="126">
        <f t="shared" si="16"/>
        <v>127.50000000000001</v>
      </c>
      <c r="M54" s="126">
        <f t="shared" si="16"/>
        <v>127.50000000000001</v>
      </c>
      <c r="N54" s="127">
        <f t="shared" si="16"/>
        <v>127.50000000000001</v>
      </c>
    </row>
  </sheetData>
  <sheetProtection/>
  <mergeCells count="1">
    <mergeCell ref="E2:N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1"/>
  <sheetViews>
    <sheetView zoomScale="85" zoomScaleNormal="85" zoomScalePageLayoutView="0" workbookViewId="0" topLeftCell="A16">
      <selection activeCell="E9" sqref="E9"/>
    </sheetView>
  </sheetViews>
  <sheetFormatPr defaultColWidth="9.140625" defaultRowHeight="15"/>
  <cols>
    <col min="3" max="3" width="10.57421875" style="0" bestFit="1" customWidth="1"/>
    <col min="5" max="5" width="11.57421875" style="0" bestFit="1" customWidth="1"/>
    <col min="6" max="16" width="11.28125" style="0" bestFit="1" customWidth="1"/>
  </cols>
  <sheetData>
    <row r="1" spans="1:16" ht="15">
      <c r="A1" s="93" t="s">
        <v>199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7:16" ht="15">
      <c r="G2" s="201" t="s">
        <v>14</v>
      </c>
      <c r="H2" s="201"/>
      <c r="I2" s="201"/>
      <c r="J2" s="201"/>
      <c r="K2" s="201"/>
      <c r="L2" s="201"/>
      <c r="M2" s="201"/>
      <c r="N2" s="201"/>
      <c r="O2" s="201"/>
      <c r="P2" s="201"/>
    </row>
    <row r="3" spans="6:16" ht="15">
      <c r="F3" s="110" t="s">
        <v>2</v>
      </c>
      <c r="G3" s="110" t="s">
        <v>3</v>
      </c>
      <c r="H3" s="110" t="s">
        <v>4</v>
      </c>
      <c r="I3" s="110" t="s">
        <v>5</v>
      </c>
      <c r="J3" s="110" t="s">
        <v>6</v>
      </c>
      <c r="K3" s="110" t="s">
        <v>7</v>
      </c>
      <c r="L3" s="110" t="s">
        <v>8</v>
      </c>
      <c r="M3" s="110" t="s">
        <v>9</v>
      </c>
      <c r="N3" s="110" t="s">
        <v>10</v>
      </c>
      <c r="O3" s="110" t="s">
        <v>11</v>
      </c>
      <c r="P3" s="110" t="s">
        <v>12</v>
      </c>
    </row>
    <row r="4" spans="6:16" ht="15">
      <c r="F4" s="4">
        <v>2012</v>
      </c>
      <c r="G4" s="4">
        <f>F4+1</f>
        <v>2013</v>
      </c>
      <c r="H4" s="4">
        <f aca="true" t="shared" si="0" ref="H4:P4">G4+1</f>
        <v>2014</v>
      </c>
      <c r="I4" s="4">
        <f t="shared" si="0"/>
        <v>2015</v>
      </c>
      <c r="J4" s="4">
        <f t="shared" si="0"/>
        <v>2016</v>
      </c>
      <c r="K4" s="4">
        <f t="shared" si="0"/>
        <v>2017</v>
      </c>
      <c r="L4" s="4">
        <f t="shared" si="0"/>
        <v>2018</v>
      </c>
      <c r="M4" s="4">
        <f t="shared" si="0"/>
        <v>2019</v>
      </c>
      <c r="N4" s="4">
        <f t="shared" si="0"/>
        <v>2020</v>
      </c>
      <c r="O4" s="4">
        <f t="shared" si="0"/>
        <v>2021</v>
      </c>
      <c r="P4" s="4">
        <f t="shared" si="0"/>
        <v>2022</v>
      </c>
    </row>
    <row r="5" spans="1:5" ht="15">
      <c r="A5" t="s">
        <v>125</v>
      </c>
      <c r="E5" s="151">
        <v>8</v>
      </c>
    </row>
    <row r="6" spans="1:6" ht="15">
      <c r="A6" t="s">
        <v>225</v>
      </c>
      <c r="E6" s="22"/>
      <c r="F6" s="22">
        <f>Assumptions!D39</f>
        <v>2100</v>
      </c>
    </row>
    <row r="7" spans="1:16" ht="15">
      <c r="A7" s="7" t="s">
        <v>23</v>
      </c>
      <c r="G7" s="22">
        <f>'Income Statement'!I13</f>
        <v>778.1624095245</v>
      </c>
      <c r="H7" s="22">
        <f>'Income Statement'!J13</f>
        <v>824.8521540959703</v>
      </c>
      <c r="I7" s="22">
        <f>'Income Statement'!K13</f>
        <v>866.0947618007685</v>
      </c>
      <c r="J7" s="22">
        <f>'Income Statement'!L13</f>
        <v>900.7385522727993</v>
      </c>
      <c r="K7" s="22">
        <f>'Income Statement'!M13</f>
        <v>927.7607088409836</v>
      </c>
      <c r="L7" s="22">
        <f>'Income Statement'!N13</f>
        <v>955.5935301062128</v>
      </c>
      <c r="M7" s="22">
        <f>'Income Statement'!O13</f>
        <v>984.2613360093991</v>
      </c>
      <c r="N7" s="22">
        <f>'Income Statement'!P13</f>
        <v>1013.7891760896813</v>
      </c>
      <c r="O7" s="22">
        <f>'Income Statement'!Q13</f>
        <v>1044.2028513723717</v>
      </c>
      <c r="P7" s="22">
        <f>'Income Statement'!R13</f>
        <v>1075.528936913543</v>
      </c>
    </row>
    <row r="8" spans="1:16" ht="15">
      <c r="A8" t="s">
        <v>226</v>
      </c>
      <c r="E8" s="151">
        <v>8</v>
      </c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">
      <c r="A9" s="7" t="s">
        <v>227</v>
      </c>
      <c r="G9" s="22">
        <f>G7*$E$8</f>
        <v>6225.299276196</v>
      </c>
      <c r="H9" s="22">
        <f aca="true" t="shared" si="1" ref="H9:P9">H7*$E$8</f>
        <v>6598.817232767762</v>
      </c>
      <c r="I9" s="22">
        <f t="shared" si="1"/>
        <v>6928.758094406148</v>
      </c>
      <c r="J9" s="22">
        <f t="shared" si="1"/>
        <v>7205.908418182395</v>
      </c>
      <c r="K9" s="22">
        <f t="shared" si="1"/>
        <v>7422.085670727869</v>
      </c>
      <c r="L9" s="22">
        <f t="shared" si="1"/>
        <v>7644.748240849703</v>
      </c>
      <c r="M9" s="22">
        <f t="shared" si="1"/>
        <v>7874.090688075193</v>
      </c>
      <c r="N9" s="22">
        <f t="shared" si="1"/>
        <v>8110.31340871745</v>
      </c>
      <c r="O9" s="22">
        <f t="shared" si="1"/>
        <v>8353.622810978974</v>
      </c>
      <c r="P9" s="22">
        <f t="shared" si="1"/>
        <v>8604.231495308344</v>
      </c>
    </row>
    <row r="10" ht="15">
      <c r="E10" s="22"/>
    </row>
    <row r="11" ht="15">
      <c r="A11" s="6" t="s">
        <v>228</v>
      </c>
    </row>
    <row r="12" spans="1:16" ht="15">
      <c r="A12" t="s">
        <v>28</v>
      </c>
      <c r="G12" s="22">
        <f>'Balance Sheet'!H23</f>
        <v>0</v>
      </c>
      <c r="H12" s="22">
        <f>'Balance Sheet'!I23</f>
        <v>0</v>
      </c>
      <c r="I12" s="22">
        <f>'Balance Sheet'!J23</f>
        <v>0</v>
      </c>
      <c r="J12" s="22">
        <f>'Balance Sheet'!K23</f>
        <v>0</v>
      </c>
      <c r="K12" s="22">
        <f>'Balance Sheet'!L23</f>
        <v>0</v>
      </c>
      <c r="L12" s="22">
        <f>'Balance Sheet'!M23</f>
        <v>0</v>
      </c>
      <c r="M12" s="22">
        <f>'Balance Sheet'!N23</f>
        <v>0</v>
      </c>
      <c r="N12" s="22">
        <f>'Balance Sheet'!O23</f>
        <v>0</v>
      </c>
      <c r="O12" s="22">
        <f>'Balance Sheet'!P23</f>
        <v>0</v>
      </c>
      <c r="P12" s="22">
        <f>'Balance Sheet'!Q23</f>
        <v>0</v>
      </c>
    </row>
    <row r="13" spans="1:16" ht="15">
      <c r="A13" t="s">
        <v>29</v>
      </c>
      <c r="G13" s="22">
        <f>'Balance Sheet'!H24</f>
        <v>0</v>
      </c>
      <c r="H13" s="22">
        <f>'Balance Sheet'!I24</f>
        <v>0</v>
      </c>
      <c r="I13" s="22">
        <f>'Balance Sheet'!J24</f>
        <v>0</v>
      </c>
      <c r="J13" s="22">
        <f>'Balance Sheet'!K24</f>
        <v>0</v>
      </c>
      <c r="K13" s="22">
        <f>'Balance Sheet'!L24</f>
        <v>0</v>
      </c>
      <c r="L13" s="22">
        <f>'Balance Sheet'!M24</f>
        <v>0</v>
      </c>
      <c r="M13" s="22">
        <f>'Balance Sheet'!N24</f>
        <v>0</v>
      </c>
      <c r="N13" s="22">
        <f>'Balance Sheet'!O24</f>
        <v>0</v>
      </c>
      <c r="O13" s="22">
        <f>'Balance Sheet'!P24</f>
        <v>0</v>
      </c>
      <c r="P13" s="22">
        <f>'Balance Sheet'!Q24</f>
        <v>0</v>
      </c>
    </row>
    <row r="14" spans="1:16" ht="15">
      <c r="A14" t="s">
        <v>30</v>
      </c>
      <c r="G14" s="22">
        <f>'Balance Sheet'!H25</f>
        <v>1945.1109667534815</v>
      </c>
      <c r="H14" s="22">
        <f>'Balance Sheet'!I25</f>
        <v>1702.223638374991</v>
      </c>
      <c r="I14" s="22">
        <f>'Balance Sheet'!J25</f>
        <v>1424.064736891049</v>
      </c>
      <c r="J14" s="22">
        <f>'Balance Sheet'!K25</f>
        <v>1111.7817199670967</v>
      </c>
      <c r="K14" s="22">
        <f>'Balance Sheet'!L25</f>
        <v>767.2142363977587</v>
      </c>
      <c r="L14" s="22">
        <f>'Balance Sheet'!M25</f>
        <v>397.20828896172907</v>
      </c>
      <c r="M14" s="22">
        <f>'Balance Sheet'!N25</f>
        <v>0</v>
      </c>
      <c r="N14" s="22">
        <f>'Balance Sheet'!O25</f>
        <v>0</v>
      </c>
      <c r="O14" s="22">
        <f>'Balance Sheet'!P25</f>
        <v>0</v>
      </c>
      <c r="P14" s="22">
        <f>'Balance Sheet'!Q25</f>
        <v>0</v>
      </c>
    </row>
    <row r="15" spans="1:16" ht="15">
      <c r="A15" t="s">
        <v>31</v>
      </c>
      <c r="G15" s="22">
        <f>'Balance Sheet'!H26</f>
        <v>0</v>
      </c>
      <c r="H15" s="22">
        <f>'Balance Sheet'!I26</f>
        <v>0</v>
      </c>
      <c r="I15" s="22">
        <f>'Balance Sheet'!J26</f>
        <v>0</v>
      </c>
      <c r="J15" s="22">
        <f>'Balance Sheet'!K26</f>
        <v>0</v>
      </c>
      <c r="K15" s="22">
        <f>'Balance Sheet'!L26</f>
        <v>0</v>
      </c>
      <c r="L15" s="22">
        <f>'Balance Sheet'!M26</f>
        <v>0</v>
      </c>
      <c r="M15" s="22">
        <f>'Balance Sheet'!N26</f>
        <v>0</v>
      </c>
      <c r="N15" s="22">
        <f>'Balance Sheet'!O26</f>
        <v>0</v>
      </c>
      <c r="O15" s="22">
        <f>'Balance Sheet'!P26</f>
        <v>0</v>
      </c>
      <c r="P15" s="22">
        <f>'Balance Sheet'!Q26</f>
        <v>0</v>
      </c>
    </row>
    <row r="16" spans="1:16" ht="15">
      <c r="A16" t="s">
        <v>32</v>
      </c>
      <c r="G16" s="22">
        <f>'Balance Sheet'!H27</f>
        <v>0</v>
      </c>
      <c r="H16" s="22">
        <f>'Balance Sheet'!I27</f>
        <v>0</v>
      </c>
      <c r="I16" s="22">
        <f>'Balance Sheet'!J27</f>
        <v>0</v>
      </c>
      <c r="J16" s="22">
        <f>'Balance Sheet'!K27</f>
        <v>0</v>
      </c>
      <c r="K16" s="22">
        <f>'Balance Sheet'!L27</f>
        <v>0</v>
      </c>
      <c r="L16" s="22">
        <f>'Balance Sheet'!M27</f>
        <v>0</v>
      </c>
      <c r="M16" s="22">
        <f>'Balance Sheet'!N27</f>
        <v>0</v>
      </c>
      <c r="N16" s="22">
        <f>'Balance Sheet'!O27</f>
        <v>0</v>
      </c>
      <c r="O16" s="22">
        <f>'Balance Sheet'!P27</f>
        <v>0</v>
      </c>
      <c r="P16" s="22">
        <f>'Balance Sheet'!Q27</f>
        <v>0</v>
      </c>
    </row>
    <row r="17" spans="1:16" ht="15">
      <c r="A17" t="s">
        <v>33</v>
      </c>
      <c r="G17" s="22">
        <f>'Balance Sheet'!H28</f>
        <v>0</v>
      </c>
      <c r="H17" s="22">
        <f>'Balance Sheet'!I28</f>
        <v>0</v>
      </c>
      <c r="I17" s="22">
        <f>'Balance Sheet'!J28</f>
        <v>0</v>
      </c>
      <c r="J17" s="22">
        <f>'Balance Sheet'!K28</f>
        <v>0</v>
      </c>
      <c r="K17" s="22">
        <f>'Balance Sheet'!L28</f>
        <v>0</v>
      </c>
      <c r="L17" s="22">
        <f>'Balance Sheet'!M28</f>
        <v>0</v>
      </c>
      <c r="M17" s="22">
        <f>'Balance Sheet'!N28</f>
        <v>0</v>
      </c>
      <c r="N17" s="22">
        <f>'Balance Sheet'!O28</f>
        <v>0</v>
      </c>
      <c r="O17" s="22">
        <f>'Balance Sheet'!P28</f>
        <v>0</v>
      </c>
      <c r="P17" s="22">
        <f>'Balance Sheet'!Q28</f>
        <v>0</v>
      </c>
    </row>
    <row r="18" spans="1:16" ht="15">
      <c r="A18" t="s">
        <v>34</v>
      </c>
      <c r="G18" s="22">
        <f>'Balance Sheet'!H29</f>
        <v>1500</v>
      </c>
      <c r="H18" s="22">
        <f>'Balance Sheet'!I29</f>
        <v>1500</v>
      </c>
      <c r="I18" s="22">
        <f>'Balance Sheet'!J29</f>
        <v>1500</v>
      </c>
      <c r="J18" s="22">
        <f>'Balance Sheet'!K29</f>
        <v>1500</v>
      </c>
      <c r="K18" s="22">
        <f>'Balance Sheet'!L29</f>
        <v>1500</v>
      </c>
      <c r="L18" s="22">
        <f>'Balance Sheet'!M29</f>
        <v>1500</v>
      </c>
      <c r="M18" s="22">
        <f>'Balance Sheet'!N29</f>
        <v>1500</v>
      </c>
      <c r="N18" s="22">
        <f>'Balance Sheet'!O29</f>
        <v>1500</v>
      </c>
      <c r="O18" s="22">
        <f>'Balance Sheet'!P29</f>
        <v>1500</v>
      </c>
      <c r="P18" s="22">
        <f>'Balance Sheet'!Q29</f>
        <v>1500</v>
      </c>
    </row>
    <row r="19" spans="1:16" ht="15">
      <c r="A19" t="s">
        <v>35</v>
      </c>
      <c r="G19" s="22">
        <f>'Balance Sheet'!H31</f>
        <v>0</v>
      </c>
      <c r="H19" s="22">
        <f>'Balance Sheet'!I31</f>
        <v>0</v>
      </c>
      <c r="I19" s="22">
        <f>'Balance Sheet'!J31</f>
        <v>0</v>
      </c>
      <c r="J19" s="22">
        <f>'Balance Sheet'!K31</f>
        <v>0</v>
      </c>
      <c r="K19" s="22">
        <f>'Balance Sheet'!L31</f>
        <v>0</v>
      </c>
      <c r="L19" s="22">
        <f>'Balance Sheet'!M31</f>
        <v>0</v>
      </c>
      <c r="M19" s="22">
        <f>'Balance Sheet'!N31</f>
        <v>0</v>
      </c>
      <c r="N19" s="22">
        <f>'Balance Sheet'!O31</f>
        <v>0</v>
      </c>
      <c r="O19" s="22">
        <f>'Balance Sheet'!P31</f>
        <v>0</v>
      </c>
      <c r="P19" s="22">
        <f>'Balance Sheet'!Q31</f>
        <v>0</v>
      </c>
    </row>
    <row r="20" spans="1:16" ht="15">
      <c r="A20" t="s">
        <v>77</v>
      </c>
      <c r="G20" s="23">
        <f>'Balance Sheet'!H32</f>
        <v>0</v>
      </c>
      <c r="H20" s="23">
        <f>'Balance Sheet'!I32</f>
        <v>0</v>
      </c>
      <c r="I20" s="23">
        <f>'Balance Sheet'!J32</f>
        <v>0</v>
      </c>
      <c r="J20" s="23">
        <f>'Balance Sheet'!K32</f>
        <v>0</v>
      </c>
      <c r="K20" s="23">
        <f>'Balance Sheet'!L32</f>
        <v>0</v>
      </c>
      <c r="L20" s="23">
        <f>'Balance Sheet'!M32</f>
        <v>0</v>
      </c>
      <c r="M20" s="23">
        <f>'Balance Sheet'!N32</f>
        <v>0</v>
      </c>
      <c r="N20" s="23">
        <f>'Balance Sheet'!O32</f>
        <v>0</v>
      </c>
      <c r="O20" s="23">
        <f>'Balance Sheet'!P32</f>
        <v>0</v>
      </c>
      <c r="P20" s="23">
        <f>'Balance Sheet'!Q32</f>
        <v>0</v>
      </c>
    </row>
    <row r="21" spans="1:16" ht="15">
      <c r="A21" s="7" t="s">
        <v>212</v>
      </c>
      <c r="G21" s="22">
        <f>SUM(G12:G20)</f>
        <v>3445.1109667534815</v>
      </c>
      <c r="H21" s="22">
        <f aca="true" t="shared" si="2" ref="H21:P21">SUM(H12:H20)</f>
        <v>3202.223638374991</v>
      </c>
      <c r="I21" s="22">
        <f t="shared" si="2"/>
        <v>2924.064736891049</v>
      </c>
      <c r="J21" s="22">
        <f t="shared" si="2"/>
        <v>2611.7817199670967</v>
      </c>
      <c r="K21" s="22">
        <f t="shared" si="2"/>
        <v>2267.2142363977587</v>
      </c>
      <c r="L21" s="22">
        <f t="shared" si="2"/>
        <v>1897.208288961729</v>
      </c>
      <c r="M21" s="22">
        <f t="shared" si="2"/>
        <v>1500</v>
      </c>
      <c r="N21" s="22">
        <f t="shared" si="2"/>
        <v>1500</v>
      </c>
      <c r="O21" s="22">
        <f t="shared" si="2"/>
        <v>1500</v>
      </c>
      <c r="P21" s="22">
        <f t="shared" si="2"/>
        <v>1500</v>
      </c>
    </row>
    <row r="22" spans="1:16" ht="15">
      <c r="A22" t="s">
        <v>139</v>
      </c>
      <c r="G22" s="23">
        <f>'Balance Sheet'!G5</f>
        <v>0</v>
      </c>
      <c r="H22" s="23">
        <f>'Balance Sheet'!H5</f>
        <v>0</v>
      </c>
      <c r="I22" s="23">
        <f>'Balance Sheet'!I5</f>
        <v>0</v>
      </c>
      <c r="J22" s="23">
        <f>'Balance Sheet'!J5</f>
        <v>0</v>
      </c>
      <c r="K22" s="23">
        <f>'Balance Sheet'!K5</f>
        <v>0</v>
      </c>
      <c r="L22" s="23">
        <f>'Balance Sheet'!L5</f>
        <v>0</v>
      </c>
      <c r="M22" s="23">
        <f>'Balance Sheet'!M5</f>
        <v>0</v>
      </c>
      <c r="N22" s="23">
        <f>'Balance Sheet'!N5</f>
        <v>0.5358966405994465</v>
      </c>
      <c r="O22" s="23">
        <f>'Balance Sheet'!O5</f>
        <v>419.95756610024205</v>
      </c>
      <c r="P22" s="23">
        <f>'Balance Sheet'!P5</f>
        <v>853.0193950096457</v>
      </c>
    </row>
    <row r="23" spans="1:16" ht="15">
      <c r="A23" s="7" t="s">
        <v>229</v>
      </c>
      <c r="G23" s="22">
        <f>G21-G22</f>
        <v>3445.1109667534815</v>
      </c>
      <c r="H23" s="22">
        <f aca="true" t="shared" si="3" ref="H23:P23">H21-H22</f>
        <v>3202.223638374991</v>
      </c>
      <c r="I23" s="22">
        <f t="shared" si="3"/>
        <v>2924.064736891049</v>
      </c>
      <c r="J23" s="22">
        <f t="shared" si="3"/>
        <v>2611.7817199670967</v>
      </c>
      <c r="K23" s="22">
        <f t="shared" si="3"/>
        <v>2267.2142363977587</v>
      </c>
      <c r="L23" s="22">
        <f t="shared" si="3"/>
        <v>1897.208288961729</v>
      </c>
      <c r="M23" s="22">
        <f t="shared" si="3"/>
        <v>1500</v>
      </c>
      <c r="N23" s="22">
        <f t="shared" si="3"/>
        <v>1499.4641033594005</v>
      </c>
      <c r="O23" s="22">
        <f t="shared" si="3"/>
        <v>1080.042433899758</v>
      </c>
      <c r="P23" s="22">
        <f t="shared" si="3"/>
        <v>646.9806049903543</v>
      </c>
    </row>
    <row r="25" spans="1:16" ht="15.75" thickBot="1">
      <c r="A25" s="7" t="s">
        <v>230</v>
      </c>
      <c r="G25" s="58">
        <f>G9-G23</f>
        <v>2780.188309442519</v>
      </c>
      <c r="H25" s="58">
        <f aca="true" t="shared" si="4" ref="H25:P25">H9-H23</f>
        <v>3396.593594392771</v>
      </c>
      <c r="I25" s="58">
        <f t="shared" si="4"/>
        <v>4004.6933575150993</v>
      </c>
      <c r="J25" s="58">
        <f t="shared" si="4"/>
        <v>4594.126698215297</v>
      </c>
      <c r="K25" s="58">
        <f t="shared" si="4"/>
        <v>5154.871434330111</v>
      </c>
      <c r="L25" s="58">
        <f t="shared" si="4"/>
        <v>5747.539951887973</v>
      </c>
      <c r="M25" s="58">
        <f t="shared" si="4"/>
        <v>6374.090688075193</v>
      </c>
      <c r="N25" s="58">
        <f t="shared" si="4"/>
        <v>6610.84930535805</v>
      </c>
      <c r="O25" s="58">
        <f t="shared" si="4"/>
        <v>7273.580377079215</v>
      </c>
      <c r="P25" s="58">
        <f t="shared" si="4"/>
        <v>7957.25089031799</v>
      </c>
    </row>
    <row r="26" ht="15.75" thickTop="1"/>
    <row r="27" spans="1:16" ht="15">
      <c r="A27" s="153" t="s">
        <v>231</v>
      </c>
      <c r="B27" s="40"/>
      <c r="C27" s="40"/>
      <c r="D27" s="40"/>
      <c r="E27" s="40"/>
      <c r="F27" s="40"/>
      <c r="G27" s="154">
        <f>G25/$F$6</f>
        <v>1.323899194972628</v>
      </c>
      <c r="H27" s="154">
        <f aca="true" t="shared" si="5" ref="H27:P27">H25/$F$6</f>
        <v>1.6174255211394148</v>
      </c>
      <c r="I27" s="154">
        <f t="shared" si="5"/>
        <v>1.906996836911952</v>
      </c>
      <c r="J27" s="154">
        <f t="shared" si="5"/>
        <v>2.1876793801025225</v>
      </c>
      <c r="K27" s="154">
        <f t="shared" si="5"/>
        <v>2.4547006830143383</v>
      </c>
      <c r="L27" s="154">
        <f t="shared" si="5"/>
        <v>2.7369237866133207</v>
      </c>
      <c r="M27" s="154">
        <f t="shared" si="5"/>
        <v>3.035281280035806</v>
      </c>
      <c r="N27" s="154">
        <f t="shared" si="5"/>
        <v>3.1480234787419286</v>
      </c>
      <c r="O27" s="154">
        <f t="shared" si="5"/>
        <v>3.463609703371055</v>
      </c>
      <c r="P27" s="155">
        <f t="shared" si="5"/>
        <v>3.7891670906276143</v>
      </c>
    </row>
    <row r="29" spans="7:16" ht="15">
      <c r="G29" s="110" t="s">
        <v>3</v>
      </c>
      <c r="H29" s="110" t="s">
        <v>4</v>
      </c>
      <c r="I29" s="110" t="s">
        <v>5</v>
      </c>
      <c r="J29" s="110" t="s">
        <v>6</v>
      </c>
      <c r="K29" s="110" t="s">
        <v>7</v>
      </c>
      <c r="L29" s="110" t="s">
        <v>8</v>
      </c>
      <c r="M29" s="110" t="s">
        <v>9</v>
      </c>
      <c r="N29" s="110" t="s">
        <v>10</v>
      </c>
      <c r="O29" s="110" t="s">
        <v>11</v>
      </c>
      <c r="P29" s="110" t="s">
        <v>12</v>
      </c>
    </row>
    <row r="30" spans="7:16" ht="15">
      <c r="G30" s="4">
        <f>G4</f>
        <v>2013</v>
      </c>
      <c r="H30" s="4">
        <f aca="true" t="shared" si="6" ref="H30:P30">G30+1</f>
        <v>2014</v>
      </c>
      <c r="I30" s="4">
        <f t="shared" si="6"/>
        <v>2015</v>
      </c>
      <c r="J30" s="4">
        <f t="shared" si="6"/>
        <v>2016</v>
      </c>
      <c r="K30" s="4">
        <f t="shared" si="6"/>
        <v>2017</v>
      </c>
      <c r="L30" s="4">
        <f t="shared" si="6"/>
        <v>2018</v>
      </c>
      <c r="M30" s="4">
        <f t="shared" si="6"/>
        <v>2019</v>
      </c>
      <c r="N30" s="4">
        <f t="shared" si="6"/>
        <v>2020</v>
      </c>
      <c r="O30" s="4">
        <f t="shared" si="6"/>
        <v>2021</v>
      </c>
      <c r="P30" s="4">
        <f t="shared" si="6"/>
        <v>2022</v>
      </c>
    </row>
    <row r="31" spans="1:16" ht="15">
      <c r="A31" t="s">
        <v>225</v>
      </c>
      <c r="G31" s="22">
        <f>-Assumptions!$D$39</f>
        <v>-2100</v>
      </c>
      <c r="H31" s="22">
        <f>-Assumptions!$D$39</f>
        <v>-2100</v>
      </c>
      <c r="I31" s="22">
        <f>-Assumptions!$D$39</f>
        <v>-2100</v>
      </c>
      <c r="J31" s="22">
        <f>-Assumptions!$D$39</f>
        <v>-2100</v>
      </c>
      <c r="K31" s="22">
        <f>-Assumptions!$D$39</f>
        <v>-2100</v>
      </c>
      <c r="L31" s="22">
        <f>-Assumptions!$D$39</f>
        <v>-2100</v>
      </c>
      <c r="M31" s="22">
        <f>-Assumptions!$D$39</f>
        <v>-2100</v>
      </c>
      <c r="N31" s="22">
        <f>-Assumptions!$D$39</f>
        <v>-2100</v>
      </c>
      <c r="O31" s="22">
        <f>-Assumptions!$D$39</f>
        <v>-2100</v>
      </c>
      <c r="P31" s="22">
        <f>-Assumptions!$D$39</f>
        <v>-2100</v>
      </c>
    </row>
    <row r="32" spans="1:16" ht="15">
      <c r="A32" t="s">
        <v>232</v>
      </c>
      <c r="G32" s="22">
        <f>G25</f>
        <v>2780.188309442519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</row>
    <row r="33" spans="7:16" ht="15">
      <c r="G33" s="22"/>
      <c r="H33" s="22">
        <f>H25</f>
        <v>3396.593594392771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</row>
    <row r="34" spans="7:16" ht="15">
      <c r="G34" s="22"/>
      <c r="H34" s="22"/>
      <c r="I34" s="22">
        <f>I25</f>
        <v>4004.6933575150993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</row>
    <row r="35" spans="7:16" ht="15">
      <c r="G35" s="22"/>
      <c r="H35" s="22"/>
      <c r="I35" s="22"/>
      <c r="J35" s="22">
        <f>J25</f>
        <v>4594.126698215297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7:16" ht="15">
      <c r="G36" s="22"/>
      <c r="H36" s="22"/>
      <c r="I36" s="22"/>
      <c r="J36" s="22"/>
      <c r="K36" s="22">
        <f>K25</f>
        <v>5154.871434330111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7:16" ht="15">
      <c r="G37" s="22"/>
      <c r="H37" s="22"/>
      <c r="I37" s="22"/>
      <c r="J37" s="22"/>
      <c r="K37" s="22"/>
      <c r="L37" s="22">
        <f>L25</f>
        <v>5747.539951887973</v>
      </c>
      <c r="M37" s="22">
        <v>0</v>
      </c>
      <c r="N37" s="22">
        <v>0</v>
      </c>
      <c r="O37" s="22">
        <v>0</v>
      </c>
      <c r="P37" s="22">
        <v>0</v>
      </c>
    </row>
    <row r="38" spans="7:16" ht="15">
      <c r="G38" s="22"/>
      <c r="H38" s="22"/>
      <c r="I38" s="22"/>
      <c r="J38" s="22"/>
      <c r="K38" s="22"/>
      <c r="L38" s="22"/>
      <c r="M38" s="22">
        <f>M25</f>
        <v>6374.090688075193</v>
      </c>
      <c r="N38" s="22">
        <v>0</v>
      </c>
      <c r="O38" s="22">
        <v>0</v>
      </c>
      <c r="P38" s="22">
        <v>0</v>
      </c>
    </row>
    <row r="39" spans="7:16" ht="15">
      <c r="G39" s="22"/>
      <c r="H39" s="22"/>
      <c r="I39" s="22"/>
      <c r="J39" s="22"/>
      <c r="K39" s="22"/>
      <c r="L39" s="22"/>
      <c r="M39" s="22"/>
      <c r="N39" s="22">
        <f>N25</f>
        <v>6610.84930535805</v>
      </c>
      <c r="O39" s="22">
        <v>0</v>
      </c>
      <c r="P39" s="22">
        <v>0</v>
      </c>
    </row>
    <row r="40" spans="7:16" ht="15">
      <c r="G40" s="22"/>
      <c r="H40" s="22"/>
      <c r="I40" s="22"/>
      <c r="J40" s="22"/>
      <c r="K40" s="22"/>
      <c r="L40" s="22"/>
      <c r="M40" s="22"/>
      <c r="N40" s="22"/>
      <c r="O40" s="22">
        <f>O25</f>
        <v>7273.580377079215</v>
      </c>
      <c r="P40" s="22">
        <v>0</v>
      </c>
    </row>
    <row r="41" spans="7:16" ht="15">
      <c r="G41" s="22"/>
      <c r="H41" s="22"/>
      <c r="I41" s="22"/>
      <c r="J41" s="22"/>
      <c r="K41" s="22"/>
      <c r="L41" s="22"/>
      <c r="M41" s="22"/>
      <c r="N41" s="22"/>
      <c r="O41" s="22"/>
      <c r="P41" s="22">
        <f>P25</f>
        <v>7957.25089031799</v>
      </c>
    </row>
    <row r="42" spans="1:16" ht="15">
      <c r="A42" s="54" t="s">
        <v>233</v>
      </c>
      <c r="B42" s="40"/>
      <c r="C42" s="40"/>
      <c r="D42" s="40"/>
      <c r="E42" s="40"/>
      <c r="F42" s="40"/>
      <c r="G42" s="156">
        <f>IRR(G31:G41)</f>
        <v>0.323899194972628</v>
      </c>
      <c r="H42" s="156">
        <f aca="true" t="shared" si="7" ref="H42:O42">IRR(H31:H41)</f>
        <v>0.2717804531991379</v>
      </c>
      <c r="I42" s="156">
        <f t="shared" si="7"/>
        <v>0.24008082132484887</v>
      </c>
      <c r="J42" s="156">
        <f t="shared" si="7"/>
        <v>0.2161745705590592</v>
      </c>
      <c r="K42" s="156">
        <f t="shared" si="7"/>
        <v>0.19673972857386435</v>
      </c>
      <c r="L42" s="156">
        <f>IRR(L31:L41)</f>
        <v>0.1827068641009968</v>
      </c>
      <c r="M42" s="156">
        <f t="shared" si="7"/>
        <v>0.17188653260255893</v>
      </c>
      <c r="N42" s="156">
        <f t="shared" si="7"/>
        <v>0.15413004064421254</v>
      </c>
      <c r="O42" s="156">
        <f t="shared" si="7"/>
        <v>0.14801525970503793</v>
      </c>
      <c r="P42" s="157">
        <f>IRR(P31:P41)</f>
        <v>0.14249517775466947</v>
      </c>
    </row>
    <row r="44" spans="2:16" ht="15">
      <c r="B44" s="202" t="s">
        <v>234</v>
      </c>
      <c r="C44" s="202"/>
      <c r="D44" s="202"/>
      <c r="E44" s="202"/>
      <c r="F44" s="202"/>
      <c r="G44" s="202"/>
      <c r="H44" s="159"/>
      <c r="K44" s="202" t="s">
        <v>273</v>
      </c>
      <c r="L44" s="202"/>
      <c r="M44" s="202"/>
      <c r="N44" s="202"/>
      <c r="O44" s="202"/>
      <c r="P44" s="202"/>
    </row>
    <row r="45" spans="3:16" ht="15">
      <c r="C45" s="207" t="s">
        <v>235</v>
      </c>
      <c r="D45" s="207"/>
      <c r="E45" s="207"/>
      <c r="F45" s="207"/>
      <c r="G45" s="207"/>
      <c r="L45" s="207" t="s">
        <v>237</v>
      </c>
      <c r="M45" s="207"/>
      <c r="N45" s="207"/>
      <c r="O45" s="207"/>
      <c r="P45" s="207"/>
    </row>
    <row r="46" spans="2:16" ht="15">
      <c r="B46" s="152"/>
      <c r="C46" s="150">
        <v>7</v>
      </c>
      <c r="D46" s="150">
        <v>7.5</v>
      </c>
      <c r="E46" s="150">
        <v>8</v>
      </c>
      <c r="F46" s="150">
        <v>8.5</v>
      </c>
      <c r="G46" s="150">
        <v>9</v>
      </c>
      <c r="K46" s="152" t="s">
        <v>238</v>
      </c>
      <c r="L46" s="4">
        <v>2015</v>
      </c>
      <c r="M46" s="4">
        <f>L46+1</f>
        <v>2016</v>
      </c>
      <c r="N46" s="4">
        <f>M46+1</f>
        <v>2017</v>
      </c>
      <c r="O46" s="4">
        <f>N46+1</f>
        <v>2018</v>
      </c>
      <c r="P46" s="4">
        <f>O46+1</f>
        <v>2019</v>
      </c>
    </row>
    <row r="47" spans="1:16" ht="15" customHeight="1">
      <c r="A47" s="210" t="s">
        <v>236</v>
      </c>
      <c r="B47" s="158">
        <v>7</v>
      </c>
      <c r="C47" s="22"/>
      <c r="J47" s="210" t="s">
        <v>239</v>
      </c>
      <c r="K47" s="158">
        <v>7</v>
      </c>
      <c r="L47" s="186"/>
      <c r="M47" s="186"/>
      <c r="N47" s="186"/>
      <c r="O47" s="186"/>
      <c r="P47" s="186"/>
    </row>
    <row r="48" spans="1:11" ht="15">
      <c r="A48" s="210"/>
      <c r="B48" s="158">
        <v>7.5</v>
      </c>
      <c r="J48" s="210"/>
      <c r="K48" s="158">
        <v>7.5</v>
      </c>
    </row>
    <row r="49" spans="1:12" ht="15">
      <c r="A49" s="210"/>
      <c r="B49" s="158">
        <v>8</v>
      </c>
      <c r="J49" s="210"/>
      <c r="K49" s="158">
        <v>8</v>
      </c>
      <c r="L49" s="185"/>
    </row>
    <row r="50" spans="1:11" ht="15">
      <c r="A50" s="210"/>
      <c r="B50" s="158">
        <v>8.5</v>
      </c>
      <c r="J50" s="210"/>
      <c r="K50" s="158">
        <v>8.5</v>
      </c>
    </row>
    <row r="51" spans="1:11" ht="15">
      <c r="A51" s="210"/>
      <c r="B51" s="158">
        <v>9</v>
      </c>
      <c r="J51" s="210"/>
      <c r="K51" s="158">
        <v>9</v>
      </c>
    </row>
  </sheetData>
  <sheetProtection/>
  <mergeCells count="7">
    <mergeCell ref="G2:P2"/>
    <mergeCell ref="B44:G44"/>
    <mergeCell ref="A47:A51"/>
    <mergeCell ref="C45:G45"/>
    <mergeCell ref="L45:P45"/>
    <mergeCell ref="J47:J51"/>
    <mergeCell ref="K44:P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6"/>
  <sheetViews>
    <sheetView zoomScale="85" zoomScaleNormal="85" zoomScalePageLayoutView="0" workbookViewId="0" topLeftCell="A53">
      <selection activeCell="G75" sqref="G75"/>
    </sheetView>
  </sheetViews>
  <sheetFormatPr defaultColWidth="9.140625" defaultRowHeight="15"/>
  <cols>
    <col min="1" max="1" width="21.28125" style="0" customWidth="1"/>
    <col min="4" max="4" width="10.57421875" style="0" bestFit="1" customWidth="1"/>
    <col min="5" max="5" width="11.28125" style="0" bestFit="1" customWidth="1"/>
    <col min="6" max="8" width="10.57421875" style="0" bestFit="1" customWidth="1"/>
  </cols>
  <sheetData>
    <row r="1" spans="1:5" ht="15">
      <c r="A1" s="93" t="s">
        <v>133</v>
      </c>
      <c r="B1" s="93"/>
      <c r="C1" s="93"/>
      <c r="D1" s="93"/>
      <c r="E1" s="93"/>
    </row>
    <row r="2" spans="1:5" ht="15">
      <c r="A2" s="7" t="s">
        <v>124</v>
      </c>
      <c r="E2" s="95">
        <v>2</v>
      </c>
    </row>
    <row r="4" spans="1:5" ht="15">
      <c r="A4" t="s">
        <v>125</v>
      </c>
      <c r="E4" s="94">
        <v>8</v>
      </c>
    </row>
    <row r="5" spans="1:5" ht="15">
      <c r="A5" t="s">
        <v>126</v>
      </c>
      <c r="E5" s="23">
        <f>'Income Statement'!G13</f>
        <v>700.695</v>
      </c>
    </row>
    <row r="6" spans="1:5" ht="15">
      <c r="A6" s="7" t="s">
        <v>127</v>
      </c>
      <c r="E6" s="43">
        <f>E5*E4</f>
        <v>5605.56</v>
      </c>
    </row>
    <row r="8" spans="1:5" ht="15">
      <c r="A8" t="s">
        <v>128</v>
      </c>
      <c r="E8" s="22">
        <f>-SUM('Balance Sheet'!$D$23:$D$32)</f>
        <v>-1500</v>
      </c>
    </row>
    <row r="9" spans="1:5" ht="15">
      <c r="A9" t="s">
        <v>129</v>
      </c>
      <c r="E9" s="22">
        <v>0</v>
      </c>
    </row>
    <row r="10" spans="1:5" ht="15">
      <c r="A10" t="s">
        <v>130</v>
      </c>
      <c r="E10" s="22">
        <v>0</v>
      </c>
    </row>
    <row r="11" spans="1:5" ht="15">
      <c r="A11" t="s">
        <v>131</v>
      </c>
      <c r="E11" s="23">
        <f>'Balance Sheet'!$D$5</f>
        <v>250</v>
      </c>
    </row>
    <row r="12" spans="1:8" ht="15">
      <c r="A12" s="7" t="s">
        <v>132</v>
      </c>
      <c r="E12" s="43">
        <f>SUM(E8:E11)+E6</f>
        <v>4355.56</v>
      </c>
      <c r="G12" s="22"/>
      <c r="H12" s="22"/>
    </row>
    <row r="14" spans="1:5" ht="15">
      <c r="A14" s="93" t="s">
        <v>133</v>
      </c>
      <c r="B14" s="93"/>
      <c r="C14" s="93"/>
      <c r="D14" s="93"/>
      <c r="E14" s="93"/>
    </row>
    <row r="15" spans="1:5" ht="15">
      <c r="A15" s="7" t="s">
        <v>124</v>
      </c>
      <c r="E15" s="95">
        <v>1</v>
      </c>
    </row>
    <row r="17" spans="1:5" ht="15">
      <c r="A17" t="s">
        <v>134</v>
      </c>
      <c r="E17" s="22">
        <v>54.375</v>
      </c>
    </row>
    <row r="18" spans="1:5" ht="15">
      <c r="A18" t="s">
        <v>135</v>
      </c>
      <c r="E18" s="13">
        <v>80</v>
      </c>
    </row>
    <row r="19" spans="1:5" ht="15">
      <c r="A19" s="7" t="s">
        <v>132</v>
      </c>
      <c r="E19" s="22">
        <f>E17*E18</f>
        <v>4350</v>
      </c>
    </row>
    <row r="21" spans="1:5" ht="15">
      <c r="A21" t="s">
        <v>136</v>
      </c>
      <c r="E21" s="22">
        <f>SUM('Balance Sheet'!$D$23:$D$32)</f>
        <v>1500</v>
      </c>
    </row>
    <row r="22" spans="1:5" ht="15">
      <c r="A22" t="s">
        <v>137</v>
      </c>
      <c r="E22" s="22">
        <v>0</v>
      </c>
    </row>
    <row r="23" spans="1:5" ht="15">
      <c r="A23" t="s">
        <v>138</v>
      </c>
      <c r="E23" s="22">
        <v>0</v>
      </c>
    </row>
    <row r="24" spans="1:5" ht="15">
      <c r="A24" t="s">
        <v>139</v>
      </c>
      <c r="E24" s="23">
        <f>-'Balance Sheet'!$G$5</f>
        <v>0</v>
      </c>
    </row>
    <row r="25" ht="15">
      <c r="E25" s="22">
        <f>SUM(E21:E24)+E19</f>
        <v>5850</v>
      </c>
    </row>
    <row r="27" spans="1:9" ht="15">
      <c r="A27" s="93" t="s">
        <v>140</v>
      </c>
      <c r="B27" s="93"/>
      <c r="C27" s="93"/>
      <c r="D27" s="93"/>
      <c r="E27" s="93"/>
      <c r="F27" s="93"/>
      <c r="G27" s="93"/>
      <c r="H27" s="93"/>
      <c r="I27" s="96"/>
    </row>
    <row r="28" spans="4:9" ht="15">
      <c r="D28" s="201" t="s">
        <v>142</v>
      </c>
      <c r="E28" s="201"/>
      <c r="F28" s="201"/>
      <c r="G28" s="201"/>
      <c r="H28" s="201"/>
      <c r="I28" s="37"/>
    </row>
    <row r="29" spans="4:8" ht="15">
      <c r="D29" s="99">
        <v>1</v>
      </c>
      <c r="E29" s="99">
        <v>2</v>
      </c>
      <c r="F29" s="99">
        <v>3</v>
      </c>
      <c r="G29" s="99">
        <v>4</v>
      </c>
      <c r="H29" s="99">
        <v>5</v>
      </c>
    </row>
    <row r="30" spans="1:8" ht="15.75" thickBot="1">
      <c r="A30" s="97" t="s">
        <v>141</v>
      </c>
      <c r="B30" s="97"/>
      <c r="C30" s="97"/>
      <c r="D30" s="98" t="s">
        <v>143</v>
      </c>
      <c r="E30" s="98" t="s">
        <v>144</v>
      </c>
      <c r="F30" s="98" t="s">
        <v>145</v>
      </c>
      <c r="G30" s="98" t="s">
        <v>146</v>
      </c>
      <c r="H30" s="98" t="s">
        <v>159</v>
      </c>
    </row>
    <row r="31" spans="1:8" ht="15">
      <c r="A31" t="s">
        <v>147</v>
      </c>
      <c r="D31" s="22">
        <v>250</v>
      </c>
      <c r="E31" s="22">
        <v>250</v>
      </c>
      <c r="F31" s="22">
        <v>250</v>
      </c>
      <c r="G31" s="22">
        <v>250</v>
      </c>
      <c r="H31" s="22"/>
    </row>
    <row r="32" spans="1:8" ht="15">
      <c r="A32" t="s">
        <v>148</v>
      </c>
      <c r="D32" s="22">
        <v>0</v>
      </c>
      <c r="E32" s="22">
        <v>0</v>
      </c>
      <c r="F32" s="22">
        <v>0</v>
      </c>
      <c r="G32" s="22">
        <v>0</v>
      </c>
      <c r="H32" s="22"/>
    </row>
    <row r="33" spans="1:8" ht="15">
      <c r="A33" t="s">
        <v>29</v>
      </c>
      <c r="D33" s="22">
        <v>0</v>
      </c>
      <c r="E33" s="22">
        <v>500</v>
      </c>
      <c r="F33" s="22">
        <v>0</v>
      </c>
      <c r="G33" s="22">
        <v>0</v>
      </c>
      <c r="H33" s="22"/>
    </row>
    <row r="34" spans="1:8" ht="15">
      <c r="A34" t="s">
        <v>30</v>
      </c>
      <c r="D34" s="22">
        <v>2150</v>
      </c>
      <c r="E34" s="22">
        <v>1650</v>
      </c>
      <c r="F34" s="22">
        <v>2100</v>
      </c>
      <c r="G34" s="22">
        <v>1750</v>
      </c>
      <c r="H34" s="22"/>
    </row>
    <row r="35" spans="1:8" ht="15">
      <c r="A35" t="s">
        <v>31</v>
      </c>
      <c r="D35" s="22">
        <v>0</v>
      </c>
      <c r="E35" s="22">
        <v>0</v>
      </c>
      <c r="F35" s="22">
        <v>0</v>
      </c>
      <c r="G35" s="22">
        <v>0</v>
      </c>
      <c r="H35" s="22"/>
    </row>
    <row r="36" spans="1:8" ht="15">
      <c r="A36" t="s">
        <v>33</v>
      </c>
      <c r="D36" s="22">
        <v>0</v>
      </c>
      <c r="E36" s="22">
        <v>0</v>
      </c>
      <c r="F36" s="22">
        <v>0</v>
      </c>
      <c r="G36" s="22">
        <v>0</v>
      </c>
      <c r="H36" s="22"/>
    </row>
    <row r="37" spans="1:8" ht="15">
      <c r="A37" t="s">
        <v>34</v>
      </c>
      <c r="D37" s="22">
        <v>1500</v>
      </c>
      <c r="E37" s="22">
        <v>1500</v>
      </c>
      <c r="F37" s="22">
        <v>700</v>
      </c>
      <c r="G37" s="22">
        <v>1000</v>
      </c>
      <c r="H37" s="22"/>
    </row>
    <row r="38" spans="1:8" ht="15">
      <c r="A38" t="s">
        <v>35</v>
      </c>
      <c r="D38" s="22">
        <v>0</v>
      </c>
      <c r="E38" s="22">
        <v>0</v>
      </c>
      <c r="F38" s="22">
        <v>700</v>
      </c>
      <c r="G38" s="22">
        <v>1000</v>
      </c>
      <c r="H38" s="22"/>
    </row>
    <row r="39" spans="1:8" ht="15">
      <c r="A39" t="s">
        <v>149</v>
      </c>
      <c r="D39" s="22">
        <v>2100</v>
      </c>
      <c r="E39" s="22">
        <v>2100</v>
      </c>
      <c r="F39" s="22">
        <v>2250</v>
      </c>
      <c r="G39" s="22">
        <v>2250</v>
      </c>
      <c r="H39" s="22"/>
    </row>
    <row r="40" spans="1:8" ht="15">
      <c r="A40" t="s">
        <v>150</v>
      </c>
      <c r="D40" s="22">
        <v>0</v>
      </c>
      <c r="E40" s="22">
        <v>0</v>
      </c>
      <c r="F40" s="22">
        <v>0</v>
      </c>
      <c r="G40" s="22">
        <v>0</v>
      </c>
      <c r="H40" s="22"/>
    </row>
    <row r="41" spans="1:8" ht="15">
      <c r="A41" t="s">
        <v>151</v>
      </c>
      <c r="D41" s="22">
        <v>250</v>
      </c>
      <c r="E41" s="22">
        <v>250</v>
      </c>
      <c r="F41" s="22">
        <v>250</v>
      </c>
      <c r="G41" s="22">
        <v>0</v>
      </c>
      <c r="H41" s="22"/>
    </row>
    <row r="42" spans="4:8" ht="15">
      <c r="D42" s="22"/>
      <c r="E42" s="22"/>
      <c r="F42" s="22"/>
      <c r="G42" s="22"/>
      <c r="H42" s="22"/>
    </row>
    <row r="43" spans="1:8" ht="15.75" thickBot="1">
      <c r="A43" s="7" t="s">
        <v>152</v>
      </c>
      <c r="D43" s="58">
        <f>SUM(D32:D42)</f>
        <v>6000</v>
      </c>
      <c r="E43" s="58">
        <f>SUM(E32:E42)</f>
        <v>6000</v>
      </c>
      <c r="F43" s="58">
        <f>SUM(F32:F42)</f>
        <v>6000</v>
      </c>
      <c r="G43" s="58">
        <f>SUM(G32:G42)</f>
        <v>6000</v>
      </c>
      <c r="H43" s="58">
        <f>SUM(H31:H41)</f>
        <v>0</v>
      </c>
    </row>
    <row r="44" ht="15.75" thickTop="1"/>
    <row r="45" spans="1:8" ht="15">
      <c r="A45" s="100" t="s">
        <v>153</v>
      </c>
      <c r="B45" s="13"/>
      <c r="C45" s="13"/>
      <c r="D45" s="13"/>
      <c r="E45" s="13"/>
      <c r="F45" s="13"/>
      <c r="G45" s="13"/>
      <c r="H45" s="13"/>
    </row>
    <row r="46" spans="1:8" ht="15">
      <c r="A46" t="s">
        <v>132</v>
      </c>
      <c r="D46" s="22">
        <f>$E$19</f>
        <v>4350</v>
      </c>
      <c r="E46" s="22">
        <f>$E$19</f>
        <v>4350</v>
      </c>
      <c r="F46" s="22">
        <f>$E$19</f>
        <v>4350</v>
      </c>
      <c r="G46" s="22">
        <f>$E$19</f>
        <v>4350</v>
      </c>
      <c r="H46" s="22"/>
    </row>
    <row r="47" spans="1:8" ht="15">
      <c r="A47" s="101" t="s">
        <v>154</v>
      </c>
      <c r="D47" s="22">
        <f>$E$21</f>
        <v>1500</v>
      </c>
      <c r="E47" s="22">
        <f>$E$21</f>
        <v>1500</v>
      </c>
      <c r="F47" s="22">
        <f>$E$21</f>
        <v>1500</v>
      </c>
      <c r="G47" s="22">
        <f>$E$21</f>
        <v>1500</v>
      </c>
      <c r="H47" s="22"/>
    </row>
    <row r="48" spans="1:8" ht="15">
      <c r="A48" t="s">
        <v>155</v>
      </c>
      <c r="D48" s="22">
        <v>20</v>
      </c>
      <c r="E48" s="22">
        <v>20</v>
      </c>
      <c r="F48" s="22">
        <v>20</v>
      </c>
      <c r="G48" s="22">
        <v>20</v>
      </c>
      <c r="H48" s="22"/>
    </row>
    <row r="49" spans="1:8" ht="15">
      <c r="A49" t="s">
        <v>156</v>
      </c>
      <c r="D49" s="22">
        <v>90</v>
      </c>
      <c r="E49" s="22">
        <v>90</v>
      </c>
      <c r="F49" s="22">
        <v>90</v>
      </c>
      <c r="G49" s="22">
        <v>90</v>
      </c>
      <c r="H49" s="22"/>
    </row>
    <row r="50" spans="1:8" ht="15">
      <c r="A50" t="s">
        <v>157</v>
      </c>
      <c r="D50" s="22">
        <v>40</v>
      </c>
      <c r="E50" s="22">
        <v>40</v>
      </c>
      <c r="F50" s="22">
        <v>40</v>
      </c>
      <c r="G50" s="22">
        <v>40</v>
      </c>
      <c r="H50" s="22"/>
    </row>
    <row r="51" spans="1:8" ht="15">
      <c r="A51" s="1" t="s">
        <v>58</v>
      </c>
      <c r="D51" s="22"/>
      <c r="E51" s="22"/>
      <c r="F51" s="22"/>
      <c r="G51" s="22"/>
      <c r="H51" s="22"/>
    </row>
    <row r="52" spans="1:8" ht="15">
      <c r="A52" s="1" t="s">
        <v>58</v>
      </c>
      <c r="D52" s="22"/>
      <c r="E52" s="22"/>
      <c r="F52" s="22"/>
      <c r="G52" s="22"/>
      <c r="H52" s="22"/>
    </row>
    <row r="53" spans="1:8" ht="15.75" thickBot="1">
      <c r="A53" t="s">
        <v>158</v>
      </c>
      <c r="D53" s="58">
        <f>SUM(D46:D52)</f>
        <v>6000</v>
      </c>
      <c r="E53" s="58">
        <f>SUM(E46:E52)</f>
        <v>6000</v>
      </c>
      <c r="F53" s="58">
        <f>SUM(F46:F52)</f>
        <v>6000</v>
      </c>
      <c r="G53" s="58">
        <f>SUM(G46:G52)</f>
        <v>6000</v>
      </c>
      <c r="H53" s="58">
        <f>SUM(H46:H52)</f>
        <v>0</v>
      </c>
    </row>
    <row r="54" ht="15.75" thickTop="1"/>
    <row r="55" spans="1:8" ht="15">
      <c r="A55" s="93" t="s">
        <v>156</v>
      </c>
      <c r="B55" s="93"/>
      <c r="C55" s="93"/>
      <c r="D55" s="93"/>
      <c r="E55" s="93"/>
      <c r="F55" s="93"/>
      <c r="G55" s="93"/>
      <c r="H55" s="93"/>
    </row>
    <row r="56" spans="2:9" ht="15">
      <c r="B56" s="209" t="s">
        <v>142</v>
      </c>
      <c r="C56" s="209"/>
      <c r="D56" s="37"/>
      <c r="E56" s="37"/>
      <c r="F56" s="206" t="s">
        <v>160</v>
      </c>
      <c r="G56" s="206"/>
      <c r="H56" s="37"/>
      <c r="I56" s="38"/>
    </row>
    <row r="57" spans="2:9" ht="15">
      <c r="B57" s="211">
        <v>1</v>
      </c>
      <c r="C57" s="211"/>
      <c r="D57" s="102"/>
      <c r="E57" s="103" t="s">
        <v>184</v>
      </c>
      <c r="F57" s="103" t="s">
        <v>161</v>
      </c>
      <c r="G57" s="104" t="s">
        <v>162</v>
      </c>
      <c r="H57" s="102"/>
      <c r="I57" s="38"/>
    </row>
    <row r="58" spans="4:9" ht="15">
      <c r="D58" s="102"/>
      <c r="F58" s="102"/>
      <c r="G58" s="102"/>
      <c r="H58" s="102"/>
      <c r="I58" s="38"/>
    </row>
    <row r="59" spans="1:7" ht="15">
      <c r="A59" t="s">
        <v>147</v>
      </c>
      <c r="E59" s="22">
        <f>CHOOSE($B$57,D31,E31,F31,G31)</f>
        <v>250</v>
      </c>
      <c r="F59" s="24">
        <v>0.015</v>
      </c>
      <c r="G59" s="22">
        <f aca="true" t="shared" si="0" ref="G59:G67">F59*E59</f>
        <v>3.75</v>
      </c>
    </row>
    <row r="60" spans="1:7" ht="15">
      <c r="A60" t="s">
        <v>29</v>
      </c>
      <c r="E60" s="22">
        <f aca="true" t="shared" si="1" ref="E60:E65">CHOOSE($B$57,D33,E33,F33,G33)</f>
        <v>0</v>
      </c>
      <c r="F60" s="24">
        <v>0.015</v>
      </c>
      <c r="G60" s="22">
        <f t="shared" si="0"/>
        <v>0</v>
      </c>
    </row>
    <row r="61" spans="1:7" ht="15">
      <c r="A61" t="s">
        <v>30</v>
      </c>
      <c r="E61" s="22">
        <f t="shared" si="1"/>
        <v>2150</v>
      </c>
      <c r="F61" s="24">
        <v>0.015</v>
      </c>
      <c r="G61" s="22">
        <f t="shared" si="0"/>
        <v>32.25</v>
      </c>
    </row>
    <row r="62" spans="1:7" ht="15">
      <c r="A62" t="s">
        <v>31</v>
      </c>
      <c r="E62" s="22">
        <f t="shared" si="1"/>
        <v>0</v>
      </c>
      <c r="F62" s="24">
        <v>0.015</v>
      </c>
      <c r="G62" s="22">
        <f t="shared" si="0"/>
        <v>0</v>
      </c>
    </row>
    <row r="63" spans="1:7" ht="15">
      <c r="A63" t="s">
        <v>33</v>
      </c>
      <c r="E63" s="22">
        <f t="shared" si="1"/>
        <v>0</v>
      </c>
      <c r="F63" s="24">
        <v>0.0225</v>
      </c>
      <c r="G63" s="22">
        <f t="shared" si="0"/>
        <v>0</v>
      </c>
    </row>
    <row r="64" spans="1:7" ht="15">
      <c r="A64" t="s">
        <v>34</v>
      </c>
      <c r="E64" s="22">
        <f t="shared" si="1"/>
        <v>1500</v>
      </c>
      <c r="F64" s="24">
        <v>0.0225</v>
      </c>
      <c r="G64" s="22">
        <f t="shared" si="0"/>
        <v>33.75</v>
      </c>
    </row>
    <row r="65" spans="1:7" ht="15">
      <c r="A65" t="s">
        <v>35</v>
      </c>
      <c r="E65" s="22">
        <f t="shared" si="1"/>
        <v>0</v>
      </c>
      <c r="F65" s="24">
        <v>0.0225</v>
      </c>
      <c r="G65" s="22">
        <f t="shared" si="0"/>
        <v>0</v>
      </c>
    </row>
    <row r="66" spans="1:7" ht="15">
      <c r="A66" t="s">
        <v>193</v>
      </c>
      <c r="E66" s="22">
        <f>IF(E64&gt;0,E64,0)</f>
        <v>1500</v>
      </c>
      <c r="F66" s="24">
        <v>0.01</v>
      </c>
      <c r="G66" s="22">
        <f t="shared" si="0"/>
        <v>15</v>
      </c>
    </row>
    <row r="67" spans="1:7" ht="15">
      <c r="A67" t="s">
        <v>163</v>
      </c>
      <c r="E67" s="22">
        <f>IF(E65&gt;0,E65,0)</f>
        <v>0</v>
      </c>
      <c r="F67" s="106">
        <v>0.01</v>
      </c>
      <c r="G67" s="22">
        <f t="shared" si="0"/>
        <v>0</v>
      </c>
    </row>
    <row r="68" spans="1:7" ht="15">
      <c r="A68" t="s">
        <v>165</v>
      </c>
      <c r="E68" s="13"/>
      <c r="F68" s="105"/>
      <c r="G68" s="42">
        <v>5.3</v>
      </c>
    </row>
    <row r="69" spans="1:8" ht="15">
      <c r="A69" s="7" t="s">
        <v>164</v>
      </c>
      <c r="G69" s="107">
        <f>SUM(G59:G68)</f>
        <v>90.05</v>
      </c>
      <c r="H69" s="6" t="s">
        <v>194</v>
      </c>
    </row>
    <row r="72" spans="1:15" ht="15">
      <c r="A72" s="93" t="s">
        <v>195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4:15" ht="15">
      <c r="D73" s="36"/>
      <c r="E73" s="195" t="s">
        <v>59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</row>
    <row r="74" spans="4:15" ht="15">
      <c r="D74" s="4" t="s">
        <v>175</v>
      </c>
      <c r="E74" s="196">
        <v>2012</v>
      </c>
      <c r="F74" s="4">
        <v>2013</v>
      </c>
      <c r="G74" s="4">
        <v>2014</v>
      </c>
      <c r="H74" s="4">
        <v>2015</v>
      </c>
      <c r="I74" s="4">
        <v>2016</v>
      </c>
      <c r="J74" s="4">
        <v>2017</v>
      </c>
      <c r="K74" s="4">
        <v>2018</v>
      </c>
      <c r="L74" s="4">
        <v>2019</v>
      </c>
      <c r="M74" s="4">
        <v>2020</v>
      </c>
      <c r="N74" s="4">
        <v>2021</v>
      </c>
      <c r="O74" s="4">
        <v>2022</v>
      </c>
    </row>
    <row r="75" spans="1:15" ht="15">
      <c r="A75" t="s">
        <v>147</v>
      </c>
      <c r="D75">
        <v>6</v>
      </c>
      <c r="E75" s="197">
        <f>_xlfn.IFERROR($G$59/$D$75,0)</f>
        <v>0.625</v>
      </c>
      <c r="F75" s="22">
        <f>_xlfn.IFERROR($G$59/$D$75,0)</f>
        <v>0.625</v>
      </c>
      <c r="G75" s="22">
        <f>_xlfn.IFERROR($G$59/$D$75,0)</f>
        <v>0.625</v>
      </c>
      <c r="H75" s="22">
        <f>_xlfn.IFERROR($G$59/$D$75,0)</f>
        <v>0.625</v>
      </c>
      <c r="I75" s="22">
        <f>_xlfn.IFERROR($G$59/$D$75,0)</f>
        <v>0.625</v>
      </c>
      <c r="J75" s="22">
        <f>_xlfn.IFERROR($G$59/$D$75,0)</f>
        <v>0.625</v>
      </c>
      <c r="K75" s="22">
        <f>_xlfn.IFERROR($G$59/$D$75,0)</f>
        <v>0.625</v>
      </c>
      <c r="L75" s="22"/>
      <c r="M75" s="22"/>
      <c r="N75" s="22"/>
      <c r="O75" s="22"/>
    </row>
    <row r="76" spans="1:15" ht="15">
      <c r="A76" t="s">
        <v>29</v>
      </c>
      <c r="D76">
        <v>0</v>
      </c>
      <c r="E76" s="197">
        <f aca="true" t="shared" si="2" ref="E76:O76">_xlfn.IFERROR($G$60/$D$76,0)</f>
        <v>0</v>
      </c>
      <c r="F76" s="22">
        <f t="shared" si="2"/>
        <v>0</v>
      </c>
      <c r="G76" s="22">
        <f t="shared" si="2"/>
        <v>0</v>
      </c>
      <c r="H76" s="22">
        <f t="shared" si="2"/>
        <v>0</v>
      </c>
      <c r="I76" s="22">
        <f t="shared" si="2"/>
        <v>0</v>
      </c>
      <c r="J76" s="22">
        <f t="shared" si="2"/>
        <v>0</v>
      </c>
      <c r="K76" s="22">
        <f t="shared" si="2"/>
        <v>0</v>
      </c>
      <c r="L76" s="22">
        <f t="shared" si="2"/>
        <v>0</v>
      </c>
      <c r="M76" s="22">
        <f t="shared" si="2"/>
        <v>0</v>
      </c>
      <c r="N76" s="22">
        <f t="shared" si="2"/>
        <v>0</v>
      </c>
      <c r="O76" s="22">
        <f t="shared" si="2"/>
        <v>0</v>
      </c>
    </row>
    <row r="77" spans="1:15" ht="15">
      <c r="A77" t="s">
        <v>30</v>
      </c>
      <c r="D77">
        <v>7</v>
      </c>
      <c r="E77" s="197">
        <f aca="true" t="shared" si="3" ref="E77:L77">_xlfn.IFERROR($G$61/$D$77,0)</f>
        <v>4.607142857142857</v>
      </c>
      <c r="F77" s="22">
        <f t="shared" si="3"/>
        <v>4.607142857142857</v>
      </c>
      <c r="G77" s="22">
        <f t="shared" si="3"/>
        <v>4.607142857142857</v>
      </c>
      <c r="H77" s="22">
        <f t="shared" si="3"/>
        <v>4.607142857142857</v>
      </c>
      <c r="I77" s="22">
        <f t="shared" si="3"/>
        <v>4.607142857142857</v>
      </c>
      <c r="J77" s="22">
        <f t="shared" si="3"/>
        <v>4.607142857142857</v>
      </c>
      <c r="K77" s="22">
        <f t="shared" si="3"/>
        <v>4.607142857142857</v>
      </c>
      <c r="L77" s="22">
        <f t="shared" si="3"/>
        <v>4.607142857142857</v>
      </c>
      <c r="M77" s="22"/>
      <c r="N77" s="22"/>
      <c r="O77" s="22"/>
    </row>
    <row r="78" spans="1:6" ht="15">
      <c r="A78" t="s">
        <v>31</v>
      </c>
      <c r="D78">
        <v>0</v>
      </c>
      <c r="E78" s="197">
        <f>_xlfn.IFERROR(F62/C78,0)</f>
        <v>0</v>
      </c>
      <c r="F78" s="22">
        <f>_xlfn.IFERROR(G62/D78,0)</f>
        <v>0</v>
      </c>
    </row>
    <row r="79" spans="1:6" ht="15">
      <c r="A79" t="s">
        <v>33</v>
      </c>
      <c r="D79">
        <v>0</v>
      </c>
      <c r="E79" s="197">
        <f>_xlfn.IFERROR(F63/C79,0)</f>
        <v>0</v>
      </c>
      <c r="F79" s="22">
        <f>_xlfn.IFERROR(G63/D79,0)</f>
        <v>0</v>
      </c>
    </row>
    <row r="80" spans="1:13" ht="15">
      <c r="A80" t="s">
        <v>34</v>
      </c>
      <c r="D80">
        <v>8</v>
      </c>
      <c r="E80" s="197">
        <f aca="true" t="shared" si="4" ref="E80:M80">_xlfn.IFERROR($G$64/$D$80,0)</f>
        <v>4.21875</v>
      </c>
      <c r="F80" s="22">
        <f t="shared" si="4"/>
        <v>4.21875</v>
      </c>
      <c r="G80" s="22">
        <f t="shared" si="4"/>
        <v>4.21875</v>
      </c>
      <c r="H80" s="22">
        <f t="shared" si="4"/>
        <v>4.21875</v>
      </c>
      <c r="I80" s="22">
        <f t="shared" si="4"/>
        <v>4.21875</v>
      </c>
      <c r="J80" s="22">
        <f t="shared" si="4"/>
        <v>4.21875</v>
      </c>
      <c r="K80" s="22">
        <f t="shared" si="4"/>
        <v>4.21875</v>
      </c>
      <c r="L80" s="22">
        <f t="shared" si="4"/>
        <v>4.21875</v>
      </c>
      <c r="M80" s="22">
        <f t="shared" si="4"/>
        <v>4.21875</v>
      </c>
    </row>
    <row r="81" spans="1:6" ht="15">
      <c r="A81" t="s">
        <v>196</v>
      </c>
      <c r="D81">
        <v>0</v>
      </c>
      <c r="E81" s="197">
        <f>_xlfn.IFERROR(F65/C81,0)</f>
        <v>0</v>
      </c>
      <c r="F81" s="22">
        <f>_xlfn.IFERROR(G65/D81,0)</f>
        <v>0</v>
      </c>
    </row>
    <row r="82" spans="1:13" ht="15">
      <c r="A82" t="s">
        <v>193</v>
      </c>
      <c r="D82">
        <v>8</v>
      </c>
      <c r="E82" s="197">
        <f>_xlfn.IFERROR($G$66/$D$82,0)</f>
        <v>1.875</v>
      </c>
      <c r="F82" s="22">
        <f>_xlfn.IFERROR($G$66/$D$82,0)</f>
        <v>1.875</v>
      </c>
      <c r="G82" s="22">
        <f aca="true" t="shared" si="5" ref="G82:M82">_xlfn.IFERROR($G$66/$D$82,0)</f>
        <v>1.875</v>
      </c>
      <c r="H82" s="22">
        <f t="shared" si="5"/>
        <v>1.875</v>
      </c>
      <c r="I82" s="22">
        <f t="shared" si="5"/>
        <v>1.875</v>
      </c>
      <c r="J82" s="22">
        <f t="shared" si="5"/>
        <v>1.875</v>
      </c>
      <c r="K82" s="22">
        <f t="shared" si="5"/>
        <v>1.875</v>
      </c>
      <c r="L82" s="22">
        <f t="shared" si="5"/>
        <v>1.875</v>
      </c>
      <c r="M82" s="22">
        <f t="shared" si="5"/>
        <v>1.875</v>
      </c>
    </row>
    <row r="83" spans="1:6" ht="15">
      <c r="A83" t="s">
        <v>163</v>
      </c>
      <c r="D83">
        <v>0</v>
      </c>
      <c r="E83" s="197">
        <f>_xlfn.IFERROR(F67/C83,0)</f>
        <v>0</v>
      </c>
      <c r="F83" s="22">
        <f>_xlfn.IFERROR(G67/D83,0)</f>
        <v>0</v>
      </c>
    </row>
    <row r="84" spans="1:15" ht="15">
      <c r="A84" t="s">
        <v>165</v>
      </c>
      <c r="D84" s="12">
        <v>8</v>
      </c>
      <c r="E84" s="133">
        <f>_xlfn.IFERROR($G$68/$D$84,0)</f>
        <v>0.6625</v>
      </c>
      <c r="F84" s="23">
        <f>_xlfn.IFERROR($G$68/$D$84,0)</f>
        <v>0.6625</v>
      </c>
      <c r="G84" s="23">
        <f aca="true" t="shared" si="6" ref="G84:M84">_xlfn.IFERROR($G$68/$D$84,0)</f>
        <v>0.6625</v>
      </c>
      <c r="H84" s="23">
        <f t="shared" si="6"/>
        <v>0.6625</v>
      </c>
      <c r="I84" s="23">
        <f t="shared" si="6"/>
        <v>0.6625</v>
      </c>
      <c r="J84" s="23">
        <f t="shared" si="6"/>
        <v>0.6625</v>
      </c>
      <c r="K84" s="23">
        <f t="shared" si="6"/>
        <v>0.6625</v>
      </c>
      <c r="L84" s="23">
        <f t="shared" si="6"/>
        <v>0.6625</v>
      </c>
      <c r="M84" s="23">
        <f t="shared" si="6"/>
        <v>0.6625</v>
      </c>
      <c r="N84" s="13"/>
      <c r="O84" s="13"/>
    </row>
    <row r="85" spans="1:17" ht="15">
      <c r="A85" s="7" t="s">
        <v>197</v>
      </c>
      <c r="E85" s="198">
        <f>SUM(E75:E84)</f>
        <v>11.988392857142857</v>
      </c>
      <c r="F85" s="139">
        <f>SUM(F75:F84)</f>
        <v>11.988392857142857</v>
      </c>
      <c r="G85" s="139">
        <f aca="true" t="shared" si="7" ref="G85:O85">SUM(G75:G84)</f>
        <v>11.988392857142857</v>
      </c>
      <c r="H85" s="139">
        <f t="shared" si="7"/>
        <v>11.988392857142857</v>
      </c>
      <c r="I85" s="139">
        <f t="shared" si="7"/>
        <v>11.988392857142857</v>
      </c>
      <c r="J85" s="139">
        <f t="shared" si="7"/>
        <v>11.988392857142857</v>
      </c>
      <c r="K85" s="139">
        <f t="shared" si="7"/>
        <v>11.988392857142857</v>
      </c>
      <c r="L85" s="139">
        <f t="shared" si="7"/>
        <v>11.363392857142857</v>
      </c>
      <c r="M85" s="139">
        <f t="shared" si="7"/>
        <v>6.75625</v>
      </c>
      <c r="N85" s="139">
        <f t="shared" si="7"/>
        <v>0</v>
      </c>
      <c r="O85" s="139">
        <f t="shared" si="7"/>
        <v>0</v>
      </c>
      <c r="Q85" s="139"/>
    </row>
    <row r="86" spans="1:15" ht="15">
      <c r="A86" s="7" t="s">
        <v>198</v>
      </c>
      <c r="E86" s="199">
        <f aca="true" t="shared" si="8" ref="E86:O86">E85/$G$69</f>
        <v>0.13313040374395177</v>
      </c>
      <c r="F86" s="24">
        <f t="shared" si="8"/>
        <v>0.13313040374395177</v>
      </c>
      <c r="G86" s="24">
        <f t="shared" si="8"/>
        <v>0.13313040374395177</v>
      </c>
      <c r="H86" s="24">
        <f t="shared" si="8"/>
        <v>0.13313040374395177</v>
      </c>
      <c r="I86" s="24">
        <f t="shared" si="8"/>
        <v>0.13313040374395177</v>
      </c>
      <c r="J86" s="24">
        <f t="shared" si="8"/>
        <v>0.13313040374395177</v>
      </c>
      <c r="K86" s="24">
        <f t="shared" si="8"/>
        <v>0.13313040374395177</v>
      </c>
      <c r="L86" s="24">
        <f t="shared" si="8"/>
        <v>0.12618981518204173</v>
      </c>
      <c r="M86" s="24">
        <f t="shared" si="8"/>
        <v>0.07502776235424764</v>
      </c>
      <c r="N86" s="24">
        <f t="shared" si="8"/>
        <v>0</v>
      </c>
      <c r="O86" s="24">
        <f t="shared" si="8"/>
        <v>0</v>
      </c>
    </row>
  </sheetData>
  <sheetProtection/>
  <mergeCells count="4">
    <mergeCell ref="D28:H28"/>
    <mergeCell ref="F56:G56"/>
    <mergeCell ref="B57:C57"/>
    <mergeCell ref="B56:C5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Bank of New York Mellon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Hickey, Nathan</dc:creator>
  <cp:keywords/>
  <dc:description/>
  <cp:lastModifiedBy>Hickey, Nathan</cp:lastModifiedBy>
  <dcterms:created xsi:type="dcterms:W3CDTF">2013-10-21T20:56:39Z</dcterms:created>
  <dcterms:modified xsi:type="dcterms:W3CDTF">2013-10-25T12:56:26Z</dcterms:modified>
  <cp:category/>
  <cp:version/>
  <cp:contentType/>
  <cp:contentStatus/>
</cp:coreProperties>
</file>