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0" yWindow="0" windowWidth="16560" windowHeight="10780" tabRatio="500" firstSheet="6" activeTab="6"/>
  </bookViews>
  <sheets>
    <sheet name="Sheet1" sheetId="1" r:id="rId1"/>
    <sheet name="Sheet2" sheetId="2" r:id="rId2"/>
    <sheet name="Sheet3" sheetId="3" state="hidden" r:id="rId3"/>
    <sheet name="Sheet4" sheetId="4" state="hidden" r:id="rId4"/>
    <sheet name="Sheet5" sheetId="5" state="hidden" r:id="rId5"/>
    <sheet name="WACC" sheetId="6" r:id="rId6"/>
    <sheet name="DCF" sheetId="7" r:id="rId7"/>
    <sheet name="Sheet7" sheetId="8" state="hidden" r:id="rId8"/>
    <sheet name="Sheet6" sheetId="9" r:id="rId9"/>
    <sheet name="Consolidated_Balance_Sheets" sheetId="10" r:id="rId10"/>
    <sheet name="Consolidated_Statements_of_Inc" sheetId="11" r:id="rId11"/>
    <sheet name="Consolidated_Statements_of_Cas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Chase  Nishida</author>
  </authors>
  <commentList>
    <comment ref="A4" authorId="0">
      <text>
        <r>
          <rPr>
            <b/>
            <sz val="9"/>
            <rFont val="Calibri"/>
            <family val="2"/>
          </rPr>
          <t xml:space="preserve">10 Yr Treasury
http://www.treasury.gov/resource-center/data-chart-center/interest-rates/Pages/TextView.aspx?data=yield
</t>
        </r>
      </text>
    </comment>
    <comment ref="A11" authorId="0">
      <text>
        <r>
          <rPr>
            <b/>
            <sz val="9"/>
            <rFont val="Calibri"/>
            <family val="2"/>
          </rPr>
          <t>Look at Bonds that the company issues. Use the Yield to maturity of Long term debt</t>
        </r>
      </text>
    </comment>
  </commentList>
</comments>
</file>

<file path=xl/comments2.xml><?xml version="1.0" encoding="utf-8"?>
<comments xmlns="http://schemas.openxmlformats.org/spreadsheetml/2006/main">
  <authors>
    <author>Chase  Nishida</author>
  </authors>
  <commentList>
    <comment ref="A26" authorId="0">
      <text>
        <r>
          <rPr>
            <b/>
            <sz val="9"/>
            <rFont val="Calibri"/>
            <family val="2"/>
          </rPr>
          <t>Based on Economy growth (historically has been 3%)</t>
        </r>
      </text>
    </comment>
  </commentList>
</comments>
</file>

<file path=xl/comments3.xml><?xml version="1.0" encoding="utf-8"?>
<comments xmlns="http://schemas.openxmlformats.org/spreadsheetml/2006/main">
  <authors>
    <author>Chase  Nishida</author>
  </authors>
  <commentList>
    <comment ref="A5" authorId="0">
      <text>
        <r>
          <rPr>
            <b/>
            <sz val="9"/>
            <rFont val="Calibri"/>
            <family val="2"/>
          </rPr>
          <t>Tax Expense / Pre Tax Income
(Total current income Tax expense / Income from operations.</t>
        </r>
      </text>
    </comment>
    <comment ref="A7" authorId="0">
      <text>
        <r>
          <rPr>
            <b/>
            <sz val="9"/>
            <rFont val="Calibri"/>
            <family val="2"/>
          </rPr>
          <t xml:space="preserve">Deferred tax (Total deferred income tax expense)(I/S) + Unlevered Net income  </t>
        </r>
      </text>
    </comment>
    <comment ref="A9" authorId="0">
      <text>
        <r>
          <rPr>
            <sz val="9"/>
            <rFont val="Calibri"/>
            <family val="2"/>
          </rPr>
          <t>On CF Statement (depreciation &amp; Amortization)</t>
        </r>
      </text>
    </comment>
    <comment ref="A10" authorId="0">
      <text>
        <r>
          <rPr>
            <b/>
            <sz val="9"/>
            <rFont val="Calibri"/>
            <family val="2"/>
          </rPr>
          <t>Current Assets - Current Liabilities (Current year - Prior Year</t>
        </r>
      </text>
    </comment>
    <comment ref="A11" authorId="0">
      <text>
        <r>
          <rPr>
            <b/>
            <sz val="9"/>
            <rFont val="Calibri"/>
            <family val="2"/>
          </rPr>
          <t>On CF statement (under purchase of property &amp; equipment)</t>
        </r>
      </text>
    </comment>
    <comment ref="A20" authorId="0">
      <text>
        <r>
          <rPr>
            <sz val="9"/>
            <rFont val="Calibri"/>
            <family val="2"/>
          </rPr>
          <t>Average of Analysts Growth Rates</t>
        </r>
      </text>
    </comment>
  </commentList>
</comments>
</file>

<file path=xl/comments6.xml><?xml version="1.0" encoding="utf-8"?>
<comments xmlns="http://schemas.openxmlformats.org/spreadsheetml/2006/main">
  <authors>
    <author>Chase  Nishida</author>
  </authors>
  <commentList>
    <comment ref="A4" authorId="0">
      <text>
        <r>
          <rPr>
            <b/>
            <sz val="9"/>
            <rFont val="Calibri"/>
            <family val="2"/>
          </rPr>
          <t>Return that investment is expected to yield with no risk</t>
        </r>
      </text>
    </comment>
    <comment ref="A5" authorId="0">
      <text>
        <r>
          <rPr>
            <b/>
            <sz val="9"/>
            <rFont val="Calibri"/>
            <family val="2"/>
          </rPr>
          <t xml:space="preserve">Compensation for investors who tolerate the extra risk
</t>
        </r>
      </text>
    </comment>
    <comment ref="A6" authorId="0">
      <text>
        <r>
          <rPr>
            <b/>
            <sz val="9"/>
            <rFont val="Calibri"/>
            <family val="2"/>
          </rPr>
          <t xml:space="preserve">Maybe more than normal. Ex. Company is growing and more risk is expected from a growing company.
</t>
        </r>
      </text>
    </comment>
    <comment ref="A8" authorId="0">
      <text>
        <r>
          <rPr>
            <b/>
            <sz val="9"/>
            <rFont val="Calibri"/>
            <family val="2"/>
          </rPr>
          <t>Risk Free + Beta * Risk Premium</t>
        </r>
      </text>
    </comment>
    <comment ref="A12" authorId="0">
      <text>
        <r>
          <rPr>
            <b/>
            <sz val="9"/>
            <rFont val="Calibri"/>
            <family val="2"/>
          </rPr>
          <t>Provision for Income tax / Income before tax</t>
        </r>
      </text>
    </comment>
    <comment ref="A11" authorId="0">
      <text>
        <r>
          <rPr>
            <b/>
            <sz val="9"/>
            <rFont val="Calibri"/>
            <family val="2"/>
          </rPr>
          <t>Highest YTM on bond, YTM on longest maturity bond, corporate credity rating (BBB) look at general rate for these bonds</t>
        </r>
      </text>
    </comment>
  </commentList>
</comments>
</file>

<file path=xl/sharedStrings.xml><?xml version="1.0" encoding="utf-8"?>
<sst xmlns="http://schemas.openxmlformats.org/spreadsheetml/2006/main" count="272" uniqueCount="241">
  <si>
    <t>Risk Premium</t>
  </si>
  <si>
    <t>Beta</t>
  </si>
  <si>
    <t>Growth Rates</t>
  </si>
  <si>
    <t>High Growth</t>
  </si>
  <si>
    <t>Revenue</t>
  </si>
  <si>
    <t>Growth Rate</t>
  </si>
  <si>
    <t>Average Growth Rate</t>
  </si>
  <si>
    <t>Income From Operations (EBIT)</t>
  </si>
  <si>
    <t>Net Income</t>
  </si>
  <si>
    <t xml:space="preserve">Analysts Estimates </t>
  </si>
  <si>
    <t>Long Term Growth (Constant)</t>
  </si>
  <si>
    <t>Weighted Equity</t>
  </si>
  <si>
    <t>Weighted Debt</t>
  </si>
  <si>
    <t>Total Liabilities:</t>
  </si>
  <si>
    <t>Total Assets:</t>
  </si>
  <si>
    <t>Total Capital:</t>
  </si>
  <si>
    <t>Stockholders Equity:</t>
  </si>
  <si>
    <t>Discount Cash Flow</t>
  </si>
  <si>
    <t>EBIT (income from operations)</t>
  </si>
  <si>
    <t>2014 - Year 0</t>
  </si>
  <si>
    <t>2015 - Year 1</t>
  </si>
  <si>
    <t>Unlevered Net Income</t>
  </si>
  <si>
    <t>Change in deferred tax</t>
  </si>
  <si>
    <t>NOPAT (Net Operating Profit after tax)</t>
  </si>
  <si>
    <t xml:space="preserve">Depreciation </t>
  </si>
  <si>
    <t>Change in NWC (Net working Capital)</t>
  </si>
  <si>
    <t>Capital Expenditures (CAPEX)</t>
  </si>
  <si>
    <t xml:space="preserve">Free Cash Flows </t>
  </si>
  <si>
    <t xml:space="preserve">Tax Rate (Tax Expense/Pre Tax Income) </t>
  </si>
  <si>
    <t>Deferred Tax</t>
  </si>
  <si>
    <t>Analyst Estimated Growth Rates (g)</t>
  </si>
  <si>
    <t>Average High Growth Rate (g)</t>
  </si>
  <si>
    <t>Long Term Growth Rate (g)</t>
  </si>
  <si>
    <t xml:space="preserve">Assumed Long Term Growth Rate for the Economy </t>
  </si>
  <si>
    <t>2016 - Year 2</t>
  </si>
  <si>
    <t>2017 - Year 3</t>
  </si>
  <si>
    <t>2018 - Year 4</t>
  </si>
  <si>
    <t>2019 - Year 5</t>
  </si>
  <si>
    <t>Income Statement</t>
  </si>
  <si>
    <t>Net Revenues</t>
  </si>
  <si>
    <t>COGS</t>
  </si>
  <si>
    <t>Gross Profit</t>
  </si>
  <si>
    <t>Selling, General and Admin Expenses</t>
  </si>
  <si>
    <t>Income from operations</t>
  </si>
  <si>
    <t>Interest expense</t>
  </si>
  <si>
    <t>Other Expense</t>
  </si>
  <si>
    <t>Income before Income Taxes</t>
  </si>
  <si>
    <t>Provision for income taxes</t>
  </si>
  <si>
    <t>(Tax @ % )</t>
  </si>
  <si>
    <t>Current assets</t>
  </si>
  <si>
    <t>Current Liabilities</t>
  </si>
  <si>
    <t>Net working Capital</t>
  </si>
  <si>
    <t>Change in NWC</t>
  </si>
  <si>
    <t>Account Receivable</t>
  </si>
  <si>
    <t>Inventories</t>
  </si>
  <si>
    <t xml:space="preserve">Accounts Payable </t>
  </si>
  <si>
    <t>(non interest bearing current)</t>
  </si>
  <si>
    <t>Target Price?</t>
  </si>
  <si>
    <t>EPS</t>
  </si>
  <si>
    <t>Forecasted</t>
  </si>
  <si>
    <t>Stock Price:</t>
  </si>
  <si>
    <t>Target Price</t>
  </si>
  <si>
    <t>Terminal Value</t>
  </si>
  <si>
    <t>WACC</t>
  </si>
  <si>
    <t>Present Value of FCF</t>
  </si>
  <si>
    <t>Present Value of Terminal Vaue</t>
  </si>
  <si>
    <t>Shares Outstanding</t>
  </si>
  <si>
    <t>Share Price</t>
  </si>
  <si>
    <t>Cost of Equity (Re)</t>
  </si>
  <si>
    <t>Dividen Discount Model</t>
  </si>
  <si>
    <t>DCF Simple</t>
  </si>
  <si>
    <t>Risk Free Rate</t>
  </si>
  <si>
    <t>Equity</t>
  </si>
  <si>
    <t>Cost of Equity</t>
  </si>
  <si>
    <t>Pre-Tax Cost of Debt</t>
  </si>
  <si>
    <t>Year</t>
  </si>
  <si>
    <t>Cal. Year</t>
  </si>
  <si>
    <t>FCF (M)</t>
  </si>
  <si>
    <t>Term Value</t>
  </si>
  <si>
    <t>Total</t>
  </si>
  <si>
    <t>PV</t>
  </si>
  <si>
    <t>Long Term Growth</t>
  </si>
  <si>
    <t>Firm Value</t>
  </si>
  <si>
    <t>Debt Value</t>
  </si>
  <si>
    <t>Equity Value</t>
  </si>
  <si>
    <t>Share Outstanding</t>
  </si>
  <si>
    <t>Thousands</t>
  </si>
  <si>
    <t xml:space="preserve">Valuation Model </t>
  </si>
  <si>
    <t>FCF = CFO - CAPEX</t>
  </si>
  <si>
    <t>Historical FCF</t>
  </si>
  <si>
    <t>% Change</t>
  </si>
  <si>
    <t>M$</t>
  </si>
  <si>
    <t>Intrinsic Value/Share</t>
  </si>
  <si>
    <t>*(In Millions)</t>
  </si>
  <si>
    <t>% Change Growth Rate</t>
  </si>
  <si>
    <t>Yahoo</t>
  </si>
  <si>
    <t>Other</t>
  </si>
  <si>
    <t>High Growth Rate:</t>
  </si>
  <si>
    <t>Lululemon</t>
  </si>
  <si>
    <t>Nike</t>
  </si>
  <si>
    <t>Multiples</t>
  </si>
  <si>
    <t>Financial Data for Comparables</t>
  </si>
  <si>
    <t>Stock Price</t>
  </si>
  <si>
    <t>Market Cap</t>
  </si>
  <si>
    <t>Net Debt</t>
  </si>
  <si>
    <t>EBITDA 2014</t>
  </si>
  <si>
    <t>Net Income (Prior)</t>
  </si>
  <si>
    <t>Net Income (Current)</t>
  </si>
  <si>
    <t>Revenue (Prior)</t>
  </si>
  <si>
    <t>Revenue (Current)</t>
  </si>
  <si>
    <t>Adidas</t>
  </si>
  <si>
    <t>Cost of Capital</t>
  </si>
  <si>
    <t>10/20 YR treasury bond rate (found from treasury.gov)</t>
  </si>
  <si>
    <t>Return in excess of Rf</t>
  </si>
  <si>
    <t>Cost of Debt</t>
  </si>
  <si>
    <t>Effective Tax Rate</t>
  </si>
  <si>
    <t>Cost of Debt (Rd)</t>
  </si>
  <si>
    <t>Income Sheet (see formula)</t>
  </si>
  <si>
    <t>Calculated from excel or taken from online (adjusted for risk)</t>
  </si>
  <si>
    <t>Highest YTM - YTM on longest maturity - Credity Rating</t>
  </si>
  <si>
    <t>Spread Calculation</t>
  </si>
  <si>
    <t>EBIT</t>
  </si>
  <si>
    <t>Interest Expense</t>
  </si>
  <si>
    <t>Interest Coverage Ratio</t>
  </si>
  <si>
    <t>Synthetic Rating</t>
  </si>
  <si>
    <t>Spread %</t>
  </si>
  <si>
    <t>A+</t>
  </si>
  <si>
    <t>Bloomberg</t>
  </si>
  <si>
    <t>Capital Structure</t>
  </si>
  <si>
    <t>Debt</t>
  </si>
  <si>
    <t>Total Capital</t>
  </si>
  <si>
    <t>Short Term Borrowings</t>
  </si>
  <si>
    <t>Long Term Borrowings</t>
  </si>
  <si>
    <t>Preferred Equity</t>
  </si>
  <si>
    <t>Common Equity</t>
  </si>
  <si>
    <t>We</t>
  </si>
  <si>
    <t>Wd</t>
  </si>
  <si>
    <t>Tax Rate</t>
  </si>
  <si>
    <t>Short term borrowing + long term + preferred equity + minority interest + common equity</t>
  </si>
  <si>
    <t>Long term Debt</t>
  </si>
  <si>
    <t>Current Maturities on LT debt</t>
  </si>
  <si>
    <t>CFO</t>
  </si>
  <si>
    <t>CAPEX</t>
  </si>
  <si>
    <t>(invested in more PPE)</t>
  </si>
  <si>
    <t>FCF</t>
  </si>
  <si>
    <t>Consolidated Balance Sheets (USD $)</t>
  </si>
  <si>
    <t>In Thousands, unless otherwise specified</t>
  </si>
  <si>
    <t>Dec. 31, 2014</t>
  </si>
  <si>
    <t>Dec. 31, 2013</t>
  </si>
  <si>
    <t>Total stockholdersâ€™ equity</t>
  </si>
  <si>
    <t>Common Stock, Value, Issued</t>
  </si>
  <si>
    <t>Stockholdersâ€™ equity</t>
  </si>
  <si>
    <t>Class B Convertible Common Stock</t>
  </si>
  <si>
    <t>Class A Common Stock</t>
  </si>
  <si>
    <t>Total liabilities and stockholdersâ€™ equity</t>
  </si>
  <si>
    <t>Accumulated other comprehensive income (loss)</t>
  </si>
  <si>
    <t>Retained earnings</t>
  </si>
  <si>
    <t>Additional paid-in capital</t>
  </si>
  <si>
    <t>  </t>
  </si>
  <si>
    <t>Commitments and contingencies (see Note 7)</t>
  </si>
  <si>
    <t>Total liabilities</t>
  </si>
  <si>
    <t>Other long term liabilities</t>
  </si>
  <si>
    <t>Long term debt, net of current maturities</t>
  </si>
  <si>
    <t>Total current liabilities</t>
  </si>
  <si>
    <t>Other current liabilities</t>
  </si>
  <si>
    <t>Current maturities of long term debt</t>
  </si>
  <si>
    <t>Accrued expenses</t>
  </si>
  <si>
    <t>Accounts payable</t>
  </si>
  <si>
    <t>Revolving credit facility</t>
  </si>
  <si>
    <t>Liabilities and Stockholdersâ€™ Equity</t>
  </si>
  <si>
    <t>Total assets</t>
  </si>
  <si>
    <t>Other long term assets</t>
  </si>
  <si>
    <t>Deferred income taxes</t>
  </si>
  <si>
    <t>Intangible assets, net</t>
  </si>
  <si>
    <t>Goodwill</t>
  </si>
  <si>
    <t>Property and equipment, net</t>
  </si>
  <si>
    <t>Total current assets</t>
  </si>
  <si>
    <t>Prepaid expenses and other current assets</t>
  </si>
  <si>
    <t>Accounts receivable, net</t>
  </si>
  <si>
    <t>Cash and cash equivalents</t>
  </si>
  <si>
    <t>Assets</t>
  </si>
  <si>
    <t>Diluted (In Shares)</t>
  </si>
  <si>
    <t>Basic (In Shares)</t>
  </si>
  <si>
    <t>Weighted average common shares outstanding</t>
  </si>
  <si>
    <t>Diluted (USD Per Share)</t>
  </si>
  <si>
    <t>Basic (USD Per Share)</t>
  </si>
  <si>
    <t>Net income available per common share</t>
  </si>
  <si>
    <t>Net income</t>
  </si>
  <si>
    <t>Income before income taxes</t>
  </si>
  <si>
    <t>Other expense, net</t>
  </si>
  <si>
    <t>Interest expense, net</t>
  </si>
  <si>
    <t>Selling, general and administrative expenses</t>
  </si>
  <si>
    <t>Gross profit</t>
  </si>
  <si>
    <t>Cost of goods sold</t>
  </si>
  <si>
    <t>Net revenues</t>
  </si>
  <si>
    <t>Income Statement [Abstract]</t>
  </si>
  <si>
    <t>Dec. 31, 2012</t>
  </si>
  <si>
    <t>In Thousands, except Per Share data, unless otherwise specified</t>
  </si>
  <si>
    <t>12 Months Ended</t>
  </si>
  <si>
    <t>Consolidated Statements of Income (USD $)</t>
  </si>
  <si>
    <t>Cash paid for interest, net of capitalized interest</t>
  </si>
  <si>
    <t>Cash paid for income taxes</t>
  </si>
  <si>
    <t>Noncash or Part Noncash Acquisition, Value of Assets Acquired</t>
  </si>
  <si>
    <t>Increase in accrual for property and equipment</t>
  </si>
  <si>
    <t>End of period</t>
  </si>
  <si>
    <t>Beginning of period</t>
  </si>
  <si>
    <t>Net increase in cash and cash equivalents</t>
  </si>
  <si>
    <t>Effect of exchange rate changes on cash and cash equivalents</t>
  </si>
  <si>
    <t>Net cash provided by financing activities</t>
  </si>
  <si>
    <t>Payments of debt financing costs</t>
  </si>
  <si>
    <t>Proceeds from exercise of stock options and other stock issuances</t>
  </si>
  <si>
    <t>Excess tax benefits from stock-based compensation arrangements</t>
  </si>
  <si>
    <t>Payments on long term debt</t>
  </si>
  <si>
    <t>Proceeds from long term debt</t>
  </si>
  <si>
    <t>Payments on term loan</t>
  </si>
  <si>
    <t>Proceeds from term loan</t>
  </si>
  <si>
    <t>Payments on revolving credit facility</t>
  </si>
  <si>
    <t>Proceeds from revolving credit facility</t>
  </si>
  <si>
    <t>Cash flows from financing activities</t>
  </si>
  <si>
    <t>Net cash used in investing activities</t>
  </si>
  <si>
    <t>Change in restricted cash</t>
  </si>
  <si>
    <t>Change in loans receivable</t>
  </si>
  <si>
    <t>Purchases of other assets</t>
  </si>
  <si>
    <t>Purchase of business</t>
  </si>
  <si>
    <t>Purchases of property and equipment</t>
  </si>
  <si>
    <t>Cash flows from investing activities</t>
  </si>
  <si>
    <t>Net cash provided by operating activities</t>
  </si>
  <si>
    <t>Income taxes payable and receivable</t>
  </si>
  <si>
    <t>Accrued expenses and other liabilities</t>
  </si>
  <si>
    <t>Prepaid expenses and other assets</t>
  </si>
  <si>
    <t>Accounts receivable</t>
  </si>
  <si>
    <t>Changes in operating assets and liabilities, net of effects of acquisitions:</t>
  </si>
  <si>
    <t>Changes in reserves and allowances</t>
  </si>
  <si>
    <t>Stock-based compensation</t>
  </si>
  <si>
    <t>Loss on disposal of property and equipment</t>
  </si>
  <si>
    <t>Unrealized foreign currency exchange rate losses (gains)</t>
  </si>
  <si>
    <t>Depreciation and amortization</t>
  </si>
  <si>
    <t>Adjustments to reconcile net income to net cash used in operating activities</t>
  </si>
  <si>
    <t>Cash flows from operating activities</t>
  </si>
  <si>
    <t>Consolidated Statements of Cash Flows (USD $)</t>
  </si>
  <si>
    <t>AR+Inv-AP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</si>
</sst>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00000000"/>
    <numFmt numFmtId="166" formatCode="_-* #,##0_-;\-* #,##0_-;_-* &quot;-&quot;??_-;_-@_-"/>
    <numFmt numFmtId="167" formatCode="&quot;$&quot;#,##0_);[Red]\(&quot;$&quot;#,##0\)"/>
    <numFmt numFmtId="168" formatCode="&quot;$&quot;#,##0.00_);[Red]\(&quot;$&quot;#,##0.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9" fontId="0" fillId="0" borderId="0" xfId="58" applyFont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0" fontId="0" fillId="0" borderId="0" xfId="58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Fill="1" applyBorder="1" applyAlignment="1">
      <alignment/>
    </xf>
    <xf numFmtId="43" fontId="0" fillId="0" borderId="13" xfId="42" applyFont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13" xfId="0" applyNumberFormat="1" applyBorder="1" applyAlignment="1">
      <alignment/>
    </xf>
    <xf numFmtId="43" fontId="0" fillId="0" borderId="10" xfId="42" applyFont="1" applyBorder="1" applyAlignment="1">
      <alignment/>
    </xf>
    <xf numFmtId="3" fontId="0" fillId="0" borderId="0" xfId="0" applyNumberFormat="1" applyAlignment="1">
      <alignment/>
    </xf>
    <xf numFmtId="43" fontId="0" fillId="0" borderId="12" xfId="42" applyFont="1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66" fontId="0" fillId="0" borderId="0" xfId="42" applyNumberFormat="1" applyFont="1" applyAlignment="1">
      <alignment/>
    </xf>
    <xf numFmtId="0" fontId="40" fillId="0" borderId="11" xfId="0" applyFont="1" applyBorder="1" applyAlignment="1">
      <alignment/>
    </xf>
    <xf numFmtId="9" fontId="0" fillId="0" borderId="12" xfId="58" applyFont="1" applyBorder="1" applyAlignment="1">
      <alignment/>
    </xf>
    <xf numFmtId="10" fontId="0" fillId="0" borderId="10" xfId="58" applyNumberFormat="1" applyFont="1" applyBorder="1" applyAlignment="1">
      <alignment/>
    </xf>
    <xf numFmtId="10" fontId="0" fillId="0" borderId="15" xfId="58" applyNumberFormat="1" applyFont="1" applyBorder="1" applyAlignment="1">
      <alignment/>
    </xf>
    <xf numFmtId="0" fontId="0" fillId="0" borderId="16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3" xfId="5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0" fontId="0" fillId="0" borderId="0" xfId="58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10" fontId="0" fillId="0" borderId="12" xfId="58" applyNumberFormat="1" applyFont="1" applyBorder="1" applyAlignment="1">
      <alignment/>
    </xf>
    <xf numFmtId="0" fontId="0" fillId="0" borderId="21" xfId="0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7" fillId="0" borderId="0" xfId="55">
      <alignment/>
      <protection/>
    </xf>
    <xf numFmtId="167" fontId="37" fillId="0" borderId="0" xfId="55" applyNumberFormat="1" applyAlignment="1">
      <alignment wrapText="1"/>
      <protection/>
    </xf>
    <xf numFmtId="0" fontId="37" fillId="0" borderId="0" xfId="55" applyAlignment="1">
      <alignment vertical="top" wrapText="1"/>
      <protection/>
    </xf>
    <xf numFmtId="0" fontId="37" fillId="0" borderId="0" xfId="55" applyAlignment="1">
      <alignment wrapText="1"/>
      <protection/>
    </xf>
    <xf numFmtId="0" fontId="43" fillId="0" borderId="0" xfId="55" applyFont="1" applyAlignment="1">
      <alignment vertical="top" wrapText="1"/>
      <protection/>
    </xf>
    <xf numFmtId="3" fontId="37" fillId="0" borderId="0" xfId="55" applyNumberFormat="1" applyAlignment="1">
      <alignment wrapText="1"/>
      <protection/>
    </xf>
    <xf numFmtId="0" fontId="43" fillId="0" borderId="0" xfId="55" applyFont="1" applyAlignment="1">
      <alignment horizontal="center" vertical="center" wrapText="1"/>
      <protection/>
    </xf>
    <xf numFmtId="0" fontId="43" fillId="0" borderId="0" xfId="55" applyFont="1" applyAlignment="1">
      <alignment horizontal="center" vertical="center" wrapText="1"/>
      <protection/>
    </xf>
    <xf numFmtId="168" fontId="37" fillId="0" borderId="0" xfId="55" applyNumberFormat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5"/>
  <sheetViews>
    <sheetView workbookViewId="0" topLeftCell="A1">
      <selection activeCell="E13" sqref="E13"/>
    </sheetView>
  </sheetViews>
  <sheetFormatPr defaultColWidth="11.00390625" defaultRowHeight="15.75"/>
  <cols>
    <col min="1" max="1" width="30.625" style="0" customWidth="1"/>
    <col min="2" max="2" width="17.625" style="0" bestFit="1" customWidth="1"/>
    <col min="3" max="6" width="13.125" style="0" bestFit="1" customWidth="1"/>
  </cols>
  <sheetData>
    <row r="4" ht="15.75">
      <c r="B4" s="6"/>
    </row>
    <row r="5" ht="15.75">
      <c r="B5" s="6"/>
    </row>
    <row r="7" spans="2:3" ht="15.75">
      <c r="B7" s="6"/>
      <c r="C7" s="6"/>
    </row>
    <row r="9" ht="15.75">
      <c r="B9" s="3"/>
    </row>
    <row r="11" ht="15.75"/>
    <row r="13" ht="15.75">
      <c r="B13" s="18"/>
    </row>
    <row r="15" ht="15">
      <c r="B15" s="3"/>
    </row>
    <row r="19" spans="2:6" ht="15.75" thickBot="1">
      <c r="B19" s="10">
        <v>2010</v>
      </c>
      <c r="C19" s="10">
        <v>2011</v>
      </c>
      <c r="D19" s="10">
        <v>2012</v>
      </c>
      <c r="E19" s="10">
        <v>2013</v>
      </c>
      <c r="F19" s="10">
        <v>2014</v>
      </c>
    </row>
    <row r="20" spans="1:6" ht="15">
      <c r="A20" t="s">
        <v>14</v>
      </c>
      <c r="B20" s="3"/>
      <c r="C20" s="3"/>
      <c r="D20" s="3"/>
      <c r="E20" s="3">
        <v>1577741</v>
      </c>
      <c r="F20" s="3">
        <v>2095083</v>
      </c>
    </row>
    <row r="21" spans="1:6" ht="15">
      <c r="A21" t="s">
        <v>13</v>
      </c>
      <c r="B21" s="3"/>
      <c r="C21" s="3"/>
      <c r="D21" s="3"/>
      <c r="E21" s="3">
        <v>524387</v>
      </c>
      <c r="F21" s="3">
        <v>744783</v>
      </c>
    </row>
    <row r="22" spans="1:6" ht="15">
      <c r="A22" t="s">
        <v>16</v>
      </c>
      <c r="B22" s="3"/>
      <c r="C22" s="3"/>
      <c r="D22" s="3"/>
      <c r="E22" s="3">
        <v>2095083</v>
      </c>
      <c r="F22" s="3">
        <v>1577741</v>
      </c>
    </row>
    <row r="23" spans="1:6" ht="15.75" thickBot="1">
      <c r="A23" t="s">
        <v>15</v>
      </c>
      <c r="B23" s="4">
        <f>B21+B22</f>
        <v>0</v>
      </c>
      <c r="C23" s="4">
        <f>C21+C22</f>
        <v>0</v>
      </c>
      <c r="D23" s="4">
        <f>D21+D22</f>
        <v>0</v>
      </c>
      <c r="E23" s="4">
        <f>E21+E22</f>
        <v>2619470</v>
      </c>
      <c r="F23" s="4">
        <f>F21+F22</f>
        <v>2322524</v>
      </c>
    </row>
    <row r="24" ht="15.75" thickTop="1"/>
    <row r="25" spans="2:6" ht="15.75" thickBot="1">
      <c r="B25" s="10">
        <v>2010</v>
      </c>
      <c r="C25" s="10">
        <v>2011</v>
      </c>
      <c r="D25" s="10">
        <v>2012</v>
      </c>
      <c r="E25" s="11">
        <v>2013</v>
      </c>
      <c r="F25" s="11">
        <v>2014</v>
      </c>
    </row>
    <row r="26" ht="15">
      <c r="A26" s="8" t="s">
        <v>38</v>
      </c>
    </row>
    <row r="27" spans="1:6" ht="15">
      <c r="A27" t="s">
        <v>39</v>
      </c>
      <c r="B27" s="3">
        <v>0</v>
      </c>
      <c r="C27" s="3">
        <v>0</v>
      </c>
      <c r="D27" s="3">
        <v>1834921</v>
      </c>
      <c r="E27" s="3">
        <v>2332051</v>
      </c>
      <c r="F27" s="3">
        <v>3084370</v>
      </c>
    </row>
    <row r="28" spans="1:6" ht="15">
      <c r="A28" t="s">
        <v>40</v>
      </c>
      <c r="B28" s="3">
        <v>0</v>
      </c>
      <c r="C28" s="3">
        <v>0</v>
      </c>
      <c r="D28" s="3">
        <v>955624</v>
      </c>
      <c r="E28" s="3">
        <v>1195381</v>
      </c>
      <c r="F28" s="3">
        <v>1572164</v>
      </c>
    </row>
    <row r="29" spans="1:6" ht="15">
      <c r="A29" t="s">
        <v>41</v>
      </c>
      <c r="B29" s="3">
        <f>B27-B28</f>
        <v>0</v>
      </c>
      <c r="C29" s="3">
        <f>C27-C28</f>
        <v>0</v>
      </c>
      <c r="D29" s="12">
        <f>D27-D28</f>
        <v>879297</v>
      </c>
      <c r="E29" s="12">
        <f>E27-E28</f>
        <v>1136670</v>
      </c>
      <c r="F29" s="12">
        <f>F27-F28</f>
        <v>1512206</v>
      </c>
    </row>
    <row r="30" spans="1:6" ht="15">
      <c r="A30" t="s">
        <v>42</v>
      </c>
      <c r="B30" s="3">
        <v>0</v>
      </c>
      <c r="C30" s="3">
        <v>0</v>
      </c>
      <c r="D30" s="13">
        <v>670602</v>
      </c>
      <c r="E30" s="13">
        <v>871572</v>
      </c>
      <c r="F30" s="13">
        <v>1158251</v>
      </c>
    </row>
    <row r="31" spans="1:6" ht="15">
      <c r="A31" t="s">
        <v>43</v>
      </c>
      <c r="B31" s="14">
        <f>B29-B30</f>
        <v>0</v>
      </c>
      <c r="C31" s="14">
        <f>C29-C30</f>
        <v>0</v>
      </c>
      <c r="D31" s="14">
        <f>D29-D30</f>
        <v>208695</v>
      </c>
      <c r="E31" s="14">
        <f>E29-E30</f>
        <v>265098</v>
      </c>
      <c r="F31" s="14">
        <f>F29-F30</f>
        <v>353955</v>
      </c>
    </row>
    <row r="32" spans="1:6" ht="15">
      <c r="A32" t="s">
        <v>44</v>
      </c>
      <c r="B32" s="15">
        <v>0</v>
      </c>
      <c r="C32" s="15">
        <v>0</v>
      </c>
      <c r="D32" s="15">
        <v>-5183</v>
      </c>
      <c r="E32" s="15">
        <v>-2933</v>
      </c>
      <c r="F32" s="15">
        <v>-5335</v>
      </c>
    </row>
    <row r="33" spans="1:6" ht="15">
      <c r="A33" t="s">
        <v>45</v>
      </c>
      <c r="B33" s="15">
        <v>0</v>
      </c>
      <c r="C33" s="15">
        <v>0</v>
      </c>
      <c r="D33" s="15">
        <v>-73</v>
      </c>
      <c r="E33" s="15">
        <v>-1172</v>
      </c>
      <c r="F33" s="15">
        <v>-6410</v>
      </c>
    </row>
    <row r="34" spans="1:6" ht="15">
      <c r="A34" t="s">
        <v>46</v>
      </c>
      <c r="B34" s="14">
        <f>B31+B32+B33</f>
        <v>0</v>
      </c>
      <c r="C34" s="14">
        <f>C31+C32+C33</f>
        <v>0</v>
      </c>
      <c r="D34" s="16">
        <f>D31+D32+D33</f>
        <v>203439</v>
      </c>
      <c r="E34" s="16">
        <f>E31+E32+E33</f>
        <v>260993</v>
      </c>
      <c r="F34" s="16">
        <f>F31+F32+F33</f>
        <v>342210</v>
      </c>
    </row>
    <row r="35" spans="1:6" ht="15">
      <c r="A35" t="s">
        <v>47</v>
      </c>
      <c r="B35" s="14">
        <v>0</v>
      </c>
      <c r="C35" s="14">
        <v>0</v>
      </c>
      <c r="D35" s="9">
        <v>74661</v>
      </c>
      <c r="E35" s="9">
        <v>98663</v>
      </c>
      <c r="F35" s="9">
        <v>134168</v>
      </c>
    </row>
    <row r="36" spans="1:6" ht="15.75" thickBot="1">
      <c r="A36" t="s">
        <v>8</v>
      </c>
      <c r="B36" s="14">
        <f>B34-B35</f>
        <v>0</v>
      </c>
      <c r="C36" s="14">
        <f>C34-C35</f>
        <v>0</v>
      </c>
      <c r="D36" s="4">
        <f>D34-D35</f>
        <v>128778</v>
      </c>
      <c r="E36" s="4">
        <f>E34-E35</f>
        <v>162330</v>
      </c>
      <c r="F36" s="4">
        <f>F34-F35</f>
        <v>208042</v>
      </c>
    </row>
    <row r="37" ht="15.75" thickTop="1"/>
    <row r="39" ht="15">
      <c r="A39" t="s">
        <v>11</v>
      </c>
    </row>
    <row r="40" ht="15">
      <c r="A40" t="s">
        <v>12</v>
      </c>
    </row>
    <row r="43" spans="2:3" ht="15">
      <c r="B43" s="8">
        <v>2013</v>
      </c>
      <c r="C43" s="8">
        <v>2014</v>
      </c>
    </row>
    <row r="44" spans="1:3" ht="15">
      <c r="A44" t="s">
        <v>49</v>
      </c>
      <c r="B44" s="3">
        <v>1128811</v>
      </c>
      <c r="C44" s="3">
        <v>1549399</v>
      </c>
    </row>
    <row r="45" spans="1:3" ht="15">
      <c r="A45" t="s">
        <v>50</v>
      </c>
      <c r="B45" s="3">
        <v>426630</v>
      </c>
      <c r="C45" s="3">
        <v>421627</v>
      </c>
    </row>
    <row r="46" spans="1:3" ht="15">
      <c r="A46" t="s">
        <v>51</v>
      </c>
      <c r="B46" s="19">
        <f>B44-B45</f>
        <v>702181</v>
      </c>
      <c r="C46" s="19">
        <f>C44-C45</f>
        <v>1127772</v>
      </c>
    </row>
    <row r="47" spans="1:3" ht="15.75" thickBot="1">
      <c r="A47" t="s">
        <v>52</v>
      </c>
      <c r="B47" s="17">
        <f>C46-B46</f>
        <v>425591</v>
      </c>
      <c r="C47" s="3"/>
    </row>
    <row r="48" ht="15.75" thickTop="1"/>
    <row r="49" spans="1:3" ht="15">
      <c r="A49" t="s">
        <v>53</v>
      </c>
      <c r="B49" s="3">
        <v>209952</v>
      </c>
      <c r="C49" s="3">
        <v>279835</v>
      </c>
    </row>
    <row r="50" spans="1:3" ht="15">
      <c r="A50" t="s">
        <v>54</v>
      </c>
      <c r="B50" s="3">
        <v>469006</v>
      </c>
      <c r="C50" s="3">
        <v>536714</v>
      </c>
    </row>
    <row r="51" spans="2:3" ht="15">
      <c r="B51" s="14">
        <f>SUM(B49:B50)</f>
        <v>678958</v>
      </c>
      <c r="C51" s="14">
        <f>SUM(C49:C50)</f>
        <v>816549</v>
      </c>
    </row>
    <row r="52" spans="1:3" ht="15">
      <c r="A52" t="s">
        <v>55</v>
      </c>
      <c r="B52" s="3">
        <v>147681</v>
      </c>
      <c r="C52" s="3">
        <v>144729</v>
      </c>
    </row>
    <row r="53" spans="2:3" ht="15">
      <c r="B53" s="3">
        <f>B51-B52</f>
        <v>531277</v>
      </c>
      <c r="C53" s="3">
        <f>C51-C52</f>
        <v>671820</v>
      </c>
    </row>
    <row r="54" spans="1:4" ht="15">
      <c r="A54" t="s">
        <v>52</v>
      </c>
      <c r="B54" s="14">
        <f>C53-B53</f>
        <v>140543</v>
      </c>
      <c r="D54" t="s">
        <v>240</v>
      </c>
    </row>
    <row r="55" ht="15">
      <c r="A55" t="s">
        <v>56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0"/>
  <sheetViews>
    <sheetView showGridLines="0" workbookViewId="0" topLeftCell="A1">
      <selection activeCell="A1" sqref="A1"/>
    </sheetView>
  </sheetViews>
  <sheetFormatPr defaultColWidth="8.875" defaultRowHeight="15.75"/>
  <cols>
    <col min="1" max="1" width="36.50390625" style="50" bestFit="1" customWidth="1"/>
    <col min="2" max="3" width="12.375" style="50" bestFit="1" customWidth="1"/>
    <col min="4" max="16384" width="8.875" style="50" customWidth="1"/>
  </cols>
  <sheetData>
    <row r="1" spans="1:3" ht="13.5">
      <c r="A1" s="57" t="s">
        <v>145</v>
      </c>
      <c r="B1" s="56" t="s">
        <v>147</v>
      </c>
      <c r="C1" s="56" t="s">
        <v>148</v>
      </c>
    </row>
    <row r="2" spans="1:3" ht="13.5">
      <c r="A2" s="57" t="s">
        <v>146</v>
      </c>
      <c r="B2" s="56"/>
      <c r="C2" s="56"/>
    </row>
    <row r="3" spans="1:3" ht="13.5">
      <c r="A3" s="54" t="s">
        <v>180</v>
      </c>
      <c r="B3" s="53"/>
      <c r="C3" s="53"/>
    </row>
    <row r="4" spans="1:3" ht="13.5">
      <c r="A4" s="52" t="s">
        <v>179</v>
      </c>
      <c r="B4" s="51">
        <v>593175</v>
      </c>
      <c r="C4" s="51">
        <v>347489</v>
      </c>
    </row>
    <row r="5" spans="1:3" ht="13.5">
      <c r="A5" s="52" t="s">
        <v>178</v>
      </c>
      <c r="B5" s="55">
        <v>279835</v>
      </c>
      <c r="C5" s="55">
        <v>209952</v>
      </c>
    </row>
    <row r="6" spans="1:3" ht="13.5">
      <c r="A6" s="52" t="s">
        <v>54</v>
      </c>
      <c r="B6" s="55">
        <v>536714</v>
      </c>
      <c r="C6" s="55">
        <v>469006</v>
      </c>
    </row>
    <row r="7" spans="1:3" ht="13.5">
      <c r="A7" s="52" t="s">
        <v>177</v>
      </c>
      <c r="B7" s="55">
        <v>87177</v>
      </c>
      <c r="C7" s="55">
        <v>63987</v>
      </c>
    </row>
    <row r="8" spans="1:3" ht="13.5">
      <c r="A8" s="52" t="s">
        <v>172</v>
      </c>
      <c r="B8" s="55">
        <v>52498</v>
      </c>
      <c r="C8" s="55">
        <v>38377</v>
      </c>
    </row>
    <row r="9" spans="1:3" ht="13.5">
      <c r="A9" s="52" t="s">
        <v>176</v>
      </c>
      <c r="B9" s="55">
        <v>1549399</v>
      </c>
      <c r="C9" s="55">
        <v>1128811</v>
      </c>
    </row>
    <row r="10" spans="1:3" ht="13.5">
      <c r="A10" s="52" t="s">
        <v>175</v>
      </c>
      <c r="B10" s="55">
        <v>305564</v>
      </c>
      <c r="C10" s="55">
        <v>223952</v>
      </c>
    </row>
    <row r="11" spans="1:3" ht="13.5">
      <c r="A11" s="52" t="s">
        <v>174</v>
      </c>
      <c r="B11" s="55">
        <v>123256</v>
      </c>
      <c r="C11" s="55">
        <v>122244</v>
      </c>
    </row>
    <row r="12" spans="1:3" ht="13.5">
      <c r="A12" s="52" t="s">
        <v>173</v>
      </c>
      <c r="B12" s="55">
        <v>26230</v>
      </c>
      <c r="C12" s="55">
        <v>24097</v>
      </c>
    </row>
    <row r="13" spans="1:3" ht="13.5">
      <c r="A13" s="52" t="s">
        <v>172</v>
      </c>
      <c r="B13" s="55">
        <v>33570</v>
      </c>
      <c r="C13" s="55">
        <v>31094</v>
      </c>
    </row>
    <row r="14" spans="1:3" ht="13.5">
      <c r="A14" s="52" t="s">
        <v>171</v>
      </c>
      <c r="B14" s="55">
        <v>57064</v>
      </c>
      <c r="C14" s="55">
        <v>47543</v>
      </c>
    </row>
    <row r="15" spans="1:3" ht="13.5">
      <c r="A15" s="52" t="s">
        <v>170</v>
      </c>
      <c r="B15" s="55">
        <v>2095083</v>
      </c>
      <c r="C15" s="55">
        <v>1577741</v>
      </c>
    </row>
    <row r="16" spans="1:3" ht="13.5">
      <c r="A16" s="54" t="s">
        <v>169</v>
      </c>
      <c r="B16" s="53"/>
      <c r="C16" s="53"/>
    </row>
    <row r="17" spans="1:3" ht="13.5">
      <c r="A17" s="52" t="s">
        <v>168</v>
      </c>
      <c r="B17" s="53">
        <v>0</v>
      </c>
      <c r="C17" s="55">
        <v>100000</v>
      </c>
    </row>
    <row r="18" spans="1:3" ht="13.5">
      <c r="A18" s="52" t="s">
        <v>167</v>
      </c>
      <c r="B18" s="55">
        <v>210432</v>
      </c>
      <c r="C18" s="55">
        <v>165456</v>
      </c>
    </row>
    <row r="19" spans="1:3" ht="13.5">
      <c r="A19" s="52" t="s">
        <v>166</v>
      </c>
      <c r="B19" s="55">
        <v>147681</v>
      </c>
      <c r="C19" s="55">
        <v>133729</v>
      </c>
    </row>
    <row r="20" spans="1:3" ht="13.5">
      <c r="A20" s="52" t="s">
        <v>165</v>
      </c>
      <c r="B20" s="55">
        <v>28951</v>
      </c>
      <c r="C20" s="55">
        <v>4972</v>
      </c>
    </row>
    <row r="21" spans="1:3" ht="13.5">
      <c r="A21" s="52" t="s">
        <v>164</v>
      </c>
      <c r="B21" s="55">
        <v>34563</v>
      </c>
      <c r="C21" s="55">
        <v>22473</v>
      </c>
    </row>
    <row r="22" spans="1:3" ht="13.5">
      <c r="A22" s="52" t="s">
        <v>163</v>
      </c>
      <c r="B22" s="55">
        <v>421627</v>
      </c>
      <c r="C22" s="55">
        <v>426630</v>
      </c>
    </row>
    <row r="23" spans="1:3" ht="13.5">
      <c r="A23" s="52" t="s">
        <v>162</v>
      </c>
      <c r="B23" s="55">
        <v>255250</v>
      </c>
      <c r="C23" s="55">
        <v>47951</v>
      </c>
    </row>
    <row r="24" spans="1:3" ht="13.5">
      <c r="A24" s="52" t="s">
        <v>161</v>
      </c>
      <c r="B24" s="55">
        <v>67906</v>
      </c>
      <c r="C24" s="55">
        <v>49806</v>
      </c>
    </row>
    <row r="25" spans="1:3" ht="13.5">
      <c r="A25" s="52" t="s">
        <v>160</v>
      </c>
      <c r="B25" s="55">
        <v>744783</v>
      </c>
      <c r="C25" s="55">
        <v>524387</v>
      </c>
    </row>
    <row r="26" spans="1:3" ht="13.5">
      <c r="A26" s="52" t="s">
        <v>159</v>
      </c>
      <c r="B26" s="53" t="s">
        <v>158</v>
      </c>
      <c r="C26" s="53" t="s">
        <v>158</v>
      </c>
    </row>
    <row r="27" spans="1:3" ht="13.5">
      <c r="A27" s="54" t="s">
        <v>151</v>
      </c>
      <c r="B27" s="53"/>
      <c r="C27" s="53"/>
    </row>
    <row r="28" spans="1:3" ht="13.5">
      <c r="A28" s="52" t="s">
        <v>157</v>
      </c>
      <c r="B28" s="55">
        <v>508350</v>
      </c>
      <c r="C28" s="55">
        <v>397248</v>
      </c>
    </row>
    <row r="29" spans="1:3" ht="13.5">
      <c r="A29" s="52" t="s">
        <v>156</v>
      </c>
      <c r="B29" s="55">
        <v>856687</v>
      </c>
      <c r="C29" s="55">
        <v>653842</v>
      </c>
    </row>
    <row r="30" spans="1:3" ht="27.75">
      <c r="A30" s="52" t="s">
        <v>155</v>
      </c>
      <c r="B30" s="55">
        <v>-14808</v>
      </c>
      <c r="C30" s="55">
        <v>2194</v>
      </c>
    </row>
    <row r="31" spans="1:3" ht="13.5">
      <c r="A31" s="52" t="s">
        <v>149</v>
      </c>
      <c r="B31" s="55">
        <v>1350300</v>
      </c>
      <c r="C31" s="55">
        <v>1053354</v>
      </c>
    </row>
    <row r="32" spans="1:3" ht="13.5">
      <c r="A32" s="52" t="s">
        <v>154</v>
      </c>
      <c r="B32" s="55">
        <v>2095083</v>
      </c>
      <c r="C32" s="55">
        <v>1577741</v>
      </c>
    </row>
    <row r="33" spans="1:3" ht="13.5">
      <c r="A33" s="52" t="s">
        <v>153</v>
      </c>
      <c r="B33" s="53"/>
      <c r="C33" s="53"/>
    </row>
    <row r="34" spans="1:3" ht="13.5">
      <c r="A34" s="54" t="s">
        <v>151</v>
      </c>
      <c r="B34" s="53"/>
      <c r="C34" s="53"/>
    </row>
    <row r="35" spans="1:3" ht="13.5">
      <c r="A35" s="52" t="s">
        <v>150</v>
      </c>
      <c r="B35" s="53">
        <v>59</v>
      </c>
      <c r="C35" s="53">
        <v>57</v>
      </c>
    </row>
    <row r="36" spans="1:3" ht="13.5">
      <c r="A36" s="52" t="s">
        <v>149</v>
      </c>
      <c r="B36" s="53">
        <v>59</v>
      </c>
      <c r="C36" s="53">
        <v>57</v>
      </c>
    </row>
    <row r="37" spans="1:3" ht="13.5">
      <c r="A37" s="52" t="s">
        <v>152</v>
      </c>
      <c r="B37" s="53"/>
      <c r="C37" s="53"/>
    </row>
    <row r="38" spans="1:3" ht="13.5">
      <c r="A38" s="54" t="s">
        <v>151</v>
      </c>
      <c r="B38" s="53"/>
      <c r="C38" s="53"/>
    </row>
    <row r="39" spans="1:3" ht="13.5">
      <c r="A39" s="52" t="s">
        <v>150</v>
      </c>
      <c r="B39" s="53">
        <v>12</v>
      </c>
      <c r="C39" s="53">
        <v>13</v>
      </c>
    </row>
    <row r="40" spans="1:3" ht="13.5">
      <c r="A40" s="52" t="s">
        <v>149</v>
      </c>
      <c r="B40" s="51">
        <v>12</v>
      </c>
      <c r="C40" s="51">
        <v>13</v>
      </c>
    </row>
  </sheetData>
  <sheetProtection/>
  <mergeCells count="2">
    <mergeCell ref="B1:B2"/>
    <mergeCell ref="C1:C2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1" sqref="A1"/>
    </sheetView>
  </sheetViews>
  <sheetFormatPr defaultColWidth="8.875" defaultRowHeight="15.75"/>
  <cols>
    <col min="1" max="1" width="36.50390625" style="50" bestFit="1" customWidth="1"/>
    <col min="2" max="4" width="12.375" style="50" bestFit="1" customWidth="1"/>
    <col min="5" max="16384" width="8.875" style="50" customWidth="1"/>
  </cols>
  <sheetData>
    <row r="1" spans="1:4" ht="15" customHeight="1">
      <c r="A1" s="57" t="s">
        <v>199</v>
      </c>
      <c r="B1" s="56" t="s">
        <v>198</v>
      </c>
      <c r="C1" s="56"/>
      <c r="D1" s="56"/>
    </row>
    <row r="2" spans="1:4" ht="27.75">
      <c r="A2" s="57" t="s">
        <v>197</v>
      </c>
      <c r="B2" s="57" t="s">
        <v>147</v>
      </c>
      <c r="C2" s="57" t="s">
        <v>148</v>
      </c>
      <c r="D2" s="57" t="s">
        <v>196</v>
      </c>
    </row>
    <row r="3" spans="1:4" ht="13.5">
      <c r="A3" s="54" t="s">
        <v>195</v>
      </c>
      <c r="B3" s="53"/>
      <c r="C3" s="53"/>
      <c r="D3" s="53"/>
    </row>
    <row r="4" spans="1:4" ht="13.5">
      <c r="A4" s="52" t="s">
        <v>194</v>
      </c>
      <c r="B4" s="51">
        <v>3084370</v>
      </c>
      <c r="C4" s="51">
        <v>2332051</v>
      </c>
      <c r="D4" s="51">
        <v>1834921</v>
      </c>
    </row>
    <row r="5" spans="1:4" ht="13.5">
      <c r="A5" s="52" t="s">
        <v>193</v>
      </c>
      <c r="B5" s="55">
        <v>1572164</v>
      </c>
      <c r="C5" s="55">
        <v>1195381</v>
      </c>
      <c r="D5" s="55">
        <v>955624</v>
      </c>
    </row>
    <row r="6" spans="1:4" ht="13.5">
      <c r="A6" s="52" t="s">
        <v>192</v>
      </c>
      <c r="B6" s="55">
        <v>1512206</v>
      </c>
      <c r="C6" s="55">
        <v>1136670</v>
      </c>
      <c r="D6" s="55">
        <v>879297</v>
      </c>
    </row>
    <row r="7" spans="1:4" ht="13.5">
      <c r="A7" s="52" t="s">
        <v>191</v>
      </c>
      <c r="B7" s="55">
        <v>1158251</v>
      </c>
      <c r="C7" s="55">
        <v>871572</v>
      </c>
      <c r="D7" s="55">
        <v>670602</v>
      </c>
    </row>
    <row r="8" spans="1:4" ht="13.5">
      <c r="A8" s="52" t="s">
        <v>43</v>
      </c>
      <c r="B8" s="55">
        <v>353955</v>
      </c>
      <c r="C8" s="55">
        <v>265098</v>
      </c>
      <c r="D8" s="55">
        <v>208695</v>
      </c>
    </row>
    <row r="9" spans="1:4" ht="13.5">
      <c r="A9" s="52" t="s">
        <v>190</v>
      </c>
      <c r="B9" s="55">
        <v>-5335</v>
      </c>
      <c r="C9" s="55">
        <v>-2933</v>
      </c>
      <c r="D9" s="55">
        <v>-5183</v>
      </c>
    </row>
    <row r="10" spans="1:4" ht="13.5">
      <c r="A10" s="52" t="s">
        <v>189</v>
      </c>
      <c r="B10" s="55">
        <v>-6410</v>
      </c>
      <c r="C10" s="55">
        <v>-1172</v>
      </c>
      <c r="D10" s="53">
        <v>-73</v>
      </c>
    </row>
    <row r="11" spans="1:4" ht="13.5">
      <c r="A11" s="52" t="s">
        <v>188</v>
      </c>
      <c r="B11" s="55">
        <v>342210</v>
      </c>
      <c r="C11" s="55">
        <v>260993</v>
      </c>
      <c r="D11" s="55">
        <v>203439</v>
      </c>
    </row>
    <row r="12" spans="1:4" ht="13.5">
      <c r="A12" s="52" t="s">
        <v>47</v>
      </c>
      <c r="B12" s="55">
        <v>134168</v>
      </c>
      <c r="C12" s="55">
        <v>98663</v>
      </c>
      <c r="D12" s="55">
        <v>74661</v>
      </c>
    </row>
    <row r="13" spans="1:4" ht="13.5">
      <c r="A13" s="52" t="s">
        <v>187</v>
      </c>
      <c r="B13" s="51">
        <v>208042</v>
      </c>
      <c r="C13" s="51">
        <v>162330</v>
      </c>
      <c r="D13" s="51">
        <v>128778</v>
      </c>
    </row>
    <row r="14" spans="1:4" ht="13.5">
      <c r="A14" s="54" t="s">
        <v>186</v>
      </c>
      <c r="B14" s="53"/>
      <c r="C14" s="53"/>
      <c r="D14" s="53"/>
    </row>
    <row r="15" spans="1:4" ht="13.5">
      <c r="A15" s="52" t="s">
        <v>185</v>
      </c>
      <c r="B15" s="58">
        <v>0.98</v>
      </c>
      <c r="C15" s="58">
        <v>0.77</v>
      </c>
      <c r="D15" s="58">
        <v>0.62</v>
      </c>
    </row>
    <row r="16" spans="1:4" ht="13.5">
      <c r="A16" s="52" t="s">
        <v>184</v>
      </c>
      <c r="B16" s="58">
        <v>0.95</v>
      </c>
      <c r="C16" s="58">
        <v>0.75</v>
      </c>
      <c r="D16" s="58">
        <v>0.61</v>
      </c>
    </row>
    <row r="17" spans="1:4" ht="27.75">
      <c r="A17" s="54" t="s">
        <v>183</v>
      </c>
      <c r="B17" s="53"/>
      <c r="C17" s="53"/>
      <c r="D17" s="53"/>
    </row>
    <row r="18" spans="1:4" ht="13.5">
      <c r="A18" s="52" t="s">
        <v>182</v>
      </c>
      <c r="B18" s="55">
        <v>213227</v>
      </c>
      <c r="C18" s="55">
        <v>210696</v>
      </c>
      <c r="D18" s="55">
        <v>208686</v>
      </c>
    </row>
    <row r="19" spans="1:4" ht="13.5">
      <c r="A19" s="52" t="s">
        <v>181</v>
      </c>
      <c r="B19" s="55">
        <v>219380</v>
      </c>
      <c r="C19" s="55">
        <v>215958</v>
      </c>
      <c r="D19" s="55">
        <v>212760</v>
      </c>
    </row>
  </sheetData>
  <sheetProtection/>
  <mergeCells count="1">
    <mergeCell ref="B1:D1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showGridLines="0" workbookViewId="0" topLeftCell="A1">
      <selection activeCell="A1" sqref="A1"/>
    </sheetView>
  </sheetViews>
  <sheetFormatPr defaultColWidth="8.875" defaultRowHeight="15.75"/>
  <cols>
    <col min="1" max="1" width="36.50390625" style="50" bestFit="1" customWidth="1"/>
    <col min="2" max="4" width="12.375" style="50" bestFit="1" customWidth="1"/>
    <col min="5" max="16384" width="8.875" style="50" customWidth="1"/>
  </cols>
  <sheetData>
    <row r="1" spans="1:4" ht="15" customHeight="1">
      <c r="A1" s="57" t="s">
        <v>239</v>
      </c>
      <c r="B1" s="56" t="s">
        <v>198</v>
      </c>
      <c r="C1" s="56"/>
      <c r="D1" s="56"/>
    </row>
    <row r="2" spans="1:4" ht="13.5">
      <c r="A2" s="57" t="s">
        <v>146</v>
      </c>
      <c r="B2" s="57" t="s">
        <v>147</v>
      </c>
      <c r="C2" s="57" t="s">
        <v>148</v>
      </c>
      <c r="D2" s="57" t="s">
        <v>196</v>
      </c>
    </row>
    <row r="3" spans="1:4" ht="13.5">
      <c r="A3" s="54" t="s">
        <v>238</v>
      </c>
      <c r="B3" s="53"/>
      <c r="C3" s="53"/>
      <c r="D3" s="53"/>
    </row>
    <row r="4" spans="1:4" ht="13.5">
      <c r="A4" s="52" t="s">
        <v>187</v>
      </c>
      <c r="B4" s="51">
        <v>208042</v>
      </c>
      <c r="C4" s="51">
        <v>162330</v>
      </c>
      <c r="D4" s="51">
        <v>128778</v>
      </c>
    </row>
    <row r="5" spans="1:4" ht="27.75">
      <c r="A5" s="54" t="s">
        <v>237</v>
      </c>
      <c r="B5" s="53"/>
      <c r="C5" s="53"/>
      <c r="D5" s="53"/>
    </row>
    <row r="6" spans="1:4" ht="13.5">
      <c r="A6" s="52" t="s">
        <v>236</v>
      </c>
      <c r="B6" s="55">
        <v>72093</v>
      </c>
      <c r="C6" s="55">
        <v>50549</v>
      </c>
      <c r="D6" s="55">
        <v>43082</v>
      </c>
    </row>
    <row r="7" spans="1:4" ht="27.75">
      <c r="A7" s="52" t="s">
        <v>235</v>
      </c>
      <c r="B7" s="55">
        <v>11739</v>
      </c>
      <c r="C7" s="55">
        <v>1905</v>
      </c>
      <c r="D7" s="55">
        <v>-2464</v>
      </c>
    </row>
    <row r="8" spans="1:4" ht="13.5">
      <c r="A8" s="52" t="s">
        <v>234</v>
      </c>
      <c r="B8" s="53">
        <v>261</v>
      </c>
      <c r="C8" s="53">
        <v>332</v>
      </c>
      <c r="D8" s="53">
        <v>524</v>
      </c>
    </row>
    <row r="9" spans="1:4" ht="13.5">
      <c r="A9" s="52" t="s">
        <v>233</v>
      </c>
      <c r="B9" s="55">
        <v>50812</v>
      </c>
      <c r="C9" s="55">
        <v>43184</v>
      </c>
      <c r="D9" s="55">
        <v>19845</v>
      </c>
    </row>
    <row r="10" spans="1:4" ht="13.5">
      <c r="A10" s="52" t="s">
        <v>172</v>
      </c>
      <c r="B10" s="55">
        <v>-17584</v>
      </c>
      <c r="C10" s="55">
        <v>-18832</v>
      </c>
      <c r="D10" s="55">
        <v>-12973</v>
      </c>
    </row>
    <row r="11" spans="1:4" ht="13.5">
      <c r="A11" s="52" t="s">
        <v>232</v>
      </c>
      <c r="B11" s="55">
        <v>31350</v>
      </c>
      <c r="C11" s="55">
        <v>13945</v>
      </c>
      <c r="D11" s="55">
        <v>13916</v>
      </c>
    </row>
    <row r="12" spans="1:4" ht="27.75">
      <c r="A12" s="54" t="s">
        <v>231</v>
      </c>
      <c r="B12" s="53"/>
      <c r="C12" s="53"/>
      <c r="D12" s="53"/>
    </row>
    <row r="13" spans="1:4" ht="13.5">
      <c r="A13" s="52" t="s">
        <v>230</v>
      </c>
      <c r="B13" s="55">
        <v>-101057</v>
      </c>
      <c r="C13" s="55">
        <v>-35960</v>
      </c>
      <c r="D13" s="55">
        <v>-53433</v>
      </c>
    </row>
    <row r="14" spans="1:4" ht="13.5">
      <c r="A14" s="52" t="s">
        <v>54</v>
      </c>
      <c r="B14" s="55">
        <v>-84658</v>
      </c>
      <c r="C14" s="55">
        <v>-156900</v>
      </c>
      <c r="D14" s="55">
        <v>4699</v>
      </c>
    </row>
    <row r="15" spans="1:4" ht="13.5">
      <c r="A15" s="52" t="s">
        <v>229</v>
      </c>
      <c r="B15" s="55">
        <v>-33345</v>
      </c>
      <c r="C15" s="55">
        <v>-19049</v>
      </c>
      <c r="D15" s="55">
        <v>-4060</v>
      </c>
    </row>
    <row r="16" spans="1:4" ht="13.5">
      <c r="A16" s="52" t="s">
        <v>167</v>
      </c>
      <c r="B16" s="55">
        <v>49137</v>
      </c>
      <c r="C16" s="55">
        <v>14642</v>
      </c>
      <c r="D16" s="55">
        <v>35370</v>
      </c>
    </row>
    <row r="17" spans="1:4" ht="13.5">
      <c r="A17" s="52" t="s">
        <v>228</v>
      </c>
      <c r="B17" s="55">
        <v>28856</v>
      </c>
      <c r="C17" s="55">
        <v>56481</v>
      </c>
      <c r="D17" s="55">
        <v>21966</v>
      </c>
    </row>
    <row r="18" spans="1:4" ht="13.5">
      <c r="A18" s="52" t="s">
        <v>227</v>
      </c>
      <c r="B18" s="55">
        <v>3387</v>
      </c>
      <c r="C18" s="55">
        <v>7443</v>
      </c>
      <c r="D18" s="55">
        <v>4511</v>
      </c>
    </row>
    <row r="19" spans="1:4" ht="13.5">
      <c r="A19" s="52" t="s">
        <v>226</v>
      </c>
      <c r="B19" s="55">
        <v>219033</v>
      </c>
      <c r="C19" s="55">
        <v>120070</v>
      </c>
      <c r="D19" s="55">
        <v>199761</v>
      </c>
    </row>
    <row r="20" spans="1:4" ht="13.5">
      <c r="A20" s="54" t="s">
        <v>225</v>
      </c>
      <c r="B20" s="53"/>
      <c r="C20" s="53"/>
      <c r="D20" s="53"/>
    </row>
    <row r="21" spans="1:4" ht="13.5">
      <c r="A21" s="52" t="s">
        <v>224</v>
      </c>
      <c r="B21" s="55">
        <v>-140528</v>
      </c>
      <c r="C21" s="55">
        <v>-87830</v>
      </c>
      <c r="D21" s="55">
        <v>-50650</v>
      </c>
    </row>
    <row r="22" spans="1:4" ht="13.5">
      <c r="A22" s="52" t="s">
        <v>223</v>
      </c>
      <c r="B22" s="55">
        <v>-10924</v>
      </c>
      <c r="C22" s="55">
        <v>-148097</v>
      </c>
      <c r="D22" s="53">
        <v>0</v>
      </c>
    </row>
    <row r="23" spans="1:4" ht="13.5">
      <c r="A23" s="52" t="s">
        <v>222</v>
      </c>
      <c r="B23" s="53">
        <v>-860</v>
      </c>
      <c r="C23" s="53">
        <v>-475</v>
      </c>
      <c r="D23" s="55">
        <v>-1310</v>
      </c>
    </row>
    <row r="24" spans="1:4" ht="13.5">
      <c r="A24" s="52" t="s">
        <v>221</v>
      </c>
      <c r="B24" s="53">
        <v>0</v>
      </c>
      <c r="C24" s="55">
        <v>-1700</v>
      </c>
      <c r="D24" s="53">
        <v>0</v>
      </c>
    </row>
    <row r="25" spans="1:4" ht="13.5">
      <c r="A25" s="52" t="s">
        <v>220</v>
      </c>
      <c r="B25" s="53">
        <v>0</v>
      </c>
      <c r="C25" s="53">
        <v>0</v>
      </c>
      <c r="D25" s="55">
        <v>5029</v>
      </c>
    </row>
    <row r="26" spans="1:4" ht="13.5">
      <c r="A26" s="52" t="s">
        <v>219</v>
      </c>
      <c r="B26" s="55">
        <v>-152312</v>
      </c>
      <c r="C26" s="55">
        <v>-238102</v>
      </c>
      <c r="D26" s="55">
        <v>-46931</v>
      </c>
    </row>
    <row r="27" spans="1:4" ht="13.5">
      <c r="A27" s="54" t="s">
        <v>218</v>
      </c>
      <c r="B27" s="53"/>
      <c r="C27" s="53"/>
      <c r="D27" s="53"/>
    </row>
    <row r="28" spans="1:4" ht="13.5">
      <c r="A28" s="52" t="s">
        <v>217</v>
      </c>
      <c r="B28" s="53">
        <v>0</v>
      </c>
      <c r="C28" s="55">
        <v>100000</v>
      </c>
      <c r="D28" s="53">
        <v>0</v>
      </c>
    </row>
    <row r="29" spans="1:4" ht="13.5">
      <c r="A29" s="52" t="s">
        <v>216</v>
      </c>
      <c r="B29" s="55">
        <v>100000</v>
      </c>
      <c r="C29" s="53">
        <v>0</v>
      </c>
      <c r="D29" s="53">
        <v>0</v>
      </c>
    </row>
    <row r="30" spans="1:4" ht="13.5">
      <c r="A30" s="52" t="s">
        <v>215</v>
      </c>
      <c r="B30" s="55">
        <v>250000</v>
      </c>
      <c r="C30" s="53">
        <v>0</v>
      </c>
      <c r="D30" s="53">
        <v>0</v>
      </c>
    </row>
    <row r="31" spans="1:4" ht="13.5">
      <c r="A31" s="52" t="s">
        <v>214</v>
      </c>
      <c r="B31" s="55">
        <v>-13750</v>
      </c>
      <c r="C31" s="53">
        <v>0</v>
      </c>
      <c r="D31" s="55">
        <v>-25000</v>
      </c>
    </row>
    <row r="32" spans="1:4" ht="13.5">
      <c r="A32" s="52" t="s">
        <v>213</v>
      </c>
      <c r="B32" s="53">
        <v>0</v>
      </c>
      <c r="C32" s="53">
        <v>0</v>
      </c>
      <c r="D32" s="55">
        <v>50000</v>
      </c>
    </row>
    <row r="33" spans="1:4" ht="13.5">
      <c r="A33" s="52" t="s">
        <v>212</v>
      </c>
      <c r="B33" s="55">
        <v>-4972</v>
      </c>
      <c r="C33" s="55">
        <v>-5471</v>
      </c>
      <c r="D33" s="55">
        <v>-44330</v>
      </c>
    </row>
    <row r="34" spans="1:4" ht="27.75">
      <c r="A34" s="52" t="s">
        <v>211</v>
      </c>
      <c r="B34" s="55">
        <v>36965</v>
      </c>
      <c r="C34" s="55">
        <v>17167</v>
      </c>
      <c r="D34" s="55">
        <v>17868</v>
      </c>
    </row>
    <row r="35" spans="1:4" ht="27.75">
      <c r="A35" s="52" t="s">
        <v>210</v>
      </c>
      <c r="B35" s="55">
        <v>15776</v>
      </c>
      <c r="C35" s="55">
        <v>15099</v>
      </c>
      <c r="D35" s="55">
        <v>14776</v>
      </c>
    </row>
    <row r="36" spans="1:4" ht="13.5">
      <c r="A36" s="52" t="s">
        <v>209</v>
      </c>
      <c r="B36" s="55">
        <v>-1713</v>
      </c>
      <c r="C36" s="53">
        <v>0</v>
      </c>
      <c r="D36" s="55">
        <v>-1017</v>
      </c>
    </row>
    <row r="37" spans="1:4" ht="13.5">
      <c r="A37" s="52" t="s">
        <v>208</v>
      </c>
      <c r="B37" s="55">
        <v>182306</v>
      </c>
      <c r="C37" s="55">
        <v>126795</v>
      </c>
      <c r="D37" s="55">
        <v>12297</v>
      </c>
    </row>
    <row r="38" spans="1:4" ht="27.75">
      <c r="A38" s="52" t="s">
        <v>207</v>
      </c>
      <c r="B38" s="55">
        <v>-3341</v>
      </c>
      <c r="C38" s="55">
        <v>-3115</v>
      </c>
      <c r="D38" s="55">
        <v>1330</v>
      </c>
    </row>
    <row r="39" spans="1:4" ht="13.5">
      <c r="A39" s="52" t="s">
        <v>206</v>
      </c>
      <c r="B39" s="55">
        <v>245686</v>
      </c>
      <c r="C39" s="55">
        <v>5648</v>
      </c>
      <c r="D39" s="55">
        <v>166457</v>
      </c>
    </row>
    <row r="40" spans="1:4" ht="13.5">
      <c r="A40" s="54" t="s">
        <v>179</v>
      </c>
      <c r="B40" s="53"/>
      <c r="C40" s="53"/>
      <c r="D40" s="53"/>
    </row>
    <row r="41" spans="1:4" ht="13.5">
      <c r="A41" s="52" t="s">
        <v>205</v>
      </c>
      <c r="B41" s="55">
        <v>347489</v>
      </c>
      <c r="C41" s="55">
        <v>341841</v>
      </c>
      <c r="D41" s="55">
        <v>175384</v>
      </c>
    </row>
    <row r="42" spans="1:4" ht="13.5">
      <c r="A42" s="52" t="s">
        <v>204</v>
      </c>
      <c r="B42" s="55">
        <v>593175</v>
      </c>
      <c r="C42" s="55">
        <v>347489</v>
      </c>
      <c r="D42" s="55">
        <v>341841</v>
      </c>
    </row>
    <row r="43" spans="1:4" ht="13.5">
      <c r="A43" s="52" t="s">
        <v>203</v>
      </c>
      <c r="B43" s="55">
        <v>4922</v>
      </c>
      <c r="C43" s="55">
        <v>3786</v>
      </c>
      <c r="D43" s="55">
        <v>12137</v>
      </c>
    </row>
    <row r="44" spans="1:4" ht="27.75">
      <c r="A44" s="52" t="s">
        <v>202</v>
      </c>
      <c r="B44" s="55">
        <v>11233</v>
      </c>
      <c r="C44" s="53">
        <v>0</v>
      </c>
      <c r="D44" s="53">
        <v>0</v>
      </c>
    </row>
    <row r="45" spans="1:4" ht="13.5">
      <c r="A45" s="52" t="s">
        <v>201</v>
      </c>
      <c r="B45" s="55">
        <v>103284</v>
      </c>
      <c r="C45" s="55">
        <v>85570</v>
      </c>
      <c r="D45" s="55">
        <v>57739</v>
      </c>
    </row>
    <row r="46" spans="1:4" ht="27.75">
      <c r="A46" s="52" t="s">
        <v>200</v>
      </c>
      <c r="B46" s="51">
        <v>4146</v>
      </c>
      <c r="C46" s="51">
        <v>1505</v>
      </c>
      <c r="D46" s="51">
        <v>3306</v>
      </c>
    </row>
  </sheetData>
  <sheetProtection/>
  <mergeCells count="1">
    <mergeCell ref="B1:D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5" sqref="B25"/>
    </sheetView>
  </sheetViews>
  <sheetFormatPr defaultColWidth="11.00390625" defaultRowHeight="15.75"/>
  <cols>
    <col min="1" max="1" width="28.875" style="0" customWidth="1"/>
    <col min="2" max="4" width="11.00390625" style="0" bestFit="1" customWidth="1"/>
    <col min="5" max="7" width="13.125" style="0" bestFit="1" customWidth="1"/>
  </cols>
  <sheetData>
    <row r="1" ht="15.75">
      <c r="A1" t="s">
        <v>2</v>
      </c>
    </row>
    <row r="3" ht="15.75">
      <c r="A3" t="s">
        <v>3</v>
      </c>
    </row>
    <row r="5" spans="1:7" ht="16.5" thickBot="1">
      <c r="A5" t="s">
        <v>93</v>
      </c>
      <c r="B5" s="29">
        <v>2009</v>
      </c>
      <c r="C5" s="29">
        <v>2010</v>
      </c>
      <c r="D5" s="29">
        <v>2011</v>
      </c>
      <c r="E5" s="29">
        <v>2012</v>
      </c>
      <c r="F5" s="29">
        <v>2013</v>
      </c>
      <c r="G5" s="29">
        <v>2014</v>
      </c>
    </row>
    <row r="6" spans="1:7" ht="15.75">
      <c r="A6" t="s">
        <v>4</v>
      </c>
      <c r="B6" s="3">
        <v>856.41</v>
      </c>
      <c r="C6" s="3">
        <v>1063.93</v>
      </c>
      <c r="D6" s="3">
        <v>1472.68</v>
      </c>
      <c r="E6" s="3">
        <v>1834.92</v>
      </c>
      <c r="F6" s="3">
        <v>2332</v>
      </c>
      <c r="G6" s="3">
        <v>3084.37</v>
      </c>
    </row>
    <row r="7" spans="1:7" ht="15.75">
      <c r="A7" t="s">
        <v>94</v>
      </c>
      <c r="C7" s="30">
        <f>(C6-B6)/B6</f>
        <v>0.24231384500414532</v>
      </c>
      <c r="D7" s="30">
        <f>(D6-C6)/C6</f>
        <v>0.3841888094141532</v>
      </c>
      <c r="E7" s="30">
        <f>(E6-D6)/D6</f>
        <v>0.24597332753890866</v>
      </c>
      <c r="F7" s="30">
        <f>(F6-E6)/E6</f>
        <v>0.2709000937370566</v>
      </c>
      <c r="G7" s="30">
        <f>(G6-F6)/F6</f>
        <v>0.3226286449399656</v>
      </c>
    </row>
    <row r="8" spans="1:3" ht="16.5" thickBot="1">
      <c r="A8" t="s">
        <v>6</v>
      </c>
      <c r="C8" s="31">
        <f>SUM(C7:G7)/5</f>
        <v>0.29320094412684583</v>
      </c>
    </row>
    <row r="9" ht="16.5" thickTop="1"/>
    <row r="10" spans="2:7" ht="16.5" thickBot="1">
      <c r="B10" s="29">
        <v>2009</v>
      </c>
      <c r="C10" s="29">
        <v>2010</v>
      </c>
      <c r="D10" s="29">
        <v>2011</v>
      </c>
      <c r="E10" s="29">
        <v>2012</v>
      </c>
      <c r="F10" s="29">
        <v>2013</v>
      </c>
      <c r="G10" s="29">
        <v>2014</v>
      </c>
    </row>
    <row r="11" spans="1:7" ht="15.75">
      <c r="A11" t="s">
        <v>7</v>
      </c>
      <c r="B11" s="3">
        <v>85.27</v>
      </c>
      <c r="C11" s="3">
        <v>112.36</v>
      </c>
      <c r="D11" s="3">
        <v>162.76</v>
      </c>
      <c r="E11" s="3">
        <v>208.69</v>
      </c>
      <c r="F11" s="3">
        <v>265.1</v>
      </c>
      <c r="G11" s="3">
        <v>353.95</v>
      </c>
    </row>
    <row r="12" spans="1:7" ht="15.75">
      <c r="A12" t="s">
        <v>94</v>
      </c>
      <c r="C12" s="30">
        <f>(C11-B11)/B11</f>
        <v>0.3176967280403425</v>
      </c>
      <c r="D12" s="30">
        <f>(D11-C11)/C11</f>
        <v>0.44855820576717687</v>
      </c>
      <c r="E12" s="30">
        <f>(E11-D11)/D11</f>
        <v>0.2821946424182846</v>
      </c>
      <c r="F12" s="30">
        <f>(F11-E11)/E11</f>
        <v>0.2703052374335139</v>
      </c>
      <c r="G12" s="30">
        <f>(G11-F11)/F11</f>
        <v>0.335156544700113</v>
      </c>
    </row>
    <row r="13" spans="1:3" ht="16.5" thickBot="1">
      <c r="A13" t="s">
        <v>6</v>
      </c>
      <c r="C13" s="32">
        <f>SUM(C12:G12)/5</f>
        <v>0.3307822716718862</v>
      </c>
    </row>
    <row r="14" ht="16.5" thickTop="1"/>
    <row r="17" spans="2:7" ht="16.5" thickBot="1">
      <c r="B17" s="29">
        <v>2009</v>
      </c>
      <c r="C17" s="29">
        <v>2010</v>
      </c>
      <c r="D17" s="29">
        <v>2011</v>
      </c>
      <c r="E17" s="29">
        <v>2012</v>
      </c>
      <c r="F17" s="29">
        <v>2013</v>
      </c>
      <c r="G17" s="29">
        <v>2014</v>
      </c>
    </row>
    <row r="18" spans="1:7" ht="15.75">
      <c r="A18" t="s">
        <v>8</v>
      </c>
      <c r="B18" s="3">
        <v>46.79</v>
      </c>
      <c r="C18" s="3">
        <v>68.48</v>
      </c>
      <c r="D18" s="3">
        <v>96.92</v>
      </c>
      <c r="E18" s="3">
        <v>128.77</v>
      </c>
      <c r="F18" s="3">
        <v>162.33</v>
      </c>
      <c r="G18" s="3">
        <v>208.04</v>
      </c>
    </row>
    <row r="19" spans="1:7" ht="15.75">
      <c r="A19" t="s">
        <v>5</v>
      </c>
      <c r="C19" s="30">
        <f>(C18-B18)/B18</f>
        <v>0.4635605898696304</v>
      </c>
      <c r="D19" s="30">
        <f>(D18-C18)/C18</f>
        <v>0.41530373831775697</v>
      </c>
      <c r="E19" s="30">
        <f>(E18-D18)/D18</f>
        <v>0.3286215435410649</v>
      </c>
      <c r="F19" s="30">
        <f>(F18-E18)/E18</f>
        <v>0.26061970955968006</v>
      </c>
      <c r="G19" s="30">
        <f>(G18-F18)/F18</f>
        <v>0.2815868909012504</v>
      </c>
    </row>
    <row r="20" spans="1:3" ht="16.5" thickBot="1">
      <c r="A20" t="s">
        <v>6</v>
      </c>
      <c r="C20" s="31">
        <f>SUM(C19:G19)/5</f>
        <v>0.34993849443787656</v>
      </c>
    </row>
    <row r="21" ht="16.5" thickTop="1"/>
    <row r="22" spans="1:3" ht="15.75">
      <c r="A22" t="s">
        <v>9</v>
      </c>
      <c r="B22" t="s">
        <v>95</v>
      </c>
      <c r="C22" t="s">
        <v>96</v>
      </c>
    </row>
    <row r="23" ht="15.75">
      <c r="B23" s="1">
        <v>0.25</v>
      </c>
    </row>
    <row r="25" spans="1:2" ht="15.75">
      <c r="A25" t="s">
        <v>97</v>
      </c>
      <c r="B25" s="1">
        <v>0.2</v>
      </c>
    </row>
    <row r="26" spans="1:2" ht="15.75">
      <c r="A26" t="s">
        <v>10</v>
      </c>
      <c r="B26" s="1">
        <v>0.03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B15" sqref="B15"/>
    </sheetView>
  </sheetViews>
  <sheetFormatPr defaultColWidth="11.00390625" defaultRowHeight="15.75"/>
  <cols>
    <col min="1" max="1" width="38.625" style="0" customWidth="1"/>
    <col min="2" max="7" width="18.875" style="0" customWidth="1"/>
  </cols>
  <sheetData>
    <row r="2" ht="15.75">
      <c r="A2" s="2" t="s">
        <v>17</v>
      </c>
    </row>
    <row r="3" spans="1:7" ht="16.5" thickBot="1">
      <c r="A3" t="s">
        <v>86</v>
      </c>
      <c r="B3" s="5" t="s">
        <v>19</v>
      </c>
      <c r="C3" s="5" t="s">
        <v>20</v>
      </c>
      <c r="D3" s="5" t="s">
        <v>34</v>
      </c>
      <c r="E3" s="7" t="s">
        <v>35</v>
      </c>
      <c r="F3" s="7" t="s">
        <v>36</v>
      </c>
      <c r="G3" s="7" t="s">
        <v>37</v>
      </c>
    </row>
    <row r="4" spans="1:7" ht="15.75">
      <c r="A4" t="s">
        <v>18</v>
      </c>
      <c r="B4" s="3">
        <f>Sheet1!F31</f>
        <v>353955</v>
      </c>
      <c r="C4" s="3">
        <f>B4*(1+$B$20)</f>
        <v>407048.24999999994</v>
      </c>
      <c r="D4" s="3">
        <f>C4*(1+$B$20)</f>
        <v>468105.4874999999</v>
      </c>
      <c r="E4" s="3">
        <f>D4*(1+$B$20)</f>
        <v>538321.3106249998</v>
      </c>
      <c r="F4" s="3">
        <f>E4*(1+$B$20)</f>
        <v>619069.5072187497</v>
      </c>
      <c r="G4" s="3">
        <f>F4*(1+$B$20)</f>
        <v>711929.9333015621</v>
      </c>
    </row>
    <row r="5" spans="1:7" ht="15.75">
      <c r="A5" t="s">
        <v>48</v>
      </c>
      <c r="B5" s="19">
        <f>B4*B15</f>
        <v>138772.7840799509</v>
      </c>
      <c r="C5" s="19">
        <f aca="true" t="shared" si="0" ref="C5:G12">B5*(1+$B$20)</f>
        <v>159588.70169194354</v>
      </c>
      <c r="D5" s="19">
        <f t="shared" si="0"/>
        <v>183527.00694573505</v>
      </c>
      <c r="E5" s="19">
        <f t="shared" si="0"/>
        <v>211056.0579875953</v>
      </c>
      <c r="F5" s="19">
        <f t="shared" si="0"/>
        <v>242714.46668573457</v>
      </c>
      <c r="G5" s="19">
        <f t="shared" si="0"/>
        <v>279121.63668859476</v>
      </c>
    </row>
    <row r="6" spans="1:7" ht="15.75">
      <c r="A6" t="s">
        <v>21</v>
      </c>
      <c r="B6" s="23">
        <f>B4-B5</f>
        <v>215182.2159200491</v>
      </c>
      <c r="C6" s="3">
        <f t="shared" si="0"/>
        <v>247459.54830805643</v>
      </c>
      <c r="D6" s="3">
        <f t="shared" si="0"/>
        <v>284578.48055426485</v>
      </c>
      <c r="E6" s="3">
        <f t="shared" si="0"/>
        <v>327265.25263740454</v>
      </c>
      <c r="F6" s="3">
        <f t="shared" si="0"/>
        <v>376355.0405330152</v>
      </c>
      <c r="G6" s="3">
        <f t="shared" si="0"/>
        <v>432808.29661296745</v>
      </c>
    </row>
    <row r="7" spans="1:7" ht="15.75">
      <c r="A7" t="s">
        <v>22</v>
      </c>
      <c r="B7" s="19">
        <f>B6+B16</f>
        <v>232766.2159200491</v>
      </c>
      <c r="C7" s="19">
        <f t="shared" si="0"/>
        <v>267681.1483080564</v>
      </c>
      <c r="D7" s="19">
        <f t="shared" si="0"/>
        <v>307833.3205542648</v>
      </c>
      <c r="E7" s="19">
        <f t="shared" si="0"/>
        <v>354008.31863740453</v>
      </c>
      <c r="F7" s="19">
        <f t="shared" si="0"/>
        <v>407109.56643301516</v>
      </c>
      <c r="G7" s="19">
        <f t="shared" si="0"/>
        <v>468176.0013979674</v>
      </c>
    </row>
    <row r="8" spans="1:7" ht="15.75">
      <c r="A8" t="s">
        <v>23</v>
      </c>
      <c r="B8" s="23">
        <f>B6+B7</f>
        <v>447948.4318400982</v>
      </c>
      <c r="C8" s="3">
        <f t="shared" si="0"/>
        <v>515140.69661611284</v>
      </c>
      <c r="D8" s="3">
        <f t="shared" si="0"/>
        <v>592411.8011085297</v>
      </c>
      <c r="E8" s="3">
        <f t="shared" si="0"/>
        <v>681273.5712748091</v>
      </c>
      <c r="F8" s="3">
        <f t="shared" si="0"/>
        <v>783464.6069660303</v>
      </c>
      <c r="G8" s="3">
        <f t="shared" si="0"/>
        <v>900984.2980109348</v>
      </c>
    </row>
    <row r="9" spans="1:7" ht="15.75">
      <c r="A9" t="s">
        <v>24</v>
      </c>
      <c r="B9" s="3">
        <v>72093</v>
      </c>
      <c r="C9" s="3">
        <f t="shared" si="0"/>
        <v>82906.95</v>
      </c>
      <c r="D9" s="3">
        <f t="shared" si="0"/>
        <v>95342.9925</v>
      </c>
      <c r="E9" s="3">
        <f t="shared" si="0"/>
        <v>109644.44137499998</v>
      </c>
      <c r="F9" s="3">
        <f t="shared" si="0"/>
        <v>126091.10758124996</v>
      </c>
      <c r="G9" s="3">
        <f t="shared" si="0"/>
        <v>145004.77371843744</v>
      </c>
    </row>
    <row r="10" spans="1:7" ht="15.75">
      <c r="A10" t="s">
        <v>25</v>
      </c>
      <c r="B10" s="3">
        <f>Sheet1!B54</f>
        <v>140543</v>
      </c>
      <c r="C10" s="3">
        <f t="shared" si="0"/>
        <v>161624.44999999998</v>
      </c>
      <c r="D10" s="3">
        <f t="shared" si="0"/>
        <v>185868.11749999996</v>
      </c>
      <c r="E10" s="3">
        <f t="shared" si="0"/>
        <v>213748.33512499995</v>
      </c>
      <c r="F10" s="3">
        <f t="shared" si="0"/>
        <v>245810.58539374993</v>
      </c>
      <c r="G10" s="3">
        <f t="shared" si="0"/>
        <v>282682.1732028124</v>
      </c>
    </row>
    <row r="11" spans="1:7" ht="15.75">
      <c r="A11" t="s">
        <v>26</v>
      </c>
      <c r="B11" s="3">
        <v>140528</v>
      </c>
      <c r="C11" s="3">
        <f t="shared" si="0"/>
        <v>161607.19999999998</v>
      </c>
      <c r="D11" s="3">
        <f t="shared" si="0"/>
        <v>185848.27999999997</v>
      </c>
      <c r="E11" s="3">
        <f t="shared" si="0"/>
        <v>213725.52199999994</v>
      </c>
      <c r="F11" s="3">
        <f t="shared" si="0"/>
        <v>245784.3502999999</v>
      </c>
      <c r="G11" s="3">
        <f t="shared" si="0"/>
        <v>282652.0028449999</v>
      </c>
    </row>
    <row r="12" spans="1:7" ht="16.5" thickBot="1">
      <c r="A12" t="s">
        <v>27</v>
      </c>
      <c r="B12" s="17">
        <f>B8+B9-B10-B11</f>
        <v>238970.43184009817</v>
      </c>
      <c r="C12" s="17">
        <f t="shared" si="0"/>
        <v>274815.9966161129</v>
      </c>
      <c r="D12" s="17">
        <f t="shared" si="0"/>
        <v>316038.39610852976</v>
      </c>
      <c r="E12" s="17">
        <f t="shared" si="0"/>
        <v>363444.1555248092</v>
      </c>
      <c r="F12" s="17">
        <f t="shared" si="0"/>
        <v>417960.77885353053</v>
      </c>
      <c r="G12" s="17">
        <f t="shared" si="0"/>
        <v>480654.8956815601</v>
      </c>
    </row>
    <row r="13" ht="16.5" thickTop="1"/>
    <row r="14" spans="6:7" ht="15.75">
      <c r="F14" t="s">
        <v>62</v>
      </c>
      <c r="G14" s="13">
        <f>(G12*(1+B21))/(G15-B21)</f>
        <v>11001656.50115571</v>
      </c>
    </row>
    <row r="15" spans="1:7" ht="15.75">
      <c r="A15" t="s">
        <v>28</v>
      </c>
      <c r="B15" s="6">
        <f>Sheet1!F35/Sheet1!F34</f>
        <v>0.39206335291195465</v>
      </c>
      <c r="F15" t="s">
        <v>63</v>
      </c>
      <c r="G15" s="6">
        <v>0.075</v>
      </c>
    </row>
    <row r="16" spans="1:2" ht="15.75">
      <c r="A16" t="s">
        <v>29</v>
      </c>
      <c r="B16" s="18">
        <v>17584</v>
      </c>
    </row>
    <row r="19" ht="15.75">
      <c r="A19" t="s">
        <v>30</v>
      </c>
    </row>
    <row r="20" spans="1:2" ht="15.75">
      <c r="A20" t="s">
        <v>31</v>
      </c>
      <c r="B20" s="1">
        <v>0.15</v>
      </c>
    </row>
    <row r="21" spans="1:3" ht="15.75">
      <c r="A21" t="s">
        <v>32</v>
      </c>
      <c r="B21" s="6">
        <v>0.03</v>
      </c>
      <c r="C21" t="s">
        <v>33</v>
      </c>
    </row>
    <row r="23" spans="1:2" ht="15.75">
      <c r="A23" t="s">
        <v>64</v>
      </c>
      <c r="B23" s="24">
        <f>NPV(G15,C12:G12)</f>
        <v>1469452.90223297</v>
      </c>
    </row>
    <row r="24" spans="1:2" ht="15">
      <c r="A24" t="s">
        <v>65</v>
      </c>
      <c r="B24" s="3">
        <f>G14/(1+G15)^5</f>
        <v>7663298.806030786</v>
      </c>
    </row>
    <row r="25" spans="1:2" ht="15">
      <c r="A25" t="s">
        <v>66</v>
      </c>
      <c r="B25" s="3">
        <f>215.46*1000</f>
        <v>215460</v>
      </c>
    </row>
    <row r="26" spans="1:2" ht="15">
      <c r="A26" t="s">
        <v>67</v>
      </c>
      <c r="B26">
        <f>B24/B25</f>
        <v>35.5671530958451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11" sqref="C11"/>
    </sheetView>
  </sheetViews>
  <sheetFormatPr defaultColWidth="11.00390625" defaultRowHeight="15.75"/>
  <cols>
    <col min="1" max="1" width="20.625" style="0" customWidth="1"/>
    <col min="2" max="2" width="12.875" style="0" bestFit="1" customWidth="1"/>
  </cols>
  <sheetData>
    <row r="1" ht="15">
      <c r="A1" t="s">
        <v>57</v>
      </c>
    </row>
    <row r="3" spans="1:2" ht="15">
      <c r="A3" t="s">
        <v>60</v>
      </c>
      <c r="B3">
        <v>84.01</v>
      </c>
    </row>
    <row r="4" ht="15">
      <c r="H4" t="s">
        <v>59</v>
      </c>
    </row>
    <row r="5" spans="2:12" ht="15.75" thickBot="1">
      <c r="B5" s="10">
        <v>2013</v>
      </c>
      <c r="C5" s="10"/>
      <c r="D5" s="10">
        <v>2014</v>
      </c>
      <c r="E5" s="10"/>
      <c r="F5" s="20">
        <v>2015</v>
      </c>
      <c r="G5" s="20"/>
      <c r="H5" s="20">
        <v>2016</v>
      </c>
      <c r="I5" s="20"/>
      <c r="J5" s="20">
        <v>2017</v>
      </c>
      <c r="K5" s="20"/>
      <c r="L5" s="20">
        <v>2018</v>
      </c>
    </row>
    <row r="6" spans="1:12" ht="15">
      <c r="A6" t="s">
        <v>58</v>
      </c>
      <c r="B6">
        <v>0.75</v>
      </c>
      <c r="D6">
        <v>0.95</v>
      </c>
      <c r="F6" s="21">
        <v>1.1</v>
      </c>
      <c r="G6" s="21"/>
      <c r="H6">
        <v>1.44</v>
      </c>
      <c r="J6">
        <v>1.88</v>
      </c>
      <c r="L6">
        <v>2.38</v>
      </c>
    </row>
    <row r="7" spans="3:11" ht="15">
      <c r="C7" s="6">
        <f>(D6-B6)/B6</f>
        <v>0.2666666666666666</v>
      </c>
      <c r="E7" s="6">
        <f>(F6-D6)/D6</f>
        <v>0.15789473684210542</v>
      </c>
      <c r="G7" s="6">
        <f>(H6-F6)/F6</f>
        <v>0.3090909090909089</v>
      </c>
      <c r="I7" s="6">
        <f>(J6-H6)/H6</f>
        <v>0.3055555555555555</v>
      </c>
      <c r="K7" s="6">
        <f>(L6-J6)/J6</f>
        <v>0.26595744680851063</v>
      </c>
    </row>
    <row r="10" spans="1:3" ht="15">
      <c r="A10" t="s">
        <v>61</v>
      </c>
      <c r="B10" s="21">
        <f>(F6+H6+J6+L6)</f>
        <v>6.8</v>
      </c>
      <c r="C10" s="21">
        <f>(B6+D6+F6+H6)</f>
        <v>4.24</v>
      </c>
    </row>
    <row r="11" ht="15">
      <c r="B11" s="22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11.00390625" defaultRowHeight="15.75"/>
  <sheetData>
    <row r="1" ht="15">
      <c r="A1" t="s">
        <v>69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31" sqref="B31"/>
    </sheetView>
  </sheetViews>
  <sheetFormatPr defaultColWidth="11.00390625" defaultRowHeight="15.75"/>
  <cols>
    <col min="1" max="1" width="21.125" style="0" customWidth="1"/>
    <col min="2" max="2" width="20.375" style="0" bestFit="1" customWidth="1"/>
    <col min="10" max="10" width="20.375" style="0" customWidth="1"/>
  </cols>
  <sheetData>
    <row r="1" spans="1:8" ht="19.5" thickBot="1">
      <c r="A1" s="49" t="s">
        <v>111</v>
      </c>
      <c r="B1" s="49"/>
      <c r="C1" s="49"/>
      <c r="D1" s="49"/>
      <c r="E1" s="49"/>
      <c r="F1" s="49"/>
      <c r="G1" s="49"/>
      <c r="H1" s="49"/>
    </row>
    <row r="2" spans="1:8" ht="18.75">
      <c r="A2" s="34"/>
      <c r="B2" s="34"/>
      <c r="C2" s="34"/>
      <c r="D2" s="34"/>
      <c r="E2" s="34"/>
      <c r="F2" s="34"/>
      <c r="G2" s="34"/>
      <c r="H2" s="34"/>
    </row>
    <row r="3" ht="16.5" thickBot="1">
      <c r="A3" s="29" t="s">
        <v>73</v>
      </c>
    </row>
    <row r="4" spans="1:8" ht="15.75">
      <c r="A4" s="45" t="s">
        <v>71</v>
      </c>
      <c r="B4" s="37">
        <v>0.021</v>
      </c>
      <c r="C4" s="38"/>
      <c r="D4" s="38" t="s">
        <v>112</v>
      </c>
      <c r="E4" s="38"/>
      <c r="F4" s="38"/>
      <c r="G4" s="38"/>
      <c r="H4" s="39"/>
    </row>
    <row r="5" spans="1:8" ht="15.75">
      <c r="A5" s="35" t="s">
        <v>0</v>
      </c>
      <c r="B5" s="40">
        <v>0.07</v>
      </c>
      <c r="D5" s="41" t="s">
        <v>113</v>
      </c>
      <c r="E5" s="41"/>
      <c r="F5" s="41"/>
      <c r="G5" s="41"/>
      <c r="H5" s="33"/>
    </row>
    <row r="6" spans="1:8" ht="15.75">
      <c r="A6" s="35" t="s">
        <v>1</v>
      </c>
      <c r="B6" s="42">
        <v>1.1</v>
      </c>
      <c r="D6" s="41" t="s">
        <v>118</v>
      </c>
      <c r="E6" s="41"/>
      <c r="F6" s="41"/>
      <c r="G6" s="41"/>
      <c r="H6" s="33"/>
    </row>
    <row r="7" spans="1:8" ht="15.75">
      <c r="A7" s="33"/>
      <c r="C7" s="41"/>
      <c r="D7" s="41"/>
      <c r="E7" s="41"/>
      <c r="F7" s="41"/>
      <c r="G7" s="41"/>
      <c r="H7" s="33"/>
    </row>
    <row r="8" spans="1:8" ht="15.75">
      <c r="A8" s="36" t="s">
        <v>68</v>
      </c>
      <c r="B8" s="44">
        <f>B4+(B6*B5)</f>
        <v>0.09800000000000002</v>
      </c>
      <c r="C8" s="8"/>
      <c r="D8" s="8"/>
      <c r="E8" s="8"/>
      <c r="F8" s="8"/>
      <c r="G8" s="8"/>
      <c r="H8" s="43"/>
    </row>
    <row r="10" spans="1:10" ht="16.5" thickBot="1">
      <c r="A10" s="29" t="s">
        <v>114</v>
      </c>
      <c r="J10" s="2" t="s">
        <v>120</v>
      </c>
    </row>
    <row r="11" spans="1:11" ht="15.75">
      <c r="A11" t="s">
        <v>74</v>
      </c>
      <c r="B11" s="6">
        <v>0.0175</v>
      </c>
      <c r="D11" t="s">
        <v>119</v>
      </c>
      <c r="J11" t="s">
        <v>121</v>
      </c>
      <c r="K11">
        <v>353.95</v>
      </c>
    </row>
    <row r="12" spans="1:11" ht="15.75">
      <c r="A12" t="s">
        <v>115</v>
      </c>
      <c r="B12" s="6">
        <f>Sheet1!F35/Sheet1!F34</f>
        <v>0.39206335291195465</v>
      </c>
      <c r="D12" t="s">
        <v>117</v>
      </c>
      <c r="J12" t="s">
        <v>122</v>
      </c>
      <c r="K12">
        <v>5.33</v>
      </c>
    </row>
    <row r="13" spans="10:11" ht="15.75">
      <c r="J13" t="s">
        <v>123</v>
      </c>
      <c r="K13">
        <f>K11/K12</f>
        <v>66.40712945590994</v>
      </c>
    </row>
    <row r="14" spans="1:2" ht="15.75">
      <c r="A14" t="s">
        <v>116</v>
      </c>
      <c r="B14" s="6">
        <f>(1-B12)*B11</f>
        <v>0.010638891324040795</v>
      </c>
    </row>
    <row r="15" spans="10:12" ht="15.75">
      <c r="J15" t="s">
        <v>124</v>
      </c>
      <c r="K15" t="s">
        <v>126</v>
      </c>
      <c r="L15" t="s">
        <v>127</v>
      </c>
    </row>
    <row r="16" spans="1:10" ht="15.75">
      <c r="A16" t="s">
        <v>128</v>
      </c>
      <c r="J16" t="s">
        <v>125</v>
      </c>
    </row>
    <row r="18" spans="1:2" ht="15">
      <c r="A18" t="s">
        <v>129</v>
      </c>
      <c r="B18" s="3">
        <f>B22+B23</f>
        <v>284.2</v>
      </c>
    </row>
    <row r="19" spans="1:2" ht="15">
      <c r="A19" t="s">
        <v>72</v>
      </c>
      <c r="B19" s="3">
        <f>B25</f>
        <v>1350.3</v>
      </c>
    </row>
    <row r="20" spans="1:3" ht="15">
      <c r="A20" t="s">
        <v>130</v>
      </c>
      <c r="B20" s="3">
        <f>B22+B23+B25</f>
        <v>1634.5</v>
      </c>
      <c r="C20" t="s">
        <v>138</v>
      </c>
    </row>
    <row r="21" ht="15">
      <c r="B21" s="3"/>
    </row>
    <row r="22" spans="1:3" ht="15">
      <c r="A22" t="s">
        <v>131</v>
      </c>
      <c r="B22" s="3">
        <v>28.95</v>
      </c>
      <c r="C22" t="s">
        <v>140</v>
      </c>
    </row>
    <row r="23" spans="1:3" ht="15">
      <c r="A23" t="s">
        <v>132</v>
      </c>
      <c r="B23" s="3">
        <v>255.25</v>
      </c>
      <c r="C23" t="s">
        <v>139</v>
      </c>
    </row>
    <row r="24" spans="1:2" ht="15">
      <c r="A24" t="s">
        <v>133</v>
      </c>
      <c r="B24" s="3"/>
    </row>
    <row r="25" spans="1:2" ht="15">
      <c r="A25" t="s">
        <v>134</v>
      </c>
      <c r="B25" s="3">
        <v>1350.3</v>
      </c>
    </row>
    <row r="27" spans="1:2" ht="15">
      <c r="A27" t="s">
        <v>135</v>
      </c>
      <c r="B27" s="6">
        <f>B19/B20</f>
        <v>0.8261241970021413</v>
      </c>
    </row>
    <row r="28" spans="1:2" ht="15">
      <c r="A28" t="s">
        <v>136</v>
      </c>
      <c r="B28" s="6">
        <f>B18/B20</f>
        <v>0.17387580299785865</v>
      </c>
    </row>
    <row r="29" spans="1:2" ht="15">
      <c r="A29" t="s">
        <v>137</v>
      </c>
      <c r="B29" s="46">
        <f>B11</f>
        <v>0.0175</v>
      </c>
    </row>
    <row r="31" spans="1:2" ht="15">
      <c r="A31" t="s">
        <v>63</v>
      </c>
      <c r="B31" s="6">
        <f>B8*B27+B14*B28*(1-B29)</f>
        <v>0.08277764477717485</v>
      </c>
    </row>
  </sheetData>
  <sheetProtection/>
  <mergeCells count="1">
    <mergeCell ref="A1:H1"/>
  </mergeCells>
  <printOptions/>
  <pageMargins left="0.75" right="0.75" top="1" bottom="1" header="0.5" footer="0.5"/>
  <pageSetup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D29" sqref="D29"/>
    </sheetView>
  </sheetViews>
  <sheetFormatPr defaultColWidth="11.00390625" defaultRowHeight="15.75"/>
  <cols>
    <col min="1" max="1" width="26.625" style="0" customWidth="1"/>
    <col min="2" max="2" width="11.50390625" style="0" bestFit="1" customWidth="1"/>
    <col min="3" max="3" width="16.125" style="0" customWidth="1"/>
    <col min="4" max="4" width="11.50390625" style="0" bestFit="1" customWidth="1"/>
    <col min="5" max="5" width="14.00390625" style="0" customWidth="1"/>
    <col min="6" max="6" width="12.50390625" style="0" bestFit="1" customWidth="1"/>
    <col min="7" max="7" width="14.875" style="0" customWidth="1"/>
    <col min="8" max="8" width="22.875" style="0" customWidth="1"/>
    <col min="9" max="9" width="11.50390625" style="0" bestFit="1" customWidth="1"/>
  </cols>
  <sheetData>
    <row r="2" spans="1:9" ht="15.75" thickBot="1">
      <c r="A2" t="s">
        <v>70</v>
      </c>
      <c r="C2" s="47" t="s">
        <v>87</v>
      </c>
      <c r="D2" s="47"/>
      <c r="E2" s="47"/>
      <c r="F2" s="47"/>
      <c r="G2" s="47"/>
      <c r="H2" s="47"/>
      <c r="I2" s="47"/>
    </row>
    <row r="4" spans="3:9" ht="15">
      <c r="C4" s="25" t="s">
        <v>76</v>
      </c>
      <c r="D4" s="25" t="s">
        <v>75</v>
      </c>
      <c r="E4" s="25" t="s">
        <v>5</v>
      </c>
      <c r="F4" t="s">
        <v>77</v>
      </c>
      <c r="G4" s="25" t="s">
        <v>78</v>
      </c>
      <c r="H4" s="25" t="s">
        <v>79</v>
      </c>
      <c r="I4" s="25" t="s">
        <v>80</v>
      </c>
    </row>
    <row r="5" spans="3:9" ht="15">
      <c r="C5" s="26">
        <v>2014</v>
      </c>
      <c r="D5">
        <v>0</v>
      </c>
      <c r="E5" s="6">
        <v>0.2</v>
      </c>
      <c r="F5" s="28">
        <f>D36</f>
        <v>78.50999999999999</v>
      </c>
      <c r="H5" s="3">
        <f>F5+G5</f>
        <v>78.50999999999999</v>
      </c>
      <c r="I5" s="3"/>
    </row>
    <row r="6" spans="3:9" ht="15">
      <c r="C6">
        <v>2015</v>
      </c>
      <c r="D6">
        <v>1</v>
      </c>
      <c r="E6" s="6">
        <v>0.15</v>
      </c>
      <c r="F6" s="28">
        <f>F5*(1+E6)</f>
        <v>90.28649999999999</v>
      </c>
      <c r="H6" s="3">
        <f aca="true" t="shared" si="0" ref="H6:H11">F6+G6</f>
        <v>90.28649999999999</v>
      </c>
      <c r="I6" s="3">
        <f>H6/((1+$B$18)^D6)</f>
        <v>83.38415595805921</v>
      </c>
    </row>
    <row r="7" spans="3:9" ht="15">
      <c r="C7">
        <v>2016</v>
      </c>
      <c r="D7">
        <v>2</v>
      </c>
      <c r="E7" s="6">
        <v>0.15</v>
      </c>
      <c r="F7" s="28">
        <f>F6*(1+E7)</f>
        <v>103.82947499999997</v>
      </c>
      <c r="H7" s="3">
        <f t="shared" si="0"/>
        <v>103.82947499999997</v>
      </c>
      <c r="I7" s="3">
        <f>H7/((1+$B$18)^D7)</f>
        <v>88.56091535903633</v>
      </c>
    </row>
    <row r="8" spans="3:9" ht="15">
      <c r="C8">
        <v>2017</v>
      </c>
      <c r="D8">
        <v>3</v>
      </c>
      <c r="E8" s="6">
        <v>0.15</v>
      </c>
      <c r="F8" s="28">
        <f>F7*(1+E7)</f>
        <v>119.40389624999996</v>
      </c>
      <c r="H8" s="3">
        <f t="shared" si="0"/>
        <v>119.40389624999996</v>
      </c>
      <c r="I8" s="3">
        <f>H8/((1+$B$18)^D8)</f>
        <v>94.05906480813103</v>
      </c>
    </row>
    <row r="9" spans="3:9" ht="15">
      <c r="C9">
        <v>2018</v>
      </c>
      <c r="D9">
        <v>4</v>
      </c>
      <c r="E9" s="6">
        <v>0.15</v>
      </c>
      <c r="F9" s="28">
        <f>F8*(1+E8)</f>
        <v>137.31448068749995</v>
      </c>
      <c r="H9" s="3">
        <f t="shared" si="0"/>
        <v>137.31448068749995</v>
      </c>
      <c r="I9" s="3">
        <f>H9/((1+$B$18)^D9)</f>
        <v>99.89855724405041</v>
      </c>
    </row>
    <row r="10" spans="3:9" ht="15">
      <c r="C10">
        <v>2019</v>
      </c>
      <c r="D10">
        <v>5</v>
      </c>
      <c r="E10" s="6">
        <v>0.15</v>
      </c>
      <c r="F10" s="28">
        <f>F9*(1+E9)</f>
        <v>157.91165279062494</v>
      </c>
      <c r="H10" s="3">
        <f t="shared" si="0"/>
        <v>157.91165279062494</v>
      </c>
      <c r="I10" s="3">
        <f>H10/((1+$B$18)^D10)</f>
        <v>106.10058434878368</v>
      </c>
    </row>
    <row r="11" spans="3:9" ht="15">
      <c r="C11">
        <v>2020</v>
      </c>
      <c r="D11">
        <v>6</v>
      </c>
      <c r="E11" s="6">
        <v>0.03</v>
      </c>
      <c r="F11" s="28">
        <f>F10*(1+E10)</f>
        <v>181.59840070921868</v>
      </c>
      <c r="G11" s="3">
        <f>F11*(1+E11)/(B18-E11)</f>
        <v>3544.045088032966</v>
      </c>
      <c r="H11" s="3">
        <f t="shared" si="0"/>
        <v>3725.6434887421847</v>
      </c>
      <c r="I11" s="3">
        <f>H11/((1+$B$18)^D11)</f>
        <v>2311.8817165155174</v>
      </c>
    </row>
    <row r="12" ht="15">
      <c r="G12" s="3"/>
    </row>
    <row r="14" spans="8:9" ht="15">
      <c r="H14" t="s">
        <v>82</v>
      </c>
      <c r="I14" s="3">
        <f>SUM(I6:I11)</f>
        <v>2783.8849942335783</v>
      </c>
    </row>
    <row r="15" ht="15">
      <c r="I15" s="3"/>
    </row>
    <row r="16" spans="8:9" ht="15">
      <c r="H16" t="s">
        <v>83</v>
      </c>
      <c r="I16" s="3">
        <f>WACC!B23+WACC!B22</f>
        <v>284.2</v>
      </c>
    </row>
    <row r="17" spans="8:9" ht="15">
      <c r="H17" t="s">
        <v>84</v>
      </c>
      <c r="I17" s="3">
        <f>I14-I16</f>
        <v>2499.6849942335784</v>
      </c>
    </row>
    <row r="18" spans="1:9" ht="15">
      <c r="A18" t="s">
        <v>63</v>
      </c>
      <c r="B18" s="6">
        <f>WACC!B31</f>
        <v>0.08277764477717485</v>
      </c>
      <c r="H18" t="s">
        <v>85</v>
      </c>
      <c r="I18" s="3">
        <v>215.46</v>
      </c>
    </row>
    <row r="19" spans="8:9" ht="15">
      <c r="H19" t="s">
        <v>92</v>
      </c>
      <c r="I19" s="3">
        <f>I17/I18</f>
        <v>11.601619763452977</v>
      </c>
    </row>
    <row r="20" spans="1:2" ht="15">
      <c r="A20" t="s">
        <v>81</v>
      </c>
      <c r="B20" s="1">
        <v>0.03</v>
      </c>
    </row>
    <row r="22" ht="15">
      <c r="A22" t="s">
        <v>88</v>
      </c>
    </row>
    <row r="26" spans="1:2" ht="15">
      <c r="A26" t="s">
        <v>89</v>
      </c>
      <c r="B26" t="s">
        <v>91</v>
      </c>
    </row>
    <row r="27" ht="15">
      <c r="A27" s="27">
        <v>2010</v>
      </c>
    </row>
    <row r="28" spans="1:3" ht="15">
      <c r="A28" s="27">
        <v>2011</v>
      </c>
      <c r="C28" t="s">
        <v>90</v>
      </c>
    </row>
    <row r="29" ht="15">
      <c r="A29" s="27">
        <v>2012</v>
      </c>
    </row>
    <row r="30" ht="15">
      <c r="A30" s="27">
        <v>2013</v>
      </c>
    </row>
    <row r="31" ht="15">
      <c r="A31" s="27">
        <v>2014</v>
      </c>
    </row>
    <row r="33" spans="2:4" ht="15">
      <c r="B33">
        <v>2012</v>
      </c>
      <c r="C33">
        <v>2013</v>
      </c>
      <c r="D33">
        <v>2014</v>
      </c>
    </row>
    <row r="34" spans="1:4" ht="15">
      <c r="A34" t="s">
        <v>141</v>
      </c>
      <c r="B34" s="3">
        <v>199.76</v>
      </c>
      <c r="C34" s="3">
        <v>120.7</v>
      </c>
      <c r="D34" s="3">
        <v>219.03</v>
      </c>
    </row>
    <row r="35" spans="1:5" ht="15">
      <c r="A35" t="s">
        <v>142</v>
      </c>
      <c r="B35">
        <v>50.65</v>
      </c>
      <c r="C35">
        <v>87.83</v>
      </c>
      <c r="D35">
        <v>140.52</v>
      </c>
      <c r="E35" t="s">
        <v>143</v>
      </c>
    </row>
    <row r="36" spans="1:4" ht="15">
      <c r="A36" t="s">
        <v>144</v>
      </c>
      <c r="B36">
        <f>B34-B35</f>
        <v>149.10999999999999</v>
      </c>
      <c r="C36">
        <f>C34-C35</f>
        <v>32.870000000000005</v>
      </c>
      <c r="D36">
        <f>D34-D35</f>
        <v>78.50999999999999</v>
      </c>
    </row>
    <row r="37" spans="2:3" ht="15">
      <c r="B37" s="6">
        <f>(C36-B36)/B36</f>
        <v>-0.779558715042586</v>
      </c>
      <c r="C37" s="6">
        <f>(D36-C36)/C36</f>
        <v>1.3885001521143894</v>
      </c>
    </row>
  </sheetData>
  <sheetProtection/>
  <mergeCells count="1">
    <mergeCell ref="C2:I2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6" sqref="B6"/>
    </sheetView>
  </sheetViews>
  <sheetFormatPr defaultColWidth="11.00390625" defaultRowHeight="15.75"/>
  <cols>
    <col min="1" max="1" width="19.375" style="0" customWidth="1"/>
  </cols>
  <sheetData>
    <row r="1" ht="15">
      <c r="A1" t="s">
        <v>100</v>
      </c>
    </row>
    <row r="3" spans="1:7" ht="15.75" thickBot="1">
      <c r="A3" s="48" t="s">
        <v>101</v>
      </c>
      <c r="B3" s="48"/>
      <c r="C3" s="48"/>
      <c r="D3" s="48"/>
      <c r="E3" s="48"/>
      <c r="F3" s="48"/>
      <c r="G3" s="48"/>
    </row>
    <row r="4" spans="3:5" ht="15">
      <c r="C4" t="s">
        <v>99</v>
      </c>
      <c r="D4" t="s">
        <v>110</v>
      </c>
      <c r="E4" t="s">
        <v>98</v>
      </c>
    </row>
    <row r="5" ht="15">
      <c r="A5" t="s">
        <v>102</v>
      </c>
    </row>
    <row r="6" ht="15">
      <c r="A6" t="s">
        <v>66</v>
      </c>
    </row>
    <row r="7" ht="15">
      <c r="A7" t="s">
        <v>103</v>
      </c>
    </row>
    <row r="8" ht="15">
      <c r="A8" t="s">
        <v>104</v>
      </c>
    </row>
    <row r="9" ht="15">
      <c r="A9" t="s">
        <v>108</v>
      </c>
    </row>
    <row r="10" ht="15">
      <c r="A10" t="s">
        <v>109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</sheetData>
  <sheetProtection/>
  <mergeCells count="1">
    <mergeCell ref="A3:G3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 Nishida</dc:creator>
  <cp:keywords/>
  <dc:description/>
  <cp:lastModifiedBy>Chase  Nishida</cp:lastModifiedBy>
  <dcterms:created xsi:type="dcterms:W3CDTF">2015-04-10T04:18:14Z</dcterms:created>
  <dcterms:modified xsi:type="dcterms:W3CDTF">2015-04-18T21:38:08Z</dcterms:modified>
  <cp:category/>
  <cp:version/>
  <cp:contentType/>
  <cp:contentStatus/>
</cp:coreProperties>
</file>