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skli\Desktop\Career\Resources\GIC\2nd Round - PC - GIC\"/>
    </mc:Choice>
  </mc:AlternateContent>
  <xr:revisionPtr revIDLastSave="0" documentId="13_ncr:1_{C280DFC3-F0CD-44BC-B49E-B953798D9620}" xr6:coauthVersionLast="47" xr6:coauthVersionMax="47" xr10:uidLastSave="{00000000-0000-0000-0000-000000000000}"/>
  <bookViews>
    <workbookView xWindow="-108" yWindow="-108" windowWidth="23256" windowHeight="12456" activeTab="1" xr2:uid="{6D42FE88-74BA-418E-826A-BC6AB79A9618}"/>
  </bookViews>
  <sheets>
    <sheet name="Accounts" sheetId="1" r:id="rId1"/>
    <sheet name="Credit Case" sheetId="3" r:id="rId2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3" l="1"/>
  <c r="H132" i="3"/>
  <c r="I132" i="3"/>
  <c r="J132" i="3"/>
  <c r="K132" i="3"/>
  <c r="F131" i="3"/>
  <c r="F127" i="3"/>
  <c r="H79" i="3"/>
  <c r="H81" i="3" s="1"/>
  <c r="H140" i="3" s="1"/>
  <c r="I79" i="3"/>
  <c r="I81" i="3" s="1"/>
  <c r="I140" i="3" s="1"/>
  <c r="J79" i="3"/>
  <c r="J81" i="3" s="1"/>
  <c r="J140" i="3" s="1"/>
  <c r="K79" i="3"/>
  <c r="K81" i="3" s="1"/>
  <c r="K140" i="3" s="1"/>
  <c r="G79" i="3"/>
  <c r="G81" i="3" s="1"/>
  <c r="G140" i="3" s="1"/>
  <c r="G68" i="3"/>
  <c r="H68" i="3" s="1"/>
  <c r="I68" i="3" s="1"/>
  <c r="J68" i="3" s="1"/>
  <c r="K68" i="3" s="1"/>
  <c r="G67" i="3"/>
  <c r="H67" i="3" s="1"/>
  <c r="I67" i="3" s="1"/>
  <c r="J67" i="3" s="1"/>
  <c r="K67" i="3" s="1"/>
  <c r="G66" i="3"/>
  <c r="H66" i="3" s="1"/>
  <c r="I66" i="3" s="1"/>
  <c r="J66" i="3" s="1"/>
  <c r="K66" i="3" s="1"/>
  <c r="D106" i="3"/>
  <c r="E106" i="3"/>
  <c r="F106" i="3"/>
  <c r="G106" i="3" s="1"/>
  <c r="C106" i="3"/>
  <c r="D104" i="3"/>
  <c r="E104" i="3"/>
  <c r="F104" i="3"/>
  <c r="G104" i="3" s="1"/>
  <c r="C104" i="3"/>
  <c r="F102" i="3"/>
  <c r="G102" i="3" s="1"/>
  <c r="F98" i="3"/>
  <c r="G98" i="3" s="1"/>
  <c r="E98" i="3"/>
  <c r="D98" i="3"/>
  <c r="C98" i="3"/>
  <c r="F97" i="3"/>
  <c r="G97" i="3" s="1"/>
  <c r="H97" i="3" s="1"/>
  <c r="E97" i="3"/>
  <c r="D97" i="3"/>
  <c r="C97" i="3"/>
  <c r="F96" i="3"/>
  <c r="G96" i="3" s="1"/>
  <c r="E96" i="3"/>
  <c r="D96" i="3"/>
  <c r="C96" i="3"/>
  <c r="F95" i="3"/>
  <c r="G95" i="3" s="1"/>
  <c r="E95" i="3"/>
  <c r="D95" i="3"/>
  <c r="C95" i="3"/>
  <c r="D94" i="3"/>
  <c r="E94" i="3"/>
  <c r="F94" i="3"/>
  <c r="C94" i="3"/>
  <c r="B96" i="3"/>
  <c r="B97" i="3"/>
  <c r="B98" i="3"/>
  <c r="B95" i="3"/>
  <c r="G7" i="3"/>
  <c r="G16" i="3" s="1"/>
  <c r="F85" i="3"/>
  <c r="E85" i="3"/>
  <c r="D85" i="3"/>
  <c r="F79" i="3"/>
  <c r="F80" i="3" s="1"/>
  <c r="E79" i="3"/>
  <c r="E80" i="3" s="1"/>
  <c r="D79" i="3"/>
  <c r="F76" i="3"/>
  <c r="E76" i="3"/>
  <c r="D76" i="3"/>
  <c r="F75" i="3"/>
  <c r="E75" i="3"/>
  <c r="D75" i="3"/>
  <c r="E57" i="3"/>
  <c r="E61" i="3" s="1"/>
  <c r="D57" i="3"/>
  <c r="D61" i="3" s="1"/>
  <c r="C57" i="3"/>
  <c r="C61" i="3" s="1"/>
  <c r="F54" i="3"/>
  <c r="E54" i="3"/>
  <c r="D54" i="3"/>
  <c r="C54" i="3"/>
  <c r="C44" i="3"/>
  <c r="C71" i="3" s="1"/>
  <c r="F17" i="3"/>
  <c r="F18" i="3" s="1"/>
  <c r="E17" i="3"/>
  <c r="E18" i="3" s="1"/>
  <c r="E19" i="3" s="1"/>
  <c r="D17" i="3"/>
  <c r="D18" i="3" s="1"/>
  <c r="D19" i="3" s="1"/>
  <c r="C17" i="3"/>
  <c r="C18" i="3" s="1"/>
  <c r="F8" i="3"/>
  <c r="F132" i="3" s="1"/>
  <c r="E8" i="3"/>
  <c r="D8" i="3"/>
  <c r="C5" i="3"/>
  <c r="C45" i="3" s="1"/>
  <c r="D4" i="3"/>
  <c r="D5" i="3" s="1"/>
  <c r="D78" i="1"/>
  <c r="G131" i="3" l="1"/>
  <c r="G50" i="3"/>
  <c r="F81" i="3"/>
  <c r="E81" i="3"/>
  <c r="G13" i="3"/>
  <c r="C63" i="3"/>
  <c r="G15" i="3"/>
  <c r="H96" i="3"/>
  <c r="I96" i="3" s="1"/>
  <c r="J96" i="3" s="1"/>
  <c r="K96" i="3" s="1"/>
  <c r="G21" i="3"/>
  <c r="H104" i="3"/>
  <c r="I97" i="3"/>
  <c r="H95" i="3"/>
  <c r="G12" i="3"/>
  <c r="G33" i="3"/>
  <c r="H106" i="3"/>
  <c r="G11" i="3"/>
  <c r="H102" i="3"/>
  <c r="E63" i="3"/>
  <c r="H98" i="3"/>
  <c r="D63" i="3"/>
  <c r="H7" i="3"/>
  <c r="G14" i="3"/>
  <c r="C22" i="3"/>
  <c r="C19" i="3"/>
  <c r="D45" i="3"/>
  <c r="D72" i="3"/>
  <c r="F19" i="3"/>
  <c r="F22" i="3"/>
  <c r="E22" i="3"/>
  <c r="D22" i="3"/>
  <c r="D44" i="3"/>
  <c r="D71" i="3" s="1"/>
  <c r="E4" i="3"/>
  <c r="D80" i="3"/>
  <c r="D81" i="3" s="1"/>
  <c r="D82" i="1"/>
  <c r="E82" i="1"/>
  <c r="F82" i="1"/>
  <c r="E78" i="1"/>
  <c r="E79" i="1" s="1"/>
  <c r="F78" i="1"/>
  <c r="F79" i="1" s="1"/>
  <c r="F84" i="1" s="1"/>
  <c r="D79" i="1"/>
  <c r="D77" i="1"/>
  <c r="E77" i="1"/>
  <c r="F77" i="1"/>
  <c r="F75" i="1"/>
  <c r="E73" i="1"/>
  <c r="E75" i="1" s="1"/>
  <c r="F73" i="1"/>
  <c r="D73" i="1"/>
  <c r="D75" i="1" s="1"/>
  <c r="D74" i="1"/>
  <c r="E74" i="1"/>
  <c r="F74" i="1"/>
  <c r="D72" i="1"/>
  <c r="E72" i="1"/>
  <c r="F72" i="1"/>
  <c r="D69" i="1"/>
  <c r="E69" i="1"/>
  <c r="F69" i="1"/>
  <c r="C69" i="1"/>
  <c r="D43" i="1"/>
  <c r="E43" i="1"/>
  <c r="F43" i="1"/>
  <c r="C43" i="1"/>
  <c r="D70" i="1"/>
  <c r="E70" i="1"/>
  <c r="F70" i="1"/>
  <c r="E61" i="1"/>
  <c r="F61" i="1"/>
  <c r="E55" i="1"/>
  <c r="D55" i="1"/>
  <c r="C55" i="1"/>
  <c r="D59" i="1"/>
  <c r="E59" i="1"/>
  <c r="F59" i="1"/>
  <c r="C59" i="1"/>
  <c r="D52" i="1"/>
  <c r="D61" i="1" s="1"/>
  <c r="E52" i="1"/>
  <c r="F52" i="1"/>
  <c r="C52" i="1"/>
  <c r="C42" i="1"/>
  <c r="E18" i="1"/>
  <c r="E19" i="1" s="1"/>
  <c r="F18" i="1"/>
  <c r="F22" i="1" s="1"/>
  <c r="C18" i="1"/>
  <c r="C19" i="1" s="1"/>
  <c r="D17" i="1"/>
  <c r="D18" i="1" s="1"/>
  <c r="E17" i="1"/>
  <c r="F17" i="1"/>
  <c r="C17" i="1"/>
  <c r="E8" i="1"/>
  <c r="F8" i="1"/>
  <c r="D8" i="1"/>
  <c r="D4" i="1"/>
  <c r="E4" i="1" s="1"/>
  <c r="E42" i="1" s="1"/>
  <c r="C5" i="1"/>
  <c r="H14" i="3" l="1"/>
  <c r="H131" i="3"/>
  <c r="D113" i="3"/>
  <c r="F60" i="3" s="1"/>
  <c r="F61" i="3" s="1"/>
  <c r="F63" i="3" s="1"/>
  <c r="F134" i="3"/>
  <c r="H50" i="3"/>
  <c r="J97" i="3"/>
  <c r="I102" i="3"/>
  <c r="H11" i="3"/>
  <c r="H15" i="3"/>
  <c r="I98" i="3"/>
  <c r="H12" i="3"/>
  <c r="I95" i="3"/>
  <c r="G94" i="3"/>
  <c r="G17" i="3"/>
  <c r="I106" i="3"/>
  <c r="H33" i="3"/>
  <c r="I104" i="3"/>
  <c r="H21" i="3"/>
  <c r="I7" i="3"/>
  <c r="H13" i="3"/>
  <c r="H16" i="3"/>
  <c r="E5" i="3"/>
  <c r="F4" i="3"/>
  <c r="E44" i="3"/>
  <c r="E71" i="3" s="1"/>
  <c r="F74" i="3"/>
  <c r="F77" i="3" s="1"/>
  <c r="F87" i="3" s="1"/>
  <c r="F23" i="3"/>
  <c r="F135" i="3" s="1"/>
  <c r="F39" i="3"/>
  <c r="F41" i="3" s="1"/>
  <c r="F30" i="3"/>
  <c r="F31" i="3" s="1"/>
  <c r="E74" i="3"/>
  <c r="E77" i="3" s="1"/>
  <c r="E87" i="3" s="1"/>
  <c r="E23" i="3"/>
  <c r="E30" i="3"/>
  <c r="E31" i="3" s="1"/>
  <c r="E39" i="3"/>
  <c r="E41" i="3" s="1"/>
  <c r="D74" i="3"/>
  <c r="D77" i="3" s="1"/>
  <c r="D87" i="3" s="1"/>
  <c r="D23" i="3"/>
  <c r="D39" i="3"/>
  <c r="D41" i="3" s="1"/>
  <c r="D30" i="3"/>
  <c r="D31" i="3" s="1"/>
  <c r="C39" i="3"/>
  <c r="C41" i="3" s="1"/>
  <c r="C30" i="3"/>
  <c r="C31" i="3" s="1"/>
  <c r="C23" i="3"/>
  <c r="C61" i="1"/>
  <c r="E84" i="1"/>
  <c r="D84" i="1"/>
  <c r="D19" i="1"/>
  <c r="D22" i="1"/>
  <c r="F30" i="1"/>
  <c r="F31" i="1" s="1"/>
  <c r="F23" i="1"/>
  <c r="F37" i="1"/>
  <c r="F39" i="1" s="1"/>
  <c r="C22" i="1"/>
  <c r="E22" i="1"/>
  <c r="D42" i="1"/>
  <c r="F19" i="1"/>
  <c r="E5" i="1"/>
  <c r="F4" i="1"/>
  <c r="D5" i="1"/>
  <c r="F120" i="3" l="1"/>
  <c r="G118" i="3" s="1"/>
  <c r="I50" i="3"/>
  <c r="I131" i="3"/>
  <c r="G4" i="3"/>
  <c r="H4" i="3" s="1"/>
  <c r="F128" i="3"/>
  <c r="G18" i="3"/>
  <c r="G19" i="3" s="1"/>
  <c r="G49" i="3"/>
  <c r="G56" i="3"/>
  <c r="K119" i="3"/>
  <c r="G119" i="3"/>
  <c r="H119" i="3"/>
  <c r="J119" i="3"/>
  <c r="J95" i="3"/>
  <c r="I12" i="3"/>
  <c r="J7" i="3"/>
  <c r="I16" i="3"/>
  <c r="I13" i="3"/>
  <c r="J98" i="3"/>
  <c r="I15" i="3"/>
  <c r="J104" i="3"/>
  <c r="I21" i="3"/>
  <c r="H94" i="3"/>
  <c r="H17" i="3"/>
  <c r="J102" i="3"/>
  <c r="I11" i="3"/>
  <c r="I14" i="3"/>
  <c r="J106" i="3"/>
  <c r="I33" i="3"/>
  <c r="K97" i="3"/>
  <c r="F5" i="3"/>
  <c r="F129" i="3" s="1"/>
  <c r="F44" i="3"/>
  <c r="F71" i="3" s="1"/>
  <c r="E45" i="3"/>
  <c r="E72" i="3"/>
  <c r="D23" i="1"/>
  <c r="D37" i="1"/>
  <c r="D39" i="1" s="1"/>
  <c r="D30" i="1"/>
  <c r="D31" i="1" s="1"/>
  <c r="E23" i="1"/>
  <c r="E30" i="1"/>
  <c r="E31" i="1" s="1"/>
  <c r="E37" i="1"/>
  <c r="E39" i="1" s="1"/>
  <c r="C30" i="1"/>
  <c r="C31" i="1" s="1"/>
  <c r="C23" i="1"/>
  <c r="C37" i="1"/>
  <c r="C39" i="1" s="1"/>
  <c r="F5" i="1"/>
  <c r="F42" i="1"/>
  <c r="I119" i="3" l="1"/>
  <c r="G5" i="3"/>
  <c r="G129" i="3" s="1"/>
  <c r="G22" i="3"/>
  <c r="G134" i="3" s="1"/>
  <c r="G84" i="3"/>
  <c r="G144" i="3"/>
  <c r="J50" i="3"/>
  <c r="J131" i="3"/>
  <c r="K84" i="3"/>
  <c r="K144" i="3"/>
  <c r="J84" i="3"/>
  <c r="J144" i="3"/>
  <c r="H44" i="3"/>
  <c r="H71" i="3" s="1"/>
  <c r="H128" i="3"/>
  <c r="H84" i="3"/>
  <c r="H144" i="3"/>
  <c r="J14" i="3"/>
  <c r="I84" i="3"/>
  <c r="I144" i="3"/>
  <c r="G44" i="3"/>
  <c r="G71" i="3" s="1"/>
  <c r="G128" i="3"/>
  <c r="G120" i="3"/>
  <c r="G152" i="3" s="1"/>
  <c r="H18" i="3"/>
  <c r="H19" i="3" s="1"/>
  <c r="H56" i="3"/>
  <c r="H49" i="3"/>
  <c r="G75" i="3"/>
  <c r="G138" i="3" s="1"/>
  <c r="G74" i="3"/>
  <c r="K104" i="3"/>
  <c r="J21" i="3"/>
  <c r="G23" i="3"/>
  <c r="G135" i="3" s="1"/>
  <c r="K98" i="3"/>
  <c r="J15" i="3"/>
  <c r="K106" i="3"/>
  <c r="K33" i="3" s="1"/>
  <c r="J33" i="3"/>
  <c r="K102" i="3"/>
  <c r="K11" i="3" s="1"/>
  <c r="J11" i="3"/>
  <c r="I17" i="3"/>
  <c r="I94" i="3"/>
  <c r="K7" i="3"/>
  <c r="J16" i="3"/>
  <c r="J13" i="3"/>
  <c r="I4" i="3"/>
  <c r="H5" i="3"/>
  <c r="H129" i="3" s="1"/>
  <c r="K95" i="3"/>
  <c r="J12" i="3"/>
  <c r="F45" i="3"/>
  <c r="F72" i="3"/>
  <c r="H22" i="3" l="1"/>
  <c r="H134" i="3" s="1"/>
  <c r="G45" i="3"/>
  <c r="G72" i="3"/>
  <c r="G122" i="3"/>
  <c r="G143" i="3" s="1"/>
  <c r="G156" i="3"/>
  <c r="K50" i="3"/>
  <c r="K131" i="3"/>
  <c r="G37" i="3"/>
  <c r="G83" i="3" s="1"/>
  <c r="G85" i="3" s="1"/>
  <c r="I44" i="3"/>
  <c r="I71" i="3" s="1"/>
  <c r="I128" i="3"/>
  <c r="H72" i="3"/>
  <c r="H45" i="3"/>
  <c r="I18" i="3"/>
  <c r="I22" i="3" s="1"/>
  <c r="I134" i="3" s="1"/>
  <c r="I49" i="3"/>
  <c r="I56" i="3"/>
  <c r="H75" i="3"/>
  <c r="H138" i="3" s="1"/>
  <c r="H118" i="3"/>
  <c r="G60" i="3"/>
  <c r="K15" i="3"/>
  <c r="K12" i="3"/>
  <c r="K16" i="3"/>
  <c r="K13" i="3"/>
  <c r="J4" i="3"/>
  <c r="I5" i="3"/>
  <c r="I129" i="3" s="1"/>
  <c r="K14" i="3"/>
  <c r="J17" i="3"/>
  <c r="J94" i="3"/>
  <c r="K94" i="3"/>
  <c r="K21" i="3"/>
  <c r="H74" i="3" l="1"/>
  <c r="H23" i="3"/>
  <c r="H135" i="3" s="1"/>
  <c r="G145" i="3"/>
  <c r="G159" i="3"/>
  <c r="G160" i="3"/>
  <c r="G39" i="3"/>
  <c r="G40" i="3" s="1"/>
  <c r="G76" i="3" s="1"/>
  <c r="G139" i="3" s="1"/>
  <c r="G141" i="3" s="1"/>
  <c r="I75" i="3"/>
  <c r="I138" i="3" s="1"/>
  <c r="G77" i="3"/>
  <c r="G87" i="3" s="1"/>
  <c r="G53" i="3" s="1"/>
  <c r="G157" i="3" s="1"/>
  <c r="J44" i="3"/>
  <c r="J71" i="3" s="1"/>
  <c r="J128" i="3"/>
  <c r="I19" i="3"/>
  <c r="H120" i="3"/>
  <c r="H152" i="3" s="1"/>
  <c r="H122" i="3"/>
  <c r="I74" i="3"/>
  <c r="I45" i="3"/>
  <c r="I72" i="3"/>
  <c r="J18" i="3"/>
  <c r="J22" i="3" s="1"/>
  <c r="J134" i="3" s="1"/>
  <c r="J56" i="3"/>
  <c r="J49" i="3"/>
  <c r="K17" i="3"/>
  <c r="K4" i="3"/>
  <c r="K128" i="3" s="1"/>
  <c r="J5" i="3"/>
  <c r="J129" i="3" s="1"/>
  <c r="I23" i="3"/>
  <c r="I135" i="3" s="1"/>
  <c r="G147" i="3" l="1"/>
  <c r="G162" i="3"/>
  <c r="H156" i="3"/>
  <c r="G41" i="3"/>
  <c r="J75" i="3"/>
  <c r="J138" i="3" s="1"/>
  <c r="H37" i="3"/>
  <c r="H83" i="3" s="1"/>
  <c r="H85" i="3" s="1"/>
  <c r="H143" i="3"/>
  <c r="G148" i="3"/>
  <c r="J19" i="3"/>
  <c r="J74" i="3"/>
  <c r="J45" i="3"/>
  <c r="J72" i="3"/>
  <c r="K5" i="3"/>
  <c r="K129" i="3" s="1"/>
  <c r="K44" i="3"/>
  <c r="K71" i="3" s="1"/>
  <c r="K18" i="3"/>
  <c r="K49" i="3"/>
  <c r="K56" i="3"/>
  <c r="I118" i="3"/>
  <c r="H60" i="3"/>
  <c r="J23" i="3"/>
  <c r="J135" i="3" s="1"/>
  <c r="H39" i="3" l="1"/>
  <c r="H40" i="3" s="1"/>
  <c r="H76" i="3" s="1"/>
  <c r="K75" i="3"/>
  <c r="K138" i="3" s="1"/>
  <c r="H145" i="3"/>
  <c r="H159" i="3"/>
  <c r="H160" i="3"/>
  <c r="H41" i="3"/>
  <c r="H77" i="3"/>
  <c r="H87" i="3" s="1"/>
  <c r="H53" i="3" s="1"/>
  <c r="H157" i="3" s="1"/>
  <c r="H139" i="3"/>
  <c r="H141" i="3" s="1"/>
  <c r="K45" i="3"/>
  <c r="K72" i="3"/>
  <c r="I120" i="3"/>
  <c r="I152" i="3" s="1"/>
  <c r="I122" i="3"/>
  <c r="K19" i="3"/>
  <c r="K22" i="3"/>
  <c r="K134" i="3" s="1"/>
  <c r="H147" i="3" l="1"/>
  <c r="H162" i="3"/>
  <c r="I156" i="3"/>
  <c r="I37" i="3"/>
  <c r="I39" i="3" s="1"/>
  <c r="I40" i="3" s="1"/>
  <c r="I76" i="3" s="1"/>
  <c r="I143" i="3"/>
  <c r="H148" i="3"/>
  <c r="K74" i="3"/>
  <c r="K23" i="3"/>
  <c r="K135" i="3" s="1"/>
  <c r="J118" i="3"/>
  <c r="I60" i="3"/>
  <c r="I145" i="3" l="1"/>
  <c r="I159" i="3"/>
  <c r="I160" i="3"/>
  <c r="I83" i="3"/>
  <c r="I85" i="3" s="1"/>
  <c r="I77" i="3"/>
  <c r="I87" i="3" s="1"/>
  <c r="I53" i="3" s="1"/>
  <c r="I157" i="3" s="1"/>
  <c r="I139" i="3"/>
  <c r="I141" i="3" s="1"/>
  <c r="I41" i="3"/>
  <c r="J120" i="3"/>
  <c r="I147" i="3" l="1"/>
  <c r="I162" i="3"/>
  <c r="J122" i="3"/>
  <c r="J37" i="3" s="1"/>
  <c r="J152" i="3"/>
  <c r="I148" i="3"/>
  <c r="K118" i="3"/>
  <c r="J60" i="3"/>
  <c r="J143" i="3" l="1"/>
  <c r="J83" i="3"/>
  <c r="J85" i="3" s="1"/>
  <c r="J39" i="3"/>
  <c r="J40" i="3" s="1"/>
  <c r="J76" i="3" s="1"/>
  <c r="J139" i="3" s="1"/>
  <c r="J141" i="3" s="1"/>
  <c r="J145" i="3"/>
  <c r="J160" i="3"/>
  <c r="J159" i="3"/>
  <c r="J156" i="3"/>
  <c r="J77" i="3"/>
  <c r="J87" i="3" s="1"/>
  <c r="J53" i="3" s="1"/>
  <c r="J157" i="3" s="1"/>
  <c r="K120" i="3"/>
  <c r="K122" i="3"/>
  <c r="J41" i="3" l="1"/>
  <c r="J147" i="3"/>
  <c r="J162" i="3"/>
  <c r="K60" i="3"/>
  <c r="K152" i="3"/>
  <c r="K37" i="3"/>
  <c r="K83" i="3" s="1"/>
  <c r="K85" i="3" s="1"/>
  <c r="K143" i="3"/>
  <c r="J148" i="3"/>
  <c r="K39" i="3" l="1"/>
  <c r="K40" i="3" s="1"/>
  <c r="K41" i="3" s="1"/>
  <c r="K145" i="3"/>
  <c r="K159" i="3"/>
  <c r="K160" i="3"/>
  <c r="K156" i="3"/>
  <c r="K76" i="3"/>
  <c r="K77" i="3" s="1"/>
  <c r="K87" i="3" s="1"/>
  <c r="K53" i="3" s="1"/>
  <c r="K157" i="3" s="1"/>
  <c r="K139" i="3" l="1"/>
  <c r="K141" i="3" s="1"/>
  <c r="K147" i="3"/>
  <c r="K148" i="3" s="1"/>
  <c r="K150" i="3" s="1"/>
  <c r="K164" i="3" s="1"/>
  <c r="K162" i="3"/>
</calcChain>
</file>

<file path=xl/sharedStrings.xml><?xml version="1.0" encoding="utf-8"?>
<sst xmlns="http://schemas.openxmlformats.org/spreadsheetml/2006/main" count="176" uniqueCount="97">
  <si>
    <t>Historical Accounts</t>
  </si>
  <si>
    <t>Mgmt</t>
  </si>
  <si>
    <t>Revenue</t>
  </si>
  <si>
    <t>Rev Growth</t>
  </si>
  <si>
    <t>COGS</t>
  </si>
  <si>
    <t>Purchases</t>
  </si>
  <si>
    <t>Printing, Packaging, Transport</t>
  </si>
  <si>
    <t>Warehouse &amp; Storage</t>
  </si>
  <si>
    <t>Wages &amp; Salaries</t>
  </si>
  <si>
    <t>Net Inventory Movement</t>
  </si>
  <si>
    <t>Other</t>
  </si>
  <si>
    <t>COGS:</t>
  </si>
  <si>
    <t>Gross Profit</t>
  </si>
  <si>
    <t>GP Margin</t>
  </si>
  <si>
    <t>SG&amp;A</t>
  </si>
  <si>
    <t>Reported EBITDA</t>
  </si>
  <si>
    <t>Reported EBITDA Margin</t>
  </si>
  <si>
    <t>Adjs:</t>
  </si>
  <si>
    <t>(+) Management Charge</t>
  </si>
  <si>
    <t>(+) Shareholder Costs</t>
  </si>
  <si>
    <t>(+) Director Costs</t>
  </si>
  <si>
    <t>(+) Travelling / Motor</t>
  </si>
  <si>
    <t>Adj EBITDA</t>
  </si>
  <si>
    <t>Adj EBITDA Margin</t>
  </si>
  <si>
    <t>Depreciation</t>
  </si>
  <si>
    <t>Exceptionals</t>
  </si>
  <si>
    <t>Misc</t>
  </si>
  <si>
    <t>PBT</t>
  </si>
  <si>
    <t>Tax</t>
  </si>
  <si>
    <t>Net Income</t>
  </si>
  <si>
    <t>Balance Sheet</t>
  </si>
  <si>
    <t>PP&amp;E</t>
  </si>
  <si>
    <t>Inventories</t>
  </si>
  <si>
    <t>Receivables</t>
  </si>
  <si>
    <t>Prepayments</t>
  </si>
  <si>
    <t>Deferred Tax Asset</t>
  </si>
  <si>
    <t>C&amp;CE</t>
  </si>
  <si>
    <t>Total Assets</t>
  </si>
  <si>
    <t>Profit and Loss</t>
  </si>
  <si>
    <t>Trade Payables</t>
  </si>
  <si>
    <t>Deferred Tax Liabilities</t>
  </si>
  <si>
    <t>Other Creditors</t>
  </si>
  <si>
    <t>Accruals</t>
  </si>
  <si>
    <t>Debt</t>
  </si>
  <si>
    <t>Total Liabilties</t>
  </si>
  <si>
    <t>Equity</t>
  </si>
  <si>
    <t>WC</t>
  </si>
  <si>
    <t>Average Inventory Days</t>
  </si>
  <si>
    <t>Average Debtor Days</t>
  </si>
  <si>
    <t>Average Creditor Days</t>
  </si>
  <si>
    <t>Cash Flow Statement</t>
  </si>
  <si>
    <t>EBITDA</t>
  </si>
  <si>
    <t>Change in NWC</t>
  </si>
  <si>
    <t>Cash from Ops</t>
  </si>
  <si>
    <t>Maintenance Capex (Depreciation)</t>
  </si>
  <si>
    <t>Growth Capex</t>
  </si>
  <si>
    <t>Cash from Investing Activities</t>
  </si>
  <si>
    <t>Interest</t>
  </si>
  <si>
    <t>Cash from financing</t>
  </si>
  <si>
    <t>Net change in Cash</t>
  </si>
  <si>
    <t>Tax Rate</t>
  </si>
  <si>
    <t>TLA</t>
  </si>
  <si>
    <t>xEBITDA</t>
  </si>
  <si>
    <t>Amortization</t>
  </si>
  <si>
    <t>Amount</t>
  </si>
  <si>
    <t>Interest Expense</t>
  </si>
  <si>
    <t>Debt Schedule</t>
  </si>
  <si>
    <t>BoP</t>
  </si>
  <si>
    <t>EoP</t>
  </si>
  <si>
    <t>Gross Leverage</t>
  </si>
  <si>
    <t>Net Leverage</t>
  </si>
  <si>
    <t>Year</t>
  </si>
  <si>
    <t>COGS, Margins %:</t>
  </si>
  <si>
    <t>Projected Inflation</t>
  </si>
  <si>
    <t>SG&amp;A Margin %</t>
  </si>
  <si>
    <t>Capex</t>
  </si>
  <si>
    <t>Days in Year</t>
  </si>
  <si>
    <t>SONIA Fwd Curve</t>
  </si>
  <si>
    <t>Credit Case Projections</t>
  </si>
  <si>
    <t>Credit Case for Investment Memo</t>
  </si>
  <si>
    <t>x</t>
  </si>
  <si>
    <t>FYE Date</t>
  </si>
  <si>
    <t>Credit Case Output</t>
  </si>
  <si>
    <t>Revenues</t>
  </si>
  <si>
    <t>Rev Growth %</t>
  </si>
  <si>
    <t>EBITDA Margin %</t>
  </si>
  <si>
    <t>CFADS</t>
  </si>
  <si>
    <t>Mandatory Amortization</t>
  </si>
  <si>
    <t>Mandatory Debt Payments</t>
  </si>
  <si>
    <t>FCF Available for Debt Repayment</t>
  </si>
  <si>
    <t>Cum FCF Available for Debt Repayment</t>
  </si>
  <si>
    <t>5-yr Repayment Capacity</t>
  </si>
  <si>
    <t>Credit Statistics</t>
  </si>
  <si>
    <t>Interest Coverage (EBITDA/Interest)</t>
  </si>
  <si>
    <t>Interest Coverage (EBITDA-Capex/Interest)</t>
  </si>
  <si>
    <t>DSCR</t>
  </si>
  <si>
    <t>Secured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</si>
</sst>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#\-;\(#,###\-\)"/>
    <numFmt numFmtId="166" formatCode="#,###;\(#,###\);\-"/>
    <numFmt numFmtId="169" formatCode="0.0\x"/>
    <numFmt numFmtId="170" formatCode="&quot;S + &quot;0.0%"/>
    <numFmt numFmtId="174" formatCode="General&quot; PF&quot;"/>
    <numFmt numFmtId="175" formatCode="General&quot; E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FF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FF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9" fontId="3" fillId="0" borderId="0" xfId="1" applyFont="1"/>
    <xf numFmtId="9" fontId="2" fillId="0" borderId="0" xfId="1" applyFont="1"/>
    <xf numFmtId="166" fontId="2" fillId="0" borderId="0" xfId="0" applyNumberFormat="1" applyFont="1"/>
    <xf numFmtId="9" fontId="4" fillId="0" borderId="0" xfId="1" applyFont="1"/>
    <xf numFmtId="166" fontId="3" fillId="0" borderId="0" xfId="0" applyNumberFormat="1" applyFont="1"/>
    <xf numFmtId="0" fontId="5" fillId="0" borderId="0" xfId="0" applyFont="1"/>
    <xf numFmtId="166" fontId="5" fillId="0" borderId="0" xfId="0" applyNumberFormat="1" applyFont="1"/>
    <xf numFmtId="14" fontId="6" fillId="0" borderId="0" xfId="0" applyNumberFormat="1" applyFont="1"/>
    <xf numFmtId="14" fontId="7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166" fontId="7" fillId="0" borderId="0" xfId="0" applyNumberFormat="1" applyFont="1"/>
    <xf numFmtId="166" fontId="6" fillId="0" borderId="0" xfId="0" applyNumberFormat="1" applyFont="1"/>
    <xf numFmtId="0" fontId="2" fillId="2" borderId="0" xfId="0" applyFont="1" applyFill="1"/>
    <xf numFmtId="166" fontId="2" fillId="2" borderId="0" xfId="0" applyNumberFormat="1" applyFont="1" applyFill="1"/>
    <xf numFmtId="166" fontId="5" fillId="2" borderId="0" xfId="0" applyNumberFormat="1" applyFont="1" applyFill="1"/>
    <xf numFmtId="166" fontId="3" fillId="2" borderId="0" xfId="0" applyNumberFormat="1" applyFont="1" applyFill="1"/>
    <xf numFmtId="169" fontId="3" fillId="0" borderId="0" xfId="0" applyNumberFormat="1" applyFont="1"/>
    <xf numFmtId="10" fontId="3" fillId="0" borderId="0" xfId="1" applyNumberFormat="1" applyFont="1"/>
    <xf numFmtId="170" fontId="3" fillId="0" borderId="0" xfId="1" applyNumberFormat="1" applyFont="1"/>
    <xf numFmtId="169" fontId="5" fillId="0" borderId="0" xfId="0" applyNumberFormat="1" applyFont="1"/>
    <xf numFmtId="0" fontId="3" fillId="0" borderId="0" xfId="1" applyNumberFormat="1" applyFont="1"/>
    <xf numFmtId="174" fontId="2" fillId="0" borderId="0" xfId="0" applyNumberFormat="1" applyFont="1"/>
    <xf numFmtId="175" fontId="2" fillId="0" borderId="0" xfId="0" applyNumberFormat="1" applyFont="1"/>
    <xf numFmtId="166" fontId="8" fillId="0" borderId="0" xfId="0" applyNumberFormat="1" applyFont="1"/>
    <xf numFmtId="174" fontId="5" fillId="0" borderId="0" xfId="0" applyNumberFormat="1" applyFont="1"/>
    <xf numFmtId="175" fontId="5" fillId="0" borderId="0" xfId="0" applyNumberFormat="1" applyFont="1"/>
    <xf numFmtId="164" fontId="4" fillId="0" borderId="0" xfId="1" applyNumberFormat="1" applyFont="1"/>
    <xf numFmtId="164" fontId="5" fillId="0" borderId="1" xfId="1" applyNumberFormat="1" applyFont="1" applyBorder="1"/>
    <xf numFmtId="164" fontId="5" fillId="0" borderId="0" xfId="1" applyNumberFormat="1" applyFont="1" applyBorder="1"/>
    <xf numFmtId="0" fontId="9" fillId="3" borderId="0" xfId="0" applyFont="1" applyFill="1"/>
    <xf numFmtId="166" fontId="10" fillId="3" borderId="0" xfId="0" applyNumberFormat="1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8C34-4106-482E-A0A2-ECB4B5684E8C}">
  <dimension ref="A1:G84"/>
  <sheetViews>
    <sheetView showGridLines="0" zoomScale="85" zoomScaleNormal="85" workbookViewId="0">
      <selection activeCell="J61" sqref="J61"/>
    </sheetView>
  </sheetViews>
  <sheetFormatPr defaultRowHeight="13.8" x14ac:dyDescent="0.3"/>
  <cols>
    <col min="1" max="1" width="2.77734375" style="1" customWidth="1"/>
    <col min="2" max="2" width="28.5546875" style="1" customWidth="1"/>
    <col min="3" max="6" width="10.33203125" style="11" bestFit="1" customWidth="1"/>
    <col min="7" max="16384" width="8.88671875" style="11"/>
  </cols>
  <sheetData>
    <row r="1" spans="1:6" s="1" customFormat="1" x14ac:dyDescent="0.3"/>
    <row r="2" spans="1:6" s="1" customFormat="1" x14ac:dyDescent="0.3">
      <c r="B2" s="1" t="s">
        <v>0</v>
      </c>
    </row>
    <row r="3" spans="1:6" s="1" customFormat="1" x14ac:dyDescent="0.3">
      <c r="E3" s="2"/>
      <c r="F3" s="19" t="s">
        <v>1</v>
      </c>
    </row>
    <row r="4" spans="1:6" s="1" customFormat="1" x14ac:dyDescent="0.3">
      <c r="B4" s="16" t="s">
        <v>38</v>
      </c>
      <c r="C4" s="17">
        <v>43100</v>
      </c>
      <c r="D4" s="18">
        <f>EOMONTH(C4,12)</f>
        <v>43465</v>
      </c>
      <c r="E4" s="18">
        <f t="shared" ref="E4:F4" si="0">EOMONTH(D4,12)</f>
        <v>43830</v>
      </c>
      <c r="F4" s="18">
        <f t="shared" si="0"/>
        <v>44196</v>
      </c>
    </row>
    <row r="5" spans="1:6" s="1" customFormat="1" x14ac:dyDescent="0.3">
      <c r="C5" s="1">
        <f>YEAR(C4)</f>
        <v>2017</v>
      </c>
      <c r="D5" s="1">
        <f t="shared" ref="D5" si="1">YEAR(D4)</f>
        <v>2018</v>
      </c>
      <c r="E5" s="1">
        <f t="shared" ref="E5" si="2">YEAR(E4)</f>
        <v>2019</v>
      </c>
      <c r="F5" s="1">
        <f t="shared" ref="F5" si="3">YEAR(F4)</f>
        <v>2020</v>
      </c>
    </row>
    <row r="6" spans="1:6" s="1" customFormat="1" x14ac:dyDescent="0.3"/>
    <row r="7" spans="1:6" s="8" customFormat="1" x14ac:dyDescent="0.3">
      <c r="A7" s="1"/>
      <c r="B7" s="14" t="s">
        <v>2</v>
      </c>
      <c r="C7" s="20">
        <v>16725</v>
      </c>
      <c r="D7" s="20">
        <v>17614</v>
      </c>
      <c r="E7" s="20">
        <v>19451</v>
      </c>
      <c r="F7" s="20">
        <v>21712</v>
      </c>
    </row>
    <row r="8" spans="1:6" s="8" customFormat="1" x14ac:dyDescent="0.3">
      <c r="A8" s="1"/>
      <c r="B8" s="3" t="s">
        <v>3</v>
      </c>
      <c r="C8" s="9">
        <v>0.114</v>
      </c>
      <c r="D8" s="10">
        <f>D7/C7-1</f>
        <v>5.3153961136023886E-2</v>
      </c>
      <c r="E8" s="10">
        <f t="shared" ref="E8:F8" si="4">E7/D7-1</f>
        <v>0.10429204042239126</v>
      </c>
      <c r="F8" s="10">
        <f t="shared" si="4"/>
        <v>0.11624081024111876</v>
      </c>
    </row>
    <row r="9" spans="1:6" s="8" customFormat="1" x14ac:dyDescent="0.3">
      <c r="A9" s="1"/>
      <c r="B9" s="1"/>
    </row>
    <row r="10" spans="1:6" s="8" customFormat="1" x14ac:dyDescent="0.3">
      <c r="A10" s="1"/>
      <c r="B10" s="1" t="s">
        <v>11</v>
      </c>
    </row>
    <row r="11" spans="1:6" x14ac:dyDescent="0.3">
      <c r="B11" s="6" t="s">
        <v>5</v>
      </c>
      <c r="C11" s="13">
        <v>-11754</v>
      </c>
      <c r="D11" s="13">
        <v>-12657</v>
      </c>
      <c r="E11" s="13">
        <v>-14632</v>
      </c>
      <c r="F11" s="13">
        <v>-16923</v>
      </c>
    </row>
    <row r="12" spans="1:6" x14ac:dyDescent="0.3">
      <c r="B12" s="6" t="s">
        <v>6</v>
      </c>
      <c r="C12" s="13">
        <v>-1250</v>
      </c>
      <c r="D12" s="13">
        <v>-1193</v>
      </c>
      <c r="E12" s="13">
        <v>-1398</v>
      </c>
      <c r="F12" s="13">
        <v>0</v>
      </c>
    </row>
    <row r="13" spans="1:6" x14ac:dyDescent="0.3">
      <c r="B13" s="6" t="s">
        <v>7</v>
      </c>
      <c r="C13" s="13">
        <v>-160</v>
      </c>
      <c r="D13" s="13">
        <v>-219</v>
      </c>
      <c r="E13" s="13">
        <v>-269</v>
      </c>
      <c r="F13" s="13">
        <v>0</v>
      </c>
    </row>
    <row r="14" spans="1:6" x14ac:dyDescent="0.3">
      <c r="B14" s="6" t="s">
        <v>8</v>
      </c>
      <c r="C14" s="13">
        <v>-616</v>
      </c>
      <c r="D14" s="13">
        <v>-785</v>
      </c>
      <c r="E14" s="13">
        <v>-958</v>
      </c>
      <c r="F14" s="13">
        <v>-960</v>
      </c>
    </row>
    <row r="15" spans="1:6" x14ac:dyDescent="0.3">
      <c r="B15" s="6" t="s">
        <v>9</v>
      </c>
      <c r="C15" s="13">
        <v>192</v>
      </c>
      <c r="D15" s="13">
        <v>313</v>
      </c>
      <c r="E15" s="13">
        <v>745</v>
      </c>
      <c r="F15" s="13">
        <v>-52</v>
      </c>
    </row>
    <row r="16" spans="1:6" x14ac:dyDescent="0.3">
      <c r="B16" s="6" t="s">
        <v>10</v>
      </c>
      <c r="C16" s="13">
        <v>-30</v>
      </c>
      <c r="D16" s="13">
        <v>-31</v>
      </c>
      <c r="E16" s="13">
        <v>-28</v>
      </c>
      <c r="F16" s="13">
        <v>-22</v>
      </c>
    </row>
    <row r="17" spans="2:6" x14ac:dyDescent="0.3">
      <c r="B17" s="7" t="s">
        <v>4</v>
      </c>
      <c r="C17" s="13">
        <f>SUM(C11:C16)</f>
        <v>-13618</v>
      </c>
      <c r="D17" s="13">
        <f t="shared" ref="D17:F17" si="5">SUM(D11:D16)</f>
        <v>-14572</v>
      </c>
      <c r="E17" s="13">
        <f t="shared" si="5"/>
        <v>-16540</v>
      </c>
      <c r="F17" s="13">
        <f t="shared" si="5"/>
        <v>-17957</v>
      </c>
    </row>
    <row r="18" spans="2:6" x14ac:dyDescent="0.3">
      <c r="B18" s="14" t="s">
        <v>12</v>
      </c>
      <c r="C18" s="21">
        <f>C17+C7</f>
        <v>3107</v>
      </c>
      <c r="D18" s="21">
        <f t="shared" ref="D18:F18" si="6">D17+D7</f>
        <v>3042</v>
      </c>
      <c r="E18" s="21">
        <f t="shared" si="6"/>
        <v>2911</v>
      </c>
      <c r="F18" s="21">
        <f t="shared" si="6"/>
        <v>3755</v>
      </c>
    </row>
    <row r="19" spans="2:6" x14ac:dyDescent="0.3">
      <c r="B19" s="3" t="s">
        <v>13</v>
      </c>
      <c r="C19" s="12">
        <f>C18/C7</f>
        <v>0.18576980568011958</v>
      </c>
      <c r="D19" s="12">
        <f t="shared" ref="D19:F19" si="7">D18/D7</f>
        <v>0.17270353128193483</v>
      </c>
      <c r="E19" s="12">
        <f t="shared" si="7"/>
        <v>0.14965811526399672</v>
      </c>
      <c r="F19" s="12">
        <f t="shared" si="7"/>
        <v>0.17294583640383199</v>
      </c>
    </row>
    <row r="21" spans="2:6" x14ac:dyDescent="0.3">
      <c r="B21" s="1" t="s">
        <v>14</v>
      </c>
      <c r="C21" s="13">
        <v>-1782</v>
      </c>
      <c r="D21" s="13">
        <v>-1672</v>
      </c>
      <c r="E21" s="13">
        <v>-2204</v>
      </c>
      <c r="F21" s="13">
        <v>-1947</v>
      </c>
    </row>
    <row r="22" spans="2:6" x14ac:dyDescent="0.3">
      <c r="B22" s="14" t="s">
        <v>15</v>
      </c>
      <c r="C22" s="20">
        <f>C18+C21</f>
        <v>1325</v>
      </c>
      <c r="D22" s="20">
        <f t="shared" ref="D22:F22" si="8">D18+D21</f>
        <v>1370</v>
      </c>
      <c r="E22" s="20">
        <f t="shared" si="8"/>
        <v>707</v>
      </c>
      <c r="F22" s="20">
        <f t="shared" si="8"/>
        <v>1808</v>
      </c>
    </row>
    <row r="23" spans="2:6" x14ac:dyDescent="0.3">
      <c r="B23" s="3" t="s">
        <v>16</v>
      </c>
      <c r="C23" s="10">
        <f>C22/C7</f>
        <v>7.9222720478325862E-2</v>
      </c>
      <c r="D23" s="10">
        <f t="shared" ref="D23:F23" si="9">D22/D7</f>
        <v>7.7779039400476896E-2</v>
      </c>
      <c r="E23" s="10">
        <f t="shared" si="9"/>
        <v>3.6347745617191916E-2</v>
      </c>
      <c r="F23" s="10">
        <f t="shared" si="9"/>
        <v>8.3271923360353717E-2</v>
      </c>
    </row>
    <row r="25" spans="2:6" x14ac:dyDescent="0.3">
      <c r="B25" s="1" t="s">
        <v>17</v>
      </c>
    </row>
    <row r="26" spans="2:6" x14ac:dyDescent="0.3">
      <c r="B26" s="6" t="s">
        <v>18</v>
      </c>
      <c r="C26" s="13">
        <v>65</v>
      </c>
      <c r="D26" s="13">
        <v>65</v>
      </c>
      <c r="E26" s="13">
        <v>65</v>
      </c>
      <c r="F26" s="13">
        <v>65</v>
      </c>
    </row>
    <row r="27" spans="2:6" x14ac:dyDescent="0.3">
      <c r="B27" s="6" t="s">
        <v>19</v>
      </c>
      <c r="C27" s="13">
        <v>48</v>
      </c>
      <c r="D27" s="13">
        <v>48</v>
      </c>
      <c r="E27" s="13">
        <v>48</v>
      </c>
      <c r="F27" s="13">
        <v>48</v>
      </c>
    </row>
    <row r="28" spans="2:6" x14ac:dyDescent="0.3">
      <c r="B28" s="6" t="s">
        <v>20</v>
      </c>
      <c r="C28" s="13">
        <v>117</v>
      </c>
      <c r="D28" s="13">
        <v>117</v>
      </c>
      <c r="E28" s="13">
        <v>117</v>
      </c>
      <c r="F28" s="13">
        <v>117</v>
      </c>
    </row>
    <row r="29" spans="2:6" x14ac:dyDescent="0.3">
      <c r="B29" s="6" t="s">
        <v>21</v>
      </c>
      <c r="C29" s="13">
        <v>30</v>
      </c>
      <c r="D29" s="13">
        <v>30</v>
      </c>
      <c r="E29" s="13">
        <v>30</v>
      </c>
      <c r="F29" s="13">
        <v>30</v>
      </c>
    </row>
    <row r="30" spans="2:6" x14ac:dyDescent="0.3">
      <c r="B30" s="14" t="s">
        <v>22</v>
      </c>
      <c r="C30" s="15">
        <f>C22+SUM(C26:C29)</f>
        <v>1585</v>
      </c>
      <c r="D30" s="15">
        <f t="shared" ref="D30:F30" si="10">D22+SUM(D26:D29)</f>
        <v>1630</v>
      </c>
      <c r="E30" s="15">
        <f t="shared" si="10"/>
        <v>967</v>
      </c>
      <c r="F30" s="15">
        <f t="shared" si="10"/>
        <v>2068</v>
      </c>
    </row>
    <row r="31" spans="2:6" x14ac:dyDescent="0.3">
      <c r="B31" s="1" t="s">
        <v>23</v>
      </c>
      <c r="C31" s="10">
        <f>C30/C7</f>
        <v>9.4768310911808665E-2</v>
      </c>
      <c r="D31" s="10">
        <f t="shared" ref="D31:F31" si="11">D30/D7</f>
        <v>9.2540024980129448E-2</v>
      </c>
      <c r="E31" s="10">
        <f t="shared" si="11"/>
        <v>4.971466762634312E-2</v>
      </c>
      <c r="F31" s="10">
        <f t="shared" si="11"/>
        <v>9.5246868091378042E-2</v>
      </c>
    </row>
    <row r="33" spans="2:7" x14ac:dyDescent="0.3">
      <c r="B33" s="1" t="s">
        <v>24</v>
      </c>
      <c r="C33" s="13">
        <v>-81</v>
      </c>
      <c r="D33" s="13">
        <v>-81</v>
      </c>
      <c r="E33" s="13">
        <v>-86</v>
      </c>
      <c r="F33" s="13">
        <v>-80</v>
      </c>
    </row>
    <row r="34" spans="2:7" x14ac:dyDescent="0.3">
      <c r="B34" s="1" t="s">
        <v>25</v>
      </c>
      <c r="C34" s="13">
        <v>0</v>
      </c>
      <c r="D34" s="13">
        <v>0</v>
      </c>
      <c r="E34" s="13">
        <v>0</v>
      </c>
      <c r="F34" s="13">
        <v>-40</v>
      </c>
    </row>
    <row r="35" spans="2:7" x14ac:dyDescent="0.3">
      <c r="B35" s="1" t="s">
        <v>26</v>
      </c>
      <c r="C35" s="13">
        <v>-3</v>
      </c>
      <c r="D35" s="13">
        <v>0</v>
      </c>
      <c r="E35" s="13">
        <v>-16</v>
      </c>
      <c r="F35" s="13">
        <v>0</v>
      </c>
    </row>
    <row r="37" spans="2:7" x14ac:dyDescent="0.3">
      <c r="B37" s="14" t="s">
        <v>27</v>
      </c>
      <c r="C37" s="20">
        <f>C22+SUM(C33:C35)</f>
        <v>1241</v>
      </c>
      <c r="D37" s="20">
        <f t="shared" ref="D37:F37" si="12">D22+SUM(D33:D35)</f>
        <v>1289</v>
      </c>
      <c r="E37" s="20">
        <f t="shared" si="12"/>
        <v>605</v>
      </c>
      <c r="F37" s="20">
        <f t="shared" si="12"/>
        <v>1688</v>
      </c>
      <c r="G37" s="15"/>
    </row>
    <row r="38" spans="2:7" x14ac:dyDescent="0.3">
      <c r="B38" s="1" t="s">
        <v>28</v>
      </c>
      <c r="C38" s="13">
        <v>-160</v>
      </c>
      <c r="D38" s="13">
        <v>-166</v>
      </c>
      <c r="E38" s="13">
        <v>-81</v>
      </c>
      <c r="F38" s="13">
        <v>0</v>
      </c>
    </row>
    <row r="39" spans="2:7" x14ac:dyDescent="0.3">
      <c r="B39" s="14" t="s">
        <v>29</v>
      </c>
      <c r="C39" s="15">
        <f>SUM(C37:C38)</f>
        <v>1081</v>
      </c>
      <c r="D39" s="15">
        <f t="shared" ref="D39:F39" si="13">SUM(D37:D38)</f>
        <v>1123</v>
      </c>
      <c r="E39" s="15">
        <f t="shared" si="13"/>
        <v>524</v>
      </c>
      <c r="F39" s="15">
        <f t="shared" si="13"/>
        <v>1688</v>
      </c>
    </row>
    <row r="42" spans="2:7" x14ac:dyDescent="0.3">
      <c r="B42" s="14" t="s">
        <v>30</v>
      </c>
      <c r="C42" s="16">
        <f>C4</f>
        <v>43100</v>
      </c>
      <c r="D42" s="16">
        <f t="shared" ref="D42:F42" si="14">D4</f>
        <v>43465</v>
      </c>
      <c r="E42" s="16">
        <f t="shared" si="14"/>
        <v>43830</v>
      </c>
      <c r="F42" s="16">
        <f t="shared" si="14"/>
        <v>44196</v>
      </c>
    </row>
    <row r="43" spans="2:7" x14ac:dyDescent="0.3">
      <c r="B43" s="14"/>
      <c r="C43" s="1">
        <f>C5</f>
        <v>2017</v>
      </c>
      <c r="D43" s="1">
        <f t="shared" ref="D43:F43" si="15">D5</f>
        <v>2018</v>
      </c>
      <c r="E43" s="1">
        <f t="shared" si="15"/>
        <v>2019</v>
      </c>
      <c r="F43" s="1">
        <f t="shared" si="15"/>
        <v>2020</v>
      </c>
    </row>
    <row r="45" spans="2:7" x14ac:dyDescent="0.3">
      <c r="B45" s="1" t="s">
        <v>31</v>
      </c>
      <c r="C45" s="13">
        <v>303</v>
      </c>
      <c r="D45" s="13">
        <v>285</v>
      </c>
      <c r="E45" s="13">
        <v>289</v>
      </c>
      <c r="F45" s="13">
        <v>249</v>
      </c>
    </row>
    <row r="46" spans="2:7" x14ac:dyDescent="0.3">
      <c r="C46" s="13"/>
      <c r="D46" s="13"/>
      <c r="E46" s="13"/>
      <c r="F46" s="13"/>
    </row>
    <row r="47" spans="2:7" x14ac:dyDescent="0.3">
      <c r="B47" s="1" t="s">
        <v>32</v>
      </c>
      <c r="C47" s="13">
        <v>1535</v>
      </c>
      <c r="D47" s="13">
        <v>1849</v>
      </c>
      <c r="E47" s="13">
        <v>2594</v>
      </c>
      <c r="F47" s="13">
        <v>2542</v>
      </c>
    </row>
    <row r="48" spans="2:7" x14ac:dyDescent="0.3">
      <c r="B48" s="1" t="s">
        <v>33</v>
      </c>
      <c r="C48" s="13">
        <v>3164</v>
      </c>
      <c r="D48" s="13">
        <v>2705</v>
      </c>
      <c r="E48" s="13">
        <v>2863</v>
      </c>
      <c r="F48" s="13">
        <v>3323</v>
      </c>
    </row>
    <row r="49" spans="2:6" x14ac:dyDescent="0.3">
      <c r="B49" s="1" t="s">
        <v>34</v>
      </c>
      <c r="C49" s="13">
        <v>92</v>
      </c>
      <c r="D49" s="13">
        <v>77</v>
      </c>
      <c r="E49" s="13">
        <v>206</v>
      </c>
      <c r="F49" s="13">
        <v>390</v>
      </c>
    </row>
    <row r="50" spans="2:6" x14ac:dyDescent="0.3">
      <c r="B50" s="1" t="s">
        <v>35</v>
      </c>
      <c r="C50" s="13">
        <v>77</v>
      </c>
      <c r="D50" s="13">
        <v>52</v>
      </c>
      <c r="E50" s="13">
        <v>88</v>
      </c>
      <c r="F50" s="13">
        <v>63</v>
      </c>
    </row>
    <row r="51" spans="2:6" x14ac:dyDescent="0.3">
      <c r="B51" s="1" t="s">
        <v>36</v>
      </c>
      <c r="C51" s="13">
        <v>2392</v>
      </c>
      <c r="D51" s="13">
        <v>3719</v>
      </c>
      <c r="E51" s="13">
        <v>3318</v>
      </c>
      <c r="F51" s="13">
        <v>3828</v>
      </c>
    </row>
    <row r="52" spans="2:6" x14ac:dyDescent="0.3">
      <c r="B52" s="14" t="s">
        <v>37</v>
      </c>
      <c r="C52" s="15">
        <f>SUM(C47:C51)+C45</f>
        <v>7563</v>
      </c>
      <c r="D52" s="15">
        <f t="shared" ref="D52:F52" si="16">SUM(D47:D51)+D45</f>
        <v>8687</v>
      </c>
      <c r="E52" s="15">
        <f t="shared" si="16"/>
        <v>9358</v>
      </c>
      <c r="F52" s="15">
        <f t="shared" si="16"/>
        <v>10395</v>
      </c>
    </row>
    <row r="54" spans="2:6" x14ac:dyDescent="0.3">
      <c r="B54" s="1" t="s">
        <v>39</v>
      </c>
      <c r="C54" s="13">
        <v>988</v>
      </c>
      <c r="D54" s="13">
        <v>1162</v>
      </c>
      <c r="E54" s="13">
        <v>1319</v>
      </c>
      <c r="F54" s="13">
        <v>628</v>
      </c>
    </row>
    <row r="55" spans="2:6" x14ac:dyDescent="0.3">
      <c r="B55" s="1" t="s">
        <v>40</v>
      </c>
      <c r="C55" s="13">
        <f>199+6</f>
        <v>205</v>
      </c>
      <c r="D55" s="13">
        <f>98+6</f>
        <v>104</v>
      </c>
      <c r="E55" s="13">
        <f>89+6</f>
        <v>95</v>
      </c>
      <c r="F55" s="13">
        <v>37</v>
      </c>
    </row>
    <row r="56" spans="2:6" x14ac:dyDescent="0.3">
      <c r="B56" s="1" t="s">
        <v>41</v>
      </c>
      <c r="C56" s="13">
        <v>76</v>
      </c>
      <c r="D56" s="13">
        <v>32</v>
      </c>
      <c r="E56" s="13">
        <v>31</v>
      </c>
      <c r="F56" s="13">
        <v>120</v>
      </c>
    </row>
    <row r="57" spans="2:6" x14ac:dyDescent="0.3">
      <c r="B57" s="1" t="s">
        <v>42</v>
      </c>
      <c r="C57" s="13">
        <v>33</v>
      </c>
      <c r="D57" s="13">
        <v>4</v>
      </c>
      <c r="E57" s="13">
        <v>4</v>
      </c>
      <c r="F57" s="13">
        <v>0</v>
      </c>
    </row>
    <row r="58" spans="2:6" x14ac:dyDescent="0.3">
      <c r="B58" s="1" t="s">
        <v>43</v>
      </c>
      <c r="C58" s="13">
        <v>0</v>
      </c>
      <c r="D58" s="13">
        <v>0</v>
      </c>
      <c r="E58" s="13">
        <v>0</v>
      </c>
      <c r="F58" s="13">
        <v>0</v>
      </c>
    </row>
    <row r="59" spans="2:6" x14ac:dyDescent="0.3">
      <c r="B59" s="14" t="s">
        <v>44</v>
      </c>
      <c r="C59" s="15">
        <f>SUM(C54:C58)</f>
        <v>1302</v>
      </c>
      <c r="D59" s="15">
        <f t="shared" ref="D59:F59" si="17">SUM(D54:D58)</f>
        <v>1302</v>
      </c>
      <c r="E59" s="15">
        <f t="shared" si="17"/>
        <v>1449</v>
      </c>
      <c r="F59" s="15">
        <f t="shared" si="17"/>
        <v>785</v>
      </c>
    </row>
    <row r="61" spans="2:6" x14ac:dyDescent="0.3">
      <c r="B61" s="14" t="s">
        <v>45</v>
      </c>
      <c r="C61" s="15">
        <f>C52-C59</f>
        <v>6261</v>
      </c>
      <c r="D61" s="15">
        <f t="shared" ref="D61:F61" si="18">D52-D59</f>
        <v>7385</v>
      </c>
      <c r="E61" s="15">
        <f t="shared" si="18"/>
        <v>7909</v>
      </c>
      <c r="F61" s="15">
        <f t="shared" si="18"/>
        <v>9610</v>
      </c>
    </row>
    <row r="63" spans="2:6" x14ac:dyDescent="0.3">
      <c r="B63" s="14" t="s">
        <v>46</v>
      </c>
    </row>
    <row r="64" spans="2:6" x14ac:dyDescent="0.3">
      <c r="B64" s="1" t="s">
        <v>47</v>
      </c>
      <c r="C64" s="13">
        <v>43</v>
      </c>
      <c r="D64" s="13">
        <v>49</v>
      </c>
      <c r="E64" s="13">
        <v>55</v>
      </c>
      <c r="F64" s="13">
        <v>47</v>
      </c>
    </row>
    <row r="65" spans="2:6" x14ac:dyDescent="0.3">
      <c r="B65" s="1" t="s">
        <v>48</v>
      </c>
      <c r="C65" s="13">
        <v>69</v>
      </c>
      <c r="D65" s="13">
        <v>56</v>
      </c>
      <c r="E65" s="13">
        <v>60</v>
      </c>
      <c r="F65" s="13">
        <v>59</v>
      </c>
    </row>
    <row r="66" spans="2:6" x14ac:dyDescent="0.3">
      <c r="B66" s="1" t="s">
        <v>49</v>
      </c>
      <c r="C66" s="13">
        <v>28</v>
      </c>
      <c r="D66" s="13">
        <v>31</v>
      </c>
      <c r="E66" s="13">
        <v>46</v>
      </c>
      <c r="F66" s="13">
        <v>39</v>
      </c>
    </row>
    <row r="69" spans="2:6" x14ac:dyDescent="0.3">
      <c r="B69" s="14" t="s">
        <v>50</v>
      </c>
      <c r="C69" s="16">
        <f>C42</f>
        <v>43100</v>
      </c>
      <c r="D69" s="16">
        <f t="shared" ref="D69:F69" si="19">D42</f>
        <v>43465</v>
      </c>
      <c r="E69" s="16">
        <f t="shared" si="19"/>
        <v>43830</v>
      </c>
      <c r="F69" s="16">
        <f t="shared" si="19"/>
        <v>44196</v>
      </c>
    </row>
    <row r="70" spans="2:6" x14ac:dyDescent="0.3">
      <c r="C70" s="22"/>
      <c r="D70" s="1">
        <f t="shared" ref="D70:F70" si="20">D5</f>
        <v>2018</v>
      </c>
      <c r="E70" s="1">
        <f t="shared" si="20"/>
        <v>2019</v>
      </c>
      <c r="F70" s="1">
        <f t="shared" si="20"/>
        <v>2020</v>
      </c>
    </row>
    <row r="71" spans="2:6" x14ac:dyDescent="0.3">
      <c r="C71" s="23"/>
    </row>
    <row r="72" spans="2:6" x14ac:dyDescent="0.3">
      <c r="B72" s="1" t="s">
        <v>51</v>
      </c>
      <c r="C72" s="23"/>
      <c r="D72" s="11">
        <f t="shared" ref="D72:F72" si="21">D22</f>
        <v>1370</v>
      </c>
      <c r="E72" s="11">
        <f t="shared" si="21"/>
        <v>707</v>
      </c>
      <c r="F72" s="11">
        <f t="shared" si="21"/>
        <v>1808</v>
      </c>
    </row>
    <row r="73" spans="2:6" x14ac:dyDescent="0.3">
      <c r="B73" s="1" t="s">
        <v>52</v>
      </c>
      <c r="C73" s="23"/>
      <c r="D73" s="11">
        <f>(C47-D47)+(C48-D48)+(C49-D49)+(D54-C54)+(D57-C57)+(D56-C56)</f>
        <v>261</v>
      </c>
      <c r="E73" s="11">
        <f t="shared" ref="E73:F73" si="22">(D47-E47)+(D48-E48)+(D49-E49)+(E54-D54)+(E57-D57)+(E56-D56)</f>
        <v>-876</v>
      </c>
      <c r="F73" s="11">
        <f t="shared" si="22"/>
        <v>-1198</v>
      </c>
    </row>
    <row r="74" spans="2:6" x14ac:dyDescent="0.3">
      <c r="B74" s="1" t="s">
        <v>28</v>
      </c>
      <c r="C74" s="23"/>
      <c r="D74" s="11">
        <f t="shared" ref="D74:F74" si="23">D38</f>
        <v>-166</v>
      </c>
      <c r="E74" s="11">
        <f t="shared" si="23"/>
        <v>-81</v>
      </c>
      <c r="F74" s="11">
        <f t="shared" si="23"/>
        <v>0</v>
      </c>
    </row>
    <row r="75" spans="2:6" x14ac:dyDescent="0.3">
      <c r="B75" s="14" t="s">
        <v>53</v>
      </c>
      <c r="C75" s="24"/>
      <c r="D75" s="15">
        <f t="shared" ref="D75:F75" si="24">SUM(D72:D74)</f>
        <v>1465</v>
      </c>
      <c r="E75" s="15">
        <f t="shared" si="24"/>
        <v>-250</v>
      </c>
      <c r="F75" s="15">
        <f t="shared" si="24"/>
        <v>610</v>
      </c>
    </row>
    <row r="76" spans="2:6" x14ac:dyDescent="0.3">
      <c r="C76" s="23"/>
    </row>
    <row r="77" spans="2:6" x14ac:dyDescent="0.3">
      <c r="B77" s="1" t="s">
        <v>54</v>
      </c>
      <c r="C77" s="23"/>
      <c r="D77" s="11">
        <f t="shared" ref="D77:F77" si="25">-D33</f>
        <v>81</v>
      </c>
      <c r="E77" s="11">
        <f t="shared" si="25"/>
        <v>86</v>
      </c>
      <c r="F77" s="11">
        <f t="shared" si="25"/>
        <v>80</v>
      </c>
    </row>
    <row r="78" spans="2:6" x14ac:dyDescent="0.3">
      <c r="B78" s="1" t="s">
        <v>55</v>
      </c>
      <c r="C78" s="23"/>
      <c r="D78" s="11">
        <f>D45-(C45-D77)</f>
        <v>63</v>
      </c>
      <c r="E78" s="11">
        <f t="shared" ref="E78:F78" si="26">E45-(D45-E77)</f>
        <v>90</v>
      </c>
      <c r="F78" s="11">
        <f t="shared" si="26"/>
        <v>40</v>
      </c>
    </row>
    <row r="79" spans="2:6" x14ac:dyDescent="0.3">
      <c r="B79" s="14" t="s">
        <v>56</v>
      </c>
      <c r="C79" s="24"/>
      <c r="D79" s="15">
        <f t="shared" ref="D79:F79" si="27">SUM(D77:D78)</f>
        <v>144</v>
      </c>
      <c r="E79" s="15">
        <f t="shared" si="27"/>
        <v>176</v>
      </c>
      <c r="F79" s="15">
        <f t="shared" si="27"/>
        <v>120</v>
      </c>
    </row>
    <row r="80" spans="2:6" x14ac:dyDescent="0.3">
      <c r="C80" s="23"/>
    </row>
    <row r="81" spans="2:6" x14ac:dyDescent="0.3">
      <c r="B81" s="1" t="s">
        <v>57</v>
      </c>
      <c r="C81" s="25"/>
      <c r="D81" s="13">
        <v>0</v>
      </c>
      <c r="E81" s="13">
        <v>0</v>
      </c>
      <c r="F81" s="13">
        <v>0</v>
      </c>
    </row>
    <row r="82" spans="2:6" x14ac:dyDescent="0.3">
      <c r="B82" s="14" t="s">
        <v>58</v>
      </c>
      <c r="C82" s="24"/>
      <c r="D82" s="15">
        <f t="shared" ref="D82:F82" si="28">SUM(D81)</f>
        <v>0</v>
      </c>
      <c r="E82" s="15">
        <f t="shared" si="28"/>
        <v>0</v>
      </c>
      <c r="F82" s="15">
        <f t="shared" si="28"/>
        <v>0</v>
      </c>
    </row>
    <row r="83" spans="2:6" x14ac:dyDescent="0.3">
      <c r="C83" s="23"/>
    </row>
    <row r="84" spans="2:6" x14ac:dyDescent="0.3">
      <c r="B84" s="14" t="s">
        <v>59</v>
      </c>
      <c r="C84" s="24"/>
      <c r="D84" s="15">
        <f t="shared" ref="D84:F84" si="29">D75-D79-D82</f>
        <v>1321</v>
      </c>
      <c r="E84" s="15">
        <f t="shared" si="29"/>
        <v>-426</v>
      </c>
      <c r="F84" s="15">
        <f t="shared" si="29"/>
        <v>490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33F5-BD98-49D6-886B-82F284BF7A78}">
  <dimension ref="A1:K164"/>
  <sheetViews>
    <sheetView showGridLines="0" tabSelected="1" zoomScale="85" zoomScaleNormal="85" workbookViewId="0">
      <selection activeCell="N139" sqref="N139"/>
    </sheetView>
  </sheetViews>
  <sheetFormatPr defaultRowHeight="13.8" outlineLevelRow="2" x14ac:dyDescent="0.3"/>
  <cols>
    <col min="1" max="1" width="2.77734375" style="1" customWidth="1"/>
    <col min="2" max="2" width="28.5546875" style="1" customWidth="1"/>
    <col min="3" max="11" width="10.33203125" style="11" bestFit="1" customWidth="1"/>
    <col min="12" max="16384" width="8.88671875" style="11"/>
  </cols>
  <sheetData>
    <row r="1" spans="1:11" s="1" customFormat="1" x14ac:dyDescent="0.3"/>
    <row r="2" spans="1:11" s="1" customFormat="1" x14ac:dyDescent="0.3">
      <c r="A2" s="1" t="s">
        <v>80</v>
      </c>
      <c r="B2" s="14" t="s">
        <v>78</v>
      </c>
    </row>
    <row r="3" spans="1:11" s="1" customFormat="1" hidden="1" outlineLevel="1" x14ac:dyDescent="0.3">
      <c r="E3" s="2"/>
      <c r="F3" s="19" t="s">
        <v>1</v>
      </c>
    </row>
    <row r="4" spans="1:11" s="1" customFormat="1" hidden="1" outlineLevel="1" x14ac:dyDescent="0.3">
      <c r="B4" s="16" t="s">
        <v>38</v>
      </c>
      <c r="C4" s="17">
        <v>43100</v>
      </c>
      <c r="D4" s="18">
        <f>EOMONTH(C4,12)</f>
        <v>43465</v>
      </c>
      <c r="E4" s="18">
        <f t="shared" ref="E4:F4" si="0">EOMONTH(D4,12)</f>
        <v>43830</v>
      </c>
      <c r="F4" s="18">
        <f t="shared" si="0"/>
        <v>44196</v>
      </c>
      <c r="G4" s="18">
        <f t="shared" ref="G4" si="1">EOMONTH(F4,12)</f>
        <v>44561</v>
      </c>
      <c r="H4" s="18">
        <f t="shared" ref="H4" si="2">EOMONTH(G4,12)</f>
        <v>44926</v>
      </c>
      <c r="I4" s="18">
        <f t="shared" ref="I4" si="3">EOMONTH(H4,12)</f>
        <v>45291</v>
      </c>
      <c r="J4" s="18">
        <f t="shared" ref="J4" si="4">EOMONTH(I4,12)</f>
        <v>45657</v>
      </c>
      <c r="K4" s="18">
        <f t="shared" ref="K4" si="5">EOMONTH(J4,12)</f>
        <v>46022</v>
      </c>
    </row>
    <row r="5" spans="1:11" s="1" customFormat="1" hidden="1" outlineLevel="1" x14ac:dyDescent="0.3">
      <c r="B5" s="1" t="s">
        <v>71</v>
      </c>
      <c r="C5" s="1">
        <f>YEAR(C4)</f>
        <v>2017</v>
      </c>
      <c r="D5" s="1">
        <f t="shared" ref="D5:K5" si="6">YEAR(D4)</f>
        <v>2018</v>
      </c>
      <c r="E5" s="1">
        <f t="shared" si="6"/>
        <v>2019</v>
      </c>
      <c r="F5" s="31">
        <f t="shared" si="6"/>
        <v>2020</v>
      </c>
      <c r="G5" s="32">
        <f t="shared" si="6"/>
        <v>2021</v>
      </c>
      <c r="H5" s="32">
        <f t="shared" si="6"/>
        <v>2022</v>
      </c>
      <c r="I5" s="32">
        <f t="shared" si="6"/>
        <v>2023</v>
      </c>
      <c r="J5" s="32">
        <f t="shared" si="6"/>
        <v>2024</v>
      </c>
      <c r="K5" s="32">
        <f t="shared" si="6"/>
        <v>2025</v>
      </c>
    </row>
    <row r="6" spans="1:11" s="1" customFormat="1" hidden="1" outlineLevel="1" x14ac:dyDescent="0.3"/>
    <row r="7" spans="1:11" s="8" customFormat="1" hidden="1" outlineLevel="1" x14ac:dyDescent="0.3">
      <c r="A7" s="1"/>
      <c r="B7" s="14" t="s">
        <v>2</v>
      </c>
      <c r="C7" s="20">
        <v>16725</v>
      </c>
      <c r="D7" s="20">
        <v>17614</v>
      </c>
      <c r="E7" s="20">
        <v>19451</v>
      </c>
      <c r="F7" s="20">
        <v>21712</v>
      </c>
      <c r="G7" s="11">
        <f>F7*(1+G8)</f>
        <v>21994.255999999998</v>
      </c>
      <c r="H7" s="11">
        <f t="shared" ref="H7:K7" si="7">G7*(1+H8)</f>
        <v>24479.606927999997</v>
      </c>
      <c r="I7" s="11">
        <f t="shared" si="7"/>
        <v>25948.383343679998</v>
      </c>
      <c r="J7" s="11">
        <f t="shared" si="7"/>
        <v>27764.770177737599</v>
      </c>
      <c r="K7" s="11">
        <f t="shared" si="7"/>
        <v>29708.304090179234</v>
      </c>
    </row>
    <row r="8" spans="1:11" s="8" customFormat="1" hidden="1" outlineLevel="1" x14ac:dyDescent="0.3">
      <c r="A8" s="1"/>
      <c r="B8" s="3" t="s">
        <v>3</v>
      </c>
      <c r="C8" s="9">
        <v>0.114</v>
      </c>
      <c r="D8" s="10">
        <f>D7/C7-1</f>
        <v>5.3153961136023886E-2</v>
      </c>
      <c r="E8" s="10">
        <f t="shared" ref="E8:F8" si="8">E7/D7-1</f>
        <v>0.10429204042239126</v>
      </c>
      <c r="F8" s="10">
        <f t="shared" si="8"/>
        <v>0.11624081024111876</v>
      </c>
      <c r="G8" s="4">
        <v>1.2999999999999999E-2</v>
      </c>
      <c r="H8" s="4">
        <v>0.113</v>
      </c>
      <c r="I8" s="4">
        <v>0.06</v>
      </c>
      <c r="J8" s="4">
        <v>7.0000000000000007E-2</v>
      </c>
      <c r="K8" s="4">
        <v>7.0000000000000007E-2</v>
      </c>
    </row>
    <row r="9" spans="1:11" s="8" customFormat="1" hidden="1" outlineLevel="1" x14ac:dyDescent="0.3">
      <c r="A9" s="1"/>
      <c r="B9" s="1"/>
    </row>
    <row r="10" spans="1:11" s="8" customFormat="1" hidden="1" outlineLevel="1" x14ac:dyDescent="0.3">
      <c r="A10" s="1"/>
      <c r="B10" s="1" t="s">
        <v>11</v>
      </c>
    </row>
    <row r="11" spans="1:11" hidden="1" outlineLevel="1" x14ac:dyDescent="0.3">
      <c r="B11" s="6" t="s">
        <v>5</v>
      </c>
      <c r="C11" s="13">
        <v>-11754</v>
      </c>
      <c r="D11" s="13">
        <v>-12657</v>
      </c>
      <c r="E11" s="13">
        <v>-14632</v>
      </c>
      <c r="F11" s="13">
        <v>-16923</v>
      </c>
      <c r="G11" s="11">
        <f>G102</f>
        <v>-17599.920000000002</v>
      </c>
      <c r="H11" s="11">
        <f t="shared" ref="H11:K11" si="9">H102</f>
        <v>-20556.706560000002</v>
      </c>
      <c r="I11" s="11">
        <f t="shared" si="9"/>
        <v>-22201.243084800004</v>
      </c>
      <c r="J11" s="11">
        <f t="shared" si="9"/>
        <v>-22534.261731072002</v>
      </c>
      <c r="K11" s="11">
        <f t="shared" si="9"/>
        <v>-22984.946965693442</v>
      </c>
    </row>
    <row r="12" spans="1:11" hidden="1" outlineLevel="1" x14ac:dyDescent="0.3">
      <c r="B12" s="6" t="s">
        <v>6</v>
      </c>
      <c r="C12" s="13">
        <v>-1250</v>
      </c>
      <c r="D12" s="13">
        <v>-1193</v>
      </c>
      <c r="E12" s="13">
        <v>-1398</v>
      </c>
      <c r="F12" s="13">
        <v>0</v>
      </c>
      <c r="G12" s="11">
        <f>G95*G$7</f>
        <v>0</v>
      </c>
      <c r="H12" s="11">
        <f t="shared" ref="H12:K12" si="10">H95*H$7</f>
        <v>0</v>
      </c>
      <c r="I12" s="11">
        <f t="shared" si="10"/>
        <v>0</v>
      </c>
      <c r="J12" s="11">
        <f t="shared" si="10"/>
        <v>0</v>
      </c>
      <c r="K12" s="11">
        <f t="shared" si="10"/>
        <v>0</v>
      </c>
    </row>
    <row r="13" spans="1:11" hidden="1" outlineLevel="1" x14ac:dyDescent="0.3">
      <c r="B13" s="6" t="s">
        <v>7</v>
      </c>
      <c r="C13" s="13">
        <v>-160</v>
      </c>
      <c r="D13" s="13">
        <v>-219</v>
      </c>
      <c r="E13" s="13">
        <v>-269</v>
      </c>
      <c r="F13" s="13">
        <v>0</v>
      </c>
      <c r="G13" s="11">
        <f t="shared" ref="G13:K13" si="11">G96*G$7</f>
        <v>0</v>
      </c>
      <c r="H13" s="11">
        <f t="shared" si="11"/>
        <v>0</v>
      </c>
      <c r="I13" s="11">
        <f t="shared" si="11"/>
        <v>0</v>
      </c>
      <c r="J13" s="11">
        <f t="shared" si="11"/>
        <v>0</v>
      </c>
      <c r="K13" s="11">
        <f t="shared" si="11"/>
        <v>0</v>
      </c>
    </row>
    <row r="14" spans="1:11" hidden="1" outlineLevel="1" x14ac:dyDescent="0.3">
      <c r="B14" s="6" t="s">
        <v>8</v>
      </c>
      <c r="C14" s="13">
        <v>-616</v>
      </c>
      <c r="D14" s="13">
        <v>-785</v>
      </c>
      <c r="E14" s="13">
        <v>-958</v>
      </c>
      <c r="F14" s="13">
        <v>-960</v>
      </c>
      <c r="G14" s="11">
        <f t="shared" ref="G14:K14" si="12">G97*G$7</f>
        <v>-972.4799999999999</v>
      </c>
      <c r="H14" s="11">
        <f t="shared" si="12"/>
        <v>-1082.37024</v>
      </c>
      <c r="I14" s="11">
        <f t="shared" si="12"/>
        <v>-1147.3124544</v>
      </c>
      <c r="J14" s="11">
        <f t="shared" si="12"/>
        <v>-1227.624326208</v>
      </c>
      <c r="K14" s="11">
        <f t="shared" si="12"/>
        <v>-1313.5580290425601</v>
      </c>
    </row>
    <row r="15" spans="1:11" hidden="1" outlineLevel="1" x14ac:dyDescent="0.3">
      <c r="B15" s="6" t="s">
        <v>9</v>
      </c>
      <c r="C15" s="13">
        <v>192</v>
      </c>
      <c r="D15" s="13">
        <v>313</v>
      </c>
      <c r="E15" s="13">
        <v>745</v>
      </c>
      <c r="F15" s="13">
        <v>-52</v>
      </c>
      <c r="G15" s="11">
        <f t="shared" ref="G15:K15" si="13">G98*G$7</f>
        <v>-52.675999999999995</v>
      </c>
      <c r="H15" s="11">
        <f t="shared" si="13"/>
        <v>-58.628388000000001</v>
      </c>
      <c r="I15" s="11">
        <f t="shared" si="13"/>
        <v>-62.14609128</v>
      </c>
      <c r="J15" s="11">
        <f t="shared" si="13"/>
        <v>-66.496317669600003</v>
      </c>
      <c r="K15" s="11">
        <f t="shared" si="13"/>
        <v>-71.151059906472014</v>
      </c>
    </row>
    <row r="16" spans="1:11" hidden="1" outlineLevel="1" x14ac:dyDescent="0.3">
      <c r="B16" s="6" t="s">
        <v>10</v>
      </c>
      <c r="C16" s="13">
        <v>-30</v>
      </c>
      <c r="D16" s="13">
        <v>-31</v>
      </c>
      <c r="E16" s="13">
        <v>-28</v>
      </c>
      <c r="F16" s="13">
        <v>-22</v>
      </c>
      <c r="G16" s="11">
        <f t="shared" ref="G16:K16" si="14">G99*G$7</f>
        <v>0</v>
      </c>
      <c r="H16" s="11">
        <f t="shared" si="14"/>
        <v>0</v>
      </c>
      <c r="I16" s="11">
        <f t="shared" si="14"/>
        <v>0</v>
      </c>
      <c r="J16" s="11">
        <f t="shared" si="14"/>
        <v>0</v>
      </c>
      <c r="K16" s="11">
        <f t="shared" si="14"/>
        <v>0</v>
      </c>
    </row>
    <row r="17" spans="2:11" hidden="1" outlineLevel="1" x14ac:dyDescent="0.3">
      <c r="B17" s="7" t="s">
        <v>4</v>
      </c>
      <c r="C17" s="13">
        <f>SUM(C11:C16)</f>
        <v>-13618</v>
      </c>
      <c r="D17" s="13">
        <f t="shared" ref="D17:F17" si="15">SUM(D11:D16)</f>
        <v>-14572</v>
      </c>
      <c r="E17" s="13">
        <f t="shared" si="15"/>
        <v>-16540</v>
      </c>
      <c r="F17" s="13">
        <f t="shared" si="15"/>
        <v>-17957</v>
      </c>
      <c r="G17" s="11">
        <f>SUM(G11:G16)</f>
        <v>-18625.076000000001</v>
      </c>
      <c r="H17" s="11">
        <f t="shared" ref="H17:K17" si="16">SUM(H11:H16)</f>
        <v>-21697.705188000004</v>
      </c>
      <c r="I17" s="11">
        <f t="shared" si="16"/>
        <v>-23410.701630480002</v>
      </c>
      <c r="J17" s="11">
        <f t="shared" si="16"/>
        <v>-23828.3823749496</v>
      </c>
      <c r="K17" s="11">
        <f t="shared" si="16"/>
        <v>-24369.656054642473</v>
      </c>
    </row>
    <row r="18" spans="2:11" hidden="1" outlineLevel="1" x14ac:dyDescent="0.3">
      <c r="B18" s="14" t="s">
        <v>12</v>
      </c>
      <c r="C18" s="21">
        <f>C17+C7</f>
        <v>3107</v>
      </c>
      <c r="D18" s="21">
        <f t="shared" ref="D18:K18" si="17">D17+D7</f>
        <v>3042</v>
      </c>
      <c r="E18" s="21">
        <f t="shared" si="17"/>
        <v>2911</v>
      </c>
      <c r="F18" s="21">
        <f t="shared" si="17"/>
        <v>3755</v>
      </c>
      <c r="G18" s="21">
        <f t="shared" si="17"/>
        <v>3369.1799999999967</v>
      </c>
      <c r="H18" s="21">
        <f t="shared" si="17"/>
        <v>2781.9017399999939</v>
      </c>
      <c r="I18" s="21">
        <f t="shared" si="17"/>
        <v>2537.681713199996</v>
      </c>
      <c r="J18" s="21">
        <f t="shared" si="17"/>
        <v>3936.3878027879982</v>
      </c>
      <c r="K18" s="21">
        <f t="shared" si="17"/>
        <v>5338.6480355367603</v>
      </c>
    </row>
    <row r="19" spans="2:11" hidden="1" outlineLevel="1" x14ac:dyDescent="0.3">
      <c r="B19" s="3" t="s">
        <v>13</v>
      </c>
      <c r="C19" s="12">
        <f>C18/C7</f>
        <v>0.18576980568011958</v>
      </c>
      <c r="D19" s="12">
        <f t="shared" ref="D19:K19" si="18">D18/D7</f>
        <v>0.17270353128193483</v>
      </c>
      <c r="E19" s="12">
        <f t="shared" si="18"/>
        <v>0.14965811526399672</v>
      </c>
      <c r="F19" s="12">
        <f t="shared" si="18"/>
        <v>0.17294583640383199</v>
      </c>
      <c r="G19" s="12">
        <f t="shared" si="18"/>
        <v>0.15318454054549502</v>
      </c>
      <c r="H19" s="12">
        <f t="shared" si="18"/>
        <v>0.11364160168838452</v>
      </c>
      <c r="I19" s="12">
        <f t="shared" si="18"/>
        <v>9.779729548423198E-2</v>
      </c>
      <c r="J19" s="12">
        <f t="shared" si="18"/>
        <v>0.14177635102286135</v>
      </c>
      <c r="K19" s="12">
        <f t="shared" si="18"/>
        <v>0.1797022145502265</v>
      </c>
    </row>
    <row r="20" spans="2:11" hidden="1" outlineLevel="1" x14ac:dyDescent="0.3"/>
    <row r="21" spans="2:11" hidden="1" outlineLevel="1" x14ac:dyDescent="0.3">
      <c r="B21" s="1" t="s">
        <v>14</v>
      </c>
      <c r="C21" s="13">
        <v>-1782</v>
      </c>
      <c r="D21" s="13">
        <v>-1672</v>
      </c>
      <c r="E21" s="13">
        <v>-2204</v>
      </c>
      <c r="F21" s="13">
        <v>-1947</v>
      </c>
      <c r="G21" s="11">
        <f>G104*G7</f>
        <v>-1972.3109999999997</v>
      </c>
      <c r="H21" s="11">
        <f t="shared" ref="H21:K21" si="19">H104*H7</f>
        <v>-2195.1821429999995</v>
      </c>
      <c r="I21" s="11">
        <f t="shared" si="19"/>
        <v>-2326.8930715799997</v>
      </c>
      <c r="J21" s="11">
        <f t="shared" si="19"/>
        <v>-2489.7755865905997</v>
      </c>
      <c r="K21" s="11">
        <f t="shared" si="19"/>
        <v>-2664.0598776519419</v>
      </c>
    </row>
    <row r="22" spans="2:11" hidden="1" outlineLevel="1" x14ac:dyDescent="0.3">
      <c r="B22" s="14" t="s">
        <v>15</v>
      </c>
      <c r="C22" s="20">
        <f>C18+C21</f>
        <v>1325</v>
      </c>
      <c r="D22" s="20">
        <f t="shared" ref="D22:F22" si="20">D18+D21</f>
        <v>1370</v>
      </c>
      <c r="E22" s="20">
        <f t="shared" si="20"/>
        <v>707</v>
      </c>
      <c r="F22" s="20">
        <f t="shared" si="20"/>
        <v>1808</v>
      </c>
      <c r="G22" s="15">
        <f>G18+G21</f>
        <v>1396.868999999997</v>
      </c>
      <c r="H22" s="15">
        <f t="shared" ref="H22:K22" si="21">H18+H21</f>
        <v>586.71959699999434</v>
      </c>
      <c r="I22" s="15">
        <f t="shared" si="21"/>
        <v>210.78864161999627</v>
      </c>
      <c r="J22" s="15">
        <f t="shared" si="21"/>
        <v>1446.6122161973985</v>
      </c>
      <c r="K22" s="15">
        <f t="shared" si="21"/>
        <v>2674.5881578848184</v>
      </c>
    </row>
    <row r="23" spans="2:11" hidden="1" outlineLevel="1" x14ac:dyDescent="0.3">
      <c r="B23" s="3" t="s">
        <v>16</v>
      </c>
      <c r="C23" s="10">
        <f>C22/C7</f>
        <v>7.9222720478325862E-2</v>
      </c>
      <c r="D23" s="10">
        <f t="shared" ref="D23:K23" si="22">D22/D7</f>
        <v>7.7779039400476896E-2</v>
      </c>
      <c r="E23" s="10">
        <f t="shared" si="22"/>
        <v>3.6347745617191916E-2</v>
      </c>
      <c r="F23" s="10">
        <f t="shared" si="22"/>
        <v>8.3271923360353717E-2</v>
      </c>
      <c r="G23" s="10">
        <f t="shared" si="22"/>
        <v>6.3510627502016762E-2</v>
      </c>
      <c r="H23" s="10">
        <f t="shared" si="22"/>
        <v>2.3967688644906268E-2</v>
      </c>
      <c r="I23" s="10">
        <f t="shared" si="22"/>
        <v>8.1233824407537149E-3</v>
      </c>
      <c r="J23" s="10">
        <f t="shared" si="22"/>
        <v>5.210243797938309E-2</v>
      </c>
      <c r="K23" s="10">
        <f t="shared" si="22"/>
        <v>9.0028301506748259E-2</v>
      </c>
    </row>
    <row r="24" spans="2:11" hidden="1" outlineLevel="1" x14ac:dyDescent="0.3"/>
    <row r="25" spans="2:11" hidden="1" outlineLevel="2" x14ac:dyDescent="0.3">
      <c r="B25" s="1" t="s">
        <v>17</v>
      </c>
    </row>
    <row r="26" spans="2:11" hidden="1" outlineLevel="2" x14ac:dyDescent="0.3">
      <c r="B26" s="6" t="s">
        <v>18</v>
      </c>
      <c r="C26" s="13">
        <v>65</v>
      </c>
      <c r="D26" s="13">
        <v>65</v>
      </c>
      <c r="E26" s="13">
        <v>65</v>
      </c>
      <c r="F26" s="13">
        <v>65</v>
      </c>
    </row>
    <row r="27" spans="2:11" hidden="1" outlineLevel="2" x14ac:dyDescent="0.3">
      <c r="B27" s="6" t="s">
        <v>19</v>
      </c>
      <c r="C27" s="13">
        <v>48</v>
      </c>
      <c r="D27" s="13">
        <v>48</v>
      </c>
      <c r="E27" s="13">
        <v>48</v>
      </c>
      <c r="F27" s="13">
        <v>48</v>
      </c>
    </row>
    <row r="28" spans="2:11" hidden="1" outlineLevel="2" x14ac:dyDescent="0.3">
      <c r="B28" s="6" t="s">
        <v>20</v>
      </c>
      <c r="C28" s="13">
        <v>117</v>
      </c>
      <c r="D28" s="13">
        <v>117</v>
      </c>
      <c r="E28" s="13">
        <v>117</v>
      </c>
      <c r="F28" s="13">
        <v>117</v>
      </c>
    </row>
    <row r="29" spans="2:11" hidden="1" outlineLevel="2" x14ac:dyDescent="0.3">
      <c r="B29" s="6" t="s">
        <v>21</v>
      </c>
      <c r="C29" s="13">
        <v>30</v>
      </c>
      <c r="D29" s="13">
        <v>30</v>
      </c>
      <c r="E29" s="13">
        <v>30</v>
      </c>
      <c r="F29" s="13">
        <v>30</v>
      </c>
    </row>
    <row r="30" spans="2:11" hidden="1" outlineLevel="2" x14ac:dyDescent="0.3">
      <c r="B30" s="14" t="s">
        <v>22</v>
      </c>
      <c r="C30" s="15">
        <f>C22+SUM(C26:C29)</f>
        <v>1585</v>
      </c>
      <c r="D30" s="15">
        <f t="shared" ref="D30:F30" si="23">D22+SUM(D26:D29)</f>
        <v>1630</v>
      </c>
      <c r="E30" s="15">
        <f t="shared" si="23"/>
        <v>967</v>
      </c>
      <c r="F30" s="15">
        <f t="shared" si="23"/>
        <v>2068</v>
      </c>
    </row>
    <row r="31" spans="2:11" hidden="1" outlineLevel="2" x14ac:dyDescent="0.3">
      <c r="B31" s="1" t="s">
        <v>23</v>
      </c>
      <c r="C31" s="10">
        <f>C30/C7</f>
        <v>9.4768310911808665E-2</v>
      </c>
      <c r="D31" s="10">
        <f t="shared" ref="D31:F31" si="24">D30/D7</f>
        <v>9.2540024980129448E-2</v>
      </c>
      <c r="E31" s="10">
        <f t="shared" si="24"/>
        <v>4.971466762634312E-2</v>
      </c>
      <c r="F31" s="10">
        <f t="shared" si="24"/>
        <v>9.5246868091378042E-2</v>
      </c>
    </row>
    <row r="32" spans="2:11" hidden="1" outlineLevel="1" collapsed="1" x14ac:dyDescent="0.3"/>
    <row r="33" spans="2:11" hidden="1" outlineLevel="1" x14ac:dyDescent="0.3">
      <c r="B33" s="1" t="s">
        <v>24</v>
      </c>
      <c r="C33" s="13">
        <v>-81</v>
      </c>
      <c r="D33" s="13">
        <v>-81</v>
      </c>
      <c r="E33" s="13">
        <v>-86</v>
      </c>
      <c r="F33" s="13">
        <v>-80</v>
      </c>
      <c r="G33" s="11">
        <f>G106</f>
        <v>-80</v>
      </c>
      <c r="H33" s="11">
        <f t="shared" ref="H33:K33" si="25">H106</f>
        <v>-80</v>
      </c>
      <c r="I33" s="11">
        <f t="shared" si="25"/>
        <v>-80</v>
      </c>
      <c r="J33" s="11">
        <f t="shared" si="25"/>
        <v>-80</v>
      </c>
      <c r="K33" s="11">
        <f t="shared" si="25"/>
        <v>-80</v>
      </c>
    </row>
    <row r="34" spans="2:11" hidden="1" outlineLevel="1" x14ac:dyDescent="0.3">
      <c r="B34" s="1" t="s">
        <v>25</v>
      </c>
      <c r="C34" s="13">
        <v>0</v>
      </c>
      <c r="D34" s="13">
        <v>0</v>
      </c>
      <c r="E34" s="13">
        <v>0</v>
      </c>
      <c r="F34" s="13">
        <v>-40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</row>
    <row r="35" spans="2:11" hidden="1" outlineLevel="1" x14ac:dyDescent="0.3">
      <c r="B35" s="1" t="s">
        <v>26</v>
      </c>
      <c r="C35" s="13">
        <v>-3</v>
      </c>
      <c r="D35" s="13">
        <v>0</v>
      </c>
      <c r="E35" s="13">
        <v>-16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</row>
    <row r="36" spans="2:11" hidden="1" outlineLevel="1" x14ac:dyDescent="0.3"/>
    <row r="37" spans="2:11" hidden="1" outlineLevel="1" x14ac:dyDescent="0.3">
      <c r="B37" s="1" t="s">
        <v>65</v>
      </c>
      <c r="C37" s="13">
        <v>0</v>
      </c>
      <c r="D37" s="13">
        <v>0</v>
      </c>
      <c r="E37" s="13">
        <v>0</v>
      </c>
      <c r="F37" s="13">
        <v>0</v>
      </c>
      <c r="G37" s="11">
        <f>-G122</f>
        <v>-243.75</v>
      </c>
      <c r="H37" s="11">
        <f t="shared" ref="H37:K37" si="26">-H122</f>
        <v>-389.88749999999999</v>
      </c>
      <c r="I37" s="11">
        <f t="shared" si="26"/>
        <v>-448.43750000000006</v>
      </c>
      <c r="J37" s="11">
        <f t="shared" si="26"/>
        <v>-412.5</v>
      </c>
      <c r="K37" s="11">
        <f t="shared" si="26"/>
        <v>-368.125</v>
      </c>
    </row>
    <row r="38" spans="2:11" hidden="1" outlineLevel="1" x14ac:dyDescent="0.3"/>
    <row r="39" spans="2:11" hidden="1" outlineLevel="1" x14ac:dyDescent="0.3">
      <c r="B39" s="14" t="s">
        <v>27</v>
      </c>
      <c r="C39" s="20">
        <f>C22+SUM(C33:C35)</f>
        <v>1241</v>
      </c>
      <c r="D39" s="20">
        <f t="shared" ref="D39:F39" si="27">D22+SUM(D33:D35)</f>
        <v>1289</v>
      </c>
      <c r="E39" s="20">
        <f t="shared" si="27"/>
        <v>605</v>
      </c>
      <c r="F39" s="20">
        <f t="shared" si="27"/>
        <v>1688</v>
      </c>
      <c r="G39" s="15">
        <f>G22+G33+G34+G35+G37</f>
        <v>1073.118999999997</v>
      </c>
      <c r="H39" s="15">
        <f t="shared" ref="H39:K39" si="28">H22+H33+H34+H35+H37</f>
        <v>116.83209699999435</v>
      </c>
      <c r="I39" s="15">
        <f t="shared" si="28"/>
        <v>-317.64885838000379</v>
      </c>
      <c r="J39" s="15">
        <f t="shared" si="28"/>
        <v>954.11221619739854</v>
      </c>
      <c r="K39" s="15">
        <f t="shared" si="28"/>
        <v>2226.4631578848184</v>
      </c>
    </row>
    <row r="40" spans="2:11" hidden="1" outlineLevel="1" x14ac:dyDescent="0.3">
      <c r="B40" s="1" t="s">
        <v>28</v>
      </c>
      <c r="C40" s="13">
        <v>-160</v>
      </c>
      <c r="D40" s="13">
        <v>-166</v>
      </c>
      <c r="E40" s="13">
        <v>-81</v>
      </c>
      <c r="F40" s="13">
        <v>0</v>
      </c>
      <c r="G40" s="11">
        <f>-$C$90*G39</f>
        <v>-134.13987499999962</v>
      </c>
      <c r="H40" s="11">
        <f t="shared" ref="H40:K40" si="29">-$C$90*H39</f>
        <v>-14.604012124999294</v>
      </c>
      <c r="I40" s="11">
        <f t="shared" si="29"/>
        <v>39.706107297500473</v>
      </c>
      <c r="J40" s="11">
        <f t="shared" si="29"/>
        <v>-119.26402702467482</v>
      </c>
      <c r="K40" s="11">
        <f t="shared" si="29"/>
        <v>-278.3078947356023</v>
      </c>
    </row>
    <row r="41" spans="2:11" hidden="1" outlineLevel="1" x14ac:dyDescent="0.3">
      <c r="B41" s="14" t="s">
        <v>29</v>
      </c>
      <c r="C41" s="15">
        <f>SUM(C39:C40)</f>
        <v>1081</v>
      </c>
      <c r="D41" s="15">
        <f t="shared" ref="D41:K41" si="30">SUM(D39:D40)</f>
        <v>1123</v>
      </c>
      <c r="E41" s="15">
        <f t="shared" si="30"/>
        <v>524</v>
      </c>
      <c r="F41" s="15">
        <f t="shared" si="30"/>
        <v>1688</v>
      </c>
      <c r="G41" s="15">
        <f t="shared" si="30"/>
        <v>938.97912499999734</v>
      </c>
      <c r="H41" s="15">
        <f t="shared" si="30"/>
        <v>102.22808487499506</v>
      </c>
      <c r="I41" s="15">
        <f t="shared" si="30"/>
        <v>-277.94275108250332</v>
      </c>
      <c r="J41" s="15">
        <f t="shared" si="30"/>
        <v>834.84818917272378</v>
      </c>
      <c r="K41" s="15">
        <f t="shared" si="30"/>
        <v>1948.1552631492161</v>
      </c>
    </row>
    <row r="42" spans="2:11" hidden="1" outlineLevel="1" x14ac:dyDescent="0.3"/>
    <row r="43" spans="2:11" hidden="1" outlineLevel="1" x14ac:dyDescent="0.3"/>
    <row r="44" spans="2:11" hidden="1" outlineLevel="1" x14ac:dyDescent="0.3">
      <c r="B44" s="14" t="s">
        <v>30</v>
      </c>
      <c r="C44" s="16">
        <f>C4</f>
        <v>43100</v>
      </c>
      <c r="D44" s="16">
        <f>D4</f>
        <v>43465</v>
      </c>
      <c r="E44" s="16">
        <f>E4</f>
        <v>43830</v>
      </c>
      <c r="F44" s="18">
        <f>F4</f>
        <v>44196</v>
      </c>
      <c r="G44" s="18">
        <f t="shared" ref="G44:K44" si="31">G4</f>
        <v>44561</v>
      </c>
      <c r="H44" s="18">
        <f t="shared" si="31"/>
        <v>44926</v>
      </c>
      <c r="I44" s="18">
        <f t="shared" si="31"/>
        <v>45291</v>
      </c>
      <c r="J44" s="18">
        <f t="shared" si="31"/>
        <v>45657</v>
      </c>
      <c r="K44" s="18">
        <f t="shared" si="31"/>
        <v>46022</v>
      </c>
    </row>
    <row r="45" spans="2:11" hidden="1" outlineLevel="1" x14ac:dyDescent="0.3">
      <c r="B45" s="14"/>
      <c r="C45" s="1">
        <f>C5</f>
        <v>2017</v>
      </c>
      <c r="D45" s="1">
        <f>D5</f>
        <v>2018</v>
      </c>
      <c r="E45" s="1">
        <f>E5</f>
        <v>2019</v>
      </c>
      <c r="F45" s="31">
        <f>F5</f>
        <v>2020</v>
      </c>
      <c r="G45" s="32">
        <f t="shared" ref="G45:K45" si="32">G5</f>
        <v>2021</v>
      </c>
      <c r="H45" s="32">
        <f t="shared" si="32"/>
        <v>2022</v>
      </c>
      <c r="I45" s="32">
        <f t="shared" si="32"/>
        <v>2023</v>
      </c>
      <c r="J45" s="32">
        <f t="shared" si="32"/>
        <v>2024</v>
      </c>
      <c r="K45" s="32">
        <f t="shared" si="32"/>
        <v>2025</v>
      </c>
    </row>
    <row r="46" spans="2:11" hidden="1" outlineLevel="1" x14ac:dyDescent="0.3"/>
    <row r="47" spans="2:11" hidden="1" outlineLevel="1" x14ac:dyDescent="0.3">
      <c r="B47" s="1" t="s">
        <v>31</v>
      </c>
      <c r="C47" s="13">
        <v>303</v>
      </c>
      <c r="D47" s="13">
        <v>285</v>
      </c>
      <c r="E47" s="13">
        <v>289</v>
      </c>
      <c r="F47" s="13">
        <v>249</v>
      </c>
    </row>
    <row r="48" spans="2:11" hidden="1" outlineLevel="1" x14ac:dyDescent="0.3">
      <c r="C48" s="13"/>
      <c r="D48" s="13"/>
      <c r="E48" s="13"/>
      <c r="F48" s="13"/>
    </row>
    <row r="49" spans="2:11" hidden="1" outlineLevel="1" x14ac:dyDescent="0.3">
      <c r="B49" s="1" t="s">
        <v>32</v>
      </c>
      <c r="C49" s="13">
        <v>1535</v>
      </c>
      <c r="D49" s="13">
        <v>1849</v>
      </c>
      <c r="E49" s="13">
        <v>2594</v>
      </c>
      <c r="F49" s="13">
        <v>2542</v>
      </c>
      <c r="G49" s="11">
        <f>-G66*G17/$C$91</f>
        <v>2398.2974575342469</v>
      </c>
      <c r="H49" s="11">
        <f t="shared" ref="H49:K49" si="33">-H66*H17/$C$91</f>
        <v>2793.9510790027402</v>
      </c>
      <c r="I49" s="11">
        <f t="shared" si="33"/>
        <v>3014.5287031029043</v>
      </c>
      <c r="J49" s="11">
        <f t="shared" si="33"/>
        <v>3068.3122510209073</v>
      </c>
      <c r="K49" s="11">
        <f t="shared" si="33"/>
        <v>3138.010505666291</v>
      </c>
    </row>
    <row r="50" spans="2:11" hidden="1" outlineLevel="1" x14ac:dyDescent="0.3">
      <c r="B50" s="1" t="s">
        <v>33</v>
      </c>
      <c r="C50" s="13">
        <v>3164</v>
      </c>
      <c r="D50" s="13">
        <v>2705</v>
      </c>
      <c r="E50" s="13">
        <v>2863</v>
      </c>
      <c r="F50" s="13">
        <v>3323</v>
      </c>
      <c r="G50" s="11">
        <f>G67*G7/$C$91</f>
        <v>3555.2359013698624</v>
      </c>
      <c r="H50" s="11">
        <f t="shared" ref="H50:K50" si="34">H67*H7/$C$91</f>
        <v>3956.9775582246571</v>
      </c>
      <c r="I50" s="11">
        <f t="shared" si="34"/>
        <v>4194.3962117181363</v>
      </c>
      <c r="J50" s="11">
        <f t="shared" si="34"/>
        <v>4488.003946538407</v>
      </c>
      <c r="K50" s="11">
        <f t="shared" si="34"/>
        <v>4802.1642227960956</v>
      </c>
    </row>
    <row r="51" spans="2:11" hidden="1" outlineLevel="1" x14ac:dyDescent="0.3">
      <c r="B51" s="1" t="s">
        <v>34</v>
      </c>
      <c r="C51" s="13">
        <v>92</v>
      </c>
      <c r="D51" s="13">
        <v>77</v>
      </c>
      <c r="E51" s="13">
        <v>206</v>
      </c>
      <c r="F51" s="13">
        <v>390</v>
      </c>
    </row>
    <row r="52" spans="2:11" hidden="1" outlineLevel="1" x14ac:dyDescent="0.3">
      <c r="B52" s="1" t="s">
        <v>35</v>
      </c>
      <c r="C52" s="13">
        <v>77</v>
      </c>
      <c r="D52" s="13">
        <v>52</v>
      </c>
      <c r="E52" s="13">
        <v>88</v>
      </c>
      <c r="F52" s="13">
        <v>63</v>
      </c>
    </row>
    <row r="53" spans="2:11" hidden="1" outlineLevel="1" x14ac:dyDescent="0.3">
      <c r="B53" s="1" t="s">
        <v>36</v>
      </c>
      <c r="C53" s="13">
        <v>2392</v>
      </c>
      <c r="D53" s="13">
        <v>3719</v>
      </c>
      <c r="E53" s="13">
        <v>3318</v>
      </c>
      <c r="F53" s="13">
        <v>3828</v>
      </c>
      <c r="G53" s="11">
        <f>F53+G87</f>
        <v>5775.5223797945182</v>
      </c>
      <c r="H53" s="11">
        <f t="shared" ref="H53:K53" si="35">G53+H87</f>
        <v>5143.6635105434862</v>
      </c>
      <c r="I53" s="11">
        <f t="shared" si="35"/>
        <v>4325.7569784610932</v>
      </c>
      <c r="J53" s="11">
        <f t="shared" si="35"/>
        <v>4592.8427863594179</v>
      </c>
      <c r="K53" s="11">
        <f t="shared" si="35"/>
        <v>5949.974240545348</v>
      </c>
    </row>
    <row r="54" spans="2:11" hidden="1" outlineLevel="1" x14ac:dyDescent="0.3">
      <c r="B54" s="14" t="s">
        <v>37</v>
      </c>
      <c r="C54" s="15">
        <f>SUM(C49:C53)+C47</f>
        <v>7563</v>
      </c>
      <c r="D54" s="15">
        <f t="shared" ref="D54:F54" si="36">SUM(D49:D53)+D47</f>
        <v>8687</v>
      </c>
      <c r="E54" s="15">
        <f t="shared" si="36"/>
        <v>9358</v>
      </c>
      <c r="F54" s="15">
        <f t="shared" si="36"/>
        <v>10395</v>
      </c>
    </row>
    <row r="55" spans="2:11" hidden="1" outlineLevel="1" x14ac:dyDescent="0.3"/>
    <row r="56" spans="2:11" hidden="1" outlineLevel="1" x14ac:dyDescent="0.3">
      <c r="B56" s="1" t="s">
        <v>39</v>
      </c>
      <c r="C56" s="13">
        <v>988</v>
      </c>
      <c r="D56" s="13">
        <v>1162</v>
      </c>
      <c r="E56" s="13">
        <v>1319</v>
      </c>
      <c r="F56" s="13">
        <v>628</v>
      </c>
      <c r="G56" s="11">
        <f>-G68*G17/$C$91</f>
        <v>1990.0766136986301</v>
      </c>
      <c r="H56" s="11">
        <f t="shared" ref="H56:K56" si="37">-H68*H17/$C$91</f>
        <v>2318.3849378958907</v>
      </c>
      <c r="I56" s="11">
        <f t="shared" si="37"/>
        <v>2501.4174344896442</v>
      </c>
      <c r="J56" s="11">
        <f t="shared" si="37"/>
        <v>2546.0463359535188</v>
      </c>
      <c r="K56" s="11">
        <f t="shared" si="37"/>
        <v>2603.8810578933053</v>
      </c>
    </row>
    <row r="57" spans="2:11" hidden="1" outlineLevel="1" x14ac:dyDescent="0.3">
      <c r="B57" s="1" t="s">
        <v>40</v>
      </c>
      <c r="C57" s="13">
        <f>199+6</f>
        <v>205</v>
      </c>
      <c r="D57" s="13">
        <f>98+6</f>
        <v>104</v>
      </c>
      <c r="E57" s="13">
        <f>89+6</f>
        <v>95</v>
      </c>
      <c r="F57" s="13">
        <v>37</v>
      </c>
    </row>
    <row r="58" spans="2:11" hidden="1" outlineLevel="1" x14ac:dyDescent="0.3">
      <c r="B58" s="1" t="s">
        <v>41</v>
      </c>
      <c r="C58" s="13">
        <v>76</v>
      </c>
      <c r="D58" s="13">
        <v>32</v>
      </c>
      <c r="E58" s="13">
        <v>31</v>
      </c>
      <c r="F58" s="13">
        <v>120</v>
      </c>
    </row>
    <row r="59" spans="2:11" hidden="1" outlineLevel="1" x14ac:dyDescent="0.3">
      <c r="B59" s="1" t="s">
        <v>42</v>
      </c>
      <c r="C59" s="13">
        <v>33</v>
      </c>
      <c r="D59" s="13">
        <v>4</v>
      </c>
      <c r="E59" s="13">
        <v>4</v>
      </c>
      <c r="F59" s="13">
        <v>0</v>
      </c>
    </row>
    <row r="60" spans="2:11" hidden="1" outlineLevel="1" x14ac:dyDescent="0.3">
      <c r="B60" s="1" t="s">
        <v>43</v>
      </c>
      <c r="C60" s="13">
        <v>0</v>
      </c>
      <c r="D60" s="13">
        <v>0</v>
      </c>
      <c r="E60" s="13">
        <v>0</v>
      </c>
      <c r="F60" s="33">
        <f>D113</f>
        <v>5000</v>
      </c>
      <c r="G60" s="11">
        <f>G120</f>
        <v>4750</v>
      </c>
      <c r="H60" s="11">
        <f t="shared" ref="H60:K60" si="38">H120</f>
        <v>4500</v>
      </c>
      <c r="I60" s="11">
        <f t="shared" si="38"/>
        <v>4250</v>
      </c>
      <c r="J60" s="11">
        <f t="shared" si="38"/>
        <v>4000</v>
      </c>
      <c r="K60" s="11">
        <f t="shared" si="38"/>
        <v>3750</v>
      </c>
    </row>
    <row r="61" spans="2:11" hidden="1" outlineLevel="1" x14ac:dyDescent="0.3">
      <c r="B61" s="14" t="s">
        <v>44</v>
      </c>
      <c r="C61" s="15">
        <f>SUM(C56:C60)</f>
        <v>1302</v>
      </c>
      <c r="D61" s="15">
        <f t="shared" ref="D61:F61" si="39">SUM(D56:D60)</f>
        <v>1302</v>
      </c>
      <c r="E61" s="15">
        <f t="shared" si="39"/>
        <v>1449</v>
      </c>
      <c r="F61" s="15">
        <f t="shared" si="39"/>
        <v>5785</v>
      </c>
    </row>
    <row r="62" spans="2:11" hidden="1" outlineLevel="1" x14ac:dyDescent="0.3"/>
    <row r="63" spans="2:11" hidden="1" outlineLevel="1" x14ac:dyDescent="0.3">
      <c r="B63" s="14" t="s">
        <v>45</v>
      </c>
      <c r="C63" s="15">
        <f>C54-C61</f>
        <v>6261</v>
      </c>
      <c r="D63" s="15">
        <f t="shared" ref="D63:F63" si="40">D54-D61</f>
        <v>7385</v>
      </c>
      <c r="E63" s="15">
        <f t="shared" si="40"/>
        <v>7909</v>
      </c>
      <c r="F63" s="15">
        <f t="shared" si="40"/>
        <v>4610</v>
      </c>
    </row>
    <row r="64" spans="2:11" hidden="1" outlineLevel="1" x14ac:dyDescent="0.3"/>
    <row r="65" spans="2:11" hidden="1" outlineLevel="1" x14ac:dyDescent="0.3">
      <c r="B65" s="14" t="s">
        <v>46</v>
      </c>
    </row>
    <row r="66" spans="2:11" hidden="1" outlineLevel="1" x14ac:dyDescent="0.3">
      <c r="B66" s="1" t="s">
        <v>47</v>
      </c>
      <c r="C66" s="13">
        <v>43</v>
      </c>
      <c r="D66" s="13">
        <v>49</v>
      </c>
      <c r="E66" s="13">
        <v>55</v>
      </c>
      <c r="F66" s="13">
        <v>47</v>
      </c>
      <c r="G66" s="11">
        <f>F66</f>
        <v>47</v>
      </c>
      <c r="H66" s="11">
        <f t="shared" ref="H66:K66" si="41">G66</f>
        <v>47</v>
      </c>
      <c r="I66" s="11">
        <f t="shared" si="41"/>
        <v>47</v>
      </c>
      <c r="J66" s="11">
        <f t="shared" si="41"/>
        <v>47</v>
      </c>
      <c r="K66" s="11">
        <f t="shared" si="41"/>
        <v>47</v>
      </c>
    </row>
    <row r="67" spans="2:11" hidden="1" outlineLevel="1" x14ac:dyDescent="0.3">
      <c r="B67" s="1" t="s">
        <v>48</v>
      </c>
      <c r="C67" s="13">
        <v>69</v>
      </c>
      <c r="D67" s="13">
        <v>56</v>
      </c>
      <c r="E67" s="13">
        <v>60</v>
      </c>
      <c r="F67" s="13">
        <v>59</v>
      </c>
      <c r="G67" s="11">
        <f>F67</f>
        <v>59</v>
      </c>
      <c r="H67" s="11">
        <f t="shared" ref="H67:K67" si="42">G67</f>
        <v>59</v>
      </c>
      <c r="I67" s="11">
        <f t="shared" si="42"/>
        <v>59</v>
      </c>
      <c r="J67" s="11">
        <f t="shared" si="42"/>
        <v>59</v>
      </c>
      <c r="K67" s="11">
        <f t="shared" si="42"/>
        <v>59</v>
      </c>
    </row>
    <row r="68" spans="2:11" hidden="1" outlineLevel="1" x14ac:dyDescent="0.3">
      <c r="B68" s="1" t="s">
        <v>49</v>
      </c>
      <c r="C68" s="13">
        <v>28</v>
      </c>
      <c r="D68" s="13">
        <v>31</v>
      </c>
      <c r="E68" s="13">
        <v>46</v>
      </c>
      <c r="F68" s="13">
        <v>39</v>
      </c>
      <c r="G68" s="11">
        <f>F68</f>
        <v>39</v>
      </c>
      <c r="H68" s="11">
        <f t="shared" ref="H68:K68" si="43">G68</f>
        <v>39</v>
      </c>
      <c r="I68" s="11">
        <f t="shared" si="43"/>
        <v>39</v>
      </c>
      <c r="J68" s="11">
        <f t="shared" si="43"/>
        <v>39</v>
      </c>
      <c r="K68" s="11">
        <f t="shared" si="43"/>
        <v>39</v>
      </c>
    </row>
    <row r="69" spans="2:11" hidden="1" outlineLevel="1" x14ac:dyDescent="0.3"/>
    <row r="70" spans="2:11" hidden="1" outlineLevel="1" x14ac:dyDescent="0.3"/>
    <row r="71" spans="2:11" hidden="1" outlineLevel="1" x14ac:dyDescent="0.3">
      <c r="B71" s="14" t="s">
        <v>50</v>
      </c>
      <c r="C71" s="16">
        <f>C44</f>
        <v>43100</v>
      </c>
      <c r="D71" s="16">
        <f t="shared" ref="D71:F71" si="44">D44</f>
        <v>43465</v>
      </c>
      <c r="E71" s="16">
        <f t="shared" si="44"/>
        <v>43830</v>
      </c>
      <c r="F71" s="18">
        <f t="shared" si="44"/>
        <v>44196</v>
      </c>
      <c r="G71" s="18">
        <f t="shared" ref="G71:K71" si="45">G44</f>
        <v>44561</v>
      </c>
      <c r="H71" s="18">
        <f t="shared" si="45"/>
        <v>44926</v>
      </c>
      <c r="I71" s="18">
        <f t="shared" si="45"/>
        <v>45291</v>
      </c>
      <c r="J71" s="18">
        <f t="shared" si="45"/>
        <v>45657</v>
      </c>
      <c r="K71" s="18">
        <f t="shared" si="45"/>
        <v>46022</v>
      </c>
    </row>
    <row r="72" spans="2:11" hidden="1" outlineLevel="1" x14ac:dyDescent="0.3">
      <c r="C72" s="22"/>
      <c r="D72" s="1">
        <f t="shared" ref="D72:F72" si="46">D5</f>
        <v>2018</v>
      </c>
      <c r="E72" s="1">
        <f t="shared" si="46"/>
        <v>2019</v>
      </c>
      <c r="F72" s="31">
        <f t="shared" si="46"/>
        <v>2020</v>
      </c>
      <c r="G72" s="32">
        <f t="shared" ref="G72:K72" si="47">G5</f>
        <v>2021</v>
      </c>
      <c r="H72" s="32">
        <f t="shared" si="47"/>
        <v>2022</v>
      </c>
      <c r="I72" s="32">
        <f t="shared" si="47"/>
        <v>2023</v>
      </c>
      <c r="J72" s="32">
        <f t="shared" si="47"/>
        <v>2024</v>
      </c>
      <c r="K72" s="32">
        <f t="shared" si="47"/>
        <v>2025</v>
      </c>
    </row>
    <row r="73" spans="2:11" hidden="1" outlineLevel="1" x14ac:dyDescent="0.3">
      <c r="C73" s="23"/>
    </row>
    <row r="74" spans="2:11" hidden="1" outlineLevel="1" x14ac:dyDescent="0.3">
      <c r="B74" s="1" t="s">
        <v>51</v>
      </c>
      <c r="C74" s="23"/>
      <c r="D74" s="11">
        <f t="shared" ref="D74:F74" si="48">D22</f>
        <v>1370</v>
      </c>
      <c r="E74" s="11">
        <f t="shared" si="48"/>
        <v>707</v>
      </c>
      <c r="F74" s="11">
        <f t="shared" si="48"/>
        <v>1808</v>
      </c>
      <c r="G74" s="11">
        <f>G22</f>
        <v>1396.868999999997</v>
      </c>
      <c r="H74" s="11">
        <f t="shared" ref="H74:K74" si="49">H22</f>
        <v>586.71959699999434</v>
      </c>
      <c r="I74" s="11">
        <f t="shared" si="49"/>
        <v>210.78864161999627</v>
      </c>
      <c r="J74" s="11">
        <f t="shared" si="49"/>
        <v>1446.6122161973985</v>
      </c>
      <c r="K74" s="11">
        <f t="shared" si="49"/>
        <v>2674.5881578848184</v>
      </c>
    </row>
    <row r="75" spans="2:11" hidden="1" outlineLevel="1" x14ac:dyDescent="0.3">
      <c r="B75" s="1" t="s">
        <v>52</v>
      </c>
      <c r="C75" s="23"/>
      <c r="D75" s="11">
        <f>(C49-D49)+(C50-D50)+(C51-D51)+(D56-C56)+(D59-C59)+(D58-C58)</f>
        <v>261</v>
      </c>
      <c r="E75" s="11">
        <f t="shared" ref="E75:F75" si="50">(D49-E49)+(D50-E50)+(D51-E51)+(E56-D56)+(E59-D59)+(E58-D58)</f>
        <v>-876</v>
      </c>
      <c r="F75" s="11">
        <f t="shared" si="50"/>
        <v>-1198</v>
      </c>
      <c r="G75" s="11">
        <f>(F49-G49)+(F50-G50)+(G56-F56)</f>
        <v>1273.5432547945209</v>
      </c>
      <c r="H75" s="11">
        <f t="shared" ref="H75:K75" si="51">(G49-H49)+(G50-H50)+(H56-G56)</f>
        <v>-469.08695412602742</v>
      </c>
      <c r="I75" s="11">
        <f t="shared" si="51"/>
        <v>-274.96378099988988</v>
      </c>
      <c r="J75" s="11">
        <f t="shared" si="51"/>
        <v>-302.7623812743991</v>
      </c>
      <c r="K75" s="11">
        <f t="shared" si="51"/>
        <v>-326.02380896328577</v>
      </c>
    </row>
    <row r="76" spans="2:11" hidden="1" outlineLevel="1" x14ac:dyDescent="0.3">
      <c r="B76" s="1" t="s">
        <v>28</v>
      </c>
      <c r="C76" s="23"/>
      <c r="D76" s="11">
        <f t="shared" ref="D76:F76" si="52">D40</f>
        <v>-166</v>
      </c>
      <c r="E76" s="11">
        <f t="shared" si="52"/>
        <v>-81</v>
      </c>
      <c r="F76" s="11">
        <f t="shared" si="52"/>
        <v>0</v>
      </c>
      <c r="G76" s="11">
        <f>G40</f>
        <v>-134.13987499999962</v>
      </c>
      <c r="H76" s="11">
        <f t="shared" ref="H76:K76" si="53">H40</f>
        <v>-14.604012124999294</v>
      </c>
      <c r="I76" s="11">
        <f t="shared" si="53"/>
        <v>39.706107297500473</v>
      </c>
      <c r="J76" s="11">
        <f t="shared" si="53"/>
        <v>-119.26402702467482</v>
      </c>
      <c r="K76" s="11">
        <f t="shared" si="53"/>
        <v>-278.3078947356023</v>
      </c>
    </row>
    <row r="77" spans="2:11" hidden="1" outlineLevel="1" x14ac:dyDescent="0.3">
      <c r="B77" s="14" t="s">
        <v>53</v>
      </c>
      <c r="C77" s="24"/>
      <c r="D77" s="15">
        <f t="shared" ref="D77:K77" si="54">SUM(D74:D76)</f>
        <v>1465</v>
      </c>
      <c r="E77" s="15">
        <f t="shared" si="54"/>
        <v>-250</v>
      </c>
      <c r="F77" s="15">
        <f t="shared" si="54"/>
        <v>610</v>
      </c>
      <c r="G77" s="15">
        <f t="shared" si="54"/>
        <v>2536.2723797945182</v>
      </c>
      <c r="H77" s="15">
        <f t="shared" si="54"/>
        <v>103.02863074896763</v>
      </c>
      <c r="I77" s="15">
        <f t="shared" si="54"/>
        <v>-24.469032082393134</v>
      </c>
      <c r="J77" s="15">
        <f t="shared" si="54"/>
        <v>1024.5858078983247</v>
      </c>
      <c r="K77" s="15">
        <f t="shared" si="54"/>
        <v>2070.2564541859301</v>
      </c>
    </row>
    <row r="78" spans="2:11" hidden="1" outlineLevel="1" x14ac:dyDescent="0.3">
      <c r="C78" s="23"/>
    </row>
    <row r="79" spans="2:11" hidden="1" outlineLevel="1" x14ac:dyDescent="0.3">
      <c r="B79" s="1" t="s">
        <v>54</v>
      </c>
      <c r="C79" s="23"/>
      <c r="D79" s="11">
        <f t="shared" ref="D79:F79" si="55">-D33</f>
        <v>81</v>
      </c>
      <c r="E79" s="11">
        <f t="shared" si="55"/>
        <v>86</v>
      </c>
      <c r="F79" s="11">
        <f t="shared" si="55"/>
        <v>80</v>
      </c>
      <c r="G79" s="11">
        <f>-G108</f>
        <v>-95</v>
      </c>
      <c r="H79" s="11">
        <f t="shared" ref="H79:K79" si="56">-H108</f>
        <v>-95</v>
      </c>
      <c r="I79" s="11">
        <f t="shared" si="56"/>
        <v>-95</v>
      </c>
      <c r="J79" s="11">
        <f t="shared" si="56"/>
        <v>-95</v>
      </c>
      <c r="K79" s="11">
        <f t="shared" si="56"/>
        <v>-95</v>
      </c>
    </row>
    <row r="80" spans="2:11" hidden="1" outlineLevel="1" x14ac:dyDescent="0.3">
      <c r="B80" s="1" t="s">
        <v>55</v>
      </c>
      <c r="C80" s="23"/>
      <c r="D80" s="11">
        <f>D47-(C47-D79)</f>
        <v>63</v>
      </c>
      <c r="E80" s="11">
        <f t="shared" ref="E80:F80" si="57">E47-(D47-E79)</f>
        <v>90</v>
      </c>
      <c r="F80" s="11">
        <f t="shared" si="57"/>
        <v>40</v>
      </c>
    </row>
    <row r="81" spans="2:11" hidden="1" outlineLevel="1" x14ac:dyDescent="0.3">
      <c r="B81" s="14" t="s">
        <v>56</v>
      </c>
      <c r="C81" s="24"/>
      <c r="D81" s="15">
        <f>-SUM(D79:D80)</f>
        <v>-144</v>
      </c>
      <c r="E81" s="15">
        <f t="shared" ref="E81:F81" si="58">-SUM(E79:E80)</f>
        <v>-176</v>
      </c>
      <c r="F81" s="15">
        <f t="shared" si="58"/>
        <v>-120</v>
      </c>
      <c r="G81" s="15">
        <f>SUM(G79:G80)</f>
        <v>-95</v>
      </c>
      <c r="H81" s="15">
        <f t="shared" ref="H81:K81" si="59">SUM(H79:H80)</f>
        <v>-95</v>
      </c>
      <c r="I81" s="15">
        <f t="shared" si="59"/>
        <v>-95</v>
      </c>
      <c r="J81" s="15">
        <f t="shared" si="59"/>
        <v>-95</v>
      </c>
      <c r="K81" s="15">
        <f t="shared" si="59"/>
        <v>-95</v>
      </c>
    </row>
    <row r="82" spans="2:11" hidden="1" outlineLevel="1" x14ac:dyDescent="0.3">
      <c r="C82" s="23"/>
    </row>
    <row r="83" spans="2:11" hidden="1" outlineLevel="1" x14ac:dyDescent="0.3">
      <c r="B83" s="1" t="s">
        <v>57</v>
      </c>
      <c r="C83" s="25"/>
      <c r="D83" s="13">
        <v>0</v>
      </c>
      <c r="E83" s="13">
        <v>0</v>
      </c>
      <c r="F83" s="13">
        <v>0</v>
      </c>
      <c r="G83" s="11">
        <f>G37</f>
        <v>-243.75</v>
      </c>
      <c r="H83" s="11">
        <f t="shared" ref="H83:K83" si="60">H37</f>
        <v>-389.88749999999999</v>
      </c>
      <c r="I83" s="11">
        <f t="shared" si="60"/>
        <v>-448.43750000000006</v>
      </c>
      <c r="J83" s="11">
        <f t="shared" si="60"/>
        <v>-412.5</v>
      </c>
      <c r="K83" s="11">
        <f t="shared" si="60"/>
        <v>-368.125</v>
      </c>
    </row>
    <row r="84" spans="2:11" hidden="1" outlineLevel="1" x14ac:dyDescent="0.3">
      <c r="B84" s="1" t="s">
        <v>63</v>
      </c>
      <c r="C84" s="25"/>
      <c r="D84" s="13"/>
      <c r="E84" s="13"/>
      <c r="F84" s="13"/>
      <c r="G84" s="11">
        <f>G119</f>
        <v>-250</v>
      </c>
      <c r="H84" s="11">
        <f t="shared" ref="H84:K84" si="61">H119</f>
        <v>-250</v>
      </c>
      <c r="I84" s="11">
        <f t="shared" si="61"/>
        <v>-250</v>
      </c>
      <c r="J84" s="11">
        <f t="shared" si="61"/>
        <v>-250</v>
      </c>
      <c r="K84" s="11">
        <f t="shared" si="61"/>
        <v>-250</v>
      </c>
    </row>
    <row r="85" spans="2:11" hidden="1" outlineLevel="1" x14ac:dyDescent="0.3">
      <c r="B85" s="14" t="s">
        <v>58</v>
      </c>
      <c r="C85" s="24"/>
      <c r="D85" s="15">
        <f t="shared" ref="D85:F85" si="62">SUM(D83)</f>
        <v>0</v>
      </c>
      <c r="E85" s="15">
        <f t="shared" si="62"/>
        <v>0</v>
      </c>
      <c r="F85" s="15">
        <f t="shared" si="62"/>
        <v>0</v>
      </c>
      <c r="G85" s="15">
        <f>SUM(G83:G84)</f>
        <v>-493.75</v>
      </c>
      <c r="H85" s="15">
        <f t="shared" ref="H85:K85" si="63">SUM(H83:H84)</f>
        <v>-639.88750000000005</v>
      </c>
      <c r="I85" s="15">
        <f t="shared" si="63"/>
        <v>-698.4375</v>
      </c>
      <c r="J85" s="15">
        <f t="shared" si="63"/>
        <v>-662.5</v>
      </c>
      <c r="K85" s="15">
        <f t="shared" si="63"/>
        <v>-618.125</v>
      </c>
    </row>
    <row r="86" spans="2:11" hidden="1" outlineLevel="1" x14ac:dyDescent="0.3">
      <c r="C86" s="23"/>
    </row>
    <row r="87" spans="2:11" hidden="1" outlineLevel="1" x14ac:dyDescent="0.3">
      <c r="B87" s="14" t="s">
        <v>59</v>
      </c>
      <c r="C87" s="24"/>
      <c r="D87" s="15">
        <f t="shared" ref="D87:F87" si="64">D77-D81-D85</f>
        <v>1609</v>
      </c>
      <c r="E87" s="15">
        <f t="shared" si="64"/>
        <v>-74</v>
      </c>
      <c r="F87" s="15">
        <f t="shared" si="64"/>
        <v>730</v>
      </c>
      <c r="G87" s="15">
        <f>G77+G81+G85</f>
        <v>1947.5223797945182</v>
      </c>
      <c r="H87" s="15">
        <f t="shared" ref="H87:K87" si="65">H77+H81+H85</f>
        <v>-631.85886925103239</v>
      </c>
      <c r="I87" s="15">
        <f t="shared" si="65"/>
        <v>-817.90653208239314</v>
      </c>
      <c r="J87" s="15">
        <f t="shared" si="65"/>
        <v>267.08580789832467</v>
      </c>
      <c r="K87" s="15">
        <f t="shared" si="65"/>
        <v>1357.1314541859301</v>
      </c>
    </row>
    <row r="88" spans="2:11" hidden="1" outlineLevel="1" x14ac:dyDescent="0.3"/>
    <row r="89" spans="2:11" hidden="1" outlineLevel="1" x14ac:dyDescent="0.3"/>
    <row r="90" spans="2:11" hidden="1" outlineLevel="1" x14ac:dyDescent="0.3">
      <c r="B90" s="1" t="s">
        <v>60</v>
      </c>
      <c r="C90" s="4">
        <v>0.125</v>
      </c>
    </row>
    <row r="91" spans="2:11" hidden="1" outlineLevel="1" x14ac:dyDescent="0.3">
      <c r="B91" s="1" t="s">
        <v>76</v>
      </c>
      <c r="C91" s="30">
        <v>365</v>
      </c>
    </row>
    <row r="92" spans="2:11" hidden="1" outlineLevel="1" x14ac:dyDescent="0.3"/>
    <row r="93" spans="2:11" hidden="1" outlineLevel="1" x14ac:dyDescent="0.3">
      <c r="B93" s="1" t="s">
        <v>72</v>
      </c>
    </row>
    <row r="94" spans="2:11" hidden="1" outlineLevel="1" x14ac:dyDescent="0.3">
      <c r="B94" s="6" t="s">
        <v>5</v>
      </c>
      <c r="C94" s="5">
        <f>C11/C$7</f>
        <v>-0.70278026905829594</v>
      </c>
      <c r="D94" s="5">
        <f t="shared" ref="D94:F94" si="66">D11/D$7</f>
        <v>-0.71857613262177811</v>
      </c>
      <c r="E94" s="5">
        <f t="shared" si="66"/>
        <v>-0.75224924168423213</v>
      </c>
      <c r="F94" s="5">
        <f t="shared" si="66"/>
        <v>-0.77943072955047898</v>
      </c>
      <c r="G94" s="5">
        <f>G11/G7</f>
        <v>-0.80020528996297957</v>
      </c>
      <c r="H94" s="5">
        <f t="shared" ref="H94:K94" si="67">H11/H7</f>
        <v>-0.83974822882009004</v>
      </c>
      <c r="I94" s="5">
        <f t="shared" si="67"/>
        <v>-0.85559253502424271</v>
      </c>
      <c r="J94" s="5">
        <f t="shared" si="67"/>
        <v>-0.81161347948561324</v>
      </c>
      <c r="K94" s="5">
        <f t="shared" si="67"/>
        <v>-0.77368761595824809</v>
      </c>
    </row>
    <row r="95" spans="2:11" hidden="1" outlineLevel="1" x14ac:dyDescent="0.3">
      <c r="B95" s="6" t="str">
        <f>B12</f>
        <v>Printing, Packaging, Transport</v>
      </c>
      <c r="C95" s="5">
        <f t="shared" ref="C95:F95" si="68">C12/C$7</f>
        <v>-7.4738415545590436E-2</v>
      </c>
      <c r="D95" s="5">
        <f t="shared" si="68"/>
        <v>-6.7730214602021124E-2</v>
      </c>
      <c r="E95" s="5">
        <f t="shared" si="68"/>
        <v>-7.1872911418436075E-2</v>
      </c>
      <c r="F95" s="5">
        <f t="shared" si="68"/>
        <v>0</v>
      </c>
      <c r="G95" s="5">
        <f>F95</f>
        <v>0</v>
      </c>
      <c r="H95" s="5">
        <f t="shared" ref="H95:K95" si="69">G95</f>
        <v>0</v>
      </c>
      <c r="I95" s="5">
        <f t="shared" si="69"/>
        <v>0</v>
      </c>
      <c r="J95" s="5">
        <f t="shared" si="69"/>
        <v>0</v>
      </c>
      <c r="K95" s="5">
        <f t="shared" si="69"/>
        <v>0</v>
      </c>
    </row>
    <row r="96" spans="2:11" hidden="1" outlineLevel="1" x14ac:dyDescent="0.3">
      <c r="B96" s="6" t="str">
        <f>B13</f>
        <v>Warehouse &amp; Storage</v>
      </c>
      <c r="C96" s="5">
        <f t="shared" ref="C96:F96" si="70">C13/C$7</f>
        <v>-9.5665171898355762E-3</v>
      </c>
      <c r="D96" s="5">
        <f t="shared" si="70"/>
        <v>-1.2433291699784263E-2</v>
      </c>
      <c r="E96" s="5">
        <f t="shared" si="70"/>
        <v>-1.3829623155621818E-2</v>
      </c>
      <c r="F96" s="5">
        <f t="shared" si="70"/>
        <v>0</v>
      </c>
      <c r="G96" s="5">
        <f>F96</f>
        <v>0</v>
      </c>
      <c r="H96" s="5">
        <f t="shared" ref="H96:K96" si="71">G96</f>
        <v>0</v>
      </c>
      <c r="I96" s="5">
        <f t="shared" si="71"/>
        <v>0</v>
      </c>
      <c r="J96" s="5">
        <f t="shared" si="71"/>
        <v>0</v>
      </c>
      <c r="K96" s="5">
        <f t="shared" si="71"/>
        <v>0</v>
      </c>
    </row>
    <row r="97" spans="2:11" hidden="1" outlineLevel="1" x14ac:dyDescent="0.3">
      <c r="B97" s="6" t="str">
        <f>B14</f>
        <v>Wages &amp; Salaries</v>
      </c>
      <c r="C97" s="5">
        <f t="shared" ref="C97:F97" si="72">C14/C$7</f>
        <v>-3.6831091180866964E-2</v>
      </c>
      <c r="D97" s="5">
        <f t="shared" si="72"/>
        <v>-4.456682184625866E-2</v>
      </c>
      <c r="E97" s="5">
        <f t="shared" si="72"/>
        <v>-4.9251966479872497E-2</v>
      </c>
      <c r="F97" s="5">
        <f t="shared" si="72"/>
        <v>-4.4215180545320559E-2</v>
      </c>
      <c r="G97" s="5">
        <f>F97</f>
        <v>-4.4215180545320559E-2</v>
      </c>
      <c r="H97" s="5">
        <f t="shared" ref="H97:K97" si="73">G97</f>
        <v>-4.4215180545320559E-2</v>
      </c>
      <c r="I97" s="5">
        <f t="shared" si="73"/>
        <v>-4.4215180545320559E-2</v>
      </c>
      <c r="J97" s="5">
        <f t="shared" si="73"/>
        <v>-4.4215180545320559E-2</v>
      </c>
      <c r="K97" s="5">
        <f t="shared" si="73"/>
        <v>-4.4215180545320559E-2</v>
      </c>
    </row>
    <row r="98" spans="2:11" hidden="1" outlineLevel="1" x14ac:dyDescent="0.3">
      <c r="B98" s="6" t="str">
        <f>B15</f>
        <v>Net Inventory Movement</v>
      </c>
      <c r="C98" s="5">
        <f t="shared" ref="C98:F98" si="74">C15/C$7</f>
        <v>1.147982062780269E-2</v>
      </c>
      <c r="D98" s="5">
        <f t="shared" si="74"/>
        <v>1.7769955717043262E-2</v>
      </c>
      <c r="E98" s="5">
        <f t="shared" si="74"/>
        <v>3.8301372680067863E-2</v>
      </c>
      <c r="F98" s="5">
        <f t="shared" si="74"/>
        <v>-2.3949889462048638E-3</v>
      </c>
      <c r="G98" s="5">
        <f>F98</f>
        <v>-2.3949889462048638E-3</v>
      </c>
      <c r="H98" s="5">
        <f t="shared" ref="H98:K98" si="75">G98</f>
        <v>-2.3949889462048638E-3</v>
      </c>
      <c r="I98" s="5">
        <f t="shared" si="75"/>
        <v>-2.3949889462048638E-3</v>
      </c>
      <c r="J98" s="5">
        <f t="shared" si="75"/>
        <v>-2.3949889462048638E-3</v>
      </c>
      <c r="K98" s="5">
        <f t="shared" si="75"/>
        <v>-2.3949889462048638E-3</v>
      </c>
    </row>
    <row r="99" spans="2:11" hidden="1" outlineLevel="1" x14ac:dyDescent="0.3"/>
    <row r="100" spans="2:11" hidden="1" outlineLevel="1" x14ac:dyDescent="0.3">
      <c r="B100" s="1" t="s">
        <v>73</v>
      </c>
      <c r="G100" s="4">
        <v>0.04</v>
      </c>
      <c r="H100" s="4">
        <v>0.16800000000000001</v>
      </c>
      <c r="I100" s="4">
        <v>0.08</v>
      </c>
      <c r="J100" s="4">
        <v>1.4999999999999999E-2</v>
      </c>
      <c r="K100" s="4">
        <v>0.02</v>
      </c>
    </row>
    <row r="101" spans="2:11" hidden="1" outlineLevel="1" x14ac:dyDescent="0.3"/>
    <row r="102" spans="2:11" hidden="1" outlineLevel="1" x14ac:dyDescent="0.3">
      <c r="B102" s="1" t="s">
        <v>5</v>
      </c>
      <c r="F102" s="11">
        <f>F11</f>
        <v>-16923</v>
      </c>
      <c r="G102" s="11">
        <f>F102*(1+G100)</f>
        <v>-17599.920000000002</v>
      </c>
      <c r="H102" s="11">
        <f t="shared" ref="H102:K102" si="76">G102*(1+H100)</f>
        <v>-20556.706560000002</v>
      </c>
      <c r="I102" s="11">
        <f t="shared" si="76"/>
        <v>-22201.243084800004</v>
      </c>
      <c r="J102" s="11">
        <f t="shared" si="76"/>
        <v>-22534.261731072002</v>
      </c>
      <c r="K102" s="11">
        <f t="shared" si="76"/>
        <v>-22984.946965693442</v>
      </c>
    </row>
    <row r="103" spans="2:11" hidden="1" outlineLevel="1" x14ac:dyDescent="0.3"/>
    <row r="104" spans="2:11" hidden="1" outlineLevel="1" x14ac:dyDescent="0.3">
      <c r="B104" s="1" t="s">
        <v>74</v>
      </c>
      <c r="C104" s="5">
        <f>C21/C7</f>
        <v>-0.10654708520179372</v>
      </c>
      <c r="D104" s="5">
        <f t="shared" ref="D104:F104" si="77">D21/D7</f>
        <v>-9.4924491881457934E-2</v>
      </c>
      <c r="E104" s="5">
        <f t="shared" si="77"/>
        <v>-0.1133103696468048</v>
      </c>
      <c r="F104" s="5">
        <f t="shared" si="77"/>
        <v>-8.9673913043478257E-2</v>
      </c>
      <c r="G104" s="5">
        <f>F104</f>
        <v>-8.9673913043478257E-2</v>
      </c>
      <c r="H104" s="5">
        <f t="shared" ref="H104:K104" si="78">G104</f>
        <v>-8.9673913043478257E-2</v>
      </c>
      <c r="I104" s="5">
        <f t="shared" si="78"/>
        <v>-8.9673913043478257E-2</v>
      </c>
      <c r="J104" s="5">
        <f t="shared" si="78"/>
        <v>-8.9673913043478257E-2</v>
      </c>
      <c r="K104" s="5">
        <f t="shared" si="78"/>
        <v>-8.9673913043478257E-2</v>
      </c>
    </row>
    <row r="105" spans="2:11" hidden="1" outlineLevel="1" x14ac:dyDescent="0.3"/>
    <row r="106" spans="2:11" hidden="1" outlineLevel="1" x14ac:dyDescent="0.3">
      <c r="B106" s="1" t="s">
        <v>24</v>
      </c>
      <c r="C106" s="11">
        <f>C33</f>
        <v>-81</v>
      </c>
      <c r="D106" s="11">
        <f t="shared" ref="D106:F106" si="79">D33</f>
        <v>-81</v>
      </c>
      <c r="E106" s="11">
        <f t="shared" si="79"/>
        <v>-86</v>
      </c>
      <c r="F106" s="11">
        <f t="shared" si="79"/>
        <v>-80</v>
      </c>
      <c r="G106" s="11">
        <f>F106</f>
        <v>-80</v>
      </c>
      <c r="H106" s="11">
        <f t="shared" ref="H106:K106" si="80">G106</f>
        <v>-80</v>
      </c>
      <c r="I106" s="11">
        <f t="shared" si="80"/>
        <v>-80</v>
      </c>
      <c r="J106" s="11">
        <f t="shared" si="80"/>
        <v>-80</v>
      </c>
      <c r="K106" s="11">
        <f t="shared" si="80"/>
        <v>-80</v>
      </c>
    </row>
    <row r="107" spans="2:11" hidden="1" outlineLevel="1" x14ac:dyDescent="0.3"/>
    <row r="108" spans="2:11" hidden="1" outlineLevel="1" x14ac:dyDescent="0.3">
      <c r="B108" s="1" t="s">
        <v>75</v>
      </c>
      <c r="G108" s="13">
        <v>95</v>
      </c>
      <c r="H108" s="13">
        <v>95</v>
      </c>
      <c r="I108" s="13">
        <v>95</v>
      </c>
      <c r="J108" s="13">
        <v>95</v>
      </c>
      <c r="K108" s="13">
        <v>95</v>
      </c>
    </row>
    <row r="109" spans="2:11" hidden="1" outlineLevel="1" x14ac:dyDescent="0.3"/>
    <row r="110" spans="2:11" hidden="1" outlineLevel="1" x14ac:dyDescent="0.3">
      <c r="B110" s="1" t="s">
        <v>66</v>
      </c>
    </row>
    <row r="111" spans="2:11" hidden="1" outlineLevel="1" x14ac:dyDescent="0.3"/>
    <row r="112" spans="2:11" hidden="1" outlineLevel="1" x14ac:dyDescent="0.3">
      <c r="C112" s="11" t="s">
        <v>62</v>
      </c>
      <c r="D112" s="11" t="s">
        <v>64</v>
      </c>
      <c r="E112" s="11" t="s">
        <v>57</v>
      </c>
      <c r="F112" s="11" t="s">
        <v>63</v>
      </c>
    </row>
    <row r="113" spans="1:11" hidden="1" outlineLevel="1" x14ac:dyDescent="0.3">
      <c r="B113" s="1" t="s">
        <v>61</v>
      </c>
      <c r="C113" s="26">
        <v>2.7654867256637168</v>
      </c>
      <c r="D113" s="11">
        <f>C113*F22</f>
        <v>5000</v>
      </c>
      <c r="E113" s="28">
        <v>0.05</v>
      </c>
      <c r="F113" s="9">
        <v>0.05</v>
      </c>
    </row>
    <row r="114" spans="1:11" hidden="1" outlineLevel="1" x14ac:dyDescent="0.3"/>
    <row r="115" spans="1:11" hidden="1" outlineLevel="1" x14ac:dyDescent="0.3">
      <c r="B115" s="1" t="s">
        <v>77</v>
      </c>
      <c r="G115" s="27">
        <v>0</v>
      </c>
      <c r="H115" s="27">
        <v>3.4299999999999997E-2</v>
      </c>
      <c r="I115" s="27">
        <v>5.2499999999999998E-2</v>
      </c>
      <c r="J115" s="27">
        <v>0.05</v>
      </c>
      <c r="K115" s="27">
        <v>4.4999999999999998E-2</v>
      </c>
    </row>
    <row r="116" spans="1:11" hidden="1" outlineLevel="1" x14ac:dyDescent="0.3"/>
    <row r="117" spans="1:11" hidden="1" outlineLevel="1" x14ac:dyDescent="0.3">
      <c r="B117" s="1" t="s">
        <v>61</v>
      </c>
    </row>
    <row r="118" spans="1:11" hidden="1" outlineLevel="1" x14ac:dyDescent="0.3">
      <c r="B118" s="1" t="s">
        <v>67</v>
      </c>
      <c r="G118" s="11">
        <f>F120</f>
        <v>5000</v>
      </c>
      <c r="H118" s="11">
        <f t="shared" ref="H118:K118" si="81">G120</f>
        <v>4750</v>
      </c>
      <c r="I118" s="11">
        <f t="shared" si="81"/>
        <v>4500</v>
      </c>
      <c r="J118" s="11">
        <f t="shared" si="81"/>
        <v>4250</v>
      </c>
      <c r="K118" s="11">
        <f t="shared" si="81"/>
        <v>4000</v>
      </c>
    </row>
    <row r="119" spans="1:11" hidden="1" outlineLevel="1" x14ac:dyDescent="0.3">
      <c r="B119" s="1" t="s">
        <v>63</v>
      </c>
      <c r="G119" s="11">
        <f>$F$120*-$F$113</f>
        <v>-250</v>
      </c>
      <c r="H119" s="11">
        <f t="shared" ref="H119:K119" si="82">$F$120*-$F$113</f>
        <v>-250</v>
      </c>
      <c r="I119" s="11">
        <f t="shared" si="82"/>
        <v>-250</v>
      </c>
      <c r="J119" s="11">
        <f t="shared" si="82"/>
        <v>-250</v>
      </c>
      <c r="K119" s="11">
        <f t="shared" si="82"/>
        <v>-250</v>
      </c>
    </row>
    <row r="120" spans="1:11" hidden="1" outlineLevel="1" x14ac:dyDescent="0.3">
      <c r="B120" s="1" t="s">
        <v>68</v>
      </c>
      <c r="F120" s="11">
        <f>D113</f>
        <v>5000</v>
      </c>
      <c r="G120" s="11">
        <f>SUM(G118:G119)</f>
        <v>4750</v>
      </c>
      <c r="H120" s="11">
        <f t="shared" ref="H120:K120" si="83">SUM(H118:H119)</f>
        <v>4500</v>
      </c>
      <c r="I120" s="11">
        <f t="shared" si="83"/>
        <v>4250</v>
      </c>
      <c r="J120" s="11">
        <f t="shared" si="83"/>
        <v>4000</v>
      </c>
      <c r="K120" s="11">
        <f t="shared" si="83"/>
        <v>3750</v>
      </c>
    </row>
    <row r="121" spans="1:11" hidden="1" outlineLevel="1" x14ac:dyDescent="0.3"/>
    <row r="122" spans="1:11" hidden="1" outlineLevel="1" x14ac:dyDescent="0.3">
      <c r="B122" s="1" t="s">
        <v>57</v>
      </c>
      <c r="G122" s="11">
        <f>AVERAGE(G118,G120)*(G115+$E$113)</f>
        <v>243.75</v>
      </c>
      <c r="H122" s="11">
        <f t="shared" ref="H122:K122" si="84">AVERAGE(H118,H120)*(H115+$E$113)</f>
        <v>389.88749999999999</v>
      </c>
      <c r="I122" s="11">
        <f t="shared" si="84"/>
        <v>448.43750000000006</v>
      </c>
      <c r="J122" s="11">
        <f t="shared" si="84"/>
        <v>412.5</v>
      </c>
      <c r="K122" s="11">
        <f t="shared" si="84"/>
        <v>368.125</v>
      </c>
    </row>
    <row r="123" spans="1:11" hidden="1" outlineLevel="1" x14ac:dyDescent="0.3"/>
    <row r="124" spans="1:11" collapsed="1" x14ac:dyDescent="0.3"/>
    <row r="125" spans="1:11" x14ac:dyDescent="0.3">
      <c r="A125" s="1" t="s">
        <v>80</v>
      </c>
      <c r="B125" s="39" t="s">
        <v>79</v>
      </c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1:11" x14ac:dyDescent="0.3">
      <c r="B126" s="14"/>
    </row>
    <row r="127" spans="1:11" x14ac:dyDescent="0.3">
      <c r="B127" s="39" t="s">
        <v>82</v>
      </c>
      <c r="C127" s="40"/>
      <c r="D127" s="40"/>
      <c r="E127" s="40"/>
      <c r="F127" s="41" t="str">
        <f>F3</f>
        <v>Mgmt</v>
      </c>
      <c r="G127" s="42" t="s">
        <v>78</v>
      </c>
      <c r="H127" s="42"/>
      <c r="I127" s="42"/>
      <c r="J127" s="42"/>
      <c r="K127" s="42"/>
    </row>
    <row r="128" spans="1:11" x14ac:dyDescent="0.3">
      <c r="B128" s="14" t="s">
        <v>81</v>
      </c>
      <c r="F128" s="18">
        <f t="shared" ref="F128:K129" si="85">F4</f>
        <v>44196</v>
      </c>
      <c r="G128" s="18">
        <f t="shared" si="85"/>
        <v>44561</v>
      </c>
      <c r="H128" s="18">
        <f t="shared" si="85"/>
        <v>44926</v>
      </c>
      <c r="I128" s="18">
        <f t="shared" si="85"/>
        <v>45291</v>
      </c>
      <c r="J128" s="18">
        <f t="shared" si="85"/>
        <v>45657</v>
      </c>
      <c r="K128" s="18">
        <f t="shared" si="85"/>
        <v>46022</v>
      </c>
    </row>
    <row r="129" spans="2:11" x14ac:dyDescent="0.3">
      <c r="B129" s="14" t="s">
        <v>71</v>
      </c>
      <c r="C129" s="15"/>
      <c r="D129" s="15"/>
      <c r="E129" s="15"/>
      <c r="F129" s="34">
        <f>F5</f>
        <v>2020</v>
      </c>
      <c r="G129" s="35">
        <f t="shared" si="85"/>
        <v>2021</v>
      </c>
      <c r="H129" s="35">
        <f t="shared" si="85"/>
        <v>2022</v>
      </c>
      <c r="I129" s="35">
        <f t="shared" si="85"/>
        <v>2023</v>
      </c>
      <c r="J129" s="35">
        <f t="shared" si="85"/>
        <v>2024</v>
      </c>
      <c r="K129" s="35">
        <f t="shared" si="85"/>
        <v>2025</v>
      </c>
    </row>
    <row r="130" spans="2:11" ht="5.4" customHeight="1" x14ac:dyDescent="0.3"/>
    <row r="131" spans="2:11" x14ac:dyDescent="0.3">
      <c r="B131" s="14" t="s">
        <v>83</v>
      </c>
      <c r="C131" s="15"/>
      <c r="D131" s="15"/>
      <c r="E131" s="15"/>
      <c r="F131" s="15">
        <f>F7</f>
        <v>21712</v>
      </c>
      <c r="G131" s="15">
        <f t="shared" ref="G131:K131" si="86">G7</f>
        <v>21994.255999999998</v>
      </c>
      <c r="H131" s="15">
        <f t="shared" si="86"/>
        <v>24479.606927999997</v>
      </c>
      <c r="I131" s="15">
        <f t="shared" si="86"/>
        <v>25948.383343679998</v>
      </c>
      <c r="J131" s="15">
        <f t="shared" si="86"/>
        <v>27764.770177737599</v>
      </c>
      <c r="K131" s="15">
        <f t="shared" si="86"/>
        <v>29708.304090179234</v>
      </c>
    </row>
    <row r="132" spans="2:11" x14ac:dyDescent="0.3">
      <c r="B132" s="3" t="s">
        <v>84</v>
      </c>
      <c r="F132" s="36">
        <f>F8</f>
        <v>0.11624081024111876</v>
      </c>
      <c r="G132" s="36">
        <f t="shared" ref="G132:K132" si="87">G8</f>
        <v>1.2999999999999999E-2</v>
      </c>
      <c r="H132" s="36">
        <f t="shared" si="87"/>
        <v>0.113</v>
      </c>
      <c r="I132" s="36">
        <f t="shared" si="87"/>
        <v>0.06</v>
      </c>
      <c r="J132" s="36">
        <f t="shared" si="87"/>
        <v>7.0000000000000007E-2</v>
      </c>
      <c r="K132" s="36">
        <f t="shared" si="87"/>
        <v>7.0000000000000007E-2</v>
      </c>
    </row>
    <row r="133" spans="2:11" ht="5.4" customHeight="1" x14ac:dyDescent="0.3"/>
    <row r="134" spans="2:11" x14ac:dyDescent="0.3">
      <c r="B134" s="14" t="s">
        <v>51</v>
      </c>
      <c r="C134" s="15"/>
      <c r="D134" s="15"/>
      <c r="E134" s="15"/>
      <c r="F134" s="15">
        <f>F22</f>
        <v>1808</v>
      </c>
      <c r="G134" s="15">
        <f t="shared" ref="G134:K134" si="88">G22</f>
        <v>1396.868999999997</v>
      </c>
      <c r="H134" s="15">
        <f t="shared" si="88"/>
        <v>586.71959699999434</v>
      </c>
      <c r="I134" s="15">
        <f t="shared" si="88"/>
        <v>210.78864161999627</v>
      </c>
      <c r="J134" s="15">
        <f t="shared" si="88"/>
        <v>1446.6122161973985</v>
      </c>
      <c r="K134" s="15">
        <f t="shared" si="88"/>
        <v>2674.5881578848184</v>
      </c>
    </row>
    <row r="135" spans="2:11" x14ac:dyDescent="0.3">
      <c r="B135" s="3" t="s">
        <v>85</v>
      </c>
      <c r="F135" s="36">
        <f>F23</f>
        <v>8.3271923360353717E-2</v>
      </c>
      <c r="G135" s="36">
        <f t="shared" ref="G135:K135" si="89">G23</f>
        <v>6.3510627502016762E-2</v>
      </c>
      <c r="H135" s="36">
        <f t="shared" si="89"/>
        <v>2.3967688644906268E-2</v>
      </c>
      <c r="I135" s="36">
        <f t="shared" si="89"/>
        <v>8.1233824407537149E-3</v>
      </c>
      <c r="J135" s="36">
        <f t="shared" si="89"/>
        <v>5.210243797938309E-2</v>
      </c>
      <c r="K135" s="36">
        <f t="shared" si="89"/>
        <v>9.0028301506748259E-2</v>
      </c>
    </row>
    <row r="136" spans="2:11" ht="5.4" customHeight="1" x14ac:dyDescent="0.3"/>
    <row r="137" spans="2:11" ht="5.4" customHeight="1" x14ac:dyDescent="0.3"/>
    <row r="138" spans="2:11" x14ac:dyDescent="0.3">
      <c r="B138" s="1" t="s">
        <v>52</v>
      </c>
      <c r="G138" s="11">
        <f>G75</f>
        <v>1273.5432547945209</v>
      </c>
      <c r="H138" s="11">
        <f t="shared" ref="H138:K138" si="90">H75</f>
        <v>-469.08695412602742</v>
      </c>
      <c r="I138" s="11">
        <f t="shared" si="90"/>
        <v>-274.96378099988988</v>
      </c>
      <c r="J138" s="11">
        <f t="shared" si="90"/>
        <v>-302.7623812743991</v>
      </c>
      <c r="K138" s="11">
        <f t="shared" si="90"/>
        <v>-326.02380896328577</v>
      </c>
    </row>
    <row r="139" spans="2:11" x14ac:dyDescent="0.3">
      <c r="B139" s="1" t="s">
        <v>28</v>
      </c>
      <c r="G139" s="11">
        <f>G76</f>
        <v>-134.13987499999962</v>
      </c>
      <c r="H139" s="11">
        <f t="shared" ref="H139:K139" si="91">H76</f>
        <v>-14.604012124999294</v>
      </c>
      <c r="I139" s="11">
        <f t="shared" si="91"/>
        <v>39.706107297500473</v>
      </c>
      <c r="J139" s="11">
        <f t="shared" si="91"/>
        <v>-119.26402702467482</v>
      </c>
      <c r="K139" s="11">
        <f t="shared" si="91"/>
        <v>-278.3078947356023</v>
      </c>
    </row>
    <row r="140" spans="2:11" x14ac:dyDescent="0.3">
      <c r="B140" s="1" t="s">
        <v>75</v>
      </c>
      <c r="G140" s="11">
        <f>G81</f>
        <v>-95</v>
      </c>
      <c r="H140" s="11">
        <f t="shared" ref="H140:K140" si="92">H81</f>
        <v>-95</v>
      </c>
      <c r="I140" s="11">
        <f t="shared" si="92"/>
        <v>-95</v>
      </c>
      <c r="J140" s="11">
        <f t="shared" si="92"/>
        <v>-95</v>
      </c>
      <c r="K140" s="11">
        <f t="shared" si="92"/>
        <v>-95</v>
      </c>
    </row>
    <row r="141" spans="2:11" x14ac:dyDescent="0.3">
      <c r="B141" s="14" t="s">
        <v>86</v>
      </c>
      <c r="G141" s="15">
        <f>SUM(G138:G140)+G134</f>
        <v>2441.2723797945182</v>
      </c>
      <c r="H141" s="15">
        <f t="shared" ref="H141:K141" si="93">SUM(H138:H140)+H134</f>
        <v>8.0286307489675437</v>
      </c>
      <c r="I141" s="15">
        <f t="shared" si="93"/>
        <v>-119.46903208239314</v>
      </c>
      <c r="J141" s="15">
        <f t="shared" si="93"/>
        <v>929.58580789832467</v>
      </c>
      <c r="K141" s="15">
        <f t="shared" si="93"/>
        <v>1975.2564541859304</v>
      </c>
    </row>
    <row r="142" spans="2:11" ht="5.4" customHeight="1" x14ac:dyDescent="0.3"/>
    <row r="143" spans="2:11" x14ac:dyDescent="0.3">
      <c r="B143" s="1" t="s">
        <v>57</v>
      </c>
      <c r="G143" s="11">
        <f>-G122</f>
        <v>-243.75</v>
      </c>
      <c r="H143" s="11">
        <f t="shared" ref="H143:K143" si="94">-H122</f>
        <v>-389.88749999999999</v>
      </c>
      <c r="I143" s="11">
        <f t="shared" si="94"/>
        <v>-448.43750000000006</v>
      </c>
      <c r="J143" s="11">
        <f t="shared" si="94"/>
        <v>-412.5</v>
      </c>
      <c r="K143" s="11">
        <f t="shared" si="94"/>
        <v>-368.125</v>
      </c>
    </row>
    <row r="144" spans="2:11" x14ac:dyDescent="0.3">
      <c r="B144" s="1" t="s">
        <v>87</v>
      </c>
      <c r="G144" s="11">
        <f>G119</f>
        <v>-250</v>
      </c>
      <c r="H144" s="11">
        <f t="shared" ref="H144:K144" si="95">H119</f>
        <v>-250</v>
      </c>
      <c r="I144" s="11">
        <f t="shared" si="95"/>
        <v>-250</v>
      </c>
      <c r="J144" s="11">
        <f t="shared" si="95"/>
        <v>-250</v>
      </c>
      <c r="K144" s="11">
        <f t="shared" si="95"/>
        <v>-250</v>
      </c>
    </row>
    <row r="145" spans="2:11" x14ac:dyDescent="0.3">
      <c r="B145" s="14" t="s">
        <v>88</v>
      </c>
      <c r="G145" s="15">
        <f>SUM(G143:G144)</f>
        <v>-493.75</v>
      </c>
      <c r="H145" s="15">
        <f t="shared" ref="H145:K145" si="96">SUM(H143:H144)</f>
        <v>-639.88750000000005</v>
      </c>
      <c r="I145" s="15">
        <f t="shared" si="96"/>
        <v>-698.4375</v>
      </c>
      <c r="J145" s="15">
        <f t="shared" si="96"/>
        <v>-662.5</v>
      </c>
      <c r="K145" s="15">
        <f t="shared" si="96"/>
        <v>-618.125</v>
      </c>
    </row>
    <row r="147" spans="2:11" x14ac:dyDescent="0.3">
      <c r="B147" s="14" t="s">
        <v>89</v>
      </c>
      <c r="G147" s="15">
        <f>G141+G145</f>
        <v>1947.5223797945182</v>
      </c>
      <c r="H147" s="15">
        <f t="shared" ref="H147:K147" si="97">H141+H145</f>
        <v>-631.8588692510325</v>
      </c>
      <c r="I147" s="15">
        <f t="shared" si="97"/>
        <v>-817.90653208239314</v>
      </c>
      <c r="J147" s="15">
        <f t="shared" si="97"/>
        <v>267.08580789832467</v>
      </c>
      <c r="K147" s="15">
        <f t="shared" si="97"/>
        <v>1357.1314541859304</v>
      </c>
    </row>
    <row r="148" spans="2:11" x14ac:dyDescent="0.3">
      <c r="B148" s="14" t="s">
        <v>90</v>
      </c>
      <c r="G148" s="15">
        <f>SUM(G147)</f>
        <v>1947.5223797945182</v>
      </c>
      <c r="H148" s="15">
        <f>SUM($G$147:H147)</f>
        <v>1315.6635105434857</v>
      </c>
      <c r="I148" s="15">
        <f>SUM($G$147:I147)</f>
        <v>497.75697846109256</v>
      </c>
      <c r="J148" s="15">
        <f>SUM($G$147:J147)</f>
        <v>764.84278635941723</v>
      </c>
      <c r="K148" s="15">
        <f>SUM($G$147:K147)</f>
        <v>2121.9742405453476</v>
      </c>
    </row>
    <row r="149" spans="2:11" ht="14.4" thickBot="1" x14ac:dyDescent="0.35"/>
    <row r="150" spans="2:11" ht="14.4" thickBot="1" x14ac:dyDescent="0.35">
      <c r="B150" s="14" t="s">
        <v>91</v>
      </c>
      <c r="K150" s="37">
        <f>K148/F120</f>
        <v>0.42439484810906952</v>
      </c>
    </row>
    <row r="151" spans="2:11" x14ac:dyDescent="0.3">
      <c r="B151" s="14"/>
      <c r="K151" s="38"/>
    </row>
    <row r="152" spans="2:11" x14ac:dyDescent="0.3">
      <c r="B152" s="14" t="s">
        <v>96</v>
      </c>
      <c r="G152" s="15">
        <f>G120</f>
        <v>4750</v>
      </c>
      <c r="H152" s="15">
        <f t="shared" ref="H152:K152" si="98">H120</f>
        <v>4500</v>
      </c>
      <c r="I152" s="15">
        <f t="shared" si="98"/>
        <v>4250</v>
      </c>
      <c r="J152" s="15">
        <f t="shared" si="98"/>
        <v>4000</v>
      </c>
      <c r="K152" s="15">
        <f t="shared" si="98"/>
        <v>3750</v>
      </c>
    </row>
    <row r="154" spans="2:11" x14ac:dyDescent="0.3">
      <c r="B154" s="39" t="s">
        <v>92</v>
      </c>
      <c r="C154" s="40"/>
      <c r="D154" s="40"/>
      <c r="E154" s="40"/>
      <c r="F154" s="40"/>
      <c r="G154" s="42" t="s">
        <v>78</v>
      </c>
      <c r="H154" s="42"/>
      <c r="I154" s="42"/>
      <c r="J154" s="42"/>
      <c r="K154" s="42"/>
    </row>
    <row r="156" spans="2:11" x14ac:dyDescent="0.3">
      <c r="B156" s="14" t="s">
        <v>69</v>
      </c>
      <c r="G156" s="29">
        <f>G152/G134</f>
        <v>3.4004620333044904</v>
      </c>
      <c r="H156" s="29">
        <f t="shared" ref="H156:K156" si="99">H152/H134</f>
        <v>7.6697625629164783</v>
      </c>
      <c r="I156" s="29">
        <f t="shared" si="99"/>
        <v>20.16237671696646</v>
      </c>
      <c r="J156" s="29">
        <f t="shared" si="99"/>
        <v>2.7650810322302553</v>
      </c>
      <c r="K156" s="29">
        <f t="shared" si="99"/>
        <v>1.4020850234249389</v>
      </c>
    </row>
    <row r="157" spans="2:11" x14ac:dyDescent="0.3">
      <c r="B157" s="14" t="s">
        <v>70</v>
      </c>
      <c r="G157" s="29">
        <f>(G152-G53)/G134</f>
        <v>-0.73415787722006887</v>
      </c>
      <c r="H157" s="29">
        <f t="shared" ref="H157:K157" si="100">(H152-H53)/H134</f>
        <v>-1.0970547325070725</v>
      </c>
      <c r="I157" s="29">
        <f t="shared" si="100"/>
        <v>-0.35939782086392374</v>
      </c>
      <c r="J157" s="29">
        <f t="shared" si="100"/>
        <v>-0.40981458591424003</v>
      </c>
      <c r="K157" s="29">
        <f t="shared" si="100"/>
        <v>-0.82254691589047646</v>
      </c>
    </row>
    <row r="159" spans="2:11" x14ac:dyDescent="0.3">
      <c r="B159" s="14" t="s">
        <v>93</v>
      </c>
      <c r="G159" s="29">
        <f>G134/-G143</f>
        <v>5.7307446153846033</v>
      </c>
      <c r="H159" s="29">
        <f t="shared" ref="H159:K159" si="101">H134/-H143</f>
        <v>1.5048433124939742</v>
      </c>
      <c r="I159" s="29">
        <f t="shared" si="101"/>
        <v>0.4700513262606188</v>
      </c>
      <c r="J159" s="29">
        <f t="shared" si="101"/>
        <v>3.5069387059330874</v>
      </c>
      <c r="K159" s="29">
        <f t="shared" si="101"/>
        <v>7.2654347243051092</v>
      </c>
    </row>
    <row r="160" spans="2:11" x14ac:dyDescent="0.3">
      <c r="B160" s="14" t="s">
        <v>94</v>
      </c>
      <c r="G160" s="29">
        <f>(G134+G140)/G143</f>
        <v>-5.3410010256410132</v>
      </c>
      <c r="H160" s="29">
        <f t="shared" ref="H160:K160" si="102">(H134+H140)/H143</f>
        <v>-1.2611832823570757</v>
      </c>
      <c r="I160" s="29">
        <f t="shared" si="102"/>
        <v>-0.25820463636514845</v>
      </c>
      <c r="J160" s="29">
        <f t="shared" si="102"/>
        <v>-3.276635675630057</v>
      </c>
      <c r="K160" s="29">
        <f t="shared" si="102"/>
        <v>-7.0073702081760771</v>
      </c>
    </row>
    <row r="162" spans="2:11" x14ac:dyDescent="0.3">
      <c r="B162" s="14" t="s">
        <v>95</v>
      </c>
      <c r="G162" s="29">
        <f>G141/-G145</f>
        <v>4.944349123634467</v>
      </c>
      <c r="H162" s="29">
        <f t="shared" ref="H162:K162" si="103">H141/-H145</f>
        <v>1.2546941062245383E-2</v>
      </c>
      <c r="I162" s="29">
        <f t="shared" si="103"/>
        <v>-0.17105185801505954</v>
      </c>
      <c r="J162" s="29">
        <f t="shared" si="103"/>
        <v>1.4031483892804901</v>
      </c>
      <c r="K162" s="29">
        <f t="shared" si="103"/>
        <v>3.1955615032330522</v>
      </c>
    </row>
    <row r="163" spans="2:11" ht="14.4" thickBot="1" x14ac:dyDescent="0.35"/>
    <row r="164" spans="2:11" ht="14.4" thickBot="1" x14ac:dyDescent="0.35">
      <c r="B164" s="14" t="s">
        <v>91</v>
      </c>
      <c r="C164" s="15"/>
      <c r="D164" s="15"/>
      <c r="E164" s="15"/>
      <c r="F164" s="15"/>
      <c r="G164" s="15"/>
      <c r="H164" s="15"/>
      <c r="I164" s="15"/>
      <c r="J164" s="15"/>
      <c r="K164" s="37">
        <f>K150</f>
        <v>0.42439484810906952</v>
      </c>
    </row>
  </sheetData>
  <mergeCells count="2">
    <mergeCell ref="G127:K127"/>
    <mergeCell ref="G154:K1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Accounts</vt:lpstr>
      <vt:lpstr>Credit 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Henri</cp:lastModifiedBy>
  <dcterms:created xsi:type="dcterms:W3CDTF">2024-08-08T11:34:01Z</dcterms:created>
  <dcterms:modified xsi:type="dcterms:W3CDTF">2024-08-10T09:31:36Z</dcterms:modified>
</cp:coreProperties>
</file>