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53222"/>
  <bookViews>
    <workbookView xWindow="0" yWindow="0" windowWidth="19200" windowHeight="7350"/>
  </bookViews>
  <sheets>
    <sheet name="Overview &amp; Sensitivities" sheetId="2" r:id="rId1"/>
    <sheet name="Sources &amp; Uses" sheetId="6" r:id="rId2"/>
    <sheet name="Investment Cash Flow" sheetId="8" r:id="rId3"/>
    <sheet name="Waterfall" sheetId="5" r:id="rId4"/>
    <sheet name="Debt Assumptions" sheetId="4" r:id="rId5"/>
  </sheets>
  <definedNames>
    <definedName name="_xlnm.Print_Area" localSheetId="0">'Overview &amp; Sensitivities'!$A$1:$J$40</definedName>
  </definedNames>
  <calcPr calcId="152511" calcMode="autoNoTable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5" i="2" l="1"/>
  <c r="E25" i="2" s="1"/>
  <c r="D25" i="2" s="1"/>
  <c r="C28" i="2"/>
  <c r="C29" i="2" s="1"/>
  <c r="C30" i="2" s="1"/>
  <c r="D34" i="8"/>
  <c r="E4" i="8"/>
  <c r="F4" i="8"/>
  <c r="N11" i="8"/>
  <c r="N17" i="8"/>
  <c r="N19" i="8"/>
  <c r="F25" i="8"/>
  <c r="G25" i="8"/>
  <c r="H25" i="8"/>
  <c r="I25" i="8"/>
  <c r="J25" i="8"/>
  <c r="K25" i="8"/>
  <c r="L25" i="8"/>
  <c r="M25" i="8"/>
  <c r="N25" i="8"/>
  <c r="E25" i="8"/>
  <c r="F11" i="8"/>
  <c r="F17" i="8"/>
  <c r="F19" i="8"/>
  <c r="G11" i="8"/>
  <c r="G17" i="8"/>
  <c r="G19" i="8"/>
  <c r="H11" i="8"/>
  <c r="H17" i="8"/>
  <c r="H19" i="8"/>
  <c r="I11" i="8"/>
  <c r="I17" i="8"/>
  <c r="I19" i="8"/>
  <c r="J11" i="8"/>
  <c r="J17" i="8"/>
  <c r="J19" i="8"/>
  <c r="K11" i="8"/>
  <c r="K17" i="8"/>
  <c r="K19" i="8"/>
  <c r="L11" i="8"/>
  <c r="L17" i="8"/>
  <c r="L19" i="8"/>
  <c r="M11" i="8"/>
  <c r="M17" i="8"/>
  <c r="M19" i="8"/>
  <c r="E17" i="8"/>
  <c r="E19" i="8"/>
  <c r="D19" i="8"/>
  <c r="D17" i="8"/>
  <c r="E11" i="8"/>
  <c r="D11" i="8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E12" i="2"/>
  <c r="I10" i="2" s="1"/>
  <c r="I5" i="6"/>
  <c r="I7" i="6"/>
  <c r="E18" i="2"/>
  <c r="I6" i="6" s="1"/>
  <c r="I4" i="6"/>
  <c r="E5" i="6"/>
  <c r="E5" i="4" s="1"/>
  <c r="E6" i="4"/>
  <c r="E4" i="4"/>
  <c r="E19" i="5"/>
  <c r="E20" i="5"/>
  <c r="E5" i="5"/>
  <c r="D35" i="5"/>
  <c r="I6" i="5"/>
  <c r="D34" i="5"/>
  <c r="D27" i="5"/>
  <c r="D26" i="5"/>
  <c r="D22" i="5"/>
  <c r="D21" i="5"/>
  <c r="D20" i="5"/>
  <c r="F9" i="5"/>
  <c r="F18" i="5"/>
  <c r="F33" i="5"/>
  <c r="G9" i="5"/>
  <c r="G18" i="5"/>
  <c r="G33" i="5"/>
  <c r="H9" i="5"/>
  <c r="H18" i="5"/>
  <c r="H33" i="5"/>
  <c r="I9" i="5"/>
  <c r="I18" i="5"/>
  <c r="I33" i="5"/>
  <c r="J9" i="5"/>
  <c r="J18" i="5"/>
  <c r="J33" i="5"/>
  <c r="K9" i="5"/>
  <c r="K18" i="5"/>
  <c r="K33" i="5"/>
  <c r="L9" i="5"/>
  <c r="L18" i="5"/>
  <c r="L33" i="5"/>
  <c r="M9" i="5"/>
  <c r="M18" i="5"/>
  <c r="M33" i="5"/>
  <c r="N9" i="5"/>
  <c r="N18" i="5"/>
  <c r="N33" i="5"/>
  <c r="O9" i="5"/>
  <c r="O18" i="5"/>
  <c r="O33" i="5"/>
  <c r="E9" i="5"/>
  <c r="E18" i="5"/>
  <c r="E33" i="5"/>
  <c r="F10" i="5"/>
  <c r="I5" i="5"/>
  <c r="E6" i="5"/>
  <c r="D37" i="8" l="1"/>
  <c r="H11" i="4"/>
  <c r="D12" i="4" s="1"/>
  <c r="E13" i="4" s="1"/>
  <c r="D27" i="8"/>
  <c r="D31" i="8" s="1"/>
  <c r="D32" i="8" s="1"/>
  <c r="E29" i="8"/>
  <c r="E31" i="8" s="1"/>
  <c r="F29" i="8"/>
  <c r="F31" i="8" s="1"/>
  <c r="G10" i="5"/>
  <c r="E37" i="8"/>
  <c r="G4" i="8"/>
  <c r="F37" i="8"/>
  <c r="C27" i="2"/>
  <c r="C26" i="2" s="1"/>
  <c r="G25" i="2"/>
  <c r="H25" i="2" s="1"/>
  <c r="E41" i="4" l="1"/>
  <c r="E36" i="4"/>
  <c r="E20" i="4"/>
  <c r="E37" i="4"/>
  <c r="E40" i="4"/>
  <c r="E31" i="4"/>
  <c r="D39" i="8"/>
  <c r="E12" i="5" s="1"/>
  <c r="E32" i="4"/>
  <c r="E27" i="4"/>
  <c r="E15" i="4"/>
  <c r="E19" i="4"/>
  <c r="L34" i="8" s="1"/>
  <c r="L35" i="8" s="1"/>
  <c r="E29" i="4"/>
  <c r="E24" i="4"/>
  <c r="E25" i="4"/>
  <c r="E33" i="4"/>
  <c r="E14" i="4"/>
  <c r="G34" i="8" s="1"/>
  <c r="G35" i="8" s="1"/>
  <c r="E38" i="4"/>
  <c r="E16" i="4"/>
  <c r="I34" i="8" s="1"/>
  <c r="I35" i="8" s="1"/>
  <c r="E35" i="4"/>
  <c r="E12" i="4"/>
  <c r="E34" i="8" s="1"/>
  <c r="E35" i="8" s="1"/>
  <c r="E34" i="4"/>
  <c r="E21" i="4"/>
  <c r="N34" i="8" s="1"/>
  <c r="N35" i="8" s="1"/>
  <c r="E28" i="4"/>
  <c r="F12" i="4"/>
  <c r="E39" i="4"/>
  <c r="E23" i="4"/>
  <c r="E17" i="4"/>
  <c r="J34" i="8" s="1"/>
  <c r="J35" i="8" s="1"/>
  <c r="E26" i="4"/>
  <c r="E22" i="4"/>
  <c r="E18" i="4"/>
  <c r="K34" i="8" s="1"/>
  <c r="K35" i="8" s="1"/>
  <c r="E30" i="4"/>
  <c r="E32" i="8"/>
  <c r="F32" i="8" s="1"/>
  <c r="H10" i="5"/>
  <c r="G37" i="8"/>
  <c r="G29" i="8"/>
  <c r="G31" i="8" s="1"/>
  <c r="H4" i="8"/>
  <c r="F34" i="8"/>
  <c r="D40" i="8"/>
  <c r="H34" i="8"/>
  <c r="H35" i="8" s="1"/>
  <c r="M34" i="8"/>
  <c r="M35" i="8" s="1"/>
  <c r="G12" i="4" l="1"/>
  <c r="H12" i="4" s="1"/>
  <c r="D13" i="4" s="1"/>
  <c r="F13" i="4" s="1"/>
  <c r="G13" i="4" s="1"/>
  <c r="H13" i="4" s="1"/>
  <c r="D14" i="4" s="1"/>
  <c r="F14" i="4" s="1"/>
  <c r="G14" i="4" s="1"/>
  <c r="H14" i="4" s="1"/>
  <c r="D15" i="4" s="1"/>
  <c r="F15" i="4" s="1"/>
  <c r="G15" i="4" s="1"/>
  <c r="H15" i="4" s="1"/>
  <c r="D16" i="4" s="1"/>
  <c r="F16" i="4" s="1"/>
  <c r="G16" i="4" s="1"/>
  <c r="H16" i="4" s="1"/>
  <c r="D17" i="4" s="1"/>
  <c r="F17" i="4" s="1"/>
  <c r="G17" i="4" s="1"/>
  <c r="H17" i="4" s="1"/>
  <c r="D18" i="4" s="1"/>
  <c r="F18" i="4" s="1"/>
  <c r="G18" i="4" s="1"/>
  <c r="H18" i="4" s="1"/>
  <c r="D19" i="4" s="1"/>
  <c r="F19" i="4" s="1"/>
  <c r="G19" i="4" s="1"/>
  <c r="H19" i="4" s="1"/>
  <c r="D20" i="4" s="1"/>
  <c r="F20" i="4" s="1"/>
  <c r="G20" i="4" s="1"/>
  <c r="H20" i="4" s="1"/>
  <c r="D21" i="4" s="1"/>
  <c r="F21" i="4" s="1"/>
  <c r="G21" i="4" s="1"/>
  <c r="H21" i="4" s="1"/>
  <c r="D22" i="4" s="1"/>
  <c r="F22" i="4" s="1"/>
  <c r="G22" i="4" s="1"/>
  <c r="H22" i="4" s="1"/>
  <c r="D23" i="4" s="1"/>
  <c r="F23" i="4" s="1"/>
  <c r="G23" i="4" s="1"/>
  <c r="H23" i="4" s="1"/>
  <c r="D24" i="4" s="1"/>
  <c r="F24" i="4" s="1"/>
  <c r="G24" i="4" s="1"/>
  <c r="H24" i="4" s="1"/>
  <c r="D25" i="4" s="1"/>
  <c r="F25" i="4" s="1"/>
  <c r="G25" i="4" s="1"/>
  <c r="H25" i="4" s="1"/>
  <c r="D26" i="4" s="1"/>
  <c r="F26" i="4" s="1"/>
  <c r="G26" i="4" s="1"/>
  <c r="H26" i="4" s="1"/>
  <c r="D27" i="4" s="1"/>
  <c r="F27" i="4" s="1"/>
  <c r="G27" i="4" s="1"/>
  <c r="H27" i="4" s="1"/>
  <c r="D28" i="4" s="1"/>
  <c r="F28" i="4" s="1"/>
  <c r="G28" i="4" s="1"/>
  <c r="H28" i="4" s="1"/>
  <c r="D29" i="4" s="1"/>
  <c r="F29" i="4" s="1"/>
  <c r="G29" i="4" s="1"/>
  <c r="H29" i="4" s="1"/>
  <c r="D30" i="4" s="1"/>
  <c r="F30" i="4" s="1"/>
  <c r="G30" i="4" s="1"/>
  <c r="H30" i="4" s="1"/>
  <c r="D31" i="4" s="1"/>
  <c r="F31" i="4" s="1"/>
  <c r="G31" i="4" s="1"/>
  <c r="H31" i="4" s="1"/>
  <c r="D32" i="4" s="1"/>
  <c r="F32" i="4" s="1"/>
  <c r="G32" i="4" s="1"/>
  <c r="H32" i="4" s="1"/>
  <c r="D33" i="4" s="1"/>
  <c r="F33" i="4" s="1"/>
  <c r="G33" i="4" s="1"/>
  <c r="H33" i="4" s="1"/>
  <c r="D34" i="4" s="1"/>
  <c r="F34" i="4" s="1"/>
  <c r="G34" i="4" s="1"/>
  <c r="H34" i="4" s="1"/>
  <c r="D35" i="4" s="1"/>
  <c r="F35" i="4" s="1"/>
  <c r="G35" i="4" s="1"/>
  <c r="H35" i="4" s="1"/>
  <c r="D36" i="4" s="1"/>
  <c r="F36" i="4" s="1"/>
  <c r="G36" i="4" s="1"/>
  <c r="H36" i="4" s="1"/>
  <c r="D37" i="4" s="1"/>
  <c r="F37" i="4" s="1"/>
  <c r="G37" i="4" s="1"/>
  <c r="H37" i="4" s="1"/>
  <c r="D38" i="4" s="1"/>
  <c r="F38" i="4" s="1"/>
  <c r="G38" i="4" s="1"/>
  <c r="H38" i="4" s="1"/>
  <c r="D39" i="4" s="1"/>
  <c r="F39" i="4" s="1"/>
  <c r="G39" i="4" s="1"/>
  <c r="H39" i="4" s="1"/>
  <c r="D40" i="4" s="1"/>
  <c r="F40" i="4" s="1"/>
  <c r="G40" i="4" s="1"/>
  <c r="H40" i="4" s="1"/>
  <c r="D41" i="4" s="1"/>
  <c r="F41" i="4" s="1"/>
  <c r="G41" i="4" s="1"/>
  <c r="H41" i="4" s="1"/>
  <c r="E39" i="8"/>
  <c r="F12" i="5" s="1"/>
  <c r="F21" i="5" s="1"/>
  <c r="F35" i="8"/>
  <c r="F39" i="8"/>
  <c r="G12" i="5" s="1"/>
  <c r="H37" i="8"/>
  <c r="H29" i="8"/>
  <c r="H31" i="8" s="1"/>
  <c r="I10" i="5"/>
  <c r="I4" i="8"/>
  <c r="E21" i="5"/>
  <c r="E22" i="5"/>
  <c r="E27" i="5" s="1"/>
  <c r="E30" i="5" s="1"/>
  <c r="E31" i="5" s="1"/>
  <c r="E26" i="5"/>
  <c r="G39" i="8"/>
  <c r="H12" i="5" s="1"/>
  <c r="G32" i="8"/>
  <c r="E40" i="8" l="1"/>
  <c r="F40" i="8" s="1"/>
  <c r="G40" i="8" s="1"/>
  <c r="F26" i="5"/>
  <c r="H39" i="8"/>
  <c r="I12" i="5" s="1"/>
  <c r="I21" i="5" s="1"/>
  <c r="G26" i="5"/>
  <c r="G21" i="5"/>
  <c r="E35" i="5"/>
  <c r="E34" i="5"/>
  <c r="E39" i="5" s="1"/>
  <c r="H32" i="8"/>
  <c r="E24" i="5"/>
  <c r="E23" i="5"/>
  <c r="F19" i="5" s="1"/>
  <c r="I37" i="8"/>
  <c r="J4" i="8"/>
  <c r="J10" i="5"/>
  <c r="I29" i="8"/>
  <c r="I31" i="8" s="1"/>
  <c r="H26" i="5"/>
  <c r="H21" i="5"/>
  <c r="E28" i="5"/>
  <c r="H40" i="8" l="1"/>
  <c r="I26" i="5"/>
  <c r="I39" i="8"/>
  <c r="J12" i="5" s="1"/>
  <c r="J26" i="5" s="1"/>
  <c r="I32" i="8"/>
  <c r="K4" i="8"/>
  <c r="J37" i="8"/>
  <c r="J29" i="8"/>
  <c r="J31" i="8" s="1"/>
  <c r="K10" i="5"/>
  <c r="F20" i="5"/>
  <c r="F22" i="5" s="1"/>
  <c r="F23" i="5" s="1"/>
  <c r="G19" i="5" s="1"/>
  <c r="E36" i="5"/>
  <c r="E44" i="5"/>
  <c r="I40" i="8" l="1"/>
  <c r="J21" i="5"/>
  <c r="G20" i="5"/>
  <c r="G22" i="5" s="1"/>
  <c r="J39" i="8"/>
  <c r="F27" i="5"/>
  <c r="F24" i="5"/>
  <c r="J32" i="8"/>
  <c r="K29" i="8"/>
  <c r="K31" i="8" s="1"/>
  <c r="L4" i="8"/>
  <c r="K37" i="8"/>
  <c r="L10" i="5"/>
  <c r="G24" i="5" l="1"/>
  <c r="G27" i="5"/>
  <c r="L37" i="8"/>
  <c r="M4" i="8"/>
  <c r="M10" i="5"/>
  <c r="L29" i="8"/>
  <c r="L31" i="8" s="1"/>
  <c r="F30" i="5"/>
  <c r="F31" i="5" s="1"/>
  <c r="F28" i="5"/>
  <c r="K39" i="8"/>
  <c r="L12" i="5" s="1"/>
  <c r="K12" i="5"/>
  <c r="J40" i="8"/>
  <c r="K32" i="8"/>
  <c r="G23" i="5"/>
  <c r="H19" i="5" s="1"/>
  <c r="H20" i="5" s="1"/>
  <c r="H22" i="5" s="1"/>
  <c r="H24" i="5" s="1"/>
  <c r="L32" i="8" l="1"/>
  <c r="H27" i="5"/>
  <c r="H28" i="5" s="1"/>
  <c r="K26" i="5"/>
  <c r="K21" i="5"/>
  <c r="H23" i="5"/>
  <c r="I19" i="5" s="1"/>
  <c r="I20" i="5" s="1"/>
  <c r="K40" i="8"/>
  <c r="F35" i="5"/>
  <c r="F34" i="5"/>
  <c r="F39" i="5" s="1"/>
  <c r="M37" i="8"/>
  <c r="M29" i="8"/>
  <c r="M31" i="8" s="1"/>
  <c r="N10" i="5"/>
  <c r="N4" i="8"/>
  <c r="L26" i="5"/>
  <c r="L21" i="5"/>
  <c r="L39" i="8"/>
  <c r="M12" i="5" s="1"/>
  <c r="G30" i="5"/>
  <c r="G31" i="5" s="1"/>
  <c r="G28" i="5"/>
  <c r="H30" i="5"/>
  <c r="H31" i="5" s="1"/>
  <c r="M32" i="8" l="1"/>
  <c r="I22" i="5"/>
  <c r="I27" i="5" s="1"/>
  <c r="M39" i="8"/>
  <c r="N12" i="5" s="1"/>
  <c r="L40" i="8"/>
  <c r="M21" i="5"/>
  <c r="M26" i="5"/>
  <c r="F44" i="5"/>
  <c r="F36" i="5"/>
  <c r="G35" i="5"/>
  <c r="G34" i="5"/>
  <c r="G39" i="5" s="1"/>
  <c r="N37" i="8"/>
  <c r="O10" i="5"/>
  <c r="I11" i="2"/>
  <c r="I14" i="2" s="1"/>
  <c r="N29" i="8" s="1"/>
  <c r="N31" i="8" s="1"/>
  <c r="H34" i="5"/>
  <c r="H39" i="5" s="1"/>
  <c r="H35" i="5"/>
  <c r="I24" i="5" l="1"/>
  <c r="I23" i="5"/>
  <c r="J19" i="5" s="1"/>
  <c r="J20" i="5" s="1"/>
  <c r="J22" i="5" s="1"/>
  <c r="N39" i="8"/>
  <c r="O12" i="5" s="1"/>
  <c r="N32" i="8"/>
  <c r="M40" i="8"/>
  <c r="G36" i="5"/>
  <c r="G44" i="5"/>
  <c r="N26" i="5"/>
  <c r="N21" i="5"/>
  <c r="D16" i="5"/>
  <c r="H44" i="5"/>
  <c r="H36" i="5"/>
  <c r="I30" i="5"/>
  <c r="I31" i="5" s="1"/>
  <c r="I28" i="5"/>
  <c r="D15" i="5" l="1"/>
  <c r="I5" i="2" s="1"/>
  <c r="C25" i="2" s="1"/>
  <c r="O26" i="5"/>
  <c r="O21" i="5"/>
  <c r="N4" i="5"/>
  <c r="N40" i="8"/>
  <c r="J23" i="5"/>
  <c r="K19" i="5" s="1"/>
  <c r="K20" i="5" s="1"/>
  <c r="K22" i="5" s="1"/>
  <c r="J27" i="5"/>
  <c r="J24" i="5"/>
  <c r="I34" i="5"/>
  <c r="I39" i="5" s="1"/>
  <c r="I35" i="5"/>
  <c r="K27" i="5" l="1"/>
  <c r="K24" i="5"/>
  <c r="K23" i="5"/>
  <c r="L19" i="5" s="1"/>
  <c r="I44" i="5"/>
  <c r="I36" i="5"/>
  <c r="J30" i="5"/>
  <c r="J31" i="5" s="1"/>
  <c r="J28" i="5"/>
  <c r="J34" i="5" l="1"/>
  <c r="J39" i="5" s="1"/>
  <c r="J35" i="5"/>
  <c r="L20" i="5"/>
  <c r="L22" i="5" s="1"/>
  <c r="K30" i="5"/>
  <c r="K31" i="5" s="1"/>
  <c r="K28" i="5"/>
  <c r="L27" i="5" l="1"/>
  <c r="L24" i="5"/>
  <c r="K35" i="5"/>
  <c r="K34" i="5"/>
  <c r="K39" i="5" s="1"/>
  <c r="J36" i="5"/>
  <c r="J44" i="5"/>
  <c r="L23" i="5"/>
  <c r="M19" i="5" s="1"/>
  <c r="L30" i="5" l="1"/>
  <c r="L31" i="5" s="1"/>
  <c r="L28" i="5"/>
  <c r="M20" i="5"/>
  <c r="M22" i="5" s="1"/>
  <c r="K36" i="5"/>
  <c r="K44" i="5"/>
  <c r="M27" i="5" l="1"/>
  <c r="M24" i="5"/>
  <c r="M23" i="5"/>
  <c r="N19" i="5" s="1"/>
  <c r="L34" i="5"/>
  <c r="L39" i="5" s="1"/>
  <c r="L35" i="5"/>
  <c r="M30" i="5" l="1"/>
  <c r="M31" i="5" s="1"/>
  <c r="M28" i="5"/>
  <c r="L44" i="5"/>
  <c r="L36" i="5"/>
  <c r="N20" i="5"/>
  <c r="N22" i="5" s="1"/>
  <c r="N23" i="5" l="1"/>
  <c r="O19" i="5" s="1"/>
  <c r="O20" i="5" s="1"/>
  <c r="O22" i="5" s="1"/>
  <c r="N27" i="5"/>
  <c r="N24" i="5"/>
  <c r="M34" i="5"/>
  <c r="M39" i="5" s="1"/>
  <c r="M35" i="5"/>
  <c r="O23" i="5" l="1"/>
  <c r="M44" i="5"/>
  <c r="M36" i="5"/>
  <c r="N30" i="5"/>
  <c r="N31" i="5" s="1"/>
  <c r="N28" i="5"/>
  <c r="O27" i="5"/>
  <c r="O24" i="5"/>
  <c r="D24" i="5" s="1"/>
  <c r="N34" i="5" l="1"/>
  <c r="N39" i="5" s="1"/>
  <c r="N35" i="5"/>
  <c r="O30" i="5"/>
  <c r="O31" i="5" s="1"/>
  <c r="O28" i="5"/>
  <c r="D28" i="5" s="1"/>
  <c r="O35" i="5" l="1"/>
  <c r="O34" i="5"/>
  <c r="O39" i="5" s="1"/>
  <c r="N36" i="5"/>
  <c r="N44" i="5"/>
  <c r="O36" i="5" l="1"/>
  <c r="O44" i="5"/>
  <c r="D41" i="5"/>
  <c r="N5" i="5"/>
  <c r="N6" i="5" s="1"/>
  <c r="D40" i="5"/>
  <c r="D46" i="5" l="1"/>
  <c r="D45" i="5"/>
</calcChain>
</file>

<file path=xl/sharedStrings.xml><?xml version="1.0" encoding="utf-8"?>
<sst xmlns="http://schemas.openxmlformats.org/spreadsheetml/2006/main" count="127" uniqueCount="107">
  <si>
    <t>Deal Overview</t>
  </si>
  <si>
    <t>Address</t>
  </si>
  <si>
    <t>RSF</t>
  </si>
  <si>
    <t>Analysis Start Date</t>
  </si>
  <si>
    <t>Deal Name</t>
  </si>
  <si>
    <t>Purchase Price</t>
  </si>
  <si>
    <t>Acqusition</t>
  </si>
  <si>
    <t>Closing Costs</t>
  </si>
  <si>
    <t>Acqusition Date</t>
  </si>
  <si>
    <t>Hold Period</t>
  </si>
  <si>
    <t>Exit Date</t>
  </si>
  <si>
    <t>Disposition</t>
  </si>
  <si>
    <t>Exit Cap</t>
  </si>
  <si>
    <t>Debt</t>
  </si>
  <si>
    <t>Return Metrics</t>
  </si>
  <si>
    <t>UIRR</t>
  </si>
  <si>
    <t>LIRR</t>
  </si>
  <si>
    <t>Equity Multiple</t>
  </si>
  <si>
    <t>DSCR</t>
  </si>
  <si>
    <t>LTC/LTV</t>
  </si>
  <si>
    <t>Interest Rate</t>
  </si>
  <si>
    <t>AM or I/O</t>
  </si>
  <si>
    <t>Sources</t>
  </si>
  <si>
    <t>Uses</t>
  </si>
  <si>
    <t>Fixed or Float</t>
  </si>
  <si>
    <t>Hines Equity</t>
  </si>
  <si>
    <t>Financing Costs</t>
  </si>
  <si>
    <t>CapEx</t>
  </si>
  <si>
    <t>CapEx Spend</t>
  </si>
  <si>
    <t>Initial</t>
  </si>
  <si>
    <t>Operating Cash Flows</t>
  </si>
  <si>
    <t>Base Rental Revenue</t>
  </si>
  <si>
    <t>Absorbtion and Turnover Vacancy</t>
  </si>
  <si>
    <t>Rent Concessions</t>
  </si>
  <si>
    <t>Other Income</t>
  </si>
  <si>
    <t>GV/Collection Loss</t>
  </si>
  <si>
    <t>Effective Gross Income</t>
  </si>
  <si>
    <t>Operating Expenses</t>
  </si>
  <si>
    <t>OpEx</t>
  </si>
  <si>
    <t>Management Fees</t>
  </si>
  <si>
    <t>RE Taxes</t>
  </si>
  <si>
    <t>Total Operating Expenses</t>
  </si>
  <si>
    <t>Net Operating Income</t>
  </si>
  <si>
    <t>Leasing &amp; CapEx</t>
  </si>
  <si>
    <t>TI</t>
  </si>
  <si>
    <t>LC</t>
  </si>
  <si>
    <t>Total Leasing &amp; CapEx Costs</t>
  </si>
  <si>
    <t>Acquistion Cash Flows</t>
  </si>
  <si>
    <t>Disposition Cash Flows</t>
  </si>
  <si>
    <t>Unlevered Cash Flows</t>
  </si>
  <si>
    <t>Levered Cash Flows</t>
  </si>
  <si>
    <t>Cumulative</t>
  </si>
  <si>
    <t>Assumptions</t>
  </si>
  <si>
    <t>OpEx Margin</t>
  </si>
  <si>
    <t>GV/Credit Loss</t>
  </si>
  <si>
    <t>Total Equity</t>
  </si>
  <si>
    <t xml:space="preserve">  LP Equity Share</t>
  </si>
  <si>
    <t xml:space="preserve">  Sponsor Equity Share</t>
  </si>
  <si>
    <t>Partnership Structure</t>
  </si>
  <si>
    <t>Hurdle Structure</t>
  </si>
  <si>
    <t>Preferred Return</t>
  </si>
  <si>
    <t>Hurdle 2</t>
  </si>
  <si>
    <t>Sponsor</t>
  </si>
  <si>
    <t>LP</t>
  </si>
  <si>
    <t>IRR</t>
  </si>
  <si>
    <t>Levered Cash Flow</t>
  </si>
  <si>
    <t>Preferred Return Hurdle</t>
  </si>
  <si>
    <t>Beginning Balance LP</t>
  </si>
  <si>
    <t>Ending Balance</t>
  </si>
  <si>
    <t>Sponsor Contributions</t>
  </si>
  <si>
    <t>Sponsor Distributions</t>
  </si>
  <si>
    <t>Total Distributions</t>
  </si>
  <si>
    <t>IRR Check</t>
  </si>
  <si>
    <t>Error Check</t>
  </si>
  <si>
    <t>Net Project Cash Flows</t>
  </si>
  <si>
    <t>TEST</t>
  </si>
  <si>
    <t>Levered IRR</t>
  </si>
  <si>
    <t>Project-Level Metrics</t>
  </si>
  <si>
    <t>Ending Balance LP</t>
  </si>
  <si>
    <t>Contributions from LP</t>
  </si>
  <si>
    <t>Distributions to LP</t>
  </si>
  <si>
    <t>LP Req'd Return for Hurdle 1</t>
  </si>
  <si>
    <t>Cash Flow Remaining</t>
  </si>
  <si>
    <t xml:space="preserve">This is the formula responsible for creating the waterfall. If there any excess returns above the hurdle they flow down to Ending Balance. Smart. </t>
  </si>
  <si>
    <t>This formula reduces any excess CF from the capital account that way the calculated amount in the next period is lowered. Interesting.</t>
  </si>
  <si>
    <t>Distributions to Sponsor</t>
  </si>
  <si>
    <t>Cash Flows</t>
  </si>
  <si>
    <t>Net JV CF</t>
  </si>
  <si>
    <t>LP Cash Flows &amp; Metrics</t>
  </si>
  <si>
    <t>Sponsor Cash Flows &amp; Metrics</t>
  </si>
  <si>
    <t>Debt Assumptions</t>
  </si>
  <si>
    <t>Proceeds</t>
  </si>
  <si>
    <t>AM</t>
  </si>
  <si>
    <t>Beginning Balance</t>
  </si>
  <si>
    <t>Payment</t>
  </si>
  <si>
    <t>Interest Payment</t>
  </si>
  <si>
    <t>Principal Payment</t>
  </si>
  <si>
    <t>Amortizing or I/O</t>
  </si>
  <si>
    <t>Year</t>
  </si>
  <si>
    <t>Amortizing Period (Years)</t>
  </si>
  <si>
    <t>Loan Amount</t>
  </si>
  <si>
    <t>TTM NOI @ Sale</t>
  </si>
  <si>
    <t>Sales Price</t>
  </si>
  <si>
    <t>Debt Expense</t>
  </si>
  <si>
    <t>Debt Proceeds</t>
  </si>
  <si>
    <t>Hold Period /  Exit Cap Sensitivity</t>
  </si>
  <si>
    <t>Purchase Price / Exit Cap / LIRR Sensitivity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</si>
</sst>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&quot;Year&quot;\ #"/>
    <numFmt numFmtId="165" formatCode="&quot;$&quot;#,##0"/>
    <numFmt numFmtId="166" formatCode="##.##&quot;X&quot;"/>
    <numFmt numFmtId="167" formatCode="##\ &quot;Years&quot;"/>
  </numFmts>
  <fonts count="8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rgb="FF0243C4"/>
      <name val="Calibri"/>
      <family val="2"/>
      <scheme val="minor"/>
    </font>
    <font>
      <sz val="10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3">
    <xf numFmtId="0" fontId="0" fillId="0" borderId="0" xfId="0"/>
    <xf numFmtId="0" fontId="1" fillId="0" borderId="0" xfId="0" applyFont="1"/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1" fillId="0" borderId="5" xfId="0" applyFont="1" applyBorder="1"/>
    <xf numFmtId="0" fontId="1" fillId="0" borderId="0" xfId="0" applyFont="1" applyBorder="1"/>
    <xf numFmtId="0" fontId="1" fillId="0" borderId="6" xfId="0" applyFont="1" applyBorder="1"/>
    <xf numFmtId="10" fontId="1" fillId="0" borderId="6" xfId="0" applyNumberFormat="1" applyFont="1" applyBorder="1"/>
    <xf numFmtId="0" fontId="1" fillId="0" borderId="7" xfId="0" applyFont="1" applyBorder="1"/>
    <xf numFmtId="0" fontId="1" fillId="0" borderId="8" xfId="0" applyFont="1" applyBorder="1"/>
    <xf numFmtId="14" fontId="3" fillId="0" borderId="9" xfId="0" applyNumberFormat="1" applyFont="1" applyBorder="1"/>
    <xf numFmtId="0" fontId="1" fillId="0" borderId="9" xfId="0" applyFont="1" applyBorder="1"/>
    <xf numFmtId="165" fontId="3" fillId="0" borderId="6" xfId="0" applyNumberFormat="1" applyFont="1" applyBorder="1"/>
    <xf numFmtId="14" fontId="1" fillId="0" borderId="6" xfId="0" applyNumberFormat="1" applyFont="1" applyBorder="1"/>
    <xf numFmtId="9" fontId="3" fillId="0" borderId="6" xfId="0" applyNumberFormat="1" applyFont="1" applyBorder="1"/>
    <xf numFmtId="165" fontId="1" fillId="0" borderId="6" xfId="0" applyNumberFormat="1" applyFont="1" applyBorder="1"/>
    <xf numFmtId="167" fontId="3" fillId="0" borderId="6" xfId="0" applyNumberFormat="1" applyFont="1" applyBorder="1"/>
    <xf numFmtId="10" fontId="3" fillId="0" borderId="6" xfId="0" applyNumberFormat="1" applyFont="1" applyBorder="1"/>
    <xf numFmtId="165" fontId="1" fillId="0" borderId="9" xfId="0" applyNumberFormat="1" applyFont="1" applyBorder="1"/>
    <xf numFmtId="165" fontId="4" fillId="0" borderId="6" xfId="0" applyNumberFormat="1" applyFont="1" applyFill="1" applyBorder="1"/>
    <xf numFmtId="0" fontId="3" fillId="0" borderId="6" xfId="0" applyFont="1" applyBorder="1" applyAlignment="1">
      <alignment horizontal="right"/>
    </xf>
    <xf numFmtId="10" fontId="3" fillId="0" borderId="9" xfId="0" applyNumberFormat="1" applyFont="1" applyBorder="1"/>
    <xf numFmtId="0" fontId="0" fillId="0" borderId="0" xfId="0" applyFont="1"/>
    <xf numFmtId="164" fontId="1" fillId="0" borderId="18" xfId="0" quotePrefix="1" applyNumberFormat="1" applyFont="1" applyBorder="1" applyAlignment="1">
      <alignment horizontal="center"/>
    </xf>
    <xf numFmtId="164" fontId="1" fillId="0" borderId="0" xfId="0" applyNumberFormat="1" applyFont="1"/>
    <xf numFmtId="0" fontId="1" fillId="0" borderId="19" xfId="0" applyFont="1" applyBorder="1"/>
    <xf numFmtId="14" fontId="1" fillId="0" borderId="0" xfId="0" applyNumberFormat="1" applyFont="1"/>
    <xf numFmtId="0" fontId="6" fillId="0" borderId="0" xfId="0" applyFont="1" applyBorder="1"/>
    <xf numFmtId="165" fontId="1" fillId="0" borderId="19" xfId="0" applyNumberFormat="1" applyFont="1" applyBorder="1"/>
    <xf numFmtId="165" fontId="1" fillId="0" borderId="0" xfId="0" applyNumberFormat="1" applyFont="1"/>
    <xf numFmtId="0" fontId="1" fillId="0" borderId="1" xfId="0" applyFont="1" applyBorder="1"/>
    <xf numFmtId="165" fontId="1" fillId="0" borderId="20" xfId="0" applyNumberFormat="1" applyFont="1" applyBorder="1"/>
    <xf numFmtId="165" fontId="1" fillId="0" borderId="1" xfId="0" applyNumberFormat="1" applyFont="1" applyBorder="1"/>
    <xf numFmtId="0" fontId="6" fillId="0" borderId="0" xfId="0" applyFont="1"/>
    <xf numFmtId="0" fontId="6" fillId="0" borderId="17" xfId="0" applyFont="1" applyBorder="1"/>
    <xf numFmtId="165" fontId="1" fillId="0" borderId="18" xfId="0" applyNumberFormat="1" applyFont="1" applyBorder="1"/>
    <xf numFmtId="165" fontId="1" fillId="0" borderId="17" xfId="0" applyNumberFormat="1" applyFont="1" applyBorder="1"/>
    <xf numFmtId="0" fontId="6" fillId="3" borderId="14" xfId="0" applyFont="1" applyFill="1" applyBorder="1"/>
    <xf numFmtId="165" fontId="1" fillId="3" borderId="10" xfId="0" applyNumberFormat="1" applyFont="1" applyFill="1" applyBorder="1"/>
    <xf numFmtId="165" fontId="1" fillId="3" borderId="15" xfId="0" applyNumberFormat="1" applyFont="1" applyFill="1" applyBorder="1"/>
    <xf numFmtId="165" fontId="1" fillId="3" borderId="16" xfId="0" applyNumberFormat="1" applyFont="1" applyFill="1" applyBorder="1"/>
    <xf numFmtId="165" fontId="1" fillId="0" borderId="0" xfId="0" applyNumberFormat="1" applyFont="1" applyAlignment="1">
      <alignment horizontal="right"/>
    </xf>
    <xf numFmtId="0" fontId="7" fillId="0" borderId="0" xfId="0" applyFont="1"/>
    <xf numFmtId="165" fontId="7" fillId="0" borderId="19" xfId="0" applyNumberFormat="1" applyFont="1" applyBorder="1"/>
    <xf numFmtId="165" fontId="7" fillId="0" borderId="0" xfId="0" applyNumberFormat="1" applyFont="1"/>
    <xf numFmtId="166" fontId="1" fillId="0" borderId="0" xfId="0" applyNumberFormat="1" applyFont="1"/>
    <xf numFmtId="165" fontId="7" fillId="0" borderId="10" xfId="0" applyNumberFormat="1" applyFont="1" applyBorder="1"/>
    <xf numFmtId="0" fontId="1" fillId="3" borderId="25" xfId="0" applyFont="1" applyFill="1" applyBorder="1"/>
    <xf numFmtId="0" fontId="6" fillId="3" borderId="1" xfId="0" applyFont="1" applyFill="1" applyBorder="1" applyAlignment="1">
      <alignment horizontal="center"/>
    </xf>
    <xf numFmtId="9" fontId="6" fillId="3" borderId="24" xfId="0" applyNumberFormat="1" applyFont="1" applyFill="1" applyBorder="1" applyAlignment="1">
      <alignment horizontal="center"/>
    </xf>
    <xf numFmtId="9" fontId="1" fillId="0" borderId="6" xfId="0" applyNumberFormat="1" applyFont="1" applyBorder="1"/>
    <xf numFmtId="9" fontId="3" fillId="0" borderId="0" xfId="0" applyNumberFormat="1" applyFont="1" applyBorder="1"/>
    <xf numFmtId="9" fontId="1" fillId="0" borderId="0" xfId="0" applyNumberFormat="1" applyFont="1" applyBorder="1"/>
    <xf numFmtId="0" fontId="1" fillId="0" borderId="21" xfId="0" applyFont="1" applyBorder="1"/>
    <xf numFmtId="0" fontId="1" fillId="0" borderId="22" xfId="0" applyFont="1" applyBorder="1"/>
    <xf numFmtId="9" fontId="1" fillId="0" borderId="23" xfId="0" applyNumberFormat="1" applyFont="1" applyBorder="1"/>
    <xf numFmtId="9" fontId="3" fillId="0" borderId="8" xfId="0" applyNumberFormat="1" applyFont="1" applyBorder="1"/>
    <xf numFmtId="9" fontId="1" fillId="0" borderId="8" xfId="0" applyNumberFormat="1" applyFont="1" applyBorder="1"/>
    <xf numFmtId="9" fontId="1" fillId="0" borderId="9" xfId="0" applyNumberFormat="1" applyFont="1" applyBorder="1"/>
    <xf numFmtId="9" fontId="6" fillId="0" borderId="23" xfId="0" applyNumberFormat="1" applyFont="1" applyBorder="1" applyAlignment="1">
      <alignment horizontal="right"/>
    </xf>
    <xf numFmtId="164" fontId="1" fillId="0" borderId="0" xfId="0" quotePrefix="1" applyNumberFormat="1" applyFont="1" applyBorder="1" applyAlignment="1">
      <alignment horizontal="center"/>
    </xf>
    <xf numFmtId="0" fontId="6" fillId="0" borderId="14" xfId="0" applyFont="1" applyBorder="1"/>
    <xf numFmtId="0" fontId="1" fillId="0" borderId="15" xfId="0" applyFont="1" applyBorder="1"/>
    <xf numFmtId="165" fontId="1" fillId="0" borderId="15" xfId="0" applyNumberFormat="1" applyFont="1" applyBorder="1"/>
    <xf numFmtId="165" fontId="1" fillId="0" borderId="16" xfId="0" applyNumberFormat="1" applyFont="1" applyBorder="1"/>
    <xf numFmtId="165" fontId="1" fillId="0" borderId="0" xfId="0" applyNumberFormat="1" applyFont="1" applyBorder="1"/>
    <xf numFmtId="0" fontId="6" fillId="0" borderId="1" xfId="0" applyFont="1" applyBorder="1"/>
    <xf numFmtId="10" fontId="1" fillId="0" borderId="0" xfId="0" applyNumberFormat="1" applyFont="1" applyBorder="1"/>
    <xf numFmtId="164" fontId="1" fillId="0" borderId="1" xfId="0" applyNumberFormat="1" applyFont="1" applyBorder="1" applyAlignment="1">
      <alignment horizontal="center"/>
    </xf>
    <xf numFmtId="164" fontId="1" fillId="0" borderId="1" xfId="0" applyNumberFormat="1" applyFont="1" applyBorder="1" applyAlignment="1">
      <alignment horizontal="right"/>
    </xf>
    <xf numFmtId="9" fontId="1" fillId="0" borderId="0" xfId="0" applyNumberFormat="1" applyFont="1"/>
    <xf numFmtId="9" fontId="7" fillId="0" borderId="0" xfId="0" applyNumberFormat="1" applyFont="1" applyAlignment="1">
      <alignment horizontal="left" indent="9"/>
    </xf>
    <xf numFmtId="9" fontId="7" fillId="0" borderId="0" xfId="0" applyNumberFormat="1" applyFont="1"/>
    <xf numFmtId="164" fontId="1" fillId="0" borderId="1" xfId="0" applyNumberFormat="1" applyFont="1" applyBorder="1"/>
    <xf numFmtId="10" fontId="1" fillId="0" borderId="0" xfId="0" applyNumberFormat="1" applyFont="1"/>
    <xf numFmtId="165" fontId="1" fillId="0" borderId="6" xfId="0" applyNumberFormat="1" applyFont="1" applyBorder="1" applyAlignment="1">
      <alignment horizontal="right"/>
    </xf>
    <xf numFmtId="1" fontId="1" fillId="0" borderId="9" xfId="0" applyNumberFormat="1" applyFont="1" applyBorder="1"/>
    <xf numFmtId="9" fontId="6" fillId="0" borderId="0" xfId="0" applyNumberFormat="1" applyFont="1" applyBorder="1" applyAlignment="1">
      <alignment horizontal="right"/>
    </xf>
    <xf numFmtId="0" fontId="2" fillId="2" borderId="11" xfId="0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165" fontId="1" fillId="0" borderId="6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165" fontId="1" fillId="0" borderId="8" xfId="0" applyNumberFormat="1" applyFont="1" applyBorder="1" applyAlignment="1">
      <alignment horizontal="center"/>
    </xf>
    <xf numFmtId="165" fontId="1" fillId="0" borderId="9" xfId="0" applyNumberFormat="1" applyFont="1" applyBorder="1" applyAlignment="1">
      <alignment horizontal="center"/>
    </xf>
    <xf numFmtId="10" fontId="5" fillId="4" borderId="5" xfId="0" applyNumberFormat="1" applyFont="1" applyFill="1" applyBorder="1" applyAlignment="1">
      <alignment horizontal="center"/>
    </xf>
    <xf numFmtId="10" fontId="1" fillId="4" borderId="0" xfId="0" applyNumberFormat="1" applyFont="1" applyFill="1" applyBorder="1" applyAlignment="1">
      <alignment horizontal="center"/>
    </xf>
    <xf numFmtId="10" fontId="1" fillId="4" borderId="6" xfId="0" applyNumberFormat="1" applyFont="1" applyFill="1" applyBorder="1" applyAlignment="1">
      <alignment horizontal="center"/>
    </xf>
    <xf numFmtId="165" fontId="1" fillId="4" borderId="5" xfId="0" applyNumberFormat="1" applyFont="1" applyFill="1" applyBorder="1" applyAlignment="1">
      <alignment horizontal="center"/>
    </xf>
    <xf numFmtId="10" fontId="1" fillId="4" borderId="26" xfId="0" applyNumberFormat="1" applyFont="1" applyFill="1" applyBorder="1" applyAlignment="1" applyProtection="1">
      <alignment horizontal="center"/>
    </xf>
    <xf numFmtId="10" fontId="1" fillId="4" borderId="17" xfId="0" applyNumberFormat="1" applyFont="1" applyFill="1" applyBorder="1" applyAlignment="1" applyProtection="1">
      <alignment horizontal="center"/>
    </xf>
    <xf numFmtId="10" fontId="1" fillId="4" borderId="27" xfId="0" applyNumberFormat="1" applyFont="1" applyFill="1" applyBorder="1" applyAlignment="1" applyProtection="1">
      <alignment horizontal="center"/>
    </xf>
    <xf numFmtId="10" fontId="1" fillId="4" borderId="28" xfId="0" applyNumberFormat="1" applyFont="1" applyFill="1" applyBorder="1" applyAlignment="1" applyProtection="1">
      <alignment horizontal="center"/>
    </xf>
    <xf numFmtId="10" fontId="1" fillId="4" borderId="0" xfId="0" applyNumberFormat="1" applyFont="1" applyFill="1" applyBorder="1" applyAlignment="1" applyProtection="1">
      <alignment horizontal="center"/>
    </xf>
    <xf numFmtId="10" fontId="1" fillId="4" borderId="29" xfId="0" applyNumberFormat="1" applyFont="1" applyFill="1" applyBorder="1" applyAlignment="1" applyProtection="1">
      <alignment horizontal="center"/>
    </xf>
    <xf numFmtId="165" fontId="1" fillId="4" borderId="7" xfId="0" applyNumberFormat="1" applyFont="1" applyFill="1" applyBorder="1" applyAlignment="1">
      <alignment horizontal="center"/>
    </xf>
    <xf numFmtId="10" fontId="1" fillId="4" borderId="30" xfId="0" applyNumberFormat="1" applyFont="1" applyFill="1" applyBorder="1" applyAlignment="1" applyProtection="1">
      <alignment horizontal="center"/>
    </xf>
    <xf numFmtId="10" fontId="1" fillId="4" borderId="1" xfId="0" applyNumberFormat="1" applyFont="1" applyFill="1" applyBorder="1" applyAlignment="1" applyProtection="1">
      <alignment horizontal="center"/>
    </xf>
    <xf numFmtId="10" fontId="1" fillId="4" borderId="31" xfId="0" applyNumberFormat="1" applyFont="1" applyFill="1" applyBorder="1" applyAlignment="1" applyProtection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243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I38"/>
  <sheetViews>
    <sheetView tabSelected="1" topLeftCell="A13" zoomScale="80" zoomScaleNormal="80" zoomScaleSheetLayoutView="100" workbookViewId="0">
      <selection activeCell="L34" sqref="L34"/>
    </sheetView>
  </sheetViews>
  <sheetFormatPr defaultRowHeight="13" x14ac:dyDescent="0.3"/>
  <cols>
    <col min="1" max="2" width="1.6328125" style="1" customWidth="1"/>
    <col min="3" max="9" width="16.36328125" style="1" customWidth="1"/>
    <col min="10" max="16384" width="8.7265625" style="1"/>
  </cols>
  <sheetData>
    <row r="2" spans="3:9" ht="13.5" thickBot="1" x14ac:dyDescent="0.35"/>
    <row r="3" spans="3:9" x14ac:dyDescent="0.3">
      <c r="C3" s="2" t="s">
        <v>0</v>
      </c>
      <c r="D3" s="3"/>
      <c r="E3" s="4"/>
      <c r="G3" s="2" t="s">
        <v>14</v>
      </c>
      <c r="H3" s="3"/>
      <c r="I3" s="4"/>
    </row>
    <row r="4" spans="3:9" x14ac:dyDescent="0.3">
      <c r="C4" s="5" t="s">
        <v>4</v>
      </c>
      <c r="D4" s="6"/>
      <c r="E4" s="7"/>
      <c r="G4" s="5" t="s">
        <v>15</v>
      </c>
      <c r="H4" s="6"/>
      <c r="I4" s="7"/>
    </row>
    <row r="5" spans="3:9" x14ac:dyDescent="0.3">
      <c r="C5" s="5" t="s">
        <v>1</v>
      </c>
      <c r="D5" s="6"/>
      <c r="E5" s="7"/>
      <c r="G5" s="5" t="s">
        <v>16</v>
      </c>
      <c r="H5" s="6"/>
      <c r="I5" s="8">
        <f>+Waterfall!D15</f>
        <v>0.38615938215663492</v>
      </c>
    </row>
    <row r="6" spans="3:9" x14ac:dyDescent="0.3">
      <c r="C6" s="5" t="s">
        <v>2</v>
      </c>
      <c r="D6" s="6"/>
      <c r="E6" s="7"/>
      <c r="G6" s="5" t="s">
        <v>17</v>
      </c>
      <c r="H6" s="6"/>
      <c r="I6" s="7"/>
    </row>
    <row r="7" spans="3:9" ht="13.5" thickBot="1" x14ac:dyDescent="0.35">
      <c r="C7" s="9" t="s">
        <v>3</v>
      </c>
      <c r="D7" s="10"/>
      <c r="E7" s="11">
        <v>44136</v>
      </c>
      <c r="G7" s="9" t="s">
        <v>18</v>
      </c>
      <c r="H7" s="10"/>
      <c r="I7" s="12"/>
    </row>
    <row r="8" spans="3:9" ht="13.5" thickBot="1" x14ac:dyDescent="0.35"/>
    <row r="9" spans="3:9" x14ac:dyDescent="0.3">
      <c r="C9" s="2" t="s">
        <v>6</v>
      </c>
      <c r="D9" s="3"/>
      <c r="E9" s="4"/>
      <c r="G9" s="2" t="s">
        <v>11</v>
      </c>
      <c r="H9" s="3"/>
      <c r="I9" s="4"/>
    </row>
    <row r="10" spans="3:9" x14ac:dyDescent="0.3">
      <c r="C10" s="5" t="s">
        <v>5</v>
      </c>
      <c r="D10" s="6"/>
      <c r="E10" s="13">
        <v>2750000</v>
      </c>
      <c r="G10" s="5" t="s">
        <v>10</v>
      </c>
      <c r="H10" s="6"/>
      <c r="I10" s="14">
        <f>+EOMONTH(E12,12*E13)</f>
        <v>47817</v>
      </c>
    </row>
    <row r="11" spans="3:9" x14ac:dyDescent="0.3">
      <c r="C11" s="5" t="s">
        <v>7</v>
      </c>
      <c r="D11" s="6"/>
      <c r="E11" s="15">
        <v>0.01</v>
      </c>
      <c r="G11" s="5" t="s">
        <v>101</v>
      </c>
      <c r="H11" s="6"/>
      <c r="I11" s="16">
        <f>+HLOOKUP(I10,'Investment Cash Flow'!E4:N19,16)</f>
        <v>400000</v>
      </c>
    </row>
    <row r="12" spans="3:9" x14ac:dyDescent="0.3">
      <c r="C12" s="5" t="s">
        <v>8</v>
      </c>
      <c r="D12" s="6"/>
      <c r="E12" s="14">
        <f>+E7</f>
        <v>44136</v>
      </c>
      <c r="G12" s="5" t="s">
        <v>7</v>
      </c>
      <c r="H12" s="6"/>
      <c r="I12" s="15">
        <v>0.01</v>
      </c>
    </row>
    <row r="13" spans="3:9" x14ac:dyDescent="0.3">
      <c r="C13" s="5" t="s">
        <v>9</v>
      </c>
      <c r="D13" s="6"/>
      <c r="E13" s="17">
        <v>10</v>
      </c>
      <c r="G13" s="5" t="s">
        <v>12</v>
      </c>
      <c r="H13" s="6"/>
      <c r="I13" s="18">
        <v>4.7500000000000001E-2</v>
      </c>
    </row>
    <row r="14" spans="3:9" ht="13.5" thickBot="1" x14ac:dyDescent="0.35">
      <c r="C14" s="9" t="s">
        <v>28</v>
      </c>
      <c r="D14" s="10"/>
      <c r="E14" s="12"/>
      <c r="G14" s="9" t="s">
        <v>102</v>
      </c>
      <c r="H14" s="10"/>
      <c r="I14" s="19">
        <f>+I11/I13</f>
        <v>8421052.6315789465</v>
      </c>
    </row>
    <row r="15" spans="3:9" ht="13.5" thickBot="1" x14ac:dyDescent="0.35"/>
    <row r="16" spans="3:9" x14ac:dyDescent="0.3">
      <c r="C16" s="2" t="s">
        <v>13</v>
      </c>
      <c r="D16" s="3"/>
      <c r="E16" s="4"/>
      <c r="G16" s="2" t="s">
        <v>52</v>
      </c>
      <c r="H16" s="3"/>
      <c r="I16" s="4"/>
    </row>
    <row r="17" spans="3:9" x14ac:dyDescent="0.3">
      <c r="C17" s="5" t="s">
        <v>19</v>
      </c>
      <c r="D17" s="6"/>
      <c r="E17" s="15">
        <v>0.65</v>
      </c>
      <c r="G17" s="5" t="s">
        <v>53</v>
      </c>
      <c r="H17" s="6"/>
      <c r="I17" s="7"/>
    </row>
    <row r="18" spans="3:9" x14ac:dyDescent="0.3">
      <c r="C18" s="5" t="s">
        <v>100</v>
      </c>
      <c r="D18" s="6"/>
      <c r="E18" s="20">
        <f>+E17*E10</f>
        <v>1787500</v>
      </c>
      <c r="G18" s="5"/>
      <c r="H18" s="6"/>
      <c r="I18" s="7"/>
    </row>
    <row r="19" spans="3:9" x14ac:dyDescent="0.3">
      <c r="C19" s="5" t="s">
        <v>20</v>
      </c>
      <c r="D19" s="6"/>
      <c r="E19" s="18">
        <v>4.4999999999999998E-2</v>
      </c>
      <c r="G19" s="5" t="s">
        <v>54</v>
      </c>
      <c r="H19" s="6"/>
      <c r="I19" s="7"/>
    </row>
    <row r="20" spans="3:9" x14ac:dyDescent="0.3">
      <c r="C20" s="5" t="s">
        <v>21</v>
      </c>
      <c r="D20" s="6"/>
      <c r="E20" s="21" t="s">
        <v>92</v>
      </c>
      <c r="G20" s="5"/>
      <c r="H20" s="6"/>
      <c r="I20" s="7"/>
    </row>
    <row r="21" spans="3:9" x14ac:dyDescent="0.3">
      <c r="C21" s="5" t="s">
        <v>24</v>
      </c>
      <c r="D21" s="6"/>
      <c r="E21" s="18"/>
      <c r="G21" s="5"/>
      <c r="H21" s="6"/>
      <c r="I21" s="7"/>
    </row>
    <row r="22" spans="3:9" ht="13.5" thickBot="1" x14ac:dyDescent="0.35">
      <c r="C22" s="9" t="s">
        <v>26</v>
      </c>
      <c r="D22" s="10"/>
      <c r="E22" s="22">
        <v>0.01</v>
      </c>
      <c r="G22" s="9"/>
      <c r="H22" s="10"/>
      <c r="I22" s="12"/>
    </row>
    <row r="23" spans="3:9" ht="13.5" thickBot="1" x14ac:dyDescent="0.35"/>
    <row r="24" spans="3:9" ht="14.5" customHeight="1" x14ac:dyDescent="0.3">
      <c r="C24" s="2" t="s">
        <v>106</v>
      </c>
      <c r="D24" s="3"/>
      <c r="E24" s="3"/>
      <c r="F24" s="3"/>
      <c r="G24" s="3"/>
      <c r="H24" s="4"/>
    </row>
    <row r="25" spans="3:9" x14ac:dyDescent="0.3">
      <c r="C25" s="89">
        <f>+I5</f>
        <v>0.38615938215663492</v>
      </c>
      <c r="D25" s="90">
        <f>+E25-0.0025</f>
        <v>4.2499999999999996E-2</v>
      </c>
      <c r="E25" s="90">
        <f>+F25-0.0025</f>
        <v>4.4999999999999998E-2</v>
      </c>
      <c r="F25" s="90">
        <f>+I13</f>
        <v>4.7500000000000001E-2</v>
      </c>
      <c r="G25" s="90">
        <f>+F25+0.0025</f>
        <v>0.05</v>
      </c>
      <c r="H25" s="91">
        <f>+G25+0.0025</f>
        <v>5.2500000000000005E-2</v>
      </c>
    </row>
    <row r="26" spans="3:9" x14ac:dyDescent="0.3">
      <c r="C26" s="92">
        <f>+C27-250000</f>
        <v>2250000</v>
      </c>
      <c r="D26" s="93">
        <f t="dataTable" ref="D26:H30" dt2D="1" dtr="1" r1="I13" r2="E10" ca="1"/>
        <v>0.47450592064024155</v>
      </c>
      <c r="E26" s="94">
        <v>0.47943310053760602</v>
      </c>
      <c r="F26" s="94">
        <v>0.47943310053760602</v>
      </c>
      <c r="G26" s="94">
        <v>0.47450592064024155</v>
      </c>
      <c r="H26" s="95">
        <v>0.46573547366654777</v>
      </c>
    </row>
    <row r="27" spans="3:9" x14ac:dyDescent="0.3">
      <c r="C27" s="92">
        <f>+C28-250000</f>
        <v>2500000</v>
      </c>
      <c r="D27" s="96">
        <v>0.52712987561773805</v>
      </c>
      <c r="E27" s="97">
        <v>0.53160139924863969</v>
      </c>
      <c r="F27" s="97">
        <v>0.53160139924863969</v>
      </c>
      <c r="G27" s="97">
        <v>0.52712987561773805</v>
      </c>
      <c r="H27" s="98">
        <v>0.51921259753248394</v>
      </c>
    </row>
    <row r="28" spans="3:9" x14ac:dyDescent="0.3">
      <c r="C28" s="92">
        <f>+E10</f>
        <v>2750000</v>
      </c>
      <c r="D28" s="96">
        <v>0.52712987561773805</v>
      </c>
      <c r="E28" s="97">
        <v>0.53160139924863969</v>
      </c>
      <c r="F28" s="97">
        <v>0.53160139924863969</v>
      </c>
      <c r="G28" s="97">
        <v>0.52712987561773805</v>
      </c>
      <c r="H28" s="98">
        <v>0.51921259753248394</v>
      </c>
    </row>
    <row r="29" spans="3:9" x14ac:dyDescent="0.3">
      <c r="C29" s="92">
        <f>+C28+250000</f>
        <v>3000000</v>
      </c>
      <c r="D29" s="96">
        <v>0.47450592064024155</v>
      </c>
      <c r="E29" s="97">
        <v>0.47943310053760602</v>
      </c>
      <c r="F29" s="97">
        <v>0.47943310053760602</v>
      </c>
      <c r="G29" s="97">
        <v>0.47450592064024155</v>
      </c>
      <c r="H29" s="98">
        <v>0.46573547366654777</v>
      </c>
    </row>
    <row r="30" spans="3:9" ht="13.5" thickBot="1" x14ac:dyDescent="0.35">
      <c r="C30" s="99">
        <f>+C29+250000</f>
        <v>3250000</v>
      </c>
      <c r="D30" s="100">
        <v>0.39626244914428388</v>
      </c>
      <c r="E30" s="101">
        <v>0.40189127167313576</v>
      </c>
      <c r="F30" s="101">
        <v>0.40189127167313576</v>
      </c>
      <c r="G30" s="101">
        <v>0.39626244914428388</v>
      </c>
      <c r="H30" s="102">
        <v>0.38615938215663492</v>
      </c>
    </row>
    <row r="31" spans="3:9" ht="13.5" thickBot="1" x14ac:dyDescent="0.35"/>
    <row r="32" spans="3:9" ht="14.5" customHeight="1" x14ac:dyDescent="0.3">
      <c r="C32" s="2" t="s">
        <v>105</v>
      </c>
      <c r="D32" s="3"/>
      <c r="E32" s="3"/>
      <c r="F32" s="3"/>
      <c r="G32" s="3"/>
      <c r="H32" s="4"/>
    </row>
    <row r="33" spans="3:8" x14ac:dyDescent="0.3">
      <c r="C33" s="5"/>
      <c r="D33" s="6"/>
      <c r="E33" s="6"/>
      <c r="F33" s="6"/>
      <c r="G33" s="6"/>
      <c r="H33" s="7"/>
    </row>
    <row r="34" spans="3:8" x14ac:dyDescent="0.3">
      <c r="C34" s="5"/>
      <c r="D34" s="6"/>
      <c r="E34" s="6"/>
      <c r="F34" s="6"/>
      <c r="G34" s="6"/>
      <c r="H34" s="7"/>
    </row>
    <row r="35" spans="3:8" x14ac:dyDescent="0.3">
      <c r="C35" s="5"/>
      <c r="D35" s="6"/>
      <c r="E35" s="6"/>
      <c r="F35" s="6"/>
      <c r="G35" s="6"/>
      <c r="H35" s="7"/>
    </row>
    <row r="36" spans="3:8" x14ac:dyDescent="0.3">
      <c r="C36" s="5"/>
      <c r="D36" s="6"/>
      <c r="E36" s="6"/>
      <c r="F36" s="6"/>
      <c r="G36" s="6"/>
      <c r="H36" s="7"/>
    </row>
    <row r="37" spans="3:8" x14ac:dyDescent="0.3">
      <c r="C37" s="5"/>
      <c r="D37" s="6"/>
      <c r="E37" s="6"/>
      <c r="F37" s="6"/>
      <c r="G37" s="6"/>
      <c r="H37" s="7"/>
    </row>
    <row r="38" spans="3:8" ht="13.5" thickBot="1" x14ac:dyDescent="0.35">
      <c r="C38" s="9"/>
      <c r="D38" s="10"/>
      <c r="E38" s="10"/>
      <c r="F38" s="10"/>
      <c r="G38" s="10"/>
      <c r="H38" s="12"/>
    </row>
  </sheetData>
  <mergeCells count="8">
    <mergeCell ref="C24:H24"/>
    <mergeCell ref="C32:H32"/>
    <mergeCell ref="G16:I16"/>
    <mergeCell ref="C3:E3"/>
    <mergeCell ref="C9:E9"/>
    <mergeCell ref="G9:I9"/>
    <mergeCell ref="G3:I3"/>
    <mergeCell ref="C16:E1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I8"/>
  <sheetViews>
    <sheetView zoomScale="80" zoomScaleNormal="80" workbookViewId="0">
      <selection sqref="A1:XFD1048576"/>
    </sheetView>
  </sheetViews>
  <sheetFormatPr defaultRowHeight="14.5" x14ac:dyDescent="0.35"/>
  <cols>
    <col min="1" max="2" width="1.6328125" style="23" customWidth="1"/>
    <col min="3" max="9" width="16.36328125" style="23" customWidth="1"/>
    <col min="10" max="16384" width="8.7265625" style="23"/>
  </cols>
  <sheetData>
    <row r="2" spans="3:9" ht="15" thickBot="1" x14ac:dyDescent="0.4"/>
    <row r="3" spans="3:9" x14ac:dyDescent="0.35">
      <c r="C3" s="2" t="s">
        <v>22</v>
      </c>
      <c r="D3" s="3"/>
      <c r="E3" s="4"/>
      <c r="G3" s="2" t="s">
        <v>23</v>
      </c>
      <c r="H3" s="3"/>
      <c r="I3" s="4"/>
    </row>
    <row r="4" spans="3:9" x14ac:dyDescent="0.35">
      <c r="C4" s="5" t="s">
        <v>25</v>
      </c>
      <c r="D4" s="6"/>
      <c r="E4" s="16"/>
      <c r="G4" s="5" t="s">
        <v>5</v>
      </c>
      <c r="H4" s="6"/>
      <c r="I4" s="16">
        <f>+'Overview &amp; Sensitivities'!E10</f>
        <v>2750000</v>
      </c>
    </row>
    <row r="5" spans="3:9" x14ac:dyDescent="0.35">
      <c r="C5" s="5" t="s">
        <v>13</v>
      </c>
      <c r="D5" s="6"/>
      <c r="E5" s="16">
        <f>+'Overview &amp; Sensitivities'!E10*'Overview &amp; Sensitivities'!E17</f>
        <v>1787500</v>
      </c>
      <c r="G5" s="5" t="s">
        <v>7</v>
      </c>
      <c r="H5" s="6"/>
      <c r="I5" s="16">
        <f>+'Overview &amp; Sensitivities'!E10*'Overview &amp; Sensitivities'!E11</f>
        <v>27500</v>
      </c>
    </row>
    <row r="6" spans="3:9" x14ac:dyDescent="0.35">
      <c r="C6" s="5"/>
      <c r="D6" s="6"/>
      <c r="E6" s="7"/>
      <c r="G6" s="5" t="s">
        <v>26</v>
      </c>
      <c r="H6" s="6"/>
      <c r="I6" s="16">
        <f>+'Overview &amp; Sensitivities'!E18*'Overview &amp; Sensitivities'!E22</f>
        <v>17875</v>
      </c>
    </row>
    <row r="7" spans="3:9" x14ac:dyDescent="0.35">
      <c r="C7" s="5"/>
      <c r="D7" s="6"/>
      <c r="E7" s="7"/>
      <c r="G7" s="5" t="s">
        <v>27</v>
      </c>
      <c r="H7" s="6"/>
      <c r="I7" s="16">
        <f>+'Overview &amp; Sensitivities'!E14</f>
        <v>0</v>
      </c>
    </row>
    <row r="8" spans="3:9" ht="15" thickBot="1" x14ac:dyDescent="0.4">
      <c r="C8" s="9"/>
      <c r="D8" s="10"/>
      <c r="E8" s="12"/>
      <c r="G8" s="9"/>
      <c r="H8" s="10"/>
      <c r="I8" s="12"/>
    </row>
  </sheetData>
  <mergeCells count="2">
    <mergeCell ref="C3:E3"/>
    <mergeCell ref="G3:I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N40"/>
  <sheetViews>
    <sheetView topLeftCell="D14" zoomScale="80" zoomScaleNormal="80" workbookViewId="0">
      <selection activeCell="D14" sqref="A1:XFD1048576"/>
    </sheetView>
  </sheetViews>
  <sheetFormatPr defaultRowHeight="13" x14ac:dyDescent="0.3"/>
  <cols>
    <col min="1" max="2" width="1.6328125" style="1" customWidth="1"/>
    <col min="3" max="3" width="29.453125" style="1" customWidth="1"/>
    <col min="4" max="14" width="16.36328125" style="1" customWidth="1"/>
    <col min="15" max="16384" width="8.7265625" style="1"/>
  </cols>
  <sheetData>
    <row r="3" spans="3:14" s="1" customFormat="1" x14ac:dyDescent="0.3">
      <c r="D3" s="24" t="s">
        <v>29</v>
      </c>
      <c r="E3" s="25">
        <v>1</v>
      </c>
      <c r="F3" s="25">
        <v>2</v>
      </c>
      <c r="G3" s="25">
        <v>3</v>
      </c>
      <c r="H3" s="25">
        <v>4</v>
      </c>
      <c r="I3" s="25">
        <v>5</v>
      </c>
      <c r="J3" s="25">
        <v>6</v>
      </c>
      <c r="K3" s="25">
        <v>7</v>
      </c>
      <c r="L3" s="25">
        <v>8</v>
      </c>
      <c r="M3" s="25">
        <v>9</v>
      </c>
      <c r="N3" s="25">
        <v>10</v>
      </c>
    </row>
    <row r="4" spans="3:14" s="1" customFormat="1" x14ac:dyDescent="0.3">
      <c r="D4" s="26"/>
      <c r="E4" s="27">
        <f>+EOMONTH('Overview &amp; Sensitivities'!E7,12)</f>
        <v>44530</v>
      </c>
      <c r="F4" s="27">
        <f>+EOMONTH(E4,12)</f>
        <v>44895</v>
      </c>
      <c r="G4" s="27">
        <f t="shared" ref="G4:N4" si="0">+EOMONTH(F4,12)</f>
        <v>45260</v>
      </c>
      <c r="H4" s="27">
        <f t="shared" si="0"/>
        <v>45626</v>
      </c>
      <c r="I4" s="27">
        <f t="shared" si="0"/>
        <v>45991</v>
      </c>
      <c r="J4" s="27">
        <f t="shared" si="0"/>
        <v>46356</v>
      </c>
      <c r="K4" s="27">
        <f t="shared" si="0"/>
        <v>46721</v>
      </c>
      <c r="L4" s="27">
        <f t="shared" si="0"/>
        <v>47087</v>
      </c>
      <c r="M4" s="27">
        <f t="shared" si="0"/>
        <v>47452</v>
      </c>
      <c r="N4" s="27">
        <f t="shared" si="0"/>
        <v>47817</v>
      </c>
    </row>
    <row r="5" spans="3:14" s="1" customFormat="1" x14ac:dyDescent="0.3">
      <c r="C5" s="28" t="s">
        <v>30</v>
      </c>
      <c r="D5" s="26"/>
    </row>
    <row r="6" spans="3:14" s="1" customFormat="1" x14ac:dyDescent="0.3">
      <c r="C6" s="1" t="s">
        <v>31</v>
      </c>
      <c r="D6" s="29"/>
      <c r="E6" s="30">
        <v>750000</v>
      </c>
      <c r="F6" s="30">
        <v>750000</v>
      </c>
      <c r="G6" s="30">
        <v>750000</v>
      </c>
      <c r="H6" s="30">
        <v>750000</v>
      </c>
      <c r="I6" s="30">
        <v>750000</v>
      </c>
      <c r="J6" s="30">
        <v>750000</v>
      </c>
      <c r="K6" s="30">
        <v>750000</v>
      </c>
      <c r="L6" s="30">
        <v>750000</v>
      </c>
      <c r="M6" s="30">
        <v>750000</v>
      </c>
      <c r="N6" s="30">
        <v>750000</v>
      </c>
    </row>
    <row r="7" spans="3:14" s="1" customFormat="1" x14ac:dyDescent="0.3">
      <c r="C7" s="1" t="s">
        <v>32</v>
      </c>
      <c r="D7" s="29"/>
      <c r="E7" s="30"/>
      <c r="F7" s="30"/>
      <c r="G7" s="30"/>
      <c r="H7" s="30"/>
      <c r="I7" s="30"/>
      <c r="J7" s="30"/>
      <c r="K7" s="30"/>
      <c r="L7" s="30"/>
      <c r="M7" s="30"/>
      <c r="N7" s="30"/>
    </row>
    <row r="8" spans="3:14" s="1" customFormat="1" x14ac:dyDescent="0.3">
      <c r="C8" s="1" t="s">
        <v>33</v>
      </c>
      <c r="D8" s="29"/>
      <c r="E8" s="30"/>
      <c r="F8" s="30"/>
      <c r="G8" s="30"/>
      <c r="H8" s="30"/>
      <c r="I8" s="30"/>
      <c r="J8" s="30"/>
      <c r="K8" s="30"/>
      <c r="L8" s="30"/>
      <c r="M8" s="30"/>
      <c r="N8" s="30"/>
    </row>
    <row r="9" spans="3:14" s="1" customFormat="1" x14ac:dyDescent="0.3">
      <c r="C9" s="1" t="s">
        <v>34</v>
      </c>
      <c r="D9" s="29"/>
      <c r="E9" s="30"/>
      <c r="F9" s="30"/>
      <c r="G9" s="30"/>
      <c r="H9" s="30"/>
      <c r="I9" s="30"/>
      <c r="J9" s="30"/>
      <c r="K9" s="30"/>
      <c r="L9" s="30"/>
      <c r="M9" s="30"/>
      <c r="N9" s="30"/>
    </row>
    <row r="10" spans="3:14" s="1" customFormat="1" x14ac:dyDescent="0.3">
      <c r="C10" s="31" t="s">
        <v>35</v>
      </c>
      <c r="D10" s="32"/>
      <c r="E10" s="33"/>
      <c r="F10" s="33"/>
      <c r="G10" s="33"/>
      <c r="H10" s="33"/>
      <c r="I10" s="33"/>
      <c r="J10" s="33"/>
      <c r="K10" s="33"/>
      <c r="L10" s="33"/>
      <c r="M10" s="33"/>
      <c r="N10" s="33"/>
    </row>
    <row r="11" spans="3:14" s="1" customFormat="1" x14ac:dyDescent="0.3">
      <c r="C11" s="34" t="s">
        <v>36</v>
      </c>
      <c r="D11" s="29">
        <f>+SUM(D6:D10)</f>
        <v>0</v>
      </c>
      <c r="E11" s="30">
        <f>+SUM(E6:E10)</f>
        <v>750000</v>
      </c>
      <c r="F11" s="30">
        <f t="shared" ref="F11:N11" si="1">+SUM(F6:F10)</f>
        <v>750000</v>
      </c>
      <c r="G11" s="30">
        <f t="shared" si="1"/>
        <v>750000</v>
      </c>
      <c r="H11" s="30">
        <f t="shared" si="1"/>
        <v>750000</v>
      </c>
      <c r="I11" s="30">
        <f t="shared" si="1"/>
        <v>750000</v>
      </c>
      <c r="J11" s="30">
        <f t="shared" si="1"/>
        <v>750000</v>
      </c>
      <c r="K11" s="30">
        <f t="shared" si="1"/>
        <v>750000</v>
      </c>
      <c r="L11" s="30">
        <f t="shared" si="1"/>
        <v>750000</v>
      </c>
      <c r="M11" s="30">
        <f t="shared" si="1"/>
        <v>750000</v>
      </c>
      <c r="N11" s="30">
        <f t="shared" si="1"/>
        <v>750000</v>
      </c>
    </row>
    <row r="12" spans="3:14" s="1" customFormat="1" x14ac:dyDescent="0.3">
      <c r="D12" s="29"/>
      <c r="E12" s="30"/>
      <c r="F12" s="30"/>
      <c r="G12" s="30"/>
      <c r="H12" s="30"/>
      <c r="I12" s="30"/>
      <c r="J12" s="30"/>
      <c r="K12" s="30"/>
      <c r="L12" s="30"/>
      <c r="M12" s="30"/>
      <c r="N12" s="30"/>
    </row>
    <row r="13" spans="3:14" s="1" customFormat="1" x14ac:dyDescent="0.3">
      <c r="C13" s="34" t="s">
        <v>37</v>
      </c>
      <c r="D13" s="29"/>
      <c r="E13" s="30"/>
      <c r="F13" s="30"/>
      <c r="G13" s="30"/>
      <c r="H13" s="30"/>
      <c r="I13" s="30"/>
      <c r="J13" s="30"/>
      <c r="K13" s="30"/>
      <c r="L13" s="30"/>
      <c r="M13" s="30"/>
      <c r="N13" s="30"/>
    </row>
    <row r="14" spans="3:14" s="1" customFormat="1" x14ac:dyDescent="0.3">
      <c r="C14" s="1" t="s">
        <v>38</v>
      </c>
      <c r="D14" s="29"/>
      <c r="E14" s="30">
        <v>350000</v>
      </c>
      <c r="F14" s="30">
        <v>350000</v>
      </c>
      <c r="G14" s="30">
        <v>350000</v>
      </c>
      <c r="H14" s="30">
        <v>350000</v>
      </c>
      <c r="I14" s="30">
        <v>350000</v>
      </c>
      <c r="J14" s="30">
        <v>350000</v>
      </c>
      <c r="K14" s="30">
        <v>350000</v>
      </c>
      <c r="L14" s="30">
        <v>350000</v>
      </c>
      <c r="M14" s="30">
        <v>350000</v>
      </c>
      <c r="N14" s="30">
        <v>350000</v>
      </c>
    </row>
    <row r="15" spans="3:14" s="1" customFormat="1" x14ac:dyDescent="0.3">
      <c r="C15" s="1" t="s">
        <v>39</v>
      </c>
      <c r="D15" s="29"/>
      <c r="E15" s="30"/>
      <c r="F15" s="30"/>
      <c r="G15" s="30"/>
      <c r="H15" s="30"/>
      <c r="I15" s="30"/>
      <c r="J15" s="30"/>
      <c r="K15" s="30"/>
      <c r="L15" s="30"/>
      <c r="M15" s="30"/>
      <c r="N15" s="30"/>
    </row>
    <row r="16" spans="3:14" s="1" customFormat="1" x14ac:dyDescent="0.3">
      <c r="C16" s="1" t="s">
        <v>40</v>
      </c>
      <c r="D16" s="29"/>
      <c r="E16" s="30"/>
      <c r="F16" s="30"/>
      <c r="G16" s="30"/>
      <c r="H16" s="30"/>
      <c r="I16" s="30"/>
      <c r="J16" s="30"/>
      <c r="K16" s="30"/>
      <c r="L16" s="30"/>
      <c r="M16" s="30"/>
      <c r="N16" s="30"/>
    </row>
    <row r="17" spans="3:14" s="1" customFormat="1" x14ac:dyDescent="0.3">
      <c r="C17" s="35" t="s">
        <v>41</v>
      </c>
      <c r="D17" s="36">
        <f>+SUM(D14:D16)</f>
        <v>0</v>
      </c>
      <c r="E17" s="37">
        <f>+SUM(E14:E16)</f>
        <v>350000</v>
      </c>
      <c r="F17" s="37">
        <f t="shared" ref="F17:N17" si="2">+SUM(F14:F16)</f>
        <v>350000</v>
      </c>
      <c r="G17" s="37">
        <f t="shared" si="2"/>
        <v>350000</v>
      </c>
      <c r="H17" s="37">
        <f t="shared" si="2"/>
        <v>350000</v>
      </c>
      <c r="I17" s="37">
        <f t="shared" si="2"/>
        <v>350000</v>
      </c>
      <c r="J17" s="37">
        <f t="shared" si="2"/>
        <v>350000</v>
      </c>
      <c r="K17" s="37">
        <f t="shared" si="2"/>
        <v>350000</v>
      </c>
      <c r="L17" s="37">
        <f t="shared" si="2"/>
        <v>350000</v>
      </c>
      <c r="M17" s="37">
        <f t="shared" si="2"/>
        <v>350000</v>
      </c>
      <c r="N17" s="37">
        <f t="shared" si="2"/>
        <v>350000</v>
      </c>
    </row>
    <row r="18" spans="3:14" s="1" customFormat="1" x14ac:dyDescent="0.3">
      <c r="D18" s="29"/>
      <c r="E18" s="30"/>
      <c r="F18" s="30"/>
      <c r="G18" s="30"/>
      <c r="H18" s="30"/>
      <c r="I18" s="30"/>
      <c r="J18" s="30"/>
      <c r="K18" s="30"/>
      <c r="L18" s="30"/>
      <c r="M18" s="30"/>
      <c r="N18" s="30"/>
    </row>
    <row r="19" spans="3:14" s="1" customFormat="1" x14ac:dyDescent="0.3">
      <c r="C19" s="38" t="s">
        <v>42</v>
      </c>
      <c r="D19" s="39">
        <f>+D11-D17</f>
        <v>0</v>
      </c>
      <c r="E19" s="40">
        <f>+E11-E17</f>
        <v>400000</v>
      </c>
      <c r="F19" s="40">
        <f t="shared" ref="F19:N19" si="3">+F11-F17</f>
        <v>400000</v>
      </c>
      <c r="G19" s="40">
        <f t="shared" si="3"/>
        <v>400000</v>
      </c>
      <c r="H19" s="40">
        <f t="shared" si="3"/>
        <v>400000</v>
      </c>
      <c r="I19" s="40">
        <f t="shared" si="3"/>
        <v>400000</v>
      </c>
      <c r="J19" s="40">
        <f t="shared" si="3"/>
        <v>400000</v>
      </c>
      <c r="K19" s="40">
        <f t="shared" si="3"/>
        <v>400000</v>
      </c>
      <c r="L19" s="40">
        <f t="shared" si="3"/>
        <v>400000</v>
      </c>
      <c r="M19" s="40">
        <f t="shared" si="3"/>
        <v>400000</v>
      </c>
      <c r="N19" s="41">
        <f t="shared" si="3"/>
        <v>400000</v>
      </c>
    </row>
    <row r="20" spans="3:14" s="1" customFormat="1" x14ac:dyDescent="0.3">
      <c r="D20" s="29"/>
      <c r="E20" s="30"/>
      <c r="F20" s="30"/>
      <c r="G20" s="30"/>
      <c r="H20" s="30"/>
      <c r="I20" s="30"/>
      <c r="J20" s="30"/>
      <c r="K20" s="30"/>
      <c r="L20" s="30"/>
      <c r="M20" s="30"/>
      <c r="N20" s="30"/>
    </row>
    <row r="21" spans="3:14" s="1" customFormat="1" x14ac:dyDescent="0.3">
      <c r="C21" s="34" t="s">
        <v>43</v>
      </c>
      <c r="D21" s="29"/>
      <c r="E21" s="30"/>
      <c r="F21" s="30"/>
      <c r="G21" s="30"/>
      <c r="H21" s="30"/>
      <c r="I21" s="30"/>
      <c r="J21" s="30"/>
      <c r="K21" s="30"/>
      <c r="L21" s="30"/>
      <c r="M21" s="30"/>
      <c r="N21" s="30"/>
    </row>
    <row r="22" spans="3:14" s="1" customFormat="1" x14ac:dyDescent="0.3">
      <c r="C22" s="1" t="s">
        <v>44</v>
      </c>
      <c r="D22" s="29"/>
      <c r="E22" s="30"/>
      <c r="F22" s="30"/>
      <c r="G22" s="30"/>
      <c r="H22" s="30"/>
      <c r="I22" s="30"/>
      <c r="J22" s="30"/>
      <c r="K22" s="30"/>
      <c r="L22" s="30"/>
      <c r="M22" s="30"/>
      <c r="N22" s="30"/>
    </row>
    <row r="23" spans="3:14" s="1" customFormat="1" x14ac:dyDescent="0.3">
      <c r="C23" s="1" t="s">
        <v>45</v>
      </c>
      <c r="D23" s="29"/>
      <c r="E23" s="30"/>
      <c r="F23" s="30"/>
      <c r="G23" s="30"/>
      <c r="H23" s="30"/>
      <c r="I23" s="30"/>
      <c r="J23" s="30"/>
      <c r="K23" s="30"/>
      <c r="L23" s="30"/>
      <c r="M23" s="30"/>
      <c r="N23" s="30"/>
    </row>
    <row r="24" spans="3:14" s="1" customFormat="1" x14ac:dyDescent="0.3">
      <c r="C24" s="1" t="s">
        <v>27</v>
      </c>
      <c r="D24" s="29"/>
      <c r="E24" s="30"/>
      <c r="F24" s="30"/>
      <c r="G24" s="30"/>
      <c r="H24" s="30"/>
      <c r="I24" s="30"/>
      <c r="J24" s="30"/>
      <c r="K24" s="30"/>
      <c r="L24" s="30"/>
      <c r="M24" s="30"/>
      <c r="N24" s="30"/>
    </row>
    <row r="25" spans="3:14" s="1" customFormat="1" x14ac:dyDescent="0.3">
      <c r="C25" s="35" t="s">
        <v>46</v>
      </c>
      <c r="D25" s="36"/>
      <c r="E25" s="37">
        <f>+SUM(E22:E24)</f>
        <v>0</v>
      </c>
      <c r="F25" s="37">
        <f t="shared" ref="F25:N25" si="4">+SUM(F22:F24)</f>
        <v>0</v>
      </c>
      <c r="G25" s="37">
        <f t="shared" si="4"/>
        <v>0</v>
      </c>
      <c r="H25" s="37">
        <f t="shared" si="4"/>
        <v>0</v>
      </c>
      <c r="I25" s="37">
        <f t="shared" si="4"/>
        <v>0</v>
      </c>
      <c r="J25" s="37">
        <f t="shared" si="4"/>
        <v>0</v>
      </c>
      <c r="K25" s="37">
        <f t="shared" si="4"/>
        <v>0</v>
      </c>
      <c r="L25" s="37">
        <f t="shared" si="4"/>
        <v>0</v>
      </c>
      <c r="M25" s="37">
        <f t="shared" si="4"/>
        <v>0</v>
      </c>
      <c r="N25" s="37">
        <f t="shared" si="4"/>
        <v>0</v>
      </c>
    </row>
    <row r="26" spans="3:14" s="1" customFormat="1" x14ac:dyDescent="0.3">
      <c r="D26" s="29"/>
      <c r="E26" s="30"/>
      <c r="F26" s="30"/>
      <c r="G26" s="30"/>
      <c r="H26" s="30"/>
      <c r="I26" s="30"/>
      <c r="J26" s="30"/>
      <c r="K26" s="30"/>
      <c r="L26" s="30"/>
      <c r="M26" s="30"/>
      <c r="N26" s="30"/>
    </row>
    <row r="27" spans="3:14" s="1" customFormat="1" x14ac:dyDescent="0.3">
      <c r="C27" s="34" t="s">
        <v>47</v>
      </c>
      <c r="D27" s="29">
        <f>-('Sources &amp; Uses'!I4+'Sources &amp; Uses'!I5)</f>
        <v>-2777500</v>
      </c>
      <c r="E27" s="30"/>
      <c r="F27" s="30"/>
      <c r="G27" s="30"/>
      <c r="H27" s="30"/>
      <c r="I27" s="30"/>
      <c r="J27" s="30"/>
      <c r="K27" s="30"/>
      <c r="L27" s="30"/>
      <c r="M27" s="30"/>
      <c r="N27" s="30"/>
    </row>
    <row r="28" spans="3:14" s="1" customFormat="1" x14ac:dyDescent="0.3">
      <c r="D28" s="29"/>
      <c r="E28" s="30"/>
      <c r="F28" s="30"/>
      <c r="G28" s="30"/>
      <c r="H28" s="30"/>
      <c r="I28" s="30"/>
      <c r="J28" s="30"/>
      <c r="K28" s="30"/>
      <c r="L28" s="30"/>
      <c r="M28" s="30"/>
      <c r="N28" s="30"/>
    </row>
    <row r="29" spans="3:14" s="1" customFormat="1" x14ac:dyDescent="0.3">
      <c r="C29" s="34" t="s">
        <v>48</v>
      </c>
      <c r="D29" s="29"/>
      <c r="E29" s="42" t="str">
        <f>+IF(E4='Overview &amp; Sensitivities'!$I$10,'Overview &amp; Sensitivities'!$I$14,"$0")</f>
        <v>$0</v>
      </c>
      <c r="F29" s="42" t="str">
        <f>+IF(F4='Overview &amp; Sensitivities'!$I$10,'Overview &amp; Sensitivities'!$I$14,"$0")</f>
        <v>$0</v>
      </c>
      <c r="G29" s="42" t="str">
        <f>+IF(G4='Overview &amp; Sensitivities'!$I$10,'Overview &amp; Sensitivities'!$I$14,"$0")</f>
        <v>$0</v>
      </c>
      <c r="H29" s="42" t="str">
        <f>+IF(H4='Overview &amp; Sensitivities'!$I$10,'Overview &amp; Sensitivities'!$I$14,"$0")</f>
        <v>$0</v>
      </c>
      <c r="I29" s="42" t="str">
        <f>+IF(I4='Overview &amp; Sensitivities'!$I$10,'Overview &amp; Sensitivities'!$I$14,"$0")</f>
        <v>$0</v>
      </c>
      <c r="J29" s="42" t="str">
        <f>+IF(J4='Overview &amp; Sensitivities'!$I$10,'Overview &amp; Sensitivities'!$I$14,"$0")</f>
        <v>$0</v>
      </c>
      <c r="K29" s="42" t="str">
        <f>+IF(K4='Overview &amp; Sensitivities'!$I$10,'Overview &amp; Sensitivities'!$I$14,"$0")</f>
        <v>$0</v>
      </c>
      <c r="L29" s="42" t="str">
        <f>+IF(L4='Overview &amp; Sensitivities'!$I$10,'Overview &amp; Sensitivities'!$I$14,"$0")</f>
        <v>$0</v>
      </c>
      <c r="M29" s="42" t="str">
        <f>+IF(M4='Overview &amp; Sensitivities'!$I$10,'Overview &amp; Sensitivities'!$I$14,"$0")</f>
        <v>$0</v>
      </c>
      <c r="N29" s="42">
        <f>+IF(N4='Overview &amp; Sensitivities'!$I$10,'Overview &amp; Sensitivities'!$I$14,"$0")</f>
        <v>8421052.6315789465</v>
      </c>
    </row>
    <row r="30" spans="3:14" s="1" customFormat="1" x14ac:dyDescent="0.3">
      <c r="D30" s="29"/>
      <c r="E30" s="30"/>
      <c r="F30" s="30"/>
      <c r="G30" s="30"/>
      <c r="H30" s="30"/>
      <c r="I30" s="30"/>
      <c r="J30" s="30"/>
      <c r="K30" s="30"/>
      <c r="L30" s="30"/>
      <c r="M30" s="30"/>
      <c r="N30" s="30"/>
    </row>
    <row r="31" spans="3:14" s="1" customFormat="1" x14ac:dyDescent="0.3">
      <c r="C31" s="38" t="s">
        <v>49</v>
      </c>
      <c r="D31" s="39">
        <f>+D19+D25+D27+D29</f>
        <v>-2777500</v>
      </c>
      <c r="E31" s="40">
        <f>+E19+E25+E27+E29</f>
        <v>400000</v>
      </c>
      <c r="F31" s="40">
        <f t="shared" ref="F31:N31" si="5">+F19+F25+F27+F29</f>
        <v>400000</v>
      </c>
      <c r="G31" s="40">
        <f t="shared" si="5"/>
        <v>400000</v>
      </c>
      <c r="H31" s="40">
        <f t="shared" si="5"/>
        <v>400000</v>
      </c>
      <c r="I31" s="40">
        <f t="shared" si="5"/>
        <v>400000</v>
      </c>
      <c r="J31" s="40">
        <f t="shared" si="5"/>
        <v>400000</v>
      </c>
      <c r="K31" s="40">
        <f t="shared" si="5"/>
        <v>400000</v>
      </c>
      <c r="L31" s="40">
        <f t="shared" si="5"/>
        <v>400000</v>
      </c>
      <c r="M31" s="40">
        <f t="shared" si="5"/>
        <v>400000</v>
      </c>
      <c r="N31" s="41">
        <f t="shared" si="5"/>
        <v>8821052.6315789465</v>
      </c>
    </row>
    <row r="32" spans="3:14" s="1" customFormat="1" x14ac:dyDescent="0.3">
      <c r="C32" s="43" t="s">
        <v>51</v>
      </c>
      <c r="D32" s="44">
        <f>+D31</f>
        <v>-2777500</v>
      </c>
      <c r="E32" s="45">
        <f>+D32+E31</f>
        <v>-2377500</v>
      </c>
      <c r="F32" s="45">
        <f t="shared" ref="F32:N32" si="6">+E32+F31</f>
        <v>-1977500</v>
      </c>
      <c r="G32" s="45">
        <f t="shared" si="6"/>
        <v>-1577500</v>
      </c>
      <c r="H32" s="45">
        <f t="shared" si="6"/>
        <v>-1177500</v>
      </c>
      <c r="I32" s="45">
        <f t="shared" si="6"/>
        <v>-777500</v>
      </c>
      <c r="J32" s="45">
        <f t="shared" si="6"/>
        <v>-377500</v>
      </c>
      <c r="K32" s="45">
        <f t="shared" si="6"/>
        <v>22500</v>
      </c>
      <c r="L32" s="45">
        <f t="shared" si="6"/>
        <v>422500</v>
      </c>
      <c r="M32" s="45">
        <f t="shared" si="6"/>
        <v>822500</v>
      </c>
      <c r="N32" s="45">
        <f t="shared" si="6"/>
        <v>9643552.6315789465</v>
      </c>
    </row>
    <row r="33" spans="3:14" s="1" customFormat="1" x14ac:dyDescent="0.3">
      <c r="D33" s="29"/>
      <c r="E33" s="30"/>
      <c r="F33" s="30"/>
      <c r="G33" s="30"/>
      <c r="H33" s="30"/>
      <c r="I33" s="30"/>
      <c r="J33" s="30"/>
      <c r="K33" s="30"/>
      <c r="L33" s="30"/>
      <c r="M33" s="30"/>
      <c r="N33" s="30"/>
    </row>
    <row r="34" spans="3:14" s="1" customFormat="1" x14ac:dyDescent="0.3">
      <c r="C34" s="34" t="s">
        <v>103</v>
      </c>
      <c r="D34" s="29">
        <f>+VLOOKUP(D3,'Debt Assumptions'!$C$11:$H$41,3)</f>
        <v>0</v>
      </c>
      <c r="E34" s="30">
        <f>+VLOOKUP(E3,'Debt Assumptions'!$C$11:$H$41,3)</f>
        <v>-109737.38294911025</v>
      </c>
      <c r="F34" s="30">
        <f>+VLOOKUP(F3,'Debt Assumptions'!$C$11:$H$41,3)</f>
        <v>-109737.38294911025</v>
      </c>
      <c r="G34" s="30">
        <f>+VLOOKUP(G3,'Debt Assumptions'!$C$11:$H$41,3)</f>
        <v>-109737.38294911025</v>
      </c>
      <c r="H34" s="30">
        <f>+VLOOKUP(H3,'Debt Assumptions'!$C$11:$H$41,3)</f>
        <v>-109737.38294911025</v>
      </c>
      <c r="I34" s="30">
        <f>+VLOOKUP(I3,'Debt Assumptions'!$C$11:$H$41,3)</f>
        <v>-109737.38294911025</v>
      </c>
      <c r="J34" s="30">
        <f>+VLOOKUP(J3,'Debt Assumptions'!$C$11:$H$41,3)</f>
        <v>-109737.38294911025</v>
      </c>
      <c r="K34" s="30">
        <f>+VLOOKUP(K3,'Debt Assumptions'!$C$11:$H$41,3)</f>
        <v>-109737.38294911025</v>
      </c>
      <c r="L34" s="30">
        <f>+VLOOKUP(L3,'Debt Assumptions'!$C$11:$H$41,3)</f>
        <v>-109737.38294911025</v>
      </c>
      <c r="M34" s="30">
        <f>+VLOOKUP(M3,'Debt Assumptions'!$C$11:$H$41,3)</f>
        <v>-109737.38294911025</v>
      </c>
      <c r="N34" s="30">
        <f>+VLOOKUP(N3,'Debt Assumptions'!$C$11:$H$41,3)</f>
        <v>-109737.38294911025</v>
      </c>
    </row>
    <row r="35" spans="3:14" s="1" customFormat="1" x14ac:dyDescent="0.3">
      <c r="C35" s="43" t="s">
        <v>18</v>
      </c>
      <c r="D35" s="29"/>
      <c r="E35" s="46">
        <f>-E19/E34</f>
        <v>3.6450659679527484</v>
      </c>
      <c r="F35" s="46">
        <f t="shared" ref="F35:N35" si="7">-F19/F34</f>
        <v>3.6450659679527484</v>
      </c>
      <c r="G35" s="46">
        <f t="shared" si="7"/>
        <v>3.6450659679527484</v>
      </c>
      <c r="H35" s="46">
        <f t="shared" si="7"/>
        <v>3.6450659679527484</v>
      </c>
      <c r="I35" s="46">
        <f t="shared" si="7"/>
        <v>3.6450659679527484</v>
      </c>
      <c r="J35" s="46">
        <f t="shared" si="7"/>
        <v>3.6450659679527484</v>
      </c>
      <c r="K35" s="46">
        <f t="shared" si="7"/>
        <v>3.6450659679527484</v>
      </c>
      <c r="L35" s="46">
        <f t="shared" si="7"/>
        <v>3.6450659679527484</v>
      </c>
      <c r="M35" s="46">
        <f t="shared" si="7"/>
        <v>3.6450659679527484</v>
      </c>
      <c r="N35" s="46">
        <f t="shared" si="7"/>
        <v>3.6450659679527484</v>
      </c>
    </row>
    <row r="36" spans="3:14" s="1" customFormat="1" x14ac:dyDescent="0.3">
      <c r="C36" s="43"/>
      <c r="D36" s="29"/>
      <c r="E36" s="46"/>
      <c r="F36" s="46"/>
      <c r="G36" s="46"/>
      <c r="H36" s="46"/>
      <c r="I36" s="46"/>
      <c r="J36" s="46"/>
      <c r="K36" s="46"/>
      <c r="L36" s="46"/>
      <c r="M36" s="46"/>
      <c r="N36" s="46"/>
    </row>
    <row r="37" spans="3:14" s="1" customFormat="1" x14ac:dyDescent="0.3">
      <c r="C37" s="34" t="s">
        <v>104</v>
      </c>
      <c r="D37" s="29">
        <f>+'Debt Assumptions'!E5</f>
        <v>1787500</v>
      </c>
      <c r="E37" s="42">
        <f>-IF(E4='Overview &amp; Sensitivities'!$I$10,VLOOKUP('Investment Cash Flow'!E3,'Debt Assumptions'!$C$12:$H$41,6),"$0")</f>
        <v>0</v>
      </c>
      <c r="F37" s="42">
        <f>-IF(F4='Overview &amp; Sensitivities'!$I$10,VLOOKUP('Investment Cash Flow'!F3,'Debt Assumptions'!$C$12:$H$41,6),"$0")</f>
        <v>0</v>
      </c>
      <c r="G37" s="42">
        <f>-IF(G4='Overview &amp; Sensitivities'!$I$10,VLOOKUP('Investment Cash Flow'!G3,'Debt Assumptions'!$C$12:$H$41,6),"$0")</f>
        <v>0</v>
      </c>
      <c r="H37" s="42">
        <f>-IF(H4='Overview &amp; Sensitivities'!$I$10,VLOOKUP('Investment Cash Flow'!H3,'Debt Assumptions'!$C$12:$H$41,6),"$0")</f>
        <v>0</v>
      </c>
      <c r="I37" s="42">
        <f>-IF(I4='Overview &amp; Sensitivities'!$I$10,VLOOKUP('Investment Cash Flow'!I3,'Debt Assumptions'!$C$12:$H$41,6),"$0")</f>
        <v>0</v>
      </c>
      <c r="J37" s="42">
        <f>-IF(J4='Overview &amp; Sensitivities'!$I$10,VLOOKUP('Investment Cash Flow'!J3,'Debt Assumptions'!$C$12:$H$41,6),"$0")</f>
        <v>0</v>
      </c>
      <c r="K37" s="42">
        <f>-IF(K4='Overview &amp; Sensitivities'!$I$10,VLOOKUP('Investment Cash Flow'!K3,'Debt Assumptions'!$C$12:$H$41,6),"$0")</f>
        <v>0</v>
      </c>
      <c r="L37" s="42">
        <f>-IF(L4='Overview &amp; Sensitivities'!$I$10,VLOOKUP('Investment Cash Flow'!L3,'Debt Assumptions'!$C$12:$H$41,6),"$0")</f>
        <v>0</v>
      </c>
      <c r="M37" s="42">
        <f>-IF(M4='Overview &amp; Sensitivities'!$I$10,VLOOKUP('Investment Cash Flow'!M3,'Debt Assumptions'!$C$12:$H$41,6),"$0")</f>
        <v>0</v>
      </c>
      <c r="N37" s="42">
        <f>-IF(N4='Overview &amp; Sensitivities'!$I$10,VLOOKUP('Investment Cash Flow'!N3,'Debt Assumptions'!$C$12:$H$41,6),"$0")</f>
        <v>-1427456.903750865</v>
      </c>
    </row>
    <row r="38" spans="3:14" s="1" customFormat="1" x14ac:dyDescent="0.3">
      <c r="D38" s="29"/>
      <c r="E38" s="30"/>
      <c r="F38" s="30"/>
      <c r="G38" s="30"/>
      <c r="H38" s="30"/>
      <c r="I38" s="30"/>
      <c r="J38" s="30"/>
      <c r="K38" s="30"/>
      <c r="L38" s="30"/>
      <c r="M38" s="30"/>
      <c r="N38" s="30"/>
    </row>
    <row r="39" spans="3:14" s="1" customFormat="1" x14ac:dyDescent="0.3">
      <c r="C39" s="38" t="s">
        <v>50</v>
      </c>
      <c r="D39" s="39">
        <f>+D31+D34+D37</f>
        <v>-990000</v>
      </c>
      <c r="E39" s="40">
        <f>+E31+E34+E37</f>
        <v>290262.61705088976</v>
      </c>
      <c r="F39" s="40">
        <f t="shared" ref="F39:N39" si="8">+F31+F34+F37</f>
        <v>290262.61705088976</v>
      </c>
      <c r="G39" s="40">
        <f t="shared" si="8"/>
        <v>290262.61705088976</v>
      </c>
      <c r="H39" s="40">
        <f t="shared" si="8"/>
        <v>290262.61705088976</v>
      </c>
      <c r="I39" s="40">
        <f t="shared" si="8"/>
        <v>290262.61705088976</v>
      </c>
      <c r="J39" s="40">
        <f t="shared" si="8"/>
        <v>290262.61705088976</v>
      </c>
      <c r="K39" s="40">
        <f t="shared" si="8"/>
        <v>290262.61705088976</v>
      </c>
      <c r="L39" s="40">
        <f t="shared" si="8"/>
        <v>290262.61705088976</v>
      </c>
      <c r="M39" s="40">
        <f t="shared" si="8"/>
        <v>290262.61705088976</v>
      </c>
      <c r="N39" s="40">
        <f t="shared" si="8"/>
        <v>7283858.3448789716</v>
      </c>
    </row>
    <row r="40" spans="3:14" s="1" customFormat="1" x14ac:dyDescent="0.3">
      <c r="C40" s="43" t="s">
        <v>51</v>
      </c>
      <c r="D40" s="47">
        <f>+D39</f>
        <v>-990000</v>
      </c>
      <c r="E40" s="45">
        <f>+D40+E39</f>
        <v>-699737.38294911024</v>
      </c>
      <c r="F40" s="45">
        <f t="shared" ref="F40:N40" si="9">+E40+F39</f>
        <v>-409474.76589822047</v>
      </c>
      <c r="G40" s="45">
        <f t="shared" si="9"/>
        <v>-119212.14884733071</v>
      </c>
      <c r="H40" s="45">
        <f t="shared" si="9"/>
        <v>171050.46820355905</v>
      </c>
      <c r="I40" s="45">
        <f t="shared" si="9"/>
        <v>461313.08525444882</v>
      </c>
      <c r="J40" s="45">
        <f t="shared" si="9"/>
        <v>751575.70230533858</v>
      </c>
      <c r="K40" s="45">
        <f t="shared" si="9"/>
        <v>1041838.3193562283</v>
      </c>
      <c r="L40" s="45">
        <f t="shared" si="9"/>
        <v>1332100.9364071181</v>
      </c>
      <c r="M40" s="45">
        <f t="shared" si="9"/>
        <v>1622363.553458008</v>
      </c>
      <c r="N40" s="45">
        <f t="shared" si="9"/>
        <v>8906221.8983369805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Q46"/>
  <sheetViews>
    <sheetView topLeftCell="D2" zoomScale="80" zoomScaleNormal="80" workbookViewId="0">
      <selection activeCell="D2" sqref="A1:XFD1048576"/>
    </sheetView>
  </sheetViews>
  <sheetFormatPr defaultRowHeight="13" x14ac:dyDescent="0.3"/>
  <cols>
    <col min="1" max="2" width="1.6328125" style="1" customWidth="1"/>
    <col min="3" max="15" width="16.36328125" style="1" customWidth="1"/>
    <col min="16" max="16384" width="8.7265625" style="1"/>
  </cols>
  <sheetData>
    <row r="2" spans="3:15" s="1" customFormat="1" ht="13.5" thickBot="1" x14ac:dyDescent="0.35"/>
    <row r="3" spans="3:15" s="1" customFormat="1" x14ac:dyDescent="0.3">
      <c r="C3" s="2" t="s">
        <v>58</v>
      </c>
      <c r="D3" s="3"/>
      <c r="E3" s="4"/>
      <c r="G3" s="2" t="s">
        <v>59</v>
      </c>
      <c r="H3" s="3"/>
      <c r="I3" s="3"/>
      <c r="J3" s="4"/>
      <c r="L3" s="2" t="s">
        <v>73</v>
      </c>
      <c r="M3" s="3"/>
      <c r="N3" s="4"/>
    </row>
    <row r="4" spans="3:15" s="1" customFormat="1" x14ac:dyDescent="0.3">
      <c r="C4" s="5" t="s">
        <v>57</v>
      </c>
      <c r="D4" s="6"/>
      <c r="E4" s="15">
        <v>0.1</v>
      </c>
      <c r="G4" s="48"/>
      <c r="H4" s="49" t="s">
        <v>62</v>
      </c>
      <c r="I4" s="49" t="s">
        <v>63</v>
      </c>
      <c r="J4" s="50" t="s">
        <v>64</v>
      </c>
      <c r="L4" s="5" t="s">
        <v>74</v>
      </c>
      <c r="M4" s="6"/>
      <c r="N4" s="16">
        <f>+SUM(E12:O12)</f>
        <v>8906221.8983369805</v>
      </c>
    </row>
    <row r="5" spans="3:15" s="1" customFormat="1" x14ac:dyDescent="0.3">
      <c r="C5" s="5" t="s">
        <v>56</v>
      </c>
      <c r="D5" s="6"/>
      <c r="E5" s="51">
        <f>1-E4</f>
        <v>0.9</v>
      </c>
      <c r="G5" s="5" t="s">
        <v>60</v>
      </c>
      <c r="H5" s="52">
        <v>0.1</v>
      </c>
      <c r="I5" s="53">
        <f>1-H5</f>
        <v>0.9</v>
      </c>
      <c r="J5" s="51">
        <v>0.08</v>
      </c>
      <c r="L5" s="5" t="s">
        <v>87</v>
      </c>
      <c r="M5" s="6"/>
      <c r="N5" s="16">
        <f>+SUM(E39:O39)+SUM(E44:O44)</f>
        <v>8906221.8983369786</v>
      </c>
    </row>
    <row r="6" spans="3:15" s="1" customFormat="1" ht="13.5" thickBot="1" x14ac:dyDescent="0.35">
      <c r="C6" s="54" t="s">
        <v>55</v>
      </c>
      <c r="D6" s="55"/>
      <c r="E6" s="56">
        <f>+E5+E4</f>
        <v>1</v>
      </c>
      <c r="G6" s="9" t="s">
        <v>61</v>
      </c>
      <c r="H6" s="57">
        <v>0.25</v>
      </c>
      <c r="I6" s="58">
        <f>1-H6</f>
        <v>0.75</v>
      </c>
      <c r="J6" s="59"/>
      <c r="L6" s="54" t="s">
        <v>75</v>
      </c>
      <c r="M6" s="55"/>
      <c r="N6" s="60" t="str">
        <f>+IF(N5=N4,"Pass","Fail")</f>
        <v>Pass</v>
      </c>
    </row>
    <row r="9" spans="3:15" s="1" customFormat="1" x14ac:dyDescent="0.3">
      <c r="E9" s="61" t="str">
        <f>+'Investment Cash Flow'!D3</f>
        <v>Initial</v>
      </c>
      <c r="F9" s="25">
        <f>+'Investment Cash Flow'!E3</f>
        <v>1</v>
      </c>
      <c r="G9" s="25">
        <f>+'Investment Cash Flow'!F3</f>
        <v>2</v>
      </c>
      <c r="H9" s="25">
        <f>+'Investment Cash Flow'!G3</f>
        <v>3</v>
      </c>
      <c r="I9" s="25">
        <f>+'Investment Cash Flow'!H3</f>
        <v>4</v>
      </c>
      <c r="J9" s="25">
        <f>+'Investment Cash Flow'!I3</f>
        <v>5</v>
      </c>
      <c r="K9" s="25">
        <f>+'Investment Cash Flow'!J3</f>
        <v>6</v>
      </c>
      <c r="L9" s="25">
        <f>+'Investment Cash Flow'!K3</f>
        <v>7</v>
      </c>
      <c r="M9" s="25">
        <f>+'Investment Cash Flow'!L3</f>
        <v>8</v>
      </c>
      <c r="N9" s="25">
        <f>+'Investment Cash Flow'!M3</f>
        <v>9</v>
      </c>
      <c r="O9" s="25">
        <f>+'Investment Cash Flow'!N3</f>
        <v>10</v>
      </c>
    </row>
    <row r="10" spans="3:15" s="1" customFormat="1" x14ac:dyDescent="0.3">
      <c r="E10" s="6"/>
      <c r="F10" s="27">
        <f>+'Investment Cash Flow'!E4</f>
        <v>44530</v>
      </c>
      <c r="G10" s="27">
        <f>+'Investment Cash Flow'!F4</f>
        <v>44895</v>
      </c>
      <c r="H10" s="27">
        <f>+'Investment Cash Flow'!G4</f>
        <v>45260</v>
      </c>
      <c r="I10" s="27">
        <f>+'Investment Cash Flow'!H4</f>
        <v>45626</v>
      </c>
      <c r="J10" s="27">
        <f>+'Investment Cash Flow'!I4</f>
        <v>45991</v>
      </c>
      <c r="K10" s="27">
        <f>+'Investment Cash Flow'!J4</f>
        <v>46356</v>
      </c>
      <c r="L10" s="27">
        <f>+'Investment Cash Flow'!K4</f>
        <v>46721</v>
      </c>
      <c r="M10" s="27">
        <f>+'Investment Cash Flow'!L4</f>
        <v>47087</v>
      </c>
      <c r="N10" s="27">
        <f>+'Investment Cash Flow'!M4</f>
        <v>47452</v>
      </c>
      <c r="O10" s="27">
        <f>+'Investment Cash Flow'!N4</f>
        <v>47817</v>
      </c>
    </row>
    <row r="11" spans="3:15" s="1" customFormat="1" x14ac:dyDescent="0.3">
      <c r="E11" s="6"/>
      <c r="F11" s="27"/>
      <c r="G11" s="27"/>
      <c r="H11" s="27"/>
      <c r="I11" s="27"/>
      <c r="J11" s="27"/>
      <c r="K11" s="27"/>
      <c r="L11" s="27"/>
      <c r="M11" s="27"/>
      <c r="N11" s="27"/>
      <c r="O11" s="27"/>
    </row>
    <row r="12" spans="3:15" s="1" customFormat="1" x14ac:dyDescent="0.3">
      <c r="C12" s="62" t="s">
        <v>65</v>
      </c>
      <c r="D12" s="63"/>
      <c r="E12" s="64">
        <f>+'Investment Cash Flow'!D39</f>
        <v>-990000</v>
      </c>
      <c r="F12" s="64">
        <f>+'Investment Cash Flow'!E39</f>
        <v>290262.61705088976</v>
      </c>
      <c r="G12" s="64">
        <f>+'Investment Cash Flow'!F39</f>
        <v>290262.61705088976</v>
      </c>
      <c r="H12" s="64">
        <f>+'Investment Cash Flow'!G39</f>
        <v>290262.61705088976</v>
      </c>
      <c r="I12" s="64">
        <f>+'Investment Cash Flow'!H39</f>
        <v>290262.61705088976</v>
      </c>
      <c r="J12" s="64">
        <f>+'Investment Cash Flow'!I39</f>
        <v>290262.61705088976</v>
      </c>
      <c r="K12" s="64">
        <f>+'Investment Cash Flow'!J39</f>
        <v>290262.61705088976</v>
      </c>
      <c r="L12" s="64">
        <f>+'Investment Cash Flow'!K39</f>
        <v>290262.61705088976</v>
      </c>
      <c r="M12" s="64">
        <f>+'Investment Cash Flow'!L39</f>
        <v>290262.61705088976</v>
      </c>
      <c r="N12" s="64">
        <f>+'Investment Cash Flow'!M39</f>
        <v>290262.61705088976</v>
      </c>
      <c r="O12" s="65">
        <f>+'Investment Cash Flow'!N39</f>
        <v>7283858.3448789716</v>
      </c>
    </row>
    <row r="13" spans="3:15" s="1" customFormat="1" x14ac:dyDescent="0.3">
      <c r="C13" s="6"/>
      <c r="D13" s="6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</row>
    <row r="14" spans="3:15" s="1" customFormat="1" x14ac:dyDescent="0.3">
      <c r="C14" s="67" t="s">
        <v>77</v>
      </c>
      <c r="D14" s="31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</row>
    <row r="15" spans="3:15" s="1" customFormat="1" x14ac:dyDescent="0.3">
      <c r="C15" s="6" t="s">
        <v>76</v>
      </c>
      <c r="D15" s="68">
        <f>+IRR(E12:O12)</f>
        <v>0.38615938215663492</v>
      </c>
      <c r="E15" s="68"/>
      <c r="F15" s="66"/>
      <c r="G15" s="66"/>
      <c r="H15" s="66"/>
      <c r="I15" s="66"/>
      <c r="J15" s="66"/>
      <c r="K15" s="66"/>
      <c r="L15" s="66"/>
      <c r="M15" s="66"/>
      <c r="N15" s="66"/>
      <c r="O15" s="66"/>
    </row>
    <row r="16" spans="3:15" s="1" customFormat="1" x14ac:dyDescent="0.3">
      <c r="C16" s="1" t="s">
        <v>17</v>
      </c>
      <c r="D16" s="46">
        <f>+SUMIF(E12:O12,"&gt;0")/-(SUMIF(E12:O12,"&lt;0"))</f>
        <v>9.9961837356939203</v>
      </c>
    </row>
    <row r="18" spans="3:17" s="1" customFormat="1" x14ac:dyDescent="0.3">
      <c r="C18" s="67" t="s">
        <v>66</v>
      </c>
      <c r="D18" s="31"/>
      <c r="E18" s="69" t="str">
        <f>+E9</f>
        <v>Initial</v>
      </c>
      <c r="F18" s="70">
        <f t="shared" ref="F18:O18" si="0">+F9</f>
        <v>1</v>
      </c>
      <c r="G18" s="70">
        <f t="shared" si="0"/>
        <v>2</v>
      </c>
      <c r="H18" s="70">
        <f t="shared" si="0"/>
        <v>3</v>
      </c>
      <c r="I18" s="70">
        <f t="shared" si="0"/>
        <v>4</v>
      </c>
      <c r="J18" s="70">
        <f t="shared" si="0"/>
        <v>5</v>
      </c>
      <c r="K18" s="70">
        <f t="shared" si="0"/>
        <v>6</v>
      </c>
      <c r="L18" s="70">
        <f t="shared" si="0"/>
        <v>7</v>
      </c>
      <c r="M18" s="70">
        <f t="shared" si="0"/>
        <v>8</v>
      </c>
      <c r="N18" s="70">
        <f t="shared" si="0"/>
        <v>9</v>
      </c>
      <c r="O18" s="70">
        <f t="shared" si="0"/>
        <v>10</v>
      </c>
    </row>
    <row r="19" spans="3:17" s="1" customFormat="1" x14ac:dyDescent="0.3">
      <c r="C19" s="1" t="s">
        <v>67</v>
      </c>
      <c r="E19" s="30">
        <f>+D23</f>
        <v>0</v>
      </c>
      <c r="F19" s="30">
        <f t="shared" ref="F19:O19" si="1">+E23</f>
        <v>891000</v>
      </c>
      <c r="G19" s="30">
        <f t="shared" si="1"/>
        <v>701043.64465419925</v>
      </c>
      <c r="H19" s="30">
        <f t="shared" si="1"/>
        <v>495890.78088073444</v>
      </c>
      <c r="I19" s="30">
        <f t="shared" si="1"/>
        <v>274325.68800539244</v>
      </c>
      <c r="J19" s="30">
        <f t="shared" si="1"/>
        <v>35035.387700023042</v>
      </c>
      <c r="K19" s="30">
        <f t="shared" si="1"/>
        <v>0</v>
      </c>
      <c r="L19" s="30">
        <f t="shared" si="1"/>
        <v>0</v>
      </c>
      <c r="M19" s="30">
        <f t="shared" si="1"/>
        <v>0</v>
      </c>
      <c r="N19" s="30">
        <f t="shared" si="1"/>
        <v>0</v>
      </c>
      <c r="O19" s="30">
        <f t="shared" si="1"/>
        <v>0</v>
      </c>
    </row>
    <row r="20" spans="3:17" s="1" customFormat="1" x14ac:dyDescent="0.3">
      <c r="C20" s="1" t="s">
        <v>81</v>
      </c>
      <c r="D20" s="71">
        <f>+J5</f>
        <v>0.08</v>
      </c>
      <c r="E20" s="30">
        <f>+E19*$D20</f>
        <v>0</v>
      </c>
      <c r="F20" s="30">
        <f t="shared" ref="F20:O20" si="2">+F19*$D20</f>
        <v>71280</v>
      </c>
      <c r="G20" s="30">
        <f t="shared" si="2"/>
        <v>56083.491572335945</v>
      </c>
      <c r="H20" s="30">
        <f t="shared" si="2"/>
        <v>39671.262470458758</v>
      </c>
      <c r="I20" s="30">
        <f t="shared" si="2"/>
        <v>21946.055040431394</v>
      </c>
      <c r="J20" s="30">
        <f t="shared" si="2"/>
        <v>2802.8310160018436</v>
      </c>
      <c r="K20" s="30">
        <f t="shared" si="2"/>
        <v>0</v>
      </c>
      <c r="L20" s="30">
        <f t="shared" si="2"/>
        <v>0</v>
      </c>
      <c r="M20" s="30">
        <f t="shared" si="2"/>
        <v>0</v>
      </c>
      <c r="N20" s="30">
        <f t="shared" si="2"/>
        <v>0</v>
      </c>
      <c r="O20" s="30">
        <f t="shared" si="2"/>
        <v>0</v>
      </c>
    </row>
    <row r="21" spans="3:17" s="1" customFormat="1" x14ac:dyDescent="0.3">
      <c r="C21" s="1" t="s">
        <v>79</v>
      </c>
      <c r="D21" s="71">
        <f>+I5</f>
        <v>0.9</v>
      </c>
      <c r="E21" s="30">
        <f>-MIN(E12,0)*$D21</f>
        <v>891000</v>
      </c>
      <c r="F21" s="30">
        <f t="shared" ref="F21:O21" si="3">-MIN(F12,0)*$D21</f>
        <v>0</v>
      </c>
      <c r="G21" s="30">
        <f t="shared" si="3"/>
        <v>0</v>
      </c>
      <c r="H21" s="30">
        <f t="shared" si="3"/>
        <v>0</v>
      </c>
      <c r="I21" s="30">
        <f t="shared" si="3"/>
        <v>0</v>
      </c>
      <c r="J21" s="30">
        <f t="shared" si="3"/>
        <v>0</v>
      </c>
      <c r="K21" s="30">
        <f t="shared" si="3"/>
        <v>0</v>
      </c>
      <c r="L21" s="30">
        <f t="shared" si="3"/>
        <v>0</v>
      </c>
      <c r="M21" s="30">
        <f t="shared" si="3"/>
        <v>0</v>
      </c>
      <c r="N21" s="30">
        <f t="shared" si="3"/>
        <v>0</v>
      </c>
      <c r="O21" s="30">
        <f t="shared" si="3"/>
        <v>0</v>
      </c>
    </row>
    <row r="22" spans="3:17" s="1" customFormat="1" x14ac:dyDescent="0.3">
      <c r="C22" s="1" t="s">
        <v>80</v>
      </c>
      <c r="D22" s="71">
        <f>+I5</f>
        <v>0.9</v>
      </c>
      <c r="E22" s="30">
        <f>+MIN(MAX(E12,0)*$D22,E19+E20)</f>
        <v>0</v>
      </c>
      <c r="F22" s="30">
        <f t="shared" ref="F22:O22" si="4">+MIN(MAX(F12,0)*$D22,F19+F20)</f>
        <v>261236.35534580078</v>
      </c>
      <c r="G22" s="30">
        <f t="shared" si="4"/>
        <v>261236.35534580078</v>
      </c>
      <c r="H22" s="30">
        <f t="shared" si="4"/>
        <v>261236.35534580078</v>
      </c>
      <c r="I22" s="30">
        <f t="shared" si="4"/>
        <v>261236.35534580078</v>
      </c>
      <c r="J22" s="30">
        <f t="shared" si="4"/>
        <v>37838.218716024887</v>
      </c>
      <c r="K22" s="30">
        <f t="shared" si="4"/>
        <v>0</v>
      </c>
      <c r="L22" s="30">
        <f t="shared" si="4"/>
        <v>0</v>
      </c>
      <c r="M22" s="30">
        <f t="shared" si="4"/>
        <v>0</v>
      </c>
      <c r="N22" s="30">
        <f t="shared" si="4"/>
        <v>0</v>
      </c>
      <c r="O22" s="30">
        <f t="shared" si="4"/>
        <v>0</v>
      </c>
      <c r="Q22" s="1" t="s">
        <v>83</v>
      </c>
    </row>
    <row r="23" spans="3:17" s="1" customFormat="1" x14ac:dyDescent="0.3">
      <c r="C23" s="1" t="s">
        <v>78</v>
      </c>
      <c r="E23" s="30">
        <f>+E19+E20+E21-E22</f>
        <v>891000</v>
      </c>
      <c r="F23" s="30">
        <f t="shared" ref="F23:O23" si="5">+F19+F20+F21-F22</f>
        <v>701043.64465419925</v>
      </c>
      <c r="G23" s="30">
        <f t="shared" si="5"/>
        <v>495890.78088073444</v>
      </c>
      <c r="H23" s="30">
        <f t="shared" si="5"/>
        <v>274325.68800539244</v>
      </c>
      <c r="I23" s="30">
        <f t="shared" si="5"/>
        <v>35035.387700023042</v>
      </c>
      <c r="J23" s="30">
        <f t="shared" si="5"/>
        <v>0</v>
      </c>
      <c r="K23" s="30">
        <f t="shared" si="5"/>
        <v>0</v>
      </c>
      <c r="L23" s="30">
        <f t="shared" si="5"/>
        <v>0</v>
      </c>
      <c r="M23" s="30">
        <f t="shared" si="5"/>
        <v>0</v>
      </c>
      <c r="N23" s="30">
        <f t="shared" si="5"/>
        <v>0</v>
      </c>
      <c r="O23" s="30">
        <f t="shared" si="5"/>
        <v>0</v>
      </c>
      <c r="Q23" s="1" t="s">
        <v>84</v>
      </c>
    </row>
    <row r="24" spans="3:17" s="1" customFormat="1" x14ac:dyDescent="0.3">
      <c r="C24" s="43" t="s">
        <v>72</v>
      </c>
      <c r="D24" s="72">
        <f>+IRR(E24:O24)</f>
        <v>7.9999999999978533E-2</v>
      </c>
      <c r="E24" s="45">
        <f>-E21+E22</f>
        <v>-891000</v>
      </c>
      <c r="F24" s="45">
        <f t="shared" ref="F24:O24" si="6">-F21+F22</f>
        <v>261236.35534580078</v>
      </c>
      <c r="G24" s="45">
        <f t="shared" si="6"/>
        <v>261236.35534580078</v>
      </c>
      <c r="H24" s="45">
        <f t="shared" si="6"/>
        <v>261236.35534580078</v>
      </c>
      <c r="I24" s="45">
        <f t="shared" si="6"/>
        <v>261236.35534580078</v>
      </c>
      <c r="J24" s="45">
        <f t="shared" si="6"/>
        <v>37838.218716024887</v>
      </c>
      <c r="K24" s="45">
        <f t="shared" si="6"/>
        <v>0</v>
      </c>
      <c r="L24" s="45">
        <f t="shared" si="6"/>
        <v>0</v>
      </c>
      <c r="M24" s="45">
        <f t="shared" si="6"/>
        <v>0</v>
      </c>
      <c r="N24" s="45">
        <f t="shared" si="6"/>
        <v>0</v>
      </c>
      <c r="O24" s="45">
        <f t="shared" si="6"/>
        <v>0</v>
      </c>
    </row>
    <row r="26" spans="3:17" s="1" customFormat="1" x14ac:dyDescent="0.3">
      <c r="C26" s="1" t="s">
        <v>69</v>
      </c>
      <c r="D26" s="71">
        <f>+H5</f>
        <v>0.1</v>
      </c>
      <c r="E26" s="30">
        <f>-MIN(E12,0)*$D26</f>
        <v>99000</v>
      </c>
      <c r="F26" s="30">
        <f t="shared" ref="F26:O26" si="7">-MIN(F12,0)*$D26</f>
        <v>0</v>
      </c>
      <c r="G26" s="30">
        <f t="shared" si="7"/>
        <v>0</v>
      </c>
      <c r="H26" s="30">
        <f t="shared" si="7"/>
        <v>0</v>
      </c>
      <c r="I26" s="30">
        <f t="shared" si="7"/>
        <v>0</v>
      </c>
      <c r="J26" s="30">
        <f t="shared" si="7"/>
        <v>0</v>
      </c>
      <c r="K26" s="30">
        <f t="shared" si="7"/>
        <v>0</v>
      </c>
      <c r="L26" s="30">
        <f t="shared" si="7"/>
        <v>0</v>
      </c>
      <c r="M26" s="30">
        <f t="shared" si="7"/>
        <v>0</v>
      </c>
      <c r="N26" s="30">
        <f t="shared" si="7"/>
        <v>0</v>
      </c>
      <c r="O26" s="30">
        <f t="shared" si="7"/>
        <v>0</v>
      </c>
    </row>
    <row r="27" spans="3:17" s="1" customFormat="1" x14ac:dyDescent="0.3">
      <c r="C27" s="1" t="s">
        <v>70</v>
      </c>
      <c r="D27" s="71">
        <f>+H5</f>
        <v>0.1</v>
      </c>
      <c r="E27" s="30">
        <f>+(E22/$D22)*$D27</f>
        <v>0</v>
      </c>
      <c r="F27" s="30">
        <f t="shared" ref="F27:O27" si="8">+(F22/$D22)*$D27</f>
        <v>29026.261705088978</v>
      </c>
      <c r="G27" s="30">
        <f t="shared" si="8"/>
        <v>29026.261705088978</v>
      </c>
      <c r="H27" s="30">
        <f t="shared" si="8"/>
        <v>29026.261705088978</v>
      </c>
      <c r="I27" s="30">
        <f t="shared" si="8"/>
        <v>29026.261705088978</v>
      </c>
      <c r="J27" s="30">
        <f t="shared" si="8"/>
        <v>4204.2465240027659</v>
      </c>
      <c r="K27" s="30">
        <f t="shared" si="8"/>
        <v>0</v>
      </c>
      <c r="L27" s="30">
        <f t="shared" si="8"/>
        <v>0</v>
      </c>
      <c r="M27" s="30">
        <f t="shared" si="8"/>
        <v>0</v>
      </c>
      <c r="N27" s="30">
        <f t="shared" si="8"/>
        <v>0</v>
      </c>
      <c r="O27" s="30">
        <f t="shared" si="8"/>
        <v>0</v>
      </c>
    </row>
    <row r="28" spans="3:17" s="1" customFormat="1" x14ac:dyDescent="0.3">
      <c r="C28" s="43" t="s">
        <v>72</v>
      </c>
      <c r="D28" s="73">
        <f>+IRR(E28:O28)</f>
        <v>7.9999999999978755E-2</v>
      </c>
      <c r="E28" s="45">
        <f>+-E26+E27</f>
        <v>-99000</v>
      </c>
      <c r="F28" s="45">
        <f t="shared" ref="F28:O28" si="9">+-F26+F27</f>
        <v>29026.261705088978</v>
      </c>
      <c r="G28" s="45">
        <f t="shared" si="9"/>
        <v>29026.261705088978</v>
      </c>
      <c r="H28" s="45">
        <f t="shared" si="9"/>
        <v>29026.261705088978</v>
      </c>
      <c r="I28" s="45">
        <f t="shared" si="9"/>
        <v>29026.261705088978</v>
      </c>
      <c r="J28" s="45">
        <f t="shared" si="9"/>
        <v>4204.2465240027659</v>
      </c>
      <c r="K28" s="45">
        <f t="shared" si="9"/>
        <v>0</v>
      </c>
      <c r="L28" s="45">
        <f t="shared" si="9"/>
        <v>0</v>
      </c>
      <c r="M28" s="45">
        <f t="shared" si="9"/>
        <v>0</v>
      </c>
      <c r="N28" s="45">
        <f t="shared" si="9"/>
        <v>0</v>
      </c>
      <c r="O28" s="45">
        <f t="shared" si="9"/>
        <v>0</v>
      </c>
    </row>
    <row r="30" spans="3:17" s="1" customFormat="1" x14ac:dyDescent="0.3">
      <c r="C30" s="1" t="s">
        <v>71</v>
      </c>
      <c r="E30" s="30">
        <f>+E27+E22</f>
        <v>0</v>
      </c>
      <c r="F30" s="30">
        <f t="shared" ref="F30:O30" si="10">+F27+F22</f>
        <v>290262.61705088976</v>
      </c>
      <c r="G30" s="30">
        <f t="shared" si="10"/>
        <v>290262.61705088976</v>
      </c>
      <c r="H30" s="30">
        <f t="shared" si="10"/>
        <v>290262.61705088976</v>
      </c>
      <c r="I30" s="30">
        <f t="shared" si="10"/>
        <v>290262.61705088976</v>
      </c>
      <c r="J30" s="30">
        <f t="shared" si="10"/>
        <v>42042.465240027654</v>
      </c>
      <c r="K30" s="30">
        <f t="shared" si="10"/>
        <v>0</v>
      </c>
      <c r="L30" s="30">
        <f t="shared" si="10"/>
        <v>0</v>
      </c>
      <c r="M30" s="30">
        <f t="shared" si="10"/>
        <v>0</v>
      </c>
      <c r="N30" s="30">
        <f t="shared" si="10"/>
        <v>0</v>
      </c>
      <c r="O30" s="30">
        <f t="shared" si="10"/>
        <v>0</v>
      </c>
    </row>
    <row r="31" spans="3:17" s="1" customFormat="1" x14ac:dyDescent="0.3">
      <c r="C31" s="1" t="s">
        <v>82</v>
      </c>
      <c r="E31" s="30">
        <f>+MAX(E12,0)-E30</f>
        <v>0</v>
      </c>
      <c r="F31" s="30">
        <f t="shared" ref="F31:O31" si="11">+MAX(F12,0)-F30</f>
        <v>0</v>
      </c>
      <c r="G31" s="30">
        <f t="shared" si="11"/>
        <v>0</v>
      </c>
      <c r="H31" s="30">
        <f t="shared" si="11"/>
        <v>0</v>
      </c>
      <c r="I31" s="30">
        <f t="shared" si="11"/>
        <v>0</v>
      </c>
      <c r="J31" s="30">
        <f t="shared" si="11"/>
        <v>248220.15181086212</v>
      </c>
      <c r="K31" s="30">
        <f t="shared" si="11"/>
        <v>290262.61705088976</v>
      </c>
      <c r="L31" s="30">
        <f t="shared" si="11"/>
        <v>290262.61705088976</v>
      </c>
      <c r="M31" s="30">
        <f t="shared" si="11"/>
        <v>290262.61705088976</v>
      </c>
      <c r="N31" s="30">
        <f t="shared" si="11"/>
        <v>290262.61705088976</v>
      </c>
      <c r="O31" s="30">
        <f t="shared" si="11"/>
        <v>7283858.3448789716</v>
      </c>
    </row>
    <row r="33" spans="3:15" s="1" customFormat="1" x14ac:dyDescent="0.3">
      <c r="C33" s="67" t="s">
        <v>61</v>
      </c>
      <c r="D33" s="31"/>
      <c r="E33" s="69" t="str">
        <f>+E18</f>
        <v>Initial</v>
      </c>
      <c r="F33" s="74">
        <f t="shared" ref="F33:O33" si="12">+F18</f>
        <v>1</v>
      </c>
      <c r="G33" s="74">
        <f t="shared" si="12"/>
        <v>2</v>
      </c>
      <c r="H33" s="74">
        <f t="shared" si="12"/>
        <v>3</v>
      </c>
      <c r="I33" s="74">
        <f t="shared" si="12"/>
        <v>4</v>
      </c>
      <c r="J33" s="74">
        <f t="shared" si="12"/>
        <v>5</v>
      </c>
      <c r="K33" s="74">
        <f t="shared" si="12"/>
        <v>6</v>
      </c>
      <c r="L33" s="74">
        <f t="shared" si="12"/>
        <v>7</v>
      </c>
      <c r="M33" s="74">
        <f t="shared" si="12"/>
        <v>8</v>
      </c>
      <c r="N33" s="74">
        <f t="shared" si="12"/>
        <v>9</v>
      </c>
      <c r="O33" s="74">
        <f t="shared" si="12"/>
        <v>10</v>
      </c>
    </row>
    <row r="34" spans="3:15" s="1" customFormat="1" x14ac:dyDescent="0.3">
      <c r="C34" s="1" t="s">
        <v>80</v>
      </c>
      <c r="D34" s="71">
        <f>+I6</f>
        <v>0.75</v>
      </c>
      <c r="E34" s="30">
        <f>+E31*$D34</f>
        <v>0</v>
      </c>
      <c r="F34" s="30">
        <f t="shared" ref="F34:O34" si="13">+F31*$D34</f>
        <v>0</v>
      </c>
      <c r="G34" s="30">
        <f t="shared" si="13"/>
        <v>0</v>
      </c>
      <c r="H34" s="30">
        <f t="shared" si="13"/>
        <v>0</v>
      </c>
      <c r="I34" s="30">
        <f t="shared" si="13"/>
        <v>0</v>
      </c>
      <c r="J34" s="30">
        <f t="shared" si="13"/>
        <v>186165.11385814659</v>
      </c>
      <c r="K34" s="30">
        <f t="shared" si="13"/>
        <v>217696.96278816732</v>
      </c>
      <c r="L34" s="30">
        <f t="shared" si="13"/>
        <v>217696.96278816732</v>
      </c>
      <c r="M34" s="30">
        <f t="shared" si="13"/>
        <v>217696.96278816732</v>
      </c>
      <c r="N34" s="30">
        <f t="shared" si="13"/>
        <v>217696.96278816732</v>
      </c>
      <c r="O34" s="30">
        <f t="shared" si="13"/>
        <v>5462893.7586592287</v>
      </c>
    </row>
    <row r="35" spans="3:15" s="1" customFormat="1" x14ac:dyDescent="0.3">
      <c r="C35" s="1" t="s">
        <v>85</v>
      </c>
      <c r="D35" s="71">
        <f>+H6</f>
        <v>0.25</v>
      </c>
      <c r="E35" s="30">
        <f>$D35*E31</f>
        <v>0</v>
      </c>
      <c r="F35" s="30">
        <f t="shared" ref="F35:O35" si="14">$D35*F31</f>
        <v>0</v>
      </c>
      <c r="G35" s="30">
        <f t="shared" si="14"/>
        <v>0</v>
      </c>
      <c r="H35" s="30">
        <f t="shared" si="14"/>
        <v>0</v>
      </c>
      <c r="I35" s="30">
        <f t="shared" si="14"/>
        <v>0</v>
      </c>
      <c r="J35" s="30">
        <f t="shared" si="14"/>
        <v>62055.037952715531</v>
      </c>
      <c r="K35" s="30">
        <f t="shared" si="14"/>
        <v>72565.654262722441</v>
      </c>
      <c r="L35" s="30">
        <f t="shared" si="14"/>
        <v>72565.654262722441</v>
      </c>
      <c r="M35" s="30">
        <f t="shared" si="14"/>
        <v>72565.654262722441</v>
      </c>
      <c r="N35" s="30">
        <f t="shared" si="14"/>
        <v>72565.654262722441</v>
      </c>
      <c r="O35" s="30">
        <f t="shared" si="14"/>
        <v>1820964.5862197429</v>
      </c>
    </row>
    <row r="36" spans="3:15" s="1" customFormat="1" x14ac:dyDescent="0.3">
      <c r="C36" s="1" t="s">
        <v>71</v>
      </c>
      <c r="E36" s="30">
        <f>+E35+E34</f>
        <v>0</v>
      </c>
      <c r="F36" s="30">
        <f t="shared" ref="F36:O36" si="15">+F35+F34</f>
        <v>0</v>
      </c>
      <c r="G36" s="30">
        <f t="shared" si="15"/>
        <v>0</v>
      </c>
      <c r="H36" s="30">
        <f t="shared" si="15"/>
        <v>0</v>
      </c>
      <c r="I36" s="30">
        <f t="shared" si="15"/>
        <v>0</v>
      </c>
      <c r="J36" s="30">
        <f t="shared" si="15"/>
        <v>248220.15181086212</v>
      </c>
      <c r="K36" s="30">
        <f t="shared" si="15"/>
        <v>290262.61705088976</v>
      </c>
      <c r="L36" s="30">
        <f t="shared" si="15"/>
        <v>290262.61705088976</v>
      </c>
      <c r="M36" s="30">
        <f t="shared" si="15"/>
        <v>290262.61705088976</v>
      </c>
      <c r="N36" s="30">
        <f t="shared" si="15"/>
        <v>290262.61705088976</v>
      </c>
      <c r="O36" s="30">
        <f t="shared" si="15"/>
        <v>7283858.3448789716</v>
      </c>
    </row>
    <row r="38" spans="3:15" s="1" customFormat="1" x14ac:dyDescent="0.3">
      <c r="C38" s="67" t="s">
        <v>88</v>
      </c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</row>
    <row r="39" spans="3:15" s="1" customFormat="1" x14ac:dyDescent="0.3">
      <c r="C39" s="1" t="s">
        <v>86</v>
      </c>
      <c r="E39" s="30">
        <f>(+E34+E22)-E21</f>
        <v>-891000</v>
      </c>
      <c r="F39" s="30">
        <f t="shared" ref="F39:O39" si="16">(+F34+F22)-F21</f>
        <v>261236.35534580078</v>
      </c>
      <c r="G39" s="30">
        <f t="shared" si="16"/>
        <v>261236.35534580078</v>
      </c>
      <c r="H39" s="30">
        <f t="shared" si="16"/>
        <v>261236.35534580078</v>
      </c>
      <c r="I39" s="30">
        <f t="shared" si="16"/>
        <v>261236.35534580078</v>
      </c>
      <c r="J39" s="30">
        <f t="shared" si="16"/>
        <v>224003.33257417148</v>
      </c>
      <c r="K39" s="30">
        <f t="shared" si="16"/>
        <v>217696.96278816732</v>
      </c>
      <c r="L39" s="30">
        <f t="shared" si="16"/>
        <v>217696.96278816732</v>
      </c>
      <c r="M39" s="30">
        <f t="shared" si="16"/>
        <v>217696.96278816732</v>
      </c>
      <c r="N39" s="30">
        <f t="shared" si="16"/>
        <v>217696.96278816732</v>
      </c>
      <c r="O39" s="30">
        <f t="shared" si="16"/>
        <v>5462893.7586592287</v>
      </c>
    </row>
    <row r="40" spans="3:15" s="1" customFormat="1" x14ac:dyDescent="0.3">
      <c r="C40" s="1" t="s">
        <v>64</v>
      </c>
      <c r="D40" s="75">
        <f>+IRR(E39:O39)</f>
        <v>0.36459795505908743</v>
      </c>
    </row>
    <row r="41" spans="3:15" s="1" customFormat="1" x14ac:dyDescent="0.3">
      <c r="C41" s="1" t="s">
        <v>17</v>
      </c>
      <c r="D41" s="46">
        <f>+SUMIF(E39:O39,"&gt;0")/-SUMIF(E39:O39,"&lt;0")</f>
        <v>8.5326940109643914</v>
      </c>
    </row>
    <row r="43" spans="3:15" s="1" customFormat="1" x14ac:dyDescent="0.3">
      <c r="C43" s="67" t="s">
        <v>89</v>
      </c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</row>
    <row r="44" spans="3:15" s="1" customFormat="1" x14ac:dyDescent="0.3">
      <c r="C44" s="1" t="s">
        <v>86</v>
      </c>
      <c r="E44" s="30">
        <f>+E35+E27-E26</f>
        <v>-99000</v>
      </c>
      <c r="F44" s="30">
        <f t="shared" ref="F44:O44" si="17">+F35+F27-F26</f>
        <v>29026.261705088978</v>
      </c>
      <c r="G44" s="30">
        <f t="shared" si="17"/>
        <v>29026.261705088978</v>
      </c>
      <c r="H44" s="30">
        <f t="shared" si="17"/>
        <v>29026.261705088978</v>
      </c>
      <c r="I44" s="30">
        <f t="shared" si="17"/>
        <v>29026.261705088978</v>
      </c>
      <c r="J44" s="30">
        <f t="shared" si="17"/>
        <v>66259.284476718298</v>
      </c>
      <c r="K44" s="30">
        <f t="shared" si="17"/>
        <v>72565.654262722441</v>
      </c>
      <c r="L44" s="30">
        <f t="shared" si="17"/>
        <v>72565.654262722441</v>
      </c>
      <c r="M44" s="30">
        <f t="shared" si="17"/>
        <v>72565.654262722441</v>
      </c>
      <c r="N44" s="30">
        <f t="shared" si="17"/>
        <v>72565.654262722441</v>
      </c>
      <c r="O44" s="30">
        <f t="shared" si="17"/>
        <v>1820964.5862197429</v>
      </c>
    </row>
    <row r="45" spans="3:15" s="1" customFormat="1" x14ac:dyDescent="0.3">
      <c r="C45" s="1" t="s">
        <v>64</v>
      </c>
      <c r="D45" s="75">
        <f>+IRR(E44:O44)</f>
        <v>0.50885279842652142</v>
      </c>
    </row>
    <row r="46" spans="3:15" s="1" customFormat="1" x14ac:dyDescent="0.3">
      <c r="C46" s="1" t="s">
        <v>17</v>
      </c>
      <c r="D46" s="46">
        <f>+SUMIF(E44:O44,"&gt;0")/-SUMIF(E44:O44,"&lt;0")</f>
        <v>23.167591258259666</v>
      </c>
    </row>
  </sheetData>
  <mergeCells count="3">
    <mergeCell ref="C3:E3"/>
    <mergeCell ref="G3:J3"/>
    <mergeCell ref="L3:N3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H42"/>
  <sheetViews>
    <sheetView zoomScale="80" zoomScaleNormal="80" workbookViewId="0">
      <selection activeCell="J22" sqref="J22"/>
    </sheetView>
  </sheetViews>
  <sheetFormatPr defaultRowHeight="13" x14ac:dyDescent="0.3"/>
  <cols>
    <col min="1" max="2" width="1.6328125" style="1" customWidth="1"/>
    <col min="3" max="10" width="16.36328125" style="1" customWidth="1"/>
    <col min="11" max="16384" width="8.7265625" style="1"/>
  </cols>
  <sheetData>
    <row r="2" spans="3:8" s="1" customFormat="1" ht="13.5" thickBot="1" x14ac:dyDescent="0.35"/>
    <row r="3" spans="3:8" s="1" customFormat="1" x14ac:dyDescent="0.3">
      <c r="C3" s="2" t="s">
        <v>90</v>
      </c>
      <c r="D3" s="3"/>
      <c r="E3" s="4"/>
    </row>
    <row r="4" spans="3:8" s="1" customFormat="1" x14ac:dyDescent="0.3">
      <c r="C4" s="5" t="s">
        <v>97</v>
      </c>
      <c r="D4" s="6"/>
      <c r="E4" s="76" t="str">
        <f>+'Overview &amp; Sensitivities'!E20</f>
        <v>AM</v>
      </c>
    </row>
    <row r="5" spans="3:8" s="1" customFormat="1" x14ac:dyDescent="0.3">
      <c r="C5" s="5" t="s">
        <v>91</v>
      </c>
      <c r="D5" s="6"/>
      <c r="E5" s="16">
        <f>+'Sources &amp; Uses'!E5</f>
        <v>1787500</v>
      </c>
    </row>
    <row r="6" spans="3:8" s="1" customFormat="1" x14ac:dyDescent="0.3">
      <c r="C6" s="5" t="s">
        <v>20</v>
      </c>
      <c r="D6" s="6"/>
      <c r="E6" s="8">
        <f>+'Overview &amp; Sensitivities'!E19</f>
        <v>4.4999999999999998E-2</v>
      </c>
    </row>
    <row r="7" spans="3:8" s="1" customFormat="1" ht="13.5" thickBot="1" x14ac:dyDescent="0.35">
      <c r="C7" s="9" t="s">
        <v>99</v>
      </c>
      <c r="D7" s="10"/>
      <c r="E7" s="77">
        <v>30</v>
      </c>
    </row>
    <row r="8" spans="3:8" s="1" customFormat="1" x14ac:dyDescent="0.3">
      <c r="C8" s="6"/>
      <c r="D8" s="6"/>
      <c r="E8" s="78"/>
    </row>
    <row r="9" spans="3:8" s="1" customFormat="1" ht="13.5" thickBot="1" x14ac:dyDescent="0.35"/>
    <row r="10" spans="3:8" s="1" customFormat="1" ht="13.5" thickBot="1" x14ac:dyDescent="0.35">
      <c r="C10" s="79" t="s">
        <v>98</v>
      </c>
      <c r="D10" s="80" t="s">
        <v>93</v>
      </c>
      <c r="E10" s="80" t="s">
        <v>94</v>
      </c>
      <c r="F10" s="80" t="s">
        <v>95</v>
      </c>
      <c r="G10" s="80" t="s">
        <v>96</v>
      </c>
      <c r="H10" s="81" t="s">
        <v>68</v>
      </c>
    </row>
    <row r="11" spans="3:8" s="1" customFormat="1" x14ac:dyDescent="0.3">
      <c r="C11" s="82" t="s">
        <v>29</v>
      </c>
      <c r="D11" s="83"/>
      <c r="E11" s="83"/>
      <c r="F11" s="83"/>
      <c r="G11" s="83"/>
      <c r="H11" s="84">
        <f>+E5</f>
        <v>1787500</v>
      </c>
    </row>
    <row r="12" spans="3:8" s="1" customFormat="1" x14ac:dyDescent="0.3">
      <c r="C12" s="82">
        <f>1</f>
        <v>1</v>
      </c>
      <c r="D12" s="85">
        <f>+H11</f>
        <v>1787500</v>
      </c>
      <c r="E12" s="85">
        <f t="shared" ref="E12:E41" si="0">+PMT($E$6,$E$7,$D$12)</f>
        <v>-109737.38294911025</v>
      </c>
      <c r="F12" s="85">
        <f>-D12*$E$6</f>
        <v>-80437.5</v>
      </c>
      <c r="G12" s="85">
        <f>+E12-F12</f>
        <v>-29299.882949110252</v>
      </c>
      <c r="H12" s="84">
        <f>+G12+D12</f>
        <v>1758200.1170508896</v>
      </c>
    </row>
    <row r="13" spans="3:8" s="1" customFormat="1" x14ac:dyDescent="0.3">
      <c r="C13" s="82">
        <f t="shared" ref="C13:C41" si="1">+C12+1</f>
        <v>2</v>
      </c>
      <c r="D13" s="85">
        <f>+H12</f>
        <v>1758200.1170508896</v>
      </c>
      <c r="E13" s="85">
        <f t="shared" si="0"/>
        <v>-109737.38294911025</v>
      </c>
      <c r="F13" s="85">
        <f>-D13*$E$6</f>
        <v>-79119.005267290035</v>
      </c>
      <c r="G13" s="85">
        <f>+E13-F13</f>
        <v>-30618.377681820217</v>
      </c>
      <c r="H13" s="84">
        <f>+G13+D13</f>
        <v>1727581.7393690695</v>
      </c>
    </row>
    <row r="14" spans="3:8" s="1" customFormat="1" x14ac:dyDescent="0.3">
      <c r="C14" s="82">
        <f t="shared" si="1"/>
        <v>3</v>
      </c>
      <c r="D14" s="85">
        <f t="shared" ref="D14:D15" si="2">+H13</f>
        <v>1727581.7393690695</v>
      </c>
      <c r="E14" s="85">
        <f t="shared" si="0"/>
        <v>-109737.38294911025</v>
      </c>
      <c r="F14" s="85">
        <f t="shared" ref="F14:F15" si="3">-D14*$E$6</f>
        <v>-77741.178271608122</v>
      </c>
      <c r="G14" s="85">
        <f t="shared" ref="G14:G15" si="4">+E14-F14</f>
        <v>-31996.20467750213</v>
      </c>
      <c r="H14" s="84">
        <f t="shared" ref="H14:H15" si="5">+G14+D14</f>
        <v>1695585.5346915673</v>
      </c>
    </row>
    <row r="15" spans="3:8" s="1" customFormat="1" x14ac:dyDescent="0.3">
      <c r="C15" s="82">
        <f t="shared" si="1"/>
        <v>4</v>
      </c>
      <c r="D15" s="85">
        <f t="shared" si="2"/>
        <v>1695585.5346915673</v>
      </c>
      <c r="E15" s="85">
        <f t="shared" si="0"/>
        <v>-109737.38294911025</v>
      </c>
      <c r="F15" s="85">
        <f t="shared" si="3"/>
        <v>-76301.34906112052</v>
      </c>
      <c r="G15" s="85">
        <f t="shared" si="4"/>
        <v>-33436.033887989732</v>
      </c>
      <c r="H15" s="84">
        <f t="shared" si="5"/>
        <v>1662149.5008035775</v>
      </c>
    </row>
    <row r="16" spans="3:8" s="1" customFormat="1" x14ac:dyDescent="0.3">
      <c r="C16" s="82">
        <f t="shared" si="1"/>
        <v>5</v>
      </c>
      <c r="D16" s="85">
        <f t="shared" ref="D16:D41" si="6">+H15</f>
        <v>1662149.5008035775</v>
      </c>
      <c r="E16" s="85">
        <f t="shared" si="0"/>
        <v>-109737.38294911025</v>
      </c>
      <c r="F16" s="85">
        <f t="shared" ref="F16:F41" si="7">-D16*$E$6</f>
        <v>-74796.727536160979</v>
      </c>
      <c r="G16" s="85">
        <f t="shared" ref="G16:G41" si="8">+E16-F16</f>
        <v>-34940.655412949272</v>
      </c>
      <c r="H16" s="84">
        <f t="shared" ref="H16:H41" si="9">+G16+D16</f>
        <v>1627208.8453906281</v>
      </c>
    </row>
    <row r="17" spans="3:8" s="1" customFormat="1" x14ac:dyDescent="0.3">
      <c r="C17" s="82">
        <f t="shared" si="1"/>
        <v>6</v>
      </c>
      <c r="D17" s="85">
        <f t="shared" si="6"/>
        <v>1627208.8453906281</v>
      </c>
      <c r="E17" s="85">
        <f t="shared" si="0"/>
        <v>-109737.38294911025</v>
      </c>
      <c r="F17" s="85">
        <f t="shared" si="7"/>
        <v>-73224.398042578265</v>
      </c>
      <c r="G17" s="85">
        <f t="shared" si="8"/>
        <v>-36512.984906531987</v>
      </c>
      <c r="H17" s="84">
        <f t="shared" si="9"/>
        <v>1590695.8604840962</v>
      </c>
    </row>
    <row r="18" spans="3:8" s="1" customFormat="1" x14ac:dyDescent="0.3">
      <c r="C18" s="82">
        <f t="shared" si="1"/>
        <v>7</v>
      </c>
      <c r="D18" s="85">
        <f t="shared" si="6"/>
        <v>1590695.8604840962</v>
      </c>
      <c r="E18" s="85">
        <f t="shared" si="0"/>
        <v>-109737.38294911025</v>
      </c>
      <c r="F18" s="85">
        <f t="shared" si="7"/>
        <v>-71581.313721784332</v>
      </c>
      <c r="G18" s="85">
        <f t="shared" si="8"/>
        <v>-38156.069227325919</v>
      </c>
      <c r="H18" s="84">
        <f t="shared" si="9"/>
        <v>1552539.7912567703</v>
      </c>
    </row>
    <row r="19" spans="3:8" s="1" customFormat="1" x14ac:dyDescent="0.3">
      <c r="C19" s="82">
        <f t="shared" si="1"/>
        <v>8</v>
      </c>
      <c r="D19" s="85">
        <f t="shared" si="6"/>
        <v>1552539.7912567703</v>
      </c>
      <c r="E19" s="85">
        <f t="shared" si="0"/>
        <v>-109737.38294911025</v>
      </c>
      <c r="F19" s="85">
        <f t="shared" si="7"/>
        <v>-69864.290606554656</v>
      </c>
      <c r="G19" s="85">
        <f t="shared" si="8"/>
        <v>-39873.092342555596</v>
      </c>
      <c r="H19" s="84">
        <f t="shared" si="9"/>
        <v>1512666.6989142147</v>
      </c>
    </row>
    <row r="20" spans="3:8" s="1" customFormat="1" x14ac:dyDescent="0.3">
      <c r="C20" s="82">
        <f t="shared" si="1"/>
        <v>9</v>
      </c>
      <c r="D20" s="85">
        <f t="shared" si="6"/>
        <v>1512666.6989142147</v>
      </c>
      <c r="E20" s="85">
        <f t="shared" si="0"/>
        <v>-109737.38294911025</v>
      </c>
      <c r="F20" s="85">
        <f t="shared" si="7"/>
        <v>-68070.001451139658</v>
      </c>
      <c r="G20" s="85">
        <f t="shared" si="8"/>
        <v>-41667.381497970593</v>
      </c>
      <c r="H20" s="84">
        <f t="shared" si="9"/>
        <v>1470999.3174162442</v>
      </c>
    </row>
    <row r="21" spans="3:8" s="1" customFormat="1" x14ac:dyDescent="0.3">
      <c r="C21" s="82">
        <f t="shared" si="1"/>
        <v>10</v>
      </c>
      <c r="D21" s="85">
        <f t="shared" si="6"/>
        <v>1470999.3174162442</v>
      </c>
      <c r="E21" s="85">
        <f t="shared" si="0"/>
        <v>-109737.38294911025</v>
      </c>
      <c r="F21" s="85">
        <f t="shared" si="7"/>
        <v>-66194.969283730985</v>
      </c>
      <c r="G21" s="85">
        <f t="shared" si="8"/>
        <v>-43542.413665379267</v>
      </c>
      <c r="H21" s="84">
        <f t="shared" si="9"/>
        <v>1427456.903750865</v>
      </c>
    </row>
    <row r="22" spans="3:8" s="1" customFormat="1" x14ac:dyDescent="0.3">
      <c r="C22" s="82">
        <f t="shared" si="1"/>
        <v>11</v>
      </c>
      <c r="D22" s="85">
        <f t="shared" si="6"/>
        <v>1427456.903750865</v>
      </c>
      <c r="E22" s="85">
        <f t="shared" si="0"/>
        <v>-109737.38294911025</v>
      </c>
      <c r="F22" s="85">
        <f t="shared" si="7"/>
        <v>-64235.560668788923</v>
      </c>
      <c r="G22" s="85">
        <f t="shared" si="8"/>
        <v>-45501.822280321328</v>
      </c>
      <c r="H22" s="84">
        <f t="shared" si="9"/>
        <v>1381955.0814705438</v>
      </c>
    </row>
    <row r="23" spans="3:8" s="1" customFormat="1" x14ac:dyDescent="0.3">
      <c r="C23" s="82">
        <f t="shared" si="1"/>
        <v>12</v>
      </c>
      <c r="D23" s="85">
        <f t="shared" si="6"/>
        <v>1381955.0814705438</v>
      </c>
      <c r="E23" s="85">
        <f t="shared" si="0"/>
        <v>-109737.38294911025</v>
      </c>
      <c r="F23" s="85">
        <f t="shared" si="7"/>
        <v>-62187.978666174466</v>
      </c>
      <c r="G23" s="85">
        <f t="shared" si="8"/>
        <v>-47549.404282935786</v>
      </c>
      <c r="H23" s="84">
        <f t="shared" si="9"/>
        <v>1334405.6771876079</v>
      </c>
    </row>
    <row r="24" spans="3:8" s="1" customFormat="1" x14ac:dyDescent="0.3">
      <c r="C24" s="82">
        <f t="shared" si="1"/>
        <v>13</v>
      </c>
      <c r="D24" s="85">
        <f t="shared" si="6"/>
        <v>1334405.6771876079</v>
      </c>
      <c r="E24" s="85">
        <f t="shared" si="0"/>
        <v>-109737.38294911025</v>
      </c>
      <c r="F24" s="85">
        <f t="shared" si="7"/>
        <v>-60048.255473442354</v>
      </c>
      <c r="G24" s="85">
        <f t="shared" si="8"/>
        <v>-49689.127475667898</v>
      </c>
      <c r="H24" s="84">
        <f t="shared" si="9"/>
        <v>1284716.5497119399</v>
      </c>
    </row>
    <row r="25" spans="3:8" s="1" customFormat="1" x14ac:dyDescent="0.3">
      <c r="C25" s="82">
        <f t="shared" si="1"/>
        <v>14</v>
      </c>
      <c r="D25" s="85">
        <f t="shared" si="6"/>
        <v>1284716.5497119399</v>
      </c>
      <c r="E25" s="85">
        <f t="shared" si="0"/>
        <v>-109737.38294911025</v>
      </c>
      <c r="F25" s="85">
        <f t="shared" si="7"/>
        <v>-57812.24473703729</v>
      </c>
      <c r="G25" s="85">
        <f t="shared" si="8"/>
        <v>-51925.138212072961</v>
      </c>
      <c r="H25" s="84">
        <f t="shared" si="9"/>
        <v>1232791.411499867</v>
      </c>
    </row>
    <row r="26" spans="3:8" s="1" customFormat="1" x14ac:dyDescent="0.3">
      <c r="C26" s="82">
        <f t="shared" si="1"/>
        <v>15</v>
      </c>
      <c r="D26" s="85">
        <f t="shared" si="6"/>
        <v>1232791.411499867</v>
      </c>
      <c r="E26" s="85">
        <f t="shared" si="0"/>
        <v>-109737.38294911025</v>
      </c>
      <c r="F26" s="85">
        <f t="shared" si="7"/>
        <v>-55475.613517494014</v>
      </c>
      <c r="G26" s="85">
        <f t="shared" si="8"/>
        <v>-54261.769431616238</v>
      </c>
      <c r="H26" s="84">
        <f t="shared" si="9"/>
        <v>1178529.6420682508</v>
      </c>
    </row>
    <row r="27" spans="3:8" s="1" customFormat="1" x14ac:dyDescent="0.3">
      <c r="C27" s="82">
        <f t="shared" si="1"/>
        <v>16</v>
      </c>
      <c r="D27" s="85">
        <f t="shared" si="6"/>
        <v>1178529.6420682508</v>
      </c>
      <c r="E27" s="85">
        <f t="shared" si="0"/>
        <v>-109737.38294911025</v>
      </c>
      <c r="F27" s="85">
        <f t="shared" si="7"/>
        <v>-53033.833893071285</v>
      </c>
      <c r="G27" s="85">
        <f t="shared" si="8"/>
        <v>-56703.549056038966</v>
      </c>
      <c r="H27" s="84">
        <f t="shared" si="9"/>
        <v>1121826.0930122118</v>
      </c>
    </row>
    <row r="28" spans="3:8" s="1" customFormat="1" x14ac:dyDescent="0.3">
      <c r="C28" s="82">
        <f t="shared" si="1"/>
        <v>17</v>
      </c>
      <c r="D28" s="85">
        <f t="shared" si="6"/>
        <v>1121826.0930122118</v>
      </c>
      <c r="E28" s="85">
        <f t="shared" si="0"/>
        <v>-109737.38294911025</v>
      </c>
      <c r="F28" s="85">
        <f t="shared" si="7"/>
        <v>-50482.174185549535</v>
      </c>
      <c r="G28" s="85">
        <f t="shared" si="8"/>
        <v>-59255.208763560717</v>
      </c>
      <c r="H28" s="84">
        <f t="shared" si="9"/>
        <v>1062570.8842486511</v>
      </c>
    </row>
    <row r="29" spans="3:8" s="1" customFormat="1" x14ac:dyDescent="0.3">
      <c r="C29" s="82">
        <f t="shared" si="1"/>
        <v>18</v>
      </c>
      <c r="D29" s="85">
        <f t="shared" si="6"/>
        <v>1062570.8842486511</v>
      </c>
      <c r="E29" s="85">
        <f t="shared" si="0"/>
        <v>-109737.38294911025</v>
      </c>
      <c r="F29" s="85">
        <f t="shared" si="7"/>
        <v>-47815.689791189296</v>
      </c>
      <c r="G29" s="85">
        <f t="shared" si="8"/>
        <v>-61921.693157920956</v>
      </c>
      <c r="H29" s="84">
        <f t="shared" si="9"/>
        <v>1000649.1910907301</v>
      </c>
    </row>
    <row r="30" spans="3:8" s="1" customFormat="1" x14ac:dyDescent="0.3">
      <c r="C30" s="82">
        <f t="shared" si="1"/>
        <v>19</v>
      </c>
      <c r="D30" s="85">
        <f t="shared" si="6"/>
        <v>1000649.1910907301</v>
      </c>
      <c r="E30" s="85">
        <f t="shared" si="0"/>
        <v>-109737.38294911025</v>
      </c>
      <c r="F30" s="85">
        <f t="shared" si="7"/>
        <v>-45029.213599082854</v>
      </c>
      <c r="G30" s="85">
        <f t="shared" si="8"/>
        <v>-64708.169350027398</v>
      </c>
      <c r="H30" s="84">
        <f t="shared" si="9"/>
        <v>935941.02174070268</v>
      </c>
    </row>
    <row r="31" spans="3:8" s="1" customFormat="1" x14ac:dyDescent="0.3">
      <c r="C31" s="82">
        <f t="shared" si="1"/>
        <v>20</v>
      </c>
      <c r="D31" s="85">
        <f t="shared" si="6"/>
        <v>935941.02174070268</v>
      </c>
      <c r="E31" s="85">
        <f t="shared" si="0"/>
        <v>-109737.38294911025</v>
      </c>
      <c r="F31" s="85">
        <f t="shared" si="7"/>
        <v>-42117.345978331621</v>
      </c>
      <c r="G31" s="85">
        <f t="shared" si="8"/>
        <v>-67620.03697077863</v>
      </c>
      <c r="H31" s="84">
        <f t="shared" si="9"/>
        <v>868320.98476992408</v>
      </c>
    </row>
    <row r="32" spans="3:8" s="1" customFormat="1" x14ac:dyDescent="0.3">
      <c r="C32" s="82">
        <f t="shared" si="1"/>
        <v>21</v>
      </c>
      <c r="D32" s="85">
        <f t="shared" si="6"/>
        <v>868320.98476992408</v>
      </c>
      <c r="E32" s="85">
        <f t="shared" si="0"/>
        <v>-109737.38294911025</v>
      </c>
      <c r="F32" s="85">
        <f t="shared" si="7"/>
        <v>-39074.444314646586</v>
      </c>
      <c r="G32" s="85">
        <f t="shared" si="8"/>
        <v>-70662.938634463673</v>
      </c>
      <c r="H32" s="84">
        <f t="shared" si="9"/>
        <v>797658.04613546038</v>
      </c>
    </row>
    <row r="33" spans="3:8" s="1" customFormat="1" x14ac:dyDescent="0.3">
      <c r="C33" s="82">
        <f t="shared" si="1"/>
        <v>22</v>
      </c>
      <c r="D33" s="85">
        <f t="shared" si="6"/>
        <v>797658.04613546038</v>
      </c>
      <c r="E33" s="85">
        <f t="shared" si="0"/>
        <v>-109737.38294911025</v>
      </c>
      <c r="F33" s="85">
        <f t="shared" si="7"/>
        <v>-35894.612076095713</v>
      </c>
      <c r="G33" s="85">
        <f t="shared" si="8"/>
        <v>-73842.770873014539</v>
      </c>
      <c r="H33" s="84">
        <f t="shared" si="9"/>
        <v>723815.27526244579</v>
      </c>
    </row>
    <row r="34" spans="3:8" s="1" customFormat="1" x14ac:dyDescent="0.3">
      <c r="C34" s="82">
        <f t="shared" si="1"/>
        <v>23</v>
      </c>
      <c r="D34" s="85">
        <f t="shared" si="6"/>
        <v>723815.27526244579</v>
      </c>
      <c r="E34" s="85">
        <f t="shared" si="0"/>
        <v>-109737.38294911025</v>
      </c>
      <c r="F34" s="85">
        <f t="shared" si="7"/>
        <v>-32571.687386810059</v>
      </c>
      <c r="G34" s="85">
        <f t="shared" si="8"/>
        <v>-77165.695562300185</v>
      </c>
      <c r="H34" s="84">
        <f t="shared" si="9"/>
        <v>646649.57970014564</v>
      </c>
    </row>
    <row r="35" spans="3:8" s="1" customFormat="1" x14ac:dyDescent="0.3">
      <c r="C35" s="82">
        <f t="shared" si="1"/>
        <v>24</v>
      </c>
      <c r="D35" s="85">
        <f t="shared" si="6"/>
        <v>646649.57970014564</v>
      </c>
      <c r="E35" s="85">
        <f t="shared" si="0"/>
        <v>-109737.38294911025</v>
      </c>
      <c r="F35" s="85">
        <f t="shared" si="7"/>
        <v>-29099.231086506552</v>
      </c>
      <c r="G35" s="85">
        <f t="shared" si="8"/>
        <v>-80638.1518626037</v>
      </c>
      <c r="H35" s="84">
        <f t="shared" si="9"/>
        <v>566011.42783754191</v>
      </c>
    </row>
    <row r="36" spans="3:8" s="1" customFormat="1" x14ac:dyDescent="0.3">
      <c r="C36" s="82">
        <f t="shared" si="1"/>
        <v>25</v>
      </c>
      <c r="D36" s="85">
        <f t="shared" si="6"/>
        <v>566011.42783754191</v>
      </c>
      <c r="E36" s="85">
        <f t="shared" si="0"/>
        <v>-109737.38294911025</v>
      </c>
      <c r="F36" s="85">
        <f t="shared" si="7"/>
        <v>-25470.514252689383</v>
      </c>
      <c r="G36" s="85">
        <f t="shared" si="8"/>
        <v>-84266.868696420861</v>
      </c>
      <c r="H36" s="84">
        <f t="shared" si="9"/>
        <v>481744.55914112105</v>
      </c>
    </row>
    <row r="37" spans="3:8" s="1" customFormat="1" x14ac:dyDescent="0.3">
      <c r="C37" s="82">
        <f t="shared" si="1"/>
        <v>26</v>
      </c>
      <c r="D37" s="85">
        <f t="shared" si="6"/>
        <v>481744.55914112105</v>
      </c>
      <c r="E37" s="85">
        <f t="shared" si="0"/>
        <v>-109737.38294911025</v>
      </c>
      <c r="F37" s="85">
        <f t="shared" si="7"/>
        <v>-21678.505161350447</v>
      </c>
      <c r="G37" s="85">
        <f t="shared" si="8"/>
        <v>-88058.877787759804</v>
      </c>
      <c r="H37" s="84">
        <f t="shared" si="9"/>
        <v>393685.68135336123</v>
      </c>
    </row>
    <row r="38" spans="3:8" s="1" customFormat="1" x14ac:dyDescent="0.3">
      <c r="C38" s="82">
        <f t="shared" si="1"/>
        <v>27</v>
      </c>
      <c r="D38" s="85">
        <f t="shared" si="6"/>
        <v>393685.68135336123</v>
      </c>
      <c r="E38" s="85">
        <f t="shared" si="0"/>
        <v>-109737.38294911025</v>
      </c>
      <c r="F38" s="85">
        <f t="shared" si="7"/>
        <v>-17715.855660901256</v>
      </c>
      <c r="G38" s="85">
        <f t="shared" si="8"/>
        <v>-92021.527288208992</v>
      </c>
      <c r="H38" s="84">
        <f t="shared" si="9"/>
        <v>301664.15406515222</v>
      </c>
    </row>
    <row r="39" spans="3:8" s="1" customFormat="1" x14ac:dyDescent="0.3">
      <c r="C39" s="82">
        <f t="shared" si="1"/>
        <v>28</v>
      </c>
      <c r="D39" s="85">
        <f t="shared" si="6"/>
        <v>301664.15406515222</v>
      </c>
      <c r="E39" s="85">
        <f t="shared" si="0"/>
        <v>-109737.38294911025</v>
      </c>
      <c r="F39" s="85">
        <f t="shared" si="7"/>
        <v>-13574.88693293185</v>
      </c>
      <c r="G39" s="85">
        <f t="shared" si="8"/>
        <v>-96162.496016178397</v>
      </c>
      <c r="H39" s="84">
        <f t="shared" si="9"/>
        <v>205501.65804897383</v>
      </c>
    </row>
    <row r="40" spans="3:8" s="1" customFormat="1" x14ac:dyDescent="0.3">
      <c r="C40" s="82">
        <f t="shared" si="1"/>
        <v>29</v>
      </c>
      <c r="D40" s="85">
        <f t="shared" si="6"/>
        <v>205501.65804897383</v>
      </c>
      <c r="E40" s="85">
        <f t="shared" si="0"/>
        <v>-109737.38294911025</v>
      </c>
      <c r="F40" s="85">
        <f t="shared" si="7"/>
        <v>-9247.5746122038217</v>
      </c>
      <c r="G40" s="85">
        <f t="shared" si="8"/>
        <v>-100489.80833690643</v>
      </c>
      <c r="H40" s="84">
        <f t="shared" si="9"/>
        <v>105011.8497120674</v>
      </c>
    </row>
    <row r="41" spans="3:8" s="1" customFormat="1" ht="13.5" thickBot="1" x14ac:dyDescent="0.35">
      <c r="C41" s="86">
        <f t="shared" si="1"/>
        <v>30</v>
      </c>
      <c r="D41" s="87">
        <f t="shared" si="6"/>
        <v>105011.8497120674</v>
      </c>
      <c r="E41" s="87">
        <f t="shared" si="0"/>
        <v>-109737.38294911025</v>
      </c>
      <c r="F41" s="87">
        <f t="shared" si="7"/>
        <v>-4725.5332370430324</v>
      </c>
      <c r="G41" s="87">
        <f t="shared" si="8"/>
        <v>-105011.84971206723</v>
      </c>
      <c r="H41" s="88">
        <f t="shared" si="9"/>
        <v>1.7462298274040222E-10</v>
      </c>
    </row>
    <row r="42" spans="3:8" s="1" customFormat="1" x14ac:dyDescent="0.3">
      <c r="D42" s="30"/>
      <c r="E42" s="30"/>
      <c r="F42" s="30"/>
      <c r="G42" s="30"/>
      <c r="H42" s="30"/>
    </row>
  </sheetData>
  <mergeCells count="1">
    <mergeCell ref="C3:E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Overview &amp; Sensitivities</vt:lpstr>
      <vt:lpstr>Sources &amp; Uses</vt:lpstr>
      <vt:lpstr>Investment Cash Flow</vt:lpstr>
      <vt:lpstr>Waterfall</vt:lpstr>
      <vt:lpstr>Debt Assumptions</vt:lpstr>
      <vt:lpstr>'Overview &amp; Sensitivities'!Print_Area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2020-10-08T15:57:30Z</dcterms:created>
  <dcterms:modified xsi:type="dcterms:W3CDTF">2020-10-08T16:05:03Z</dcterms:modified>
</cp:coreProperties>
</file>