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80" activeTab="2"/>
  </bookViews>
  <sheets>
    <sheet name="Income Simple" sheetId="1" r:id="rId1"/>
    <sheet name="Balance Simple" sheetId="2" r:id="rId2"/>
    <sheet name="Cash flow simple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<sst xmlns="http://schemas.openxmlformats.org/spreadsheetml/2006/main" count="135" uniqueCount="104">
  <si>
    <t xml:space="preserve">  Manufacturing</t>
  </si>
  <si>
    <t>SG&amp;A</t>
  </si>
  <si>
    <t xml:space="preserve">  Railcar leasing</t>
  </si>
  <si>
    <t>Taxes</t>
  </si>
  <si>
    <t xml:space="preserve">  Accounts receivable</t>
  </si>
  <si>
    <t xml:space="preserve">  Inventories</t>
  </si>
  <si>
    <t xml:space="preserve">  Goodwill</t>
  </si>
  <si>
    <t>Income Statement</t>
  </si>
  <si>
    <t>(actuals in blue)</t>
  </si>
  <si>
    <t>Revenues</t>
  </si>
  <si>
    <t>COGs</t>
  </si>
  <si>
    <t>Gross Profit</t>
  </si>
  <si>
    <t>Total Operating Expenses</t>
  </si>
  <si>
    <t>Operating Income (EBIT)</t>
  </si>
  <si>
    <t>D&amp;A</t>
  </si>
  <si>
    <t>EBITDA</t>
  </si>
  <si>
    <t>Income before tax</t>
  </si>
  <si>
    <t>Net Income</t>
  </si>
  <si>
    <t>(assumptions in red)</t>
  </si>
  <si>
    <t>Revenue YOY</t>
  </si>
  <si>
    <t>COGS (% of revenue)</t>
  </si>
  <si>
    <t>Tax rate (% of EBIT)</t>
  </si>
  <si>
    <t>Balance Sheet</t>
  </si>
  <si>
    <t>(Actual in blue, assumptions in red)</t>
  </si>
  <si>
    <t>Current Assets</t>
  </si>
  <si>
    <t xml:space="preserve">  Cash</t>
  </si>
  <si>
    <t xml:space="preserve">  Prepaid expenses</t>
  </si>
  <si>
    <t>Total Current Assets</t>
  </si>
  <si>
    <t xml:space="preserve">  Net PP&amp;E</t>
  </si>
  <si>
    <t xml:space="preserve">  Net intangible assets</t>
  </si>
  <si>
    <t>Total Assets</t>
  </si>
  <si>
    <t>Current Liabilities</t>
  </si>
  <si>
    <t xml:space="preserve">  Short-term debt</t>
  </si>
  <si>
    <t xml:space="preserve">  Accounts payable</t>
  </si>
  <si>
    <t xml:space="preserve">  Accrued expenses</t>
  </si>
  <si>
    <t>Total Current Liabilities</t>
  </si>
  <si>
    <t xml:space="preserve">  Long-term debt</t>
  </si>
  <si>
    <t xml:space="preserve">  Shareholder's equity</t>
  </si>
  <si>
    <t>Total Liabilities and SE</t>
  </si>
  <si>
    <t>Check</t>
  </si>
  <si>
    <t xml:space="preserve">  Railcar services</t>
  </si>
  <si>
    <t xml:space="preserve">    Total Revenue</t>
  </si>
  <si>
    <t xml:space="preserve">    Total COGS</t>
  </si>
  <si>
    <t>Historicals</t>
  </si>
  <si>
    <t>Statement of Cash Flows</t>
  </si>
  <si>
    <t>Cash from Operations</t>
  </si>
  <si>
    <t xml:space="preserve">  Net Income</t>
  </si>
  <si>
    <t xml:space="preserve">  D&amp;A</t>
  </si>
  <si>
    <t xml:space="preserve">  Changes in Working Capital</t>
  </si>
  <si>
    <t xml:space="preserve">     (Increase)/decrease in AR</t>
  </si>
  <si>
    <t xml:space="preserve">     (Increase)/decrease in inventories</t>
  </si>
  <si>
    <t xml:space="preserve">     (Increase)/decrease in prepaid expenses</t>
  </si>
  <si>
    <t xml:space="preserve">     Increase/(decrease) in AP</t>
  </si>
  <si>
    <t xml:space="preserve">     Increase/(decrease) in accrued expenses</t>
  </si>
  <si>
    <t>Cash from Investing</t>
  </si>
  <si>
    <t xml:space="preserve">  Capital Expenditures</t>
  </si>
  <si>
    <t>Cash from Financing</t>
  </si>
  <si>
    <t xml:space="preserve">   Issuance/(repayment) of debt</t>
  </si>
  <si>
    <t xml:space="preserve">   Issuance/(buyback) of stock</t>
  </si>
  <si>
    <t>Net cash from financing</t>
  </si>
  <si>
    <t>Net cash from investing</t>
  </si>
  <si>
    <t>Net cash from operations</t>
  </si>
  <si>
    <t>Cash at beginning of period</t>
  </si>
  <si>
    <t xml:space="preserve">  Change in cash</t>
  </si>
  <si>
    <t>Cash at end of period</t>
  </si>
  <si>
    <t xml:space="preserve">  Interest Income</t>
  </si>
  <si>
    <t>Net interest income (expense)</t>
  </si>
  <si>
    <t>NA</t>
  </si>
  <si>
    <t>SG&amp;A (% of revenue)</t>
  </si>
  <si>
    <t xml:space="preserve">  Accrued long term expenses</t>
  </si>
  <si>
    <t>YoY</t>
  </si>
  <si>
    <t>% of</t>
  </si>
  <si>
    <t>EBIT</t>
  </si>
  <si>
    <t>Margin</t>
  </si>
  <si>
    <t>Gross Margin</t>
  </si>
  <si>
    <t>Income Statement Ratios</t>
  </si>
  <si>
    <t>Balance Sheet Ratios</t>
  </si>
  <si>
    <t>Accounts receivable days</t>
  </si>
  <si>
    <t>Inventory days</t>
  </si>
  <si>
    <t>Prepaid expenses</t>
  </si>
  <si>
    <t>Accounts payable days</t>
  </si>
  <si>
    <t>Projections</t>
  </si>
  <si>
    <t>Manufacturing (% of rev)</t>
  </si>
  <si>
    <t>Railcar leasing (% of rev)</t>
  </si>
  <si>
    <t>Railcar services (% of rev)</t>
  </si>
  <si>
    <t>Manu COGS (% of COGS)</t>
  </si>
  <si>
    <t>Railcar lease COGS (% of COGS)</t>
  </si>
  <si>
    <t>Railcar services COGS (% of COGS)</t>
  </si>
  <si>
    <t>D&amp;A (% of revenue)</t>
  </si>
  <si>
    <t>Accrued short term expenses</t>
  </si>
  <si>
    <t>Accrued long term expenses</t>
  </si>
  <si>
    <t xml:space="preserve">   Dividends</t>
  </si>
  <si>
    <t>Cash Flow Ratios</t>
  </si>
  <si>
    <t xml:space="preserve">    Cash-like</t>
  </si>
  <si>
    <t>Forex</t>
  </si>
  <si>
    <t>Short-Term Debt/Income</t>
  </si>
  <si>
    <r>
      <t xml:space="preserve">   </t>
    </r>
    <r>
      <rPr>
        <i/>
        <sz val="9"/>
        <color indexed="8"/>
        <rFont val="Calibri"/>
        <family val="2"/>
      </rPr>
      <t>check</t>
    </r>
  </si>
  <si>
    <t>Interest</t>
  </si>
  <si>
    <t>Cash Interest Rate</t>
  </si>
  <si>
    <t>Debt Interest Rate</t>
  </si>
  <si>
    <t>Cap Ex/Sales</t>
  </si>
  <si>
    <t>Dividend Payout/Sales</t>
  </si>
  <si>
    <t>Debt Issuance/Sales</t>
  </si>
  <si>
    <t>Stock Buyback/Sales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</si>
</sst>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  <numFmt numFmtId="167" formatCode="[$-409]dddd\,\ mmmm\ dd\,\ yyyy"/>
    <numFmt numFmtId="168" formatCode="[$-409]h:mm:ss\ AM/P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%"/>
  </numFmts>
  <fonts count="42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30"/>
      <name val="Calibri"/>
      <family val="2"/>
    </font>
    <font>
      <i/>
      <sz val="9"/>
      <color indexed="10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18"/>
      <color theme="3"/>
      <name val="Calibri Light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i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37" fillId="0" borderId="12" xfId="0" applyFont="1" applyBorder="1" applyAlignment="1">
      <alignment/>
    </xf>
    <xf numFmtId="165" fontId="40" fillId="0" borderId="0" xfId="44" applyNumberFormat="1" applyFont="1" applyAlignment="1">
      <alignment/>
    </xf>
    <xf numFmtId="165" fontId="40" fillId="0" borderId="10" xfId="44" applyNumberFormat="1" applyFont="1" applyBorder="1" applyAlignment="1">
      <alignment/>
    </xf>
    <xf numFmtId="165" fontId="0" fillId="0" borderId="0" xfId="44" applyNumberFormat="1" applyFont="1" applyAlignment="1">
      <alignment/>
    </xf>
    <xf numFmtId="165" fontId="2" fillId="0" borderId="0" xfId="44" applyNumberFormat="1" applyFont="1" applyAlignment="1">
      <alignment/>
    </xf>
    <xf numFmtId="165" fontId="0" fillId="0" borderId="10" xfId="44" applyNumberFormat="1" applyFont="1" applyBorder="1" applyAlignment="1">
      <alignment/>
    </xf>
    <xf numFmtId="165" fontId="0" fillId="0" borderId="12" xfId="44" applyNumberFormat="1" applyFont="1" applyBorder="1" applyAlignment="1">
      <alignment/>
    </xf>
    <xf numFmtId="0" fontId="0" fillId="0" borderId="0" xfId="0" applyBorder="1" applyAlignment="1">
      <alignment/>
    </xf>
    <xf numFmtId="165" fontId="40" fillId="0" borderId="0" xfId="44" applyNumberFormat="1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10" xfId="0" applyNumberFormat="1" applyBorder="1" applyAlignment="1">
      <alignment/>
    </xf>
    <xf numFmtId="0" fontId="0" fillId="33" borderId="0" xfId="0" applyFill="1" applyAlignment="1">
      <alignment horizontal="centerContinuous"/>
    </xf>
    <xf numFmtId="9" fontId="0" fillId="0" borderId="0" xfId="57" applyFont="1" applyAlignment="1">
      <alignment/>
    </xf>
    <xf numFmtId="3" fontId="0" fillId="0" borderId="0" xfId="0" applyNumberFormat="1" applyAlignment="1">
      <alignment/>
    </xf>
    <xf numFmtId="164" fontId="40" fillId="0" borderId="0" xfId="0" applyNumberFormat="1" applyFont="1" applyAlignment="1">
      <alignment/>
    </xf>
    <xf numFmtId="164" fontId="40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0" fontId="39" fillId="0" borderId="10" xfId="0" applyFont="1" applyBorder="1" applyAlignment="1">
      <alignment/>
    </xf>
    <xf numFmtId="9" fontId="0" fillId="0" borderId="10" xfId="57" applyFont="1" applyBorder="1" applyAlignment="1">
      <alignment/>
    </xf>
    <xf numFmtId="2" fontId="0" fillId="0" borderId="0" xfId="0" applyNumberFormat="1" applyAlignment="1">
      <alignment/>
    </xf>
    <xf numFmtId="9" fontId="0" fillId="0" borderId="0" xfId="57" applyFont="1" applyFill="1" applyBorder="1" applyAlignment="1">
      <alignment/>
    </xf>
    <xf numFmtId="0" fontId="0" fillId="33" borderId="0" xfId="0" applyFill="1" applyAlignment="1">
      <alignment horizontal="center"/>
    </xf>
    <xf numFmtId="165" fontId="40" fillId="33" borderId="0" xfId="44" applyNumberFormat="1" applyFont="1" applyFill="1" applyAlignment="1">
      <alignment horizontal="center"/>
    </xf>
    <xf numFmtId="0" fontId="0" fillId="21" borderId="0" xfId="0" applyFill="1" applyAlignment="1">
      <alignment horizontal="center"/>
    </xf>
    <xf numFmtId="2" fontId="38" fillId="0" borderId="0" xfId="0" applyNumberFormat="1" applyFont="1" applyAlignment="1">
      <alignment/>
    </xf>
    <xf numFmtId="0" fontId="38" fillId="0" borderId="10" xfId="0" applyFont="1" applyBorder="1" applyAlignment="1">
      <alignment/>
    </xf>
    <xf numFmtId="9" fontId="0" fillId="0" borderId="0" xfId="57" applyFont="1" applyBorder="1" applyAlignment="1">
      <alignment/>
    </xf>
    <xf numFmtId="9" fontId="38" fillId="0" borderId="0" xfId="57" applyFont="1" applyBorder="1" applyAlignment="1">
      <alignment/>
    </xf>
    <xf numFmtId="9" fontId="38" fillId="0" borderId="10" xfId="57" applyFont="1" applyBorder="1" applyAlignment="1">
      <alignment/>
    </xf>
    <xf numFmtId="9" fontId="38" fillId="0" borderId="0" xfId="57" applyFont="1" applyAlignment="1">
      <alignment/>
    </xf>
    <xf numFmtId="9" fontId="38" fillId="0" borderId="0" xfId="57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21" borderId="0" xfId="0" applyFont="1" applyFill="1" applyAlignment="1">
      <alignment horizontal="center"/>
    </xf>
    <xf numFmtId="164" fontId="39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0" fontId="0" fillId="21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5" fontId="40" fillId="0" borderId="0" xfId="44" applyNumberFormat="1" applyFont="1" applyFill="1" applyAlignment="1">
      <alignment horizontal="center"/>
    </xf>
    <xf numFmtId="0" fontId="39" fillId="0" borderId="0" xfId="0" applyFont="1" applyFill="1" applyAlignment="1">
      <alignment/>
    </xf>
    <xf numFmtId="9" fontId="0" fillId="0" borderId="0" xfId="57" applyFont="1" applyFill="1" applyAlignment="1">
      <alignment horizontal="center"/>
    </xf>
    <xf numFmtId="9" fontId="38" fillId="0" borderId="0" xfId="57" applyFont="1" applyFill="1" applyAlignment="1">
      <alignment horizontal="center"/>
    </xf>
    <xf numFmtId="165" fontId="38" fillId="0" borderId="0" xfId="44" applyNumberFormat="1" applyFont="1" applyAlignment="1">
      <alignment/>
    </xf>
    <xf numFmtId="164" fontId="41" fillId="0" borderId="0" xfId="0" applyNumberFormat="1" applyFont="1" applyAlignment="1">
      <alignment/>
    </xf>
    <xf numFmtId="165" fontId="40" fillId="33" borderId="0" xfId="44" applyNumberFormat="1" applyFont="1" applyFill="1" applyAlignment="1">
      <alignment horizontal="centerContinuous"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164" fontId="41" fillId="0" borderId="10" xfId="0" applyNumberFormat="1" applyFont="1" applyBorder="1" applyAlignment="1">
      <alignment/>
    </xf>
    <xf numFmtId="164" fontId="39" fillId="0" borderId="10" xfId="0" applyNumberFormat="1" applyFont="1" applyFill="1" applyBorder="1" applyAlignment="1">
      <alignment/>
    </xf>
    <xf numFmtId="164" fontId="39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9" fontId="4" fillId="0" borderId="0" xfId="57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75" fontId="38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3"/>
  <sheetViews>
    <sheetView showGridLines="0" zoomScalePageLayoutView="0" workbookViewId="0" topLeftCell="A17">
      <selection activeCell="B24" activeCellId="3" sqref="B10 B16 B21 B24"/>
    </sheetView>
  </sheetViews>
  <sheetFormatPr defaultColWidth="9.33203125" defaultRowHeight="12"/>
  <cols>
    <col min="2" max="2" width="30.83203125" style="0" bestFit="1" customWidth="1"/>
    <col min="3" max="5" width="10.66015625" style="0" customWidth="1"/>
    <col min="6" max="6" width="11.5" style="0" customWidth="1"/>
    <col min="7" max="8" width="10.66015625" style="0" customWidth="1"/>
  </cols>
  <sheetData>
    <row r="2" spans="2:8" ht="12.75" thickBot="1">
      <c r="B2" s="7" t="s">
        <v>7</v>
      </c>
      <c r="C2" s="7">
        <v>2014</v>
      </c>
      <c r="D2" s="7">
        <v>2015</v>
      </c>
      <c r="E2" s="7">
        <v>2016</v>
      </c>
      <c r="F2" s="42">
        <v>2017</v>
      </c>
      <c r="G2" s="42">
        <v>2018</v>
      </c>
      <c r="H2" s="42">
        <v>2019</v>
      </c>
    </row>
    <row r="3" spans="2:8" ht="12.75" thickTop="1">
      <c r="B3" t="s">
        <v>8</v>
      </c>
      <c r="C3" s="32"/>
      <c r="D3" s="32" t="s">
        <v>43</v>
      </c>
      <c r="E3" s="33"/>
      <c r="F3" s="43"/>
      <c r="G3" s="43" t="s">
        <v>81</v>
      </c>
      <c r="H3" s="43"/>
    </row>
    <row r="4" spans="2:8" ht="12">
      <c r="B4" t="s">
        <v>9</v>
      </c>
      <c r="E4" s="10"/>
      <c r="F4" s="3"/>
      <c r="G4" s="3"/>
      <c r="H4" s="3"/>
    </row>
    <row r="5" spans="2:8" ht="12">
      <c r="B5" t="s">
        <v>0</v>
      </c>
      <c r="C5" s="10">
        <v>600326</v>
      </c>
      <c r="D5" s="10">
        <v>700061</v>
      </c>
      <c r="E5" s="10">
        <v>429774</v>
      </c>
      <c r="F5" s="64">
        <f aca="true" t="shared" si="0" ref="F5:H7">F36*F$8</f>
        <v>429774</v>
      </c>
      <c r="G5" s="64">
        <f t="shared" si="0"/>
        <v>429774</v>
      </c>
      <c r="H5" s="64">
        <f t="shared" si="0"/>
        <v>429774</v>
      </c>
    </row>
    <row r="6" spans="2:8" ht="12">
      <c r="B6" t="s">
        <v>2</v>
      </c>
      <c r="C6" s="10">
        <v>65108</v>
      </c>
      <c r="D6" s="10">
        <v>116714</v>
      </c>
      <c r="E6" s="10">
        <v>132245</v>
      </c>
      <c r="F6" s="64">
        <f t="shared" si="0"/>
        <v>132245</v>
      </c>
      <c r="G6" s="64">
        <f t="shared" si="0"/>
        <v>132245</v>
      </c>
      <c r="H6" s="64">
        <f t="shared" si="0"/>
        <v>132245</v>
      </c>
    </row>
    <row r="7" spans="2:8" ht="12">
      <c r="B7" t="s">
        <v>40</v>
      </c>
      <c r="C7" s="10">
        <v>67572</v>
      </c>
      <c r="D7" s="10">
        <v>72561</v>
      </c>
      <c r="E7" s="10">
        <v>77114</v>
      </c>
      <c r="F7" s="64">
        <f t="shared" si="0"/>
        <v>77114</v>
      </c>
      <c r="G7" s="64">
        <f t="shared" si="0"/>
        <v>77114</v>
      </c>
      <c r="H7" s="64">
        <f t="shared" si="0"/>
        <v>77114</v>
      </c>
    </row>
    <row r="8" spans="2:8" ht="12">
      <c r="B8" t="s">
        <v>41</v>
      </c>
      <c r="C8" s="13">
        <f>SUM(C5:C7)</f>
        <v>733006</v>
      </c>
      <c r="D8" s="13">
        <f>SUM(D5:D7)</f>
        <v>889336</v>
      </c>
      <c r="E8" s="13">
        <f>SUM(E5:E7)</f>
        <v>639133</v>
      </c>
      <c r="F8" s="64">
        <f>(1+F50)*E8</f>
        <v>639133</v>
      </c>
      <c r="G8" s="64">
        <f>(1+G50)*F8</f>
        <v>639133</v>
      </c>
      <c r="H8" s="64">
        <f>(1+H50)*G8</f>
        <v>639133</v>
      </c>
    </row>
    <row r="9" spans="2:8" ht="12">
      <c r="B9" s="16" t="s">
        <v>10</v>
      </c>
      <c r="C9" s="17"/>
      <c r="D9" s="17"/>
      <c r="E9" s="17"/>
      <c r="F9" s="4"/>
      <c r="G9" s="4"/>
      <c r="H9" s="4"/>
    </row>
    <row r="10" spans="2:8" ht="12">
      <c r="B10" s="18" t="s">
        <v>0</v>
      </c>
      <c r="C10" s="17">
        <v>-455547</v>
      </c>
      <c r="D10" s="17">
        <v>-539136</v>
      </c>
      <c r="E10" s="17">
        <f>-360755-12288</f>
        <v>-373043</v>
      </c>
      <c r="F10" s="25">
        <f aca="true" t="shared" si="1" ref="F10:H12">F$13*F40</f>
        <v>-373043</v>
      </c>
      <c r="G10" s="25">
        <f t="shared" si="1"/>
        <v>-373043</v>
      </c>
      <c r="H10" s="25">
        <f t="shared" si="1"/>
        <v>-373043</v>
      </c>
    </row>
    <row r="11" spans="2:8" ht="12">
      <c r="B11" s="18" t="s">
        <v>2</v>
      </c>
      <c r="C11" s="17">
        <v>-23733</v>
      </c>
      <c r="D11" s="17">
        <v>-36161</v>
      </c>
      <c r="E11" s="17">
        <v>-41732</v>
      </c>
      <c r="F11" s="25">
        <f t="shared" si="1"/>
        <v>-41732</v>
      </c>
      <c r="G11" s="25">
        <f t="shared" si="1"/>
        <v>-41732</v>
      </c>
      <c r="H11" s="25">
        <f t="shared" si="1"/>
        <v>-41732</v>
      </c>
    </row>
    <row r="12" spans="2:8" ht="12">
      <c r="B12" s="18" t="s">
        <v>40</v>
      </c>
      <c r="C12" s="17">
        <v>-54386</v>
      </c>
      <c r="D12" s="17">
        <v>-56492</v>
      </c>
      <c r="E12" s="17">
        <v>-62178</v>
      </c>
      <c r="F12" s="25">
        <f t="shared" si="1"/>
        <v>-62178</v>
      </c>
      <c r="G12" s="25">
        <f t="shared" si="1"/>
        <v>-62178</v>
      </c>
      <c r="H12" s="25">
        <f t="shared" si="1"/>
        <v>-62178</v>
      </c>
    </row>
    <row r="13" spans="2:8" ht="12">
      <c r="B13" s="2" t="s">
        <v>42</v>
      </c>
      <c r="C13" s="19">
        <f>SUM(C10:C12)</f>
        <v>-533666</v>
      </c>
      <c r="D13" s="19">
        <f>SUM(D10:D12)</f>
        <v>-631789</v>
      </c>
      <c r="E13" s="19">
        <f>SUM(E10:E12)</f>
        <v>-476953</v>
      </c>
      <c r="F13" s="65">
        <f>F44*F8</f>
        <v>-476953</v>
      </c>
      <c r="G13" s="65">
        <f>G44*G8</f>
        <v>-476953</v>
      </c>
      <c r="H13" s="65">
        <f>H44*H8</f>
        <v>-476953</v>
      </c>
    </row>
    <row r="14" spans="2:8" ht="12">
      <c r="B14" s="1" t="s">
        <v>11</v>
      </c>
      <c r="C14" s="12">
        <f aca="true" t="shared" si="2" ref="C14:H14">C8+C13</f>
        <v>199340</v>
      </c>
      <c r="D14" s="12">
        <f t="shared" si="2"/>
        <v>257547</v>
      </c>
      <c r="E14" s="12">
        <f t="shared" si="2"/>
        <v>162180</v>
      </c>
      <c r="F14" s="25">
        <f t="shared" si="2"/>
        <v>162180</v>
      </c>
      <c r="G14" s="25">
        <f t="shared" si="2"/>
        <v>162180</v>
      </c>
      <c r="H14" s="25">
        <f t="shared" si="2"/>
        <v>162180</v>
      </c>
    </row>
    <row r="15" spans="3:8" ht="12">
      <c r="C15" s="12"/>
      <c r="D15" s="12"/>
      <c r="E15" s="12"/>
      <c r="F15" s="4"/>
      <c r="G15" s="4"/>
      <c r="H15" s="4"/>
    </row>
    <row r="16" spans="2:8" ht="12">
      <c r="B16" s="2" t="s">
        <v>1</v>
      </c>
      <c r="C16" s="11">
        <f>-29420+138</f>
        <v>-29282</v>
      </c>
      <c r="D16" s="11">
        <f>-30866+25</f>
        <v>-30841</v>
      </c>
      <c r="E16" s="11">
        <f>-32343+272</f>
        <v>-32071</v>
      </c>
      <c r="F16" s="66">
        <f>F45*F8</f>
        <v>-32071</v>
      </c>
      <c r="G16" s="66">
        <f>G45*G8</f>
        <v>-32071</v>
      </c>
      <c r="H16" s="66">
        <f>H45*H8</f>
        <v>-32071</v>
      </c>
    </row>
    <row r="17" spans="2:8" ht="12">
      <c r="B17" s="1" t="s">
        <v>12</v>
      </c>
      <c r="C17" s="12">
        <f aca="true" t="shared" si="3" ref="C17:H17">C16</f>
        <v>-29282</v>
      </c>
      <c r="D17" s="12">
        <f t="shared" si="3"/>
        <v>-30841</v>
      </c>
      <c r="E17" s="12">
        <f t="shared" si="3"/>
        <v>-32071</v>
      </c>
      <c r="F17" s="25">
        <f t="shared" si="3"/>
        <v>-32071</v>
      </c>
      <c r="G17" s="25">
        <f t="shared" si="3"/>
        <v>-32071</v>
      </c>
      <c r="H17" s="25">
        <f t="shared" si="3"/>
        <v>-32071</v>
      </c>
    </row>
    <row r="18" spans="3:8" ht="12">
      <c r="C18" s="12"/>
      <c r="D18" s="12"/>
      <c r="E18" s="12"/>
      <c r="F18" s="4"/>
      <c r="G18" s="4"/>
      <c r="H18" s="4"/>
    </row>
    <row r="19" spans="2:8" ht="12">
      <c r="B19" s="1" t="s">
        <v>13</v>
      </c>
      <c r="C19" s="12">
        <f aca="true" t="shared" si="4" ref="C19:H19">C14+C17</f>
        <v>170058</v>
      </c>
      <c r="D19" s="12">
        <f t="shared" si="4"/>
        <v>226706</v>
      </c>
      <c r="E19" s="12">
        <f t="shared" si="4"/>
        <v>130109</v>
      </c>
      <c r="F19" s="12">
        <f t="shared" si="4"/>
        <v>130109</v>
      </c>
      <c r="G19" s="12">
        <f t="shared" si="4"/>
        <v>130109</v>
      </c>
      <c r="H19" s="12">
        <f t="shared" si="4"/>
        <v>130109</v>
      </c>
    </row>
    <row r="20" spans="3:8" ht="12">
      <c r="C20" s="12"/>
      <c r="D20" s="12"/>
      <c r="E20" s="12"/>
      <c r="F20" s="4"/>
      <c r="G20" s="4"/>
      <c r="H20" s="4"/>
    </row>
    <row r="21" spans="2:8" ht="12">
      <c r="B21" s="8" t="s">
        <v>14</v>
      </c>
      <c r="C21" s="11">
        <f>34212+549</f>
        <v>34761</v>
      </c>
      <c r="D21" s="11">
        <f>45729+393</f>
        <v>46122</v>
      </c>
      <c r="E21" s="11">
        <f>52216+506</f>
        <v>52722</v>
      </c>
      <c r="F21" s="66">
        <f>F8*F46</f>
        <v>52722</v>
      </c>
      <c r="G21" s="66">
        <f>G8*G46</f>
        <v>52722</v>
      </c>
      <c r="H21" s="66">
        <f>H8*H46</f>
        <v>52722</v>
      </c>
    </row>
    <row r="22" spans="2:8" ht="12">
      <c r="B22" s="1" t="s">
        <v>15</v>
      </c>
      <c r="C22" s="13">
        <f aca="true" t="shared" si="5" ref="C22:H22">C19+C21</f>
        <v>204819</v>
      </c>
      <c r="D22" s="13">
        <f t="shared" si="5"/>
        <v>272828</v>
      </c>
      <c r="E22" s="13">
        <f t="shared" si="5"/>
        <v>182831</v>
      </c>
      <c r="F22" s="25">
        <f t="shared" si="5"/>
        <v>182831</v>
      </c>
      <c r="G22" s="25">
        <f t="shared" si="5"/>
        <v>182831</v>
      </c>
      <c r="H22" s="25">
        <f t="shared" si="5"/>
        <v>182831</v>
      </c>
    </row>
    <row r="23" spans="3:8" ht="12">
      <c r="C23" s="12"/>
      <c r="D23" s="12"/>
      <c r="E23" s="12"/>
      <c r="F23" s="4"/>
      <c r="G23" s="4"/>
      <c r="H23" s="4"/>
    </row>
    <row r="24" spans="2:8" ht="12">
      <c r="B24" s="1" t="s">
        <v>66</v>
      </c>
      <c r="C24" s="10">
        <f>2517-7622-1896-20+1570</f>
        <v>-5451</v>
      </c>
      <c r="D24" s="10">
        <f>2164-21801-2126-11+5812</f>
        <v>-15962</v>
      </c>
      <c r="E24" s="10">
        <f>1785-22803+0+185+4924</f>
        <v>-15909</v>
      </c>
      <c r="F24" s="25">
        <f>((F62*('Cash flow simple'!D29+'Cash flow simple'!E29))/2)-(('Income Simple'!F63*(SUM('Balance Simple'!E20,'Balance Simple'!E25)+SUM('Balance Simple'!F20,'Balance Simple'!F25))/2))</f>
        <v>-23721.771223675652</v>
      </c>
      <c r="G24" s="25">
        <f>((G62*('Cash flow simple'!E29+'Cash flow simple'!F29))/2)-(('Income Simple'!G63*(SUM('Balance Simple'!F20,'Balance Simple'!F25)+SUM('Balance Simple'!G20,'Balance Simple'!G25))/2))</f>
        <v>-25814.772469947668</v>
      </c>
      <c r="H24" s="25">
        <f>((H62*('Cash flow simple'!F29+'Cash flow simple'!G29))/2)-(('Income Simple'!H63*(SUM('Balance Simple'!G20,'Balance Simple'!G25)+SUM('Balance Simple'!H20,'Balance Simple'!H25))/2))</f>
        <v>-27875.899286957792</v>
      </c>
    </row>
    <row r="25" spans="3:8" ht="12">
      <c r="C25" s="12"/>
      <c r="D25" s="12"/>
      <c r="E25" s="12"/>
      <c r="F25" s="4"/>
      <c r="G25" s="4"/>
      <c r="H25" s="4"/>
    </row>
    <row r="26" spans="2:8" ht="12">
      <c r="B26" s="1" t="s">
        <v>16</v>
      </c>
      <c r="C26" s="12">
        <f aca="true" t="shared" si="6" ref="C26:H26">C19+C24</f>
        <v>164607</v>
      </c>
      <c r="D26" s="12">
        <f t="shared" si="6"/>
        <v>210744</v>
      </c>
      <c r="E26" s="12">
        <f t="shared" si="6"/>
        <v>114200</v>
      </c>
      <c r="F26" s="12">
        <f t="shared" si="6"/>
        <v>106387.22877632435</v>
      </c>
      <c r="G26" s="12">
        <f t="shared" si="6"/>
        <v>104294.22753005233</v>
      </c>
      <c r="H26" s="12">
        <f t="shared" si="6"/>
        <v>102233.10071304221</v>
      </c>
    </row>
    <row r="27" spans="3:8" ht="12">
      <c r="C27" s="12"/>
      <c r="D27" s="12"/>
      <c r="E27" s="12"/>
      <c r="F27" s="4"/>
      <c r="G27" s="4"/>
      <c r="H27" s="4"/>
    </row>
    <row r="28" spans="2:8" ht="12">
      <c r="B28" s="1" t="s">
        <v>3</v>
      </c>
      <c r="C28" s="12">
        <v>-65074</v>
      </c>
      <c r="D28" s="12">
        <v>-77291</v>
      </c>
      <c r="E28" s="12">
        <v>-41537</v>
      </c>
      <c r="F28" s="64">
        <f>-(F19*F47)</f>
        <v>-41537</v>
      </c>
      <c r="G28" s="64">
        <f>-(G19*G47)</f>
        <v>-41537</v>
      </c>
      <c r="H28" s="64">
        <f>-(H19*H47)</f>
        <v>-41537</v>
      </c>
    </row>
    <row r="29" spans="2:8" ht="12">
      <c r="B29" s="2"/>
      <c r="C29" s="14"/>
      <c r="D29" s="14"/>
      <c r="E29" s="14"/>
      <c r="F29" s="4"/>
      <c r="G29" s="4"/>
      <c r="H29" s="4"/>
    </row>
    <row r="30" spans="2:8" ht="12.75" thickBot="1">
      <c r="B30" s="9" t="s">
        <v>17</v>
      </c>
      <c r="C30" s="15">
        <f aca="true" t="shared" si="7" ref="C30:H30">C26+C28</f>
        <v>99533</v>
      </c>
      <c r="D30" s="15">
        <f t="shared" si="7"/>
        <v>133453</v>
      </c>
      <c r="E30" s="15">
        <f t="shared" si="7"/>
        <v>72663</v>
      </c>
      <c r="F30" s="15">
        <f t="shared" si="7"/>
        <v>64850.22877632435</v>
      </c>
      <c r="G30" s="15">
        <f t="shared" si="7"/>
        <v>62757.22753005233</v>
      </c>
      <c r="H30" s="15">
        <f t="shared" si="7"/>
        <v>60696.10071304221</v>
      </c>
    </row>
    <row r="31" ht="12.75" thickTop="1"/>
    <row r="33" spans="2:8" ht="12.75" thickBot="1">
      <c r="B33" s="7" t="s">
        <v>75</v>
      </c>
      <c r="C33" s="7"/>
      <c r="D33" s="7">
        <v>2015</v>
      </c>
      <c r="E33" s="7">
        <v>2016</v>
      </c>
      <c r="F33" s="7">
        <v>2017</v>
      </c>
      <c r="G33" s="7">
        <v>2018</v>
      </c>
      <c r="H33" s="7">
        <v>2019</v>
      </c>
    </row>
    <row r="34" spans="2:8" ht="12.75" thickTop="1">
      <c r="B34" t="s">
        <v>18</v>
      </c>
      <c r="C34" s="32"/>
      <c r="D34" s="32" t="s">
        <v>43</v>
      </c>
      <c r="E34" s="33"/>
      <c r="F34" s="34"/>
      <c r="G34" s="34" t="s">
        <v>81</v>
      </c>
      <c r="H34" s="34"/>
    </row>
    <row r="35" spans="2:8" ht="12">
      <c r="B35" s="2" t="s">
        <v>71</v>
      </c>
      <c r="C35" s="2"/>
      <c r="D35" s="2"/>
      <c r="E35" s="2"/>
      <c r="F35" s="36"/>
      <c r="G35" s="36"/>
      <c r="H35" s="36"/>
    </row>
    <row r="36" spans="2:8" ht="12">
      <c r="B36" s="18" t="s">
        <v>82</v>
      </c>
      <c r="C36" s="37">
        <f>C5/C$8</f>
        <v>0.8189919318532182</v>
      </c>
      <c r="D36" s="37">
        <f>D5/D$8</f>
        <v>0.7871726771433969</v>
      </c>
      <c r="E36" s="37">
        <f>E5/E$8</f>
        <v>0.6724328113240906</v>
      </c>
      <c r="F36" s="38">
        <v>0.6724328113240906</v>
      </c>
      <c r="G36" s="38">
        <v>0.6724328113240906</v>
      </c>
      <c r="H36" s="38">
        <v>0.6724328113240906</v>
      </c>
    </row>
    <row r="37" spans="2:8" ht="12">
      <c r="B37" s="18" t="s">
        <v>83</v>
      </c>
      <c r="C37" s="37">
        <f aca="true" t="shared" si="8" ref="C37:E38">C6/C$8</f>
        <v>0.08882328384760835</v>
      </c>
      <c r="D37" s="37">
        <f t="shared" si="8"/>
        <v>0.13123723766945228</v>
      </c>
      <c r="E37" s="37">
        <f t="shared" si="8"/>
        <v>0.20691311511062643</v>
      </c>
      <c r="F37" s="38">
        <v>0.20691311511062643</v>
      </c>
      <c r="G37" s="38">
        <v>0.20691311511062643</v>
      </c>
      <c r="H37" s="38">
        <v>0.20691311511062643</v>
      </c>
    </row>
    <row r="38" spans="2:8" ht="12">
      <c r="B38" s="18" t="s">
        <v>84</v>
      </c>
      <c r="C38" s="37">
        <f t="shared" si="8"/>
        <v>0.09218478429917354</v>
      </c>
      <c r="D38" s="37">
        <f t="shared" si="8"/>
        <v>0.08159008518715086</v>
      </c>
      <c r="E38" s="37">
        <f t="shared" si="8"/>
        <v>0.12065407356528297</v>
      </c>
      <c r="F38" s="38">
        <v>0.12065407356528297</v>
      </c>
      <c r="G38" s="38">
        <v>0.12065407356528297</v>
      </c>
      <c r="H38" s="38">
        <v>0.12065407356528297</v>
      </c>
    </row>
    <row r="39" spans="2:8" ht="12">
      <c r="B39" s="18" t="s">
        <v>96</v>
      </c>
      <c r="C39" s="37"/>
      <c r="D39" s="37"/>
      <c r="E39" s="37"/>
      <c r="F39" s="63">
        <f>SUM(F36:F38)</f>
        <v>1</v>
      </c>
      <c r="G39" s="63">
        <f>SUM(G36:G38)</f>
        <v>1</v>
      </c>
      <c r="H39" s="63">
        <f>SUM(H36:H38)</f>
        <v>1</v>
      </c>
    </row>
    <row r="40" spans="2:8" ht="12">
      <c r="B40" s="18" t="s">
        <v>85</v>
      </c>
      <c r="C40" s="37">
        <f aca="true" t="shared" si="9" ref="C40:E42">C10/C$13</f>
        <v>0.8536181806598134</v>
      </c>
      <c r="D40" s="37">
        <f t="shared" si="9"/>
        <v>0.8533481906142716</v>
      </c>
      <c r="E40" s="37">
        <f t="shared" si="9"/>
        <v>0.7821378626405536</v>
      </c>
      <c r="F40" s="38">
        <v>0.7821378626405536</v>
      </c>
      <c r="G40" s="38">
        <v>0.7821378626405536</v>
      </c>
      <c r="H40" s="38">
        <v>0.7821378626405536</v>
      </c>
    </row>
    <row r="41" spans="2:8" ht="12">
      <c r="B41" s="18" t="s">
        <v>86</v>
      </c>
      <c r="C41" s="37">
        <f t="shared" si="9"/>
        <v>0.044471635817159044</v>
      </c>
      <c r="D41" s="37">
        <f t="shared" si="9"/>
        <v>0.05723588096658853</v>
      </c>
      <c r="E41" s="37">
        <f t="shared" si="9"/>
        <v>0.0874970909083285</v>
      </c>
      <c r="F41" s="38">
        <v>0.0874970909083285</v>
      </c>
      <c r="G41" s="38">
        <v>0.0874970909083285</v>
      </c>
      <c r="H41" s="38">
        <v>0.0874970909083285</v>
      </c>
    </row>
    <row r="42" spans="2:8" ht="12">
      <c r="B42" s="18" t="s">
        <v>87</v>
      </c>
      <c r="C42" s="37">
        <f t="shared" si="9"/>
        <v>0.10191018352302751</v>
      </c>
      <c r="D42" s="37">
        <f t="shared" si="9"/>
        <v>0.08941592841913994</v>
      </c>
      <c r="E42" s="37">
        <f t="shared" si="9"/>
        <v>0.13036504645111782</v>
      </c>
      <c r="F42" s="38">
        <v>0.13036504645111782</v>
      </c>
      <c r="G42" s="38">
        <v>0.13036504645111782</v>
      </c>
      <c r="H42" s="38">
        <v>0.13036504645111782</v>
      </c>
    </row>
    <row r="43" spans="2:8" ht="12">
      <c r="B43" s="18" t="s">
        <v>96</v>
      </c>
      <c r="C43" s="37"/>
      <c r="D43" s="37"/>
      <c r="E43" s="37"/>
      <c r="F43" s="63">
        <f>SUM(F40:F42)</f>
        <v>0.9999999999999999</v>
      </c>
      <c r="G43" s="63">
        <f>SUM(G40:G42)</f>
        <v>0.9999999999999999</v>
      </c>
      <c r="H43" s="63">
        <f>SUM(H40:H42)</f>
        <v>0.9999999999999999</v>
      </c>
    </row>
    <row r="44" spans="2:8" ht="12">
      <c r="B44" t="s">
        <v>20</v>
      </c>
      <c r="C44" s="21">
        <f>(C13/C8)</f>
        <v>-0.728051339279624</v>
      </c>
      <c r="D44" s="21">
        <f>(D13/D8)</f>
        <v>-0.7104052911385573</v>
      </c>
      <c r="E44" s="21">
        <f>(E13/E8)</f>
        <v>-0.7462499980442255</v>
      </c>
      <c r="F44" s="41">
        <v>-0.7462499980442255</v>
      </c>
      <c r="G44" s="41">
        <v>-0.7462499980442255</v>
      </c>
      <c r="H44" s="41">
        <v>-0.7462499980442255</v>
      </c>
    </row>
    <row r="45" spans="2:8" ht="12">
      <c r="B45" t="s">
        <v>68</v>
      </c>
      <c r="C45" s="21">
        <f>(C16/C8)</f>
        <v>-0.039947831259225706</v>
      </c>
      <c r="D45" s="21">
        <f>(D16/D8)</f>
        <v>-0.03467868162314356</v>
      </c>
      <c r="E45" s="21">
        <f>(E16/E8)</f>
        <v>-0.050178914247895195</v>
      </c>
      <c r="F45" s="38">
        <v>-0.050178914247895195</v>
      </c>
      <c r="G45" s="38">
        <v>-0.050178914247895195</v>
      </c>
      <c r="H45" s="38">
        <v>-0.050178914247895195</v>
      </c>
    </row>
    <row r="46" spans="2:8" ht="12">
      <c r="B46" t="s">
        <v>88</v>
      </c>
      <c r="C46" s="21">
        <f>C21/C8</f>
        <v>0.047422531329893616</v>
      </c>
      <c r="D46" s="21">
        <f>D21/D8</f>
        <v>0.051861163834591203</v>
      </c>
      <c r="E46" s="21">
        <f>E21/E8</f>
        <v>0.08248987299982946</v>
      </c>
      <c r="F46" s="38">
        <v>0.08248987299982946</v>
      </c>
      <c r="G46" s="38">
        <v>0.08248987299982946</v>
      </c>
      <c r="H46" s="38">
        <v>0.08248987299982946</v>
      </c>
    </row>
    <row r="47" spans="2:8" ht="12">
      <c r="B47" t="s">
        <v>21</v>
      </c>
      <c r="C47" s="21">
        <f>ABS(C28/C19)</f>
        <v>0.38265768149690105</v>
      </c>
      <c r="D47" s="21">
        <f>ABS(D28/D19)</f>
        <v>0.3409305444055296</v>
      </c>
      <c r="E47" s="37">
        <f>ABS(E28/E19)</f>
        <v>0.3192477076912435</v>
      </c>
      <c r="F47" s="38">
        <v>0.3192477076912435</v>
      </c>
      <c r="G47" s="38">
        <v>0.3192477076912435</v>
      </c>
      <c r="H47" s="38">
        <v>0.3192477076912435</v>
      </c>
    </row>
    <row r="48" spans="4:8" ht="12">
      <c r="D48" s="21"/>
      <c r="E48" s="37"/>
      <c r="F48" s="38"/>
      <c r="G48" s="38"/>
      <c r="H48" s="38"/>
    </row>
    <row r="49" spans="2:8" ht="12">
      <c r="B49" s="28" t="s">
        <v>70</v>
      </c>
      <c r="C49" s="28"/>
      <c r="D49" s="29"/>
      <c r="E49" s="2"/>
      <c r="F49" s="39"/>
      <c r="G49" s="39"/>
      <c r="H49" s="39"/>
    </row>
    <row r="50" spans="2:8" ht="12">
      <c r="B50" t="s">
        <v>19</v>
      </c>
      <c r="C50" t="s">
        <v>67</v>
      </c>
      <c r="D50" s="21">
        <f>(D8/C8)-1</f>
        <v>0.21327246980242998</v>
      </c>
      <c r="E50" s="37">
        <f>(E8/D8)-1</f>
        <v>-0.2813368625581333</v>
      </c>
      <c r="F50" s="38">
        <v>0</v>
      </c>
      <c r="G50" s="38">
        <v>0</v>
      </c>
      <c r="H50" s="38">
        <v>0</v>
      </c>
    </row>
    <row r="51" spans="2:8" ht="12">
      <c r="B51" t="s">
        <v>0</v>
      </c>
      <c r="C51" t="s">
        <v>67</v>
      </c>
      <c r="D51" s="21">
        <f aca="true" t="shared" si="10" ref="D51:E53">(D5/C5)-1</f>
        <v>0.166134733461486</v>
      </c>
      <c r="E51" s="37">
        <f t="shared" si="10"/>
        <v>-0.38609064067274135</v>
      </c>
      <c r="F51" s="38">
        <v>-0.1</v>
      </c>
      <c r="G51" s="38">
        <v>-0.1</v>
      </c>
      <c r="H51" s="38">
        <v>-0.1</v>
      </c>
    </row>
    <row r="52" spans="2:8" ht="12">
      <c r="B52" t="s">
        <v>2</v>
      </c>
      <c r="C52" t="s">
        <v>67</v>
      </c>
      <c r="D52" s="21">
        <f t="shared" si="10"/>
        <v>0.7926214904466424</v>
      </c>
      <c r="E52" s="37">
        <f t="shared" si="10"/>
        <v>0.13306886920163818</v>
      </c>
      <c r="F52" s="38">
        <v>-0.1</v>
      </c>
      <c r="G52" s="38">
        <v>-0.1</v>
      </c>
      <c r="H52" s="38">
        <v>-0.1</v>
      </c>
    </row>
    <row r="53" spans="2:8" ht="12">
      <c r="B53" t="s">
        <v>40</v>
      </c>
      <c r="C53" t="s">
        <v>67</v>
      </c>
      <c r="D53" s="21">
        <f t="shared" si="10"/>
        <v>0.07383235659740728</v>
      </c>
      <c r="E53" s="37">
        <f t="shared" si="10"/>
        <v>0.06274720579925863</v>
      </c>
      <c r="F53" s="38">
        <v>-0.1</v>
      </c>
      <c r="G53" s="38">
        <v>-0.1</v>
      </c>
      <c r="H53" s="38">
        <v>-0.1</v>
      </c>
    </row>
    <row r="54" spans="2:8" ht="12">
      <c r="B54" t="s">
        <v>11</v>
      </c>
      <c r="C54" t="s">
        <v>67</v>
      </c>
      <c r="D54" s="21">
        <f>(D14/C14)-1</f>
        <v>0.2919985953647035</v>
      </c>
      <c r="E54" s="37">
        <f>(E14/D14)-1</f>
        <v>-0.37028969469650197</v>
      </c>
      <c r="F54" s="38">
        <v>-0.37028969469650197</v>
      </c>
      <c r="G54" s="38">
        <v>-0.37028969469650197</v>
      </c>
      <c r="H54" s="38">
        <v>-0.37028969469650197</v>
      </c>
    </row>
    <row r="55" spans="2:8" ht="12">
      <c r="B55" t="s">
        <v>72</v>
      </c>
      <c r="C55" t="s">
        <v>67</v>
      </c>
      <c r="D55" s="21">
        <f>(D19/C19)-1</f>
        <v>0.33310988015853416</v>
      </c>
      <c r="E55" s="37">
        <f>(E19/D19)-1</f>
        <v>-0.4260892962691768</v>
      </c>
      <c r="F55" s="38">
        <v>-0.4260892962691768</v>
      </c>
      <c r="G55" s="38">
        <v>-0.4260892962691768</v>
      </c>
      <c r="H55" s="38">
        <v>-0.4260892962691768</v>
      </c>
    </row>
    <row r="56" spans="2:8" ht="12">
      <c r="B56" t="s">
        <v>17</v>
      </c>
      <c r="C56" t="s">
        <v>67</v>
      </c>
      <c r="D56" s="21">
        <f>(D30/C30)-1</f>
        <v>0.3407914962876635</v>
      </c>
      <c r="E56" s="37">
        <f>(E30/D30)-1</f>
        <v>-0.45551617423362534</v>
      </c>
      <c r="F56" s="38">
        <v>-0.45551617423362534</v>
      </c>
      <c r="G56" s="38">
        <v>-0.45551617423362534</v>
      </c>
      <c r="H56" s="38">
        <v>-0.45551617423362534</v>
      </c>
    </row>
    <row r="57" spans="4:8" ht="12">
      <c r="D57" s="21"/>
      <c r="E57" s="37"/>
      <c r="F57" s="38"/>
      <c r="G57" s="38"/>
      <c r="H57" s="38"/>
    </row>
    <row r="58" spans="2:8" ht="12">
      <c r="B58" s="2" t="s">
        <v>73</v>
      </c>
      <c r="C58" s="2"/>
      <c r="D58" s="29"/>
      <c r="E58" s="29"/>
      <c r="F58" s="39"/>
      <c r="G58" s="39"/>
      <c r="H58" s="39"/>
    </row>
    <row r="59" spans="2:8" ht="12">
      <c r="B59" s="18" t="s">
        <v>74</v>
      </c>
      <c r="C59" s="18" t="s">
        <v>67</v>
      </c>
      <c r="D59" s="31">
        <f>D14/D8</f>
        <v>0.2895947088614427</v>
      </c>
      <c r="E59" s="21">
        <f>E14/E8</f>
        <v>0.25375000195577446</v>
      </c>
      <c r="F59" s="40">
        <v>0.25375000195577446</v>
      </c>
      <c r="G59" s="40">
        <v>0.25375000195577446</v>
      </c>
      <c r="H59" s="40">
        <v>0.25375000195577446</v>
      </c>
    </row>
    <row r="61" spans="2:8" ht="12">
      <c r="B61" s="2" t="s">
        <v>97</v>
      </c>
      <c r="C61" s="2"/>
      <c r="D61" s="2"/>
      <c r="E61" s="2"/>
      <c r="F61" s="2"/>
      <c r="G61" s="2"/>
      <c r="H61" s="2"/>
    </row>
    <row r="62" spans="2:8" ht="12">
      <c r="B62" s="18" t="s">
        <v>98</v>
      </c>
      <c r="F62" s="69">
        <v>0.002</v>
      </c>
      <c r="G62" s="69">
        <v>0.002</v>
      </c>
      <c r="H62" s="69">
        <v>0.002</v>
      </c>
    </row>
    <row r="63" spans="2:8" ht="12">
      <c r="B63" s="18" t="s">
        <v>99</v>
      </c>
      <c r="F63" s="40">
        <v>0.04</v>
      </c>
      <c r="G63" s="40">
        <v>0.04</v>
      </c>
      <c r="H63" s="40">
        <v>0.04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8"/>
  <sheetViews>
    <sheetView showGridLines="0" zoomScalePageLayoutView="0" workbookViewId="0" topLeftCell="A7">
      <selection activeCell="B25" activeCellId="5" sqref="B5 B7 B12 B13 B24 B25"/>
    </sheetView>
  </sheetViews>
  <sheetFormatPr defaultColWidth="9.33203125" defaultRowHeight="12"/>
  <cols>
    <col min="2" max="2" width="34.83203125" style="0" bestFit="1" customWidth="1"/>
    <col min="3" max="4" width="11.5" style="0" bestFit="1" customWidth="1"/>
    <col min="5" max="5" width="11.5" style="0" customWidth="1"/>
    <col min="6" max="8" width="12.16015625" style="0" customWidth="1"/>
  </cols>
  <sheetData>
    <row r="2" spans="2:8" ht="12.75" thickBot="1">
      <c r="B2" s="7" t="s">
        <v>22</v>
      </c>
      <c r="C2" s="7">
        <v>2014</v>
      </c>
      <c r="D2" s="7">
        <v>2015</v>
      </c>
      <c r="E2" s="7">
        <v>2016</v>
      </c>
      <c r="F2" s="7">
        <v>2017</v>
      </c>
      <c r="G2" s="7">
        <v>2018</v>
      </c>
      <c r="H2" s="7">
        <v>2019</v>
      </c>
    </row>
    <row r="3" spans="2:8" ht="12.75" thickTop="1">
      <c r="B3" t="s">
        <v>23</v>
      </c>
      <c r="C3" s="32"/>
      <c r="D3" s="32" t="s">
        <v>43</v>
      </c>
      <c r="E3" s="32"/>
      <c r="F3" s="34"/>
      <c r="G3" s="34" t="s">
        <v>81</v>
      </c>
      <c r="H3" s="34"/>
    </row>
    <row r="4" spans="2:4" ht="12">
      <c r="B4" s="1" t="s">
        <v>24</v>
      </c>
      <c r="C4" s="1"/>
      <c r="D4" s="1"/>
    </row>
    <row r="5" spans="2:8" ht="12">
      <c r="B5" t="s">
        <v>25</v>
      </c>
      <c r="C5" s="23">
        <f>88109+7178</f>
        <v>95287</v>
      </c>
      <c r="D5" s="23">
        <v>298064</v>
      </c>
      <c r="E5" s="23">
        <v>178571</v>
      </c>
      <c r="F5" s="61">
        <f>'Cash flow simple'!E29</f>
        <v>253941.78896841593</v>
      </c>
      <c r="G5" s="61">
        <f>'Cash flow simple'!F29</f>
        <v>327826.0801707698</v>
      </c>
      <c r="H5" s="61">
        <f>'Cash flow simple'!G29</f>
        <v>400246.5115619969</v>
      </c>
    </row>
    <row r="6" spans="2:8" ht="12">
      <c r="B6" t="s">
        <v>93</v>
      </c>
      <c r="C6" s="23"/>
      <c r="D6" s="23">
        <v>16917</v>
      </c>
      <c r="E6" s="23">
        <f>16714+8958</f>
        <v>25672</v>
      </c>
      <c r="F6" s="62">
        <v>25672</v>
      </c>
      <c r="G6" s="62">
        <v>25672</v>
      </c>
      <c r="H6" s="62">
        <v>25672</v>
      </c>
    </row>
    <row r="7" spans="2:8" ht="12">
      <c r="B7" t="s">
        <v>4</v>
      </c>
      <c r="C7" s="23">
        <f>33618+33027</f>
        <v>66645</v>
      </c>
      <c r="D7" s="23">
        <f>29018+9401</f>
        <v>38419</v>
      </c>
      <c r="E7" s="23">
        <f>39727+4790</f>
        <v>44517</v>
      </c>
      <c r="F7" s="44">
        <f>(F32*'Income Simple'!F8)/365</f>
        <v>44516.99999999999</v>
      </c>
      <c r="G7" s="44">
        <f>(G32*'Income Simple'!G8)/365</f>
        <v>44516.99999999999</v>
      </c>
      <c r="H7" s="44">
        <f>(H32*'Income Simple'!H8)/365</f>
        <v>44516.99999999999</v>
      </c>
    </row>
    <row r="8" spans="2:8" ht="12">
      <c r="B8" t="s">
        <v>5</v>
      </c>
      <c r="C8" s="23">
        <v>117007</v>
      </c>
      <c r="D8" s="23">
        <v>96965</v>
      </c>
      <c r="E8" s="23">
        <v>75028</v>
      </c>
      <c r="F8" s="44">
        <f>(F33*'Income Simple'!F13)/365</f>
        <v>75028</v>
      </c>
      <c r="G8" s="44">
        <f>(G33*'Income Simple'!G13)/365</f>
        <v>75028</v>
      </c>
      <c r="H8" s="44">
        <f>(H33*'Income Simple'!H13)/365</f>
        <v>75028</v>
      </c>
    </row>
    <row r="9" spans="2:8" ht="12">
      <c r="B9" s="2" t="s">
        <v>26</v>
      </c>
      <c r="C9" s="24">
        <f>33879+7688+5353</f>
        <v>46920</v>
      </c>
      <c r="D9" s="24">
        <f>3058+4058</f>
        <v>7116</v>
      </c>
      <c r="E9" s="24">
        <v>8623</v>
      </c>
      <c r="F9" s="45">
        <f>(F34*'Income Simple'!F8)</f>
        <v>8623</v>
      </c>
      <c r="G9" s="45">
        <f>(G34*'Income Simple'!G8)</f>
        <v>8623</v>
      </c>
      <c r="H9" s="45">
        <f>(H34*'Income Simple'!H8)</f>
        <v>8623</v>
      </c>
    </row>
    <row r="10" spans="2:8" ht="12">
      <c r="B10" s="1" t="s">
        <v>27</v>
      </c>
      <c r="C10" s="25">
        <f aca="true" t="shared" si="0" ref="C10:H10">SUM(C5:C9)</f>
        <v>325859</v>
      </c>
      <c r="D10" s="25">
        <f t="shared" si="0"/>
        <v>457481</v>
      </c>
      <c r="E10" s="25">
        <f t="shared" si="0"/>
        <v>332411</v>
      </c>
      <c r="F10" s="44">
        <f t="shared" si="0"/>
        <v>407781.78896841593</v>
      </c>
      <c r="G10" s="44">
        <f t="shared" si="0"/>
        <v>481666.0801707698</v>
      </c>
      <c r="H10" s="44">
        <f t="shared" si="0"/>
        <v>554086.5115619969</v>
      </c>
    </row>
    <row r="11" spans="3:8" ht="12">
      <c r="C11" s="5"/>
      <c r="D11" s="5"/>
      <c r="E11" s="5"/>
      <c r="F11" s="44"/>
      <c r="G11" s="44"/>
      <c r="H11" s="44"/>
    </row>
    <row r="12" spans="2:8" ht="12">
      <c r="B12" t="s">
        <v>28</v>
      </c>
      <c r="C12" s="23">
        <f>160787+663315</f>
        <v>824102</v>
      </c>
      <c r="D12" s="23">
        <f>176311+848717</f>
        <v>1025028</v>
      </c>
      <c r="E12" s="23">
        <f>177051+908010</f>
        <v>1085061</v>
      </c>
      <c r="F12" s="61">
        <f>E12-'Cash flow simple'!E16-'Cash flow simple'!E6</f>
        <v>1055696.3394614267</v>
      </c>
      <c r="G12" s="61">
        <f>F12-'Cash flow simple'!F16-'Cash flow simple'!F6</f>
        <v>1026331.6789228534</v>
      </c>
      <c r="H12" s="61">
        <f>G12-'Cash flow simple'!G16-'Cash flow simple'!G6</f>
        <v>996967.0183842801</v>
      </c>
    </row>
    <row r="13" spans="2:8" ht="12">
      <c r="B13" t="s">
        <v>29</v>
      </c>
      <c r="C13" s="23">
        <f>2148+29168+3963</f>
        <v>35279</v>
      </c>
      <c r="D13" s="23">
        <f>5656+27397+7424</f>
        <v>40477</v>
      </c>
      <c r="E13" s="23">
        <f>26332+5277</f>
        <v>31609</v>
      </c>
      <c r="F13" s="54">
        <v>31609</v>
      </c>
      <c r="G13" s="54">
        <v>31609</v>
      </c>
      <c r="H13" s="54">
        <v>31609</v>
      </c>
    </row>
    <row r="14" spans="2:8" ht="12">
      <c r="B14" s="2" t="s">
        <v>6</v>
      </c>
      <c r="C14" s="24">
        <v>7169</v>
      </c>
      <c r="D14" s="24">
        <v>7169</v>
      </c>
      <c r="E14" s="24">
        <v>7169</v>
      </c>
      <c r="F14" s="59">
        <v>7169</v>
      </c>
      <c r="G14" s="59">
        <v>7169</v>
      </c>
      <c r="H14" s="59">
        <v>7169</v>
      </c>
    </row>
    <row r="15" spans="2:8" ht="12">
      <c r="B15" s="1" t="s">
        <v>30</v>
      </c>
      <c r="C15" s="25">
        <f aca="true" t="shared" si="1" ref="C15:H15">SUM(C10,C12:C14)</f>
        <v>1192409</v>
      </c>
      <c r="D15" s="25">
        <f t="shared" si="1"/>
        <v>1530155</v>
      </c>
      <c r="E15" s="25">
        <f t="shared" si="1"/>
        <v>1456250</v>
      </c>
      <c r="F15" s="44">
        <f t="shared" si="1"/>
        <v>1502256.1284298426</v>
      </c>
      <c r="G15" s="44">
        <f t="shared" si="1"/>
        <v>1546775.7590936231</v>
      </c>
      <c r="H15" s="44">
        <f t="shared" si="1"/>
        <v>1589831.529946277</v>
      </c>
    </row>
    <row r="16" spans="3:8" ht="12">
      <c r="C16" s="5"/>
      <c r="D16" s="5"/>
      <c r="E16" s="5"/>
      <c r="F16" s="44"/>
      <c r="G16" s="44"/>
      <c r="H16" s="44"/>
    </row>
    <row r="17" spans="2:8" ht="12">
      <c r="B17" s="1" t="s">
        <v>31</v>
      </c>
      <c r="C17" s="26"/>
      <c r="D17" s="26"/>
      <c r="E17" s="26"/>
      <c r="F17" s="44"/>
      <c r="G17" s="44"/>
      <c r="H17" s="44"/>
    </row>
    <row r="18" spans="2:8" ht="12">
      <c r="B18" s="4" t="s">
        <v>33</v>
      </c>
      <c r="C18" s="23">
        <f>68789+2793</f>
        <v>71582</v>
      </c>
      <c r="D18" s="23">
        <f>36080+4477</f>
        <v>40557</v>
      </c>
      <c r="E18" s="23">
        <f>29314+3252</f>
        <v>32566</v>
      </c>
      <c r="F18" s="44">
        <f>(F35*'Income Simple'!F13)/365</f>
        <v>32566.000000000004</v>
      </c>
      <c r="G18" s="44">
        <f>(G35*'Income Simple'!G13)/365</f>
        <v>32566.000000000004</v>
      </c>
      <c r="H18" s="44">
        <f>(H35*'Income Simple'!H13)/365</f>
        <v>32566.000000000004</v>
      </c>
    </row>
    <row r="19" spans="2:8" ht="12">
      <c r="B19" s="16" t="s">
        <v>34</v>
      </c>
      <c r="C19" s="27">
        <f>21931+15046</f>
        <v>36977</v>
      </c>
      <c r="D19" s="27">
        <f>5880+464+11459</f>
        <v>17803</v>
      </c>
      <c r="E19" s="27">
        <f>15411+7660+11628</f>
        <v>34699</v>
      </c>
      <c r="F19" s="44">
        <f>(F36*'Income Simple'!F8)</f>
        <v>34699</v>
      </c>
      <c r="G19" s="44">
        <f>(G36*'Income Simple'!G8)</f>
        <v>34699</v>
      </c>
      <c r="H19" s="44">
        <f>(H36*'Income Simple'!H8)</f>
        <v>34699</v>
      </c>
    </row>
    <row r="20" spans="2:8" ht="12">
      <c r="B20" s="2" t="s">
        <v>32</v>
      </c>
      <c r="C20" s="24">
        <v>110612</v>
      </c>
      <c r="D20" s="24">
        <v>125784</v>
      </c>
      <c r="E20" s="24">
        <v>25588</v>
      </c>
      <c r="F20" s="60">
        <f>F38*'Income Simple'!F30</f>
        <v>22836.76223013896</v>
      </c>
      <c r="G20" s="60">
        <f>G38*'Income Simple'!G30</f>
        <v>22099.71977538746</v>
      </c>
      <c r="H20" s="60">
        <f>H38*'Income Simple'!H30</f>
        <v>21373.90178007134</v>
      </c>
    </row>
    <row r="21" spans="2:8" ht="12">
      <c r="B21" s="1" t="s">
        <v>35</v>
      </c>
      <c r="C21" s="25">
        <f aca="true" t="shared" si="2" ref="C21:H21">SUM(C18:C20)</f>
        <v>219171</v>
      </c>
      <c r="D21" s="25">
        <f t="shared" si="2"/>
        <v>184144</v>
      </c>
      <c r="E21" s="25">
        <f t="shared" si="2"/>
        <v>92853</v>
      </c>
      <c r="F21" s="44">
        <f t="shared" si="2"/>
        <v>90101.76223013896</v>
      </c>
      <c r="G21" s="44">
        <f t="shared" si="2"/>
        <v>89364.71977538746</v>
      </c>
      <c r="H21" s="44">
        <f t="shared" si="2"/>
        <v>88638.90178007135</v>
      </c>
    </row>
    <row r="22" spans="3:8" ht="12">
      <c r="C22" s="5"/>
      <c r="D22" s="5"/>
      <c r="E22" s="5"/>
      <c r="F22" s="44"/>
      <c r="G22" s="44"/>
      <c r="H22" s="44"/>
    </row>
    <row r="23" spans="2:8" ht="12">
      <c r="B23" t="s">
        <v>36</v>
      </c>
      <c r="C23" s="23">
        <v>298342</v>
      </c>
      <c r="D23" s="23">
        <v>575837</v>
      </c>
      <c r="E23" s="23">
        <v>545392</v>
      </c>
      <c r="F23" s="61">
        <f>E23+'Cash flow simple'!E20</f>
        <v>532648.690027778</v>
      </c>
      <c r="G23" s="61">
        <f>F23+'Cash flow simple'!F20</f>
        <v>520316.66254687135</v>
      </c>
      <c r="H23" s="61">
        <f>G23+'Cash flow simple'!G20</f>
        <v>508389.6541139593</v>
      </c>
    </row>
    <row r="24" spans="2:8" ht="12">
      <c r="B24" t="s">
        <v>69</v>
      </c>
      <c r="C24" s="23">
        <f>168349+8544+2587</f>
        <v>179480</v>
      </c>
      <c r="D24" s="23">
        <f>222338+8484+3055</f>
        <v>233877</v>
      </c>
      <c r="E24" s="23">
        <f>252943+8648+6144</f>
        <v>267735</v>
      </c>
      <c r="F24" s="61">
        <f>F37*'Income Simple'!F8</f>
        <v>267735</v>
      </c>
      <c r="G24" s="61">
        <f>G37*'Income Simple'!G8</f>
        <v>267735</v>
      </c>
      <c r="H24" s="61">
        <f>H37*'Income Simple'!H8</f>
        <v>267735</v>
      </c>
    </row>
    <row r="25" spans="2:8" ht="12">
      <c r="B25" s="2" t="s">
        <v>37</v>
      </c>
      <c r="C25" s="24">
        <v>495416</v>
      </c>
      <c r="D25" s="24">
        <f>213+239609+361153-7255-57423</f>
        <v>536297</v>
      </c>
      <c r="E25" s="24">
        <f>213+239609+402810-6331-86031</f>
        <v>550270</v>
      </c>
      <c r="F25" s="60">
        <f>E25+'Cash flow simple'!E21+'Income Simple'!F30+'Cash flow simple'!E22+'Cash flow simple'!E25</f>
        <v>609019.4384020645</v>
      </c>
      <c r="G25" s="60">
        <f>F25+'Cash flow simple'!F21+'Income Simple'!G30+'Cash flow simple'!F22+'Cash flow simple'!F25</f>
        <v>665871.0965467517</v>
      </c>
      <c r="H25" s="60">
        <f>G25+'Cash flow simple'!G21+'Income Simple'!H30+'Cash flow simple'!G22+'Cash flow simple'!G25</f>
        <v>720853.8758323174</v>
      </c>
    </row>
    <row r="26" spans="2:8" ht="12">
      <c r="B26" s="1" t="s">
        <v>38</v>
      </c>
      <c r="C26" s="25">
        <f aca="true" t="shared" si="3" ref="C26:H26">SUM(C21,C24,C23,C25)</f>
        <v>1192409</v>
      </c>
      <c r="D26" s="25">
        <f t="shared" si="3"/>
        <v>1530155</v>
      </c>
      <c r="E26" s="25">
        <f t="shared" si="3"/>
        <v>1456250</v>
      </c>
      <c r="F26" s="44">
        <f t="shared" si="3"/>
        <v>1499504.8906599814</v>
      </c>
      <c r="G26" s="44">
        <f t="shared" si="3"/>
        <v>1543287.4788690105</v>
      </c>
      <c r="H26" s="44">
        <f t="shared" si="3"/>
        <v>1585617.4317263481</v>
      </c>
    </row>
    <row r="28" spans="2:8" ht="12">
      <c r="B28" t="s">
        <v>39</v>
      </c>
      <c r="C28" s="22">
        <f>C26-C15</f>
        <v>0</v>
      </c>
      <c r="D28" s="22">
        <f>D26-D15</f>
        <v>0</v>
      </c>
      <c r="E28" s="22">
        <f>E15-E26</f>
        <v>0</v>
      </c>
      <c r="F28" s="22">
        <f>F15-F26</f>
        <v>2751.23776986124</v>
      </c>
      <c r="G28" s="22">
        <f>G15-G26</f>
        <v>3488.280224612681</v>
      </c>
      <c r="H28" s="22">
        <f>H15-H26</f>
        <v>4214.098219928797</v>
      </c>
    </row>
    <row r="30" spans="2:8" ht="12.75" thickBot="1">
      <c r="B30" s="7" t="s">
        <v>76</v>
      </c>
      <c r="C30" s="7">
        <v>2014</v>
      </c>
      <c r="D30" s="7">
        <v>2015</v>
      </c>
      <c r="E30" s="7">
        <v>2016</v>
      </c>
      <c r="F30" s="7">
        <v>2017</v>
      </c>
      <c r="G30" s="7">
        <v>2018</v>
      </c>
      <c r="H30" s="7">
        <v>2019</v>
      </c>
    </row>
    <row r="31" spans="2:8" ht="12.75" thickTop="1">
      <c r="B31" t="s">
        <v>18</v>
      </c>
      <c r="C31" s="32"/>
      <c r="D31" s="32" t="s">
        <v>43</v>
      </c>
      <c r="E31" s="33"/>
      <c r="F31" s="34"/>
      <c r="G31" s="34" t="s">
        <v>81</v>
      </c>
      <c r="H31" s="34"/>
    </row>
    <row r="32" spans="2:8" ht="12">
      <c r="B32" t="s">
        <v>77</v>
      </c>
      <c r="C32" s="30">
        <f>365*(C7/'Income Simple'!C8)</f>
        <v>33.18584704627247</v>
      </c>
      <c r="D32" s="30">
        <f>365*(D7/'Income Simple'!D8)</f>
        <v>15.767870636070056</v>
      </c>
      <c r="E32" s="30">
        <f>365*(E7/'Income Simple'!E8)</f>
        <v>25.423041839491933</v>
      </c>
      <c r="F32" s="35">
        <v>25.423041839491933</v>
      </c>
      <c r="G32" s="35">
        <v>25.423041839491933</v>
      </c>
      <c r="H32" s="35">
        <v>25.423041839491933</v>
      </c>
    </row>
    <row r="33" spans="2:8" ht="12">
      <c r="B33" t="s">
        <v>78</v>
      </c>
      <c r="C33" s="30">
        <f>365*(C8/'Income Simple'!C13)</f>
        <v>-80.02674894034845</v>
      </c>
      <c r="D33" s="30">
        <f>365*(D8/'Income Simple'!D13)</f>
        <v>-56.01905857810124</v>
      </c>
      <c r="E33" s="30">
        <f>365*(E8/'Income Simple'!E13)</f>
        <v>-57.41702012567276</v>
      </c>
      <c r="F33" s="35">
        <v>-57.41702012567276</v>
      </c>
      <c r="G33" s="35">
        <v>-57.41702012567276</v>
      </c>
      <c r="H33" s="35">
        <v>-57.41702012567276</v>
      </c>
    </row>
    <row r="34" spans="2:8" ht="12">
      <c r="B34" t="s">
        <v>79</v>
      </c>
      <c r="C34" s="30">
        <f>(C9/'Income Simple'!C8)</f>
        <v>0.06401039009230484</v>
      </c>
      <c r="D34" s="30">
        <f>(D9/'Income Simple'!D8)</f>
        <v>0.008001475257945253</v>
      </c>
      <c r="E34" s="30">
        <f>(E9/'Income Simple'!E8)</f>
        <v>0.013491714557064024</v>
      </c>
      <c r="F34" s="35">
        <v>0.013491714557064024</v>
      </c>
      <c r="G34" s="35">
        <v>0.013491714557064024</v>
      </c>
      <c r="H34" s="35">
        <v>0.013491714557064024</v>
      </c>
    </row>
    <row r="35" spans="2:8" ht="12">
      <c r="B35" t="s">
        <v>80</v>
      </c>
      <c r="C35" s="30">
        <f>365*(C18/'Income Simple'!C13)</f>
        <v>-48.95839345208426</v>
      </c>
      <c r="D35" s="30">
        <f>365*(D18/'Income Simple'!D13)</f>
        <v>-23.4307735652251</v>
      </c>
      <c r="E35" s="30">
        <f>365*(E18/'Income Simple'!E13)</f>
        <v>-24.921931511071325</v>
      </c>
      <c r="F35" s="35">
        <v>-24.921931511071325</v>
      </c>
      <c r="G35" s="35">
        <v>-24.921931511071325</v>
      </c>
      <c r="H35" s="35">
        <v>-24.921931511071325</v>
      </c>
    </row>
    <row r="36" spans="2:8" ht="12">
      <c r="B36" t="s">
        <v>89</v>
      </c>
      <c r="C36" s="30">
        <f>(C19/'Income Simple'!C8)</f>
        <v>0.05044569894380128</v>
      </c>
      <c r="D36" s="30">
        <f>(D19/'Income Simple'!D8)</f>
        <v>0.020018305792186532</v>
      </c>
      <c r="E36" s="30">
        <f>(E19/'Income Simple'!E8)</f>
        <v>0.05429073447936501</v>
      </c>
      <c r="F36" s="35">
        <v>0.05429073447936501</v>
      </c>
      <c r="G36" s="35">
        <v>0.05429073447936501</v>
      </c>
      <c r="H36" s="35">
        <v>0.05429073447936501</v>
      </c>
    </row>
    <row r="37" spans="2:8" ht="12">
      <c r="B37" t="s">
        <v>90</v>
      </c>
      <c r="C37" s="30">
        <f>C24/'Income Simple'!C8</f>
        <v>0.24485474880151048</v>
      </c>
      <c r="D37" s="30">
        <f>D24/'Income Simple'!D8</f>
        <v>0.26297934638876647</v>
      </c>
      <c r="E37" s="30">
        <f>E24/'Income Simple'!E8</f>
        <v>0.41890342072776715</v>
      </c>
      <c r="F37" s="35">
        <v>0.41890342072776715</v>
      </c>
      <c r="G37" s="35">
        <v>0.41890342072776715</v>
      </c>
      <c r="H37" s="35">
        <v>0.41890342072776715</v>
      </c>
    </row>
    <row r="38" spans="2:8" ht="12">
      <c r="B38" t="s">
        <v>95</v>
      </c>
      <c r="C38" s="30">
        <f>C20/'Income Simple'!C30</f>
        <v>1.1113098168446647</v>
      </c>
      <c r="D38" s="30">
        <f>D20/'Income Simple'!D30</f>
        <v>0.9425340756670888</v>
      </c>
      <c r="E38" s="30">
        <f>E20/'Income Simple'!E30</f>
        <v>0.3521462092123914</v>
      </c>
      <c r="F38" s="35">
        <v>0.3521462092123914</v>
      </c>
      <c r="G38" s="35">
        <v>0.3521462092123914</v>
      </c>
      <c r="H38" s="35">
        <v>0.3521462092123914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1"/>
  <sheetViews>
    <sheetView showGridLines="0" tabSelected="1" zoomScalePageLayoutView="0" workbookViewId="0" topLeftCell="A8">
      <selection activeCell="B17" sqref="B17"/>
    </sheetView>
  </sheetViews>
  <sheetFormatPr defaultColWidth="9.33203125" defaultRowHeight="12"/>
  <cols>
    <col min="2" max="2" width="42.16015625" style="0" bestFit="1" customWidth="1"/>
    <col min="3" max="3" width="10.66015625" style="0" bestFit="1" customWidth="1"/>
    <col min="4" max="7" width="10.66015625" style="0" customWidth="1"/>
  </cols>
  <sheetData>
    <row r="2" spans="2:7" ht="12.75" thickBot="1">
      <c r="B2" s="7" t="s">
        <v>44</v>
      </c>
      <c r="C2" s="7">
        <v>2015</v>
      </c>
      <c r="D2" s="7">
        <v>2016</v>
      </c>
      <c r="E2" s="7">
        <v>2017</v>
      </c>
      <c r="F2" s="7">
        <v>2018</v>
      </c>
      <c r="G2" s="7">
        <v>2019</v>
      </c>
    </row>
    <row r="3" spans="2:7" ht="12.75" thickTop="1">
      <c r="B3" t="s">
        <v>23</v>
      </c>
      <c r="C3" s="20" t="s">
        <v>43</v>
      </c>
      <c r="D3" s="20"/>
      <c r="E3" s="46"/>
      <c r="F3" s="46" t="s">
        <v>81</v>
      </c>
      <c r="G3" s="46"/>
    </row>
    <row r="4" spans="2:4" ht="12">
      <c r="B4" t="s">
        <v>45</v>
      </c>
      <c r="C4" s="12"/>
      <c r="D4" s="12"/>
    </row>
    <row r="5" spans="2:7" ht="12">
      <c r="B5" t="s">
        <v>46</v>
      </c>
      <c r="C5" s="12"/>
      <c r="D5" s="12"/>
      <c r="E5" s="5">
        <f>'Income Simple'!F30</f>
        <v>64850.22877632435</v>
      </c>
      <c r="F5" s="5">
        <f>'Income Simple'!G30</f>
        <v>62757.22753005233</v>
      </c>
      <c r="G5" s="5">
        <f>'Income Simple'!H30</f>
        <v>60696.10071304221</v>
      </c>
    </row>
    <row r="6" spans="2:7" ht="12">
      <c r="B6" t="s">
        <v>47</v>
      </c>
      <c r="C6" s="12"/>
      <c r="D6" s="12"/>
      <c r="E6" s="5">
        <f>'Income Simple'!F21</f>
        <v>52722</v>
      </c>
      <c r="F6" s="5">
        <f>'Income Simple'!G21</f>
        <v>52722</v>
      </c>
      <c r="G6" s="5">
        <f>'Income Simple'!H21</f>
        <v>52722</v>
      </c>
    </row>
    <row r="7" spans="2:7" ht="12">
      <c r="B7" s="3" t="s">
        <v>48</v>
      </c>
      <c r="C7" s="12"/>
      <c r="D7" s="12"/>
      <c r="E7" s="5"/>
      <c r="F7" s="5"/>
      <c r="G7" s="5"/>
    </row>
    <row r="8" spans="2:7" ht="12">
      <c r="B8" t="s">
        <v>49</v>
      </c>
      <c r="C8" s="12"/>
      <c r="D8" s="67">
        <f>'Balance Simple'!D7-'Balance Simple'!E7</f>
        <v>-6098</v>
      </c>
      <c r="E8" s="5">
        <f>'Balance Simple'!E7-'Balance Simple'!F7</f>
        <v>0</v>
      </c>
      <c r="F8" s="5">
        <f>'Balance Simple'!F7-'Balance Simple'!G7</f>
        <v>0</v>
      </c>
      <c r="G8" s="5">
        <f>'Balance Simple'!G7-'Balance Simple'!H7</f>
        <v>0</v>
      </c>
    </row>
    <row r="9" spans="2:7" ht="12">
      <c r="B9" t="s">
        <v>50</v>
      </c>
      <c r="C9" s="12"/>
      <c r="D9" s="67">
        <f>'Balance Simple'!D8-'Balance Simple'!E8</f>
        <v>21937</v>
      </c>
      <c r="E9" s="5">
        <f>'Balance Simple'!E8-'Balance Simple'!F8</f>
        <v>0</v>
      </c>
      <c r="F9" s="5">
        <f>'Balance Simple'!F8-'Balance Simple'!G8</f>
        <v>0</v>
      </c>
      <c r="G9" s="5">
        <f>'Balance Simple'!G8-'Balance Simple'!H8</f>
        <v>0</v>
      </c>
    </row>
    <row r="10" spans="2:7" ht="12">
      <c r="B10" t="s">
        <v>51</v>
      </c>
      <c r="C10" s="12"/>
      <c r="D10" s="67">
        <f>'Balance Simple'!D9-'Balance Simple'!E9</f>
        <v>-1507</v>
      </c>
      <c r="E10" s="5">
        <f>'Balance Simple'!E9-'Balance Simple'!F9</f>
        <v>0</v>
      </c>
      <c r="F10" s="5">
        <f>'Balance Simple'!F9-'Balance Simple'!G9</f>
        <v>0</v>
      </c>
      <c r="G10" s="5">
        <f>'Balance Simple'!G9-'Balance Simple'!H9</f>
        <v>0</v>
      </c>
    </row>
    <row r="11" spans="2:7" ht="12">
      <c r="B11" t="s">
        <v>52</v>
      </c>
      <c r="C11" s="12"/>
      <c r="D11" s="67">
        <f>'Balance Simple'!E18-'Balance Simple'!D18</f>
        <v>-7991</v>
      </c>
      <c r="E11" s="5">
        <f>'Balance Simple'!F18-'Balance Simple'!E18</f>
        <v>0</v>
      </c>
      <c r="F11" s="5">
        <f>'Balance Simple'!G18-'Balance Simple'!F18</f>
        <v>0</v>
      </c>
      <c r="G11" s="5">
        <f>'Balance Simple'!H18-'Balance Simple'!G18</f>
        <v>0</v>
      </c>
    </row>
    <row r="12" spans="2:7" ht="12">
      <c r="B12" s="2" t="s">
        <v>53</v>
      </c>
      <c r="C12" s="14"/>
      <c r="D12" s="68">
        <f>'Balance Simple'!E19-'Balance Simple'!D19</f>
        <v>16896</v>
      </c>
      <c r="E12" s="6">
        <f>'Balance Simple'!F19-'Balance Simple'!E19</f>
        <v>0</v>
      </c>
      <c r="F12" s="6">
        <f>'Balance Simple'!G19-'Balance Simple'!F19</f>
        <v>0</v>
      </c>
      <c r="G12" s="6">
        <f>'Balance Simple'!H19-'Balance Simple'!G19</f>
        <v>0</v>
      </c>
    </row>
    <row r="13" spans="2:7" ht="12">
      <c r="B13" t="s">
        <v>61</v>
      </c>
      <c r="C13" s="12"/>
      <c r="D13" s="12">
        <v>180503</v>
      </c>
      <c r="E13" s="5">
        <f>SUM(E5:E12)</f>
        <v>117572.22877632435</v>
      </c>
      <c r="F13" s="5">
        <f>SUM(F5:F12)</f>
        <v>115479.22753005233</v>
      </c>
      <c r="G13" s="5">
        <f>SUM(G5:G12)</f>
        <v>113418.10071304221</v>
      </c>
    </row>
    <row r="14" spans="3:7" ht="12">
      <c r="C14" s="12"/>
      <c r="D14" s="12"/>
      <c r="E14" s="5"/>
      <c r="F14" s="5"/>
      <c r="G14" s="5"/>
    </row>
    <row r="15" spans="2:7" ht="12">
      <c r="B15" t="s">
        <v>54</v>
      </c>
      <c r="C15" s="12"/>
      <c r="D15" s="12"/>
      <c r="E15" s="5"/>
      <c r="F15" s="5"/>
      <c r="G15" s="5"/>
    </row>
    <row r="16" spans="2:7" ht="12">
      <c r="B16" s="2" t="s">
        <v>55</v>
      </c>
      <c r="C16" s="14">
        <v>-240638</v>
      </c>
      <c r="D16" s="14">
        <v>-114738</v>
      </c>
      <c r="E16" s="56">
        <f>E36*'Income Simple'!F19</f>
        <v>-23357.33946142665</v>
      </c>
      <c r="F16" s="56">
        <f>F36*'Income Simple'!G19</f>
        <v>-23357.33946142665</v>
      </c>
      <c r="G16" s="56">
        <f>G36*'Income Simple'!H19</f>
        <v>-23357.33946142665</v>
      </c>
    </row>
    <row r="17" spans="2:7" ht="12">
      <c r="B17" t="s">
        <v>60</v>
      </c>
      <c r="C17" s="5">
        <f>C16</f>
        <v>-240638</v>
      </c>
      <c r="D17" s="5">
        <f>D16</f>
        <v>-114738</v>
      </c>
      <c r="E17" s="5">
        <f>E16</f>
        <v>-23357.33946142665</v>
      </c>
      <c r="F17" s="5">
        <f>F16</f>
        <v>-23357.33946142665</v>
      </c>
      <c r="G17" s="5">
        <f>G16</f>
        <v>-23357.33946142665</v>
      </c>
    </row>
    <row r="18" spans="3:7" ht="12">
      <c r="C18" s="12"/>
      <c r="D18" s="12"/>
      <c r="E18" s="5"/>
      <c r="F18" s="5"/>
      <c r="G18" s="5"/>
    </row>
    <row r="19" spans="2:7" ht="12">
      <c r="B19" t="s">
        <v>56</v>
      </c>
      <c r="C19" s="12"/>
      <c r="D19" s="12"/>
      <c r="E19" s="5"/>
      <c r="F19" s="5"/>
      <c r="G19" s="5"/>
    </row>
    <row r="20" spans="2:7" ht="12">
      <c r="B20" t="s">
        <v>57</v>
      </c>
      <c r="C20" s="10">
        <f>-432645+725306-9739-5857</f>
        <v>277065</v>
      </c>
      <c r="D20" s="10">
        <f>-125783+204-13</f>
        <v>-125592</v>
      </c>
      <c r="E20" s="57">
        <f>E40*'Income Simple'!F30</f>
        <v>-12743.309972221943</v>
      </c>
      <c r="F20" s="57">
        <f>F40*'Income Simple'!G30</f>
        <v>-12332.027480906685</v>
      </c>
      <c r="G20" s="57">
        <f>G40*'Income Simple'!H30</f>
        <v>-11927.00843291208</v>
      </c>
    </row>
    <row r="21" spans="2:7" ht="12">
      <c r="B21" t="s">
        <v>58</v>
      </c>
      <c r="C21" s="10">
        <v>-57423</v>
      </c>
      <c r="D21" s="10">
        <v>-28608</v>
      </c>
      <c r="E21" s="57">
        <f>E41*'Income Simple'!F30</f>
        <v>-2902.7375285474022</v>
      </c>
      <c r="F21" s="57">
        <f>F41*'Income Simple'!G30</f>
        <v>-2809.0534602027074</v>
      </c>
      <c r="G21" s="57">
        <f>G41*'Income Simple'!H30</f>
        <v>-2716.796111605427</v>
      </c>
    </row>
    <row r="22" spans="2:7" ht="12">
      <c r="B22" s="2" t="s">
        <v>91</v>
      </c>
      <c r="C22" s="11">
        <v>-33243</v>
      </c>
      <c r="D22" s="11">
        <v>-31006</v>
      </c>
      <c r="E22" s="58">
        <f>E39*'Income Simple'!F30</f>
        <v>-3146.0528457124146</v>
      </c>
      <c r="F22" s="58">
        <f>F39*'Income Simple'!G30</f>
        <v>-3044.5159251623722</v>
      </c>
      <c r="G22" s="58">
        <f>G39*'Income Simple'!H30</f>
        <v>-2944.5253158710107</v>
      </c>
    </row>
    <row r="23" spans="2:7" ht="12">
      <c r="B23" t="s">
        <v>59</v>
      </c>
      <c r="C23" s="12">
        <f>SUM(C20:C22)</f>
        <v>186399</v>
      </c>
      <c r="D23" s="12">
        <f>SUM(D20:D22)</f>
        <v>-185206</v>
      </c>
      <c r="E23" s="12">
        <f>SUM(E20:E22)</f>
        <v>-18792.100346481762</v>
      </c>
      <c r="F23" s="12">
        <f>SUM(F20:F22)</f>
        <v>-18185.596866271764</v>
      </c>
      <c r="G23" s="12">
        <f>SUM(G20:G22)</f>
        <v>-17588.329860388516</v>
      </c>
    </row>
    <row r="24" spans="3:7" ht="12">
      <c r="C24" s="12"/>
      <c r="D24" s="12"/>
      <c r="E24" s="12"/>
      <c r="F24" s="12"/>
      <c r="G24" s="12"/>
    </row>
    <row r="25" spans="2:7" ht="12">
      <c r="B25" t="s">
        <v>94</v>
      </c>
      <c r="C25" s="12">
        <v>-309</v>
      </c>
      <c r="D25" s="12">
        <v>-52</v>
      </c>
      <c r="E25" s="53">
        <v>-52</v>
      </c>
      <c r="F25" s="53">
        <v>-52</v>
      </c>
      <c r="G25" s="53">
        <v>-52</v>
      </c>
    </row>
    <row r="26" spans="3:7" ht="12">
      <c r="C26" s="12"/>
      <c r="D26" s="12"/>
      <c r="E26" s="5"/>
      <c r="F26" s="5"/>
      <c r="G26" s="5"/>
    </row>
    <row r="27" spans="2:7" ht="12">
      <c r="B27" t="s">
        <v>62</v>
      </c>
      <c r="C27" s="12"/>
      <c r="D27" s="5">
        <f>'Balance Simple'!D5</f>
        <v>298064</v>
      </c>
      <c r="E27" s="5">
        <f>'Balance Simple'!E5</f>
        <v>178571</v>
      </c>
      <c r="F27" s="5">
        <f>'Balance Simple'!F5</f>
        <v>253941.78896841593</v>
      </c>
      <c r="G27" s="5">
        <f>'Balance Simple'!G5</f>
        <v>327826.0801707698</v>
      </c>
    </row>
    <row r="28" spans="2:7" ht="12">
      <c r="B28" t="s">
        <v>63</v>
      </c>
      <c r="C28" s="12"/>
      <c r="D28" s="5">
        <f>SUM(D13,D17,D23,D25)</f>
        <v>-119493</v>
      </c>
      <c r="E28" s="5">
        <f>SUM(E13,E17,E23,E25)</f>
        <v>75370.78896841595</v>
      </c>
      <c r="F28" s="5">
        <f>SUM(F13,F17,F23,F25)</f>
        <v>73884.29120235391</v>
      </c>
      <c r="G28" s="5">
        <f>SUM(G13,G17,G23,G25)</f>
        <v>72420.43139122704</v>
      </c>
    </row>
    <row r="29" spans="2:7" ht="12">
      <c r="B29" t="s">
        <v>64</v>
      </c>
      <c r="C29" s="12"/>
      <c r="D29" s="5">
        <f>SUM(D27,D28)</f>
        <v>178571</v>
      </c>
      <c r="E29" s="5">
        <f>SUM(E27,E28)</f>
        <v>253941.78896841593</v>
      </c>
      <c r="F29" s="5">
        <f>SUM(F27,F28)</f>
        <v>327826.0801707698</v>
      </c>
      <c r="G29" s="5">
        <f>SUM(G27,G28)</f>
        <v>400246.5115619969</v>
      </c>
    </row>
    <row r="30" spans="5:7" ht="12">
      <c r="E30" s="5"/>
      <c r="F30" s="5"/>
      <c r="G30" s="5"/>
    </row>
    <row r="31" spans="2:7" ht="12">
      <c r="B31" t="s">
        <v>65</v>
      </c>
      <c r="E31" s="5"/>
      <c r="F31" s="5"/>
      <c r="G31" s="5"/>
    </row>
    <row r="33" spans="2:7" ht="12.75" thickBot="1">
      <c r="B33" s="7" t="s">
        <v>92</v>
      </c>
      <c r="C33" s="7">
        <v>2015</v>
      </c>
      <c r="D33" s="7">
        <v>2016</v>
      </c>
      <c r="E33" s="7">
        <v>2017</v>
      </c>
      <c r="F33" s="7">
        <v>2018</v>
      </c>
      <c r="G33" s="7">
        <v>2019</v>
      </c>
    </row>
    <row r="34" spans="2:7" ht="12.75" thickTop="1">
      <c r="B34" t="s">
        <v>18</v>
      </c>
      <c r="C34" s="20" t="s">
        <v>43</v>
      </c>
      <c r="D34" s="55"/>
      <c r="E34" s="34"/>
      <c r="F34" s="34" t="s">
        <v>81</v>
      </c>
      <c r="G34" s="34"/>
    </row>
    <row r="35" spans="2:7" ht="12">
      <c r="B35" s="50" t="s">
        <v>54</v>
      </c>
      <c r="C35" s="48"/>
      <c r="D35" s="49"/>
      <c r="E35" s="48"/>
      <c r="F35" s="48"/>
      <c r="G35" s="48"/>
    </row>
    <row r="36" spans="2:7" ht="12">
      <c r="B36" s="47" t="s">
        <v>100</v>
      </c>
      <c r="C36" s="51">
        <f>C16/'Income Simple'!D8</f>
        <v>-0.27058164743134205</v>
      </c>
      <c r="D36" s="51">
        <f>D16/'Income Simple'!E8</f>
        <v>-0.17952132028857842</v>
      </c>
      <c r="E36" s="52">
        <v>-0.17952132028857842</v>
      </c>
      <c r="F36" s="52">
        <v>-0.17952132028857842</v>
      </c>
      <c r="G36" s="52">
        <v>-0.17952132028857842</v>
      </c>
    </row>
    <row r="37" spans="2:7" ht="12">
      <c r="B37" s="47"/>
      <c r="C37" s="48"/>
      <c r="D37" s="49"/>
      <c r="E37" s="48"/>
      <c r="F37" s="48"/>
      <c r="G37" s="48"/>
    </row>
    <row r="38" spans="2:7" ht="12">
      <c r="B38" s="50" t="s">
        <v>56</v>
      </c>
      <c r="C38" s="48"/>
      <c r="D38" s="49"/>
      <c r="E38" s="48"/>
      <c r="F38" s="48"/>
      <c r="G38" s="48"/>
    </row>
    <row r="39" spans="2:7" ht="12">
      <c r="B39" t="s">
        <v>101</v>
      </c>
      <c r="C39" s="21">
        <f>(C22/'Income Simple'!D8)</f>
        <v>-0.037379573074743405</v>
      </c>
      <c r="D39" s="21">
        <f>(D22/'Income Simple'!E8)</f>
        <v>-0.04851259440523334</v>
      </c>
      <c r="E39" s="40">
        <v>-0.04851259440523334</v>
      </c>
      <c r="F39" s="40">
        <v>-0.04851259440523334</v>
      </c>
      <c r="G39" s="40">
        <v>-0.04851259440523334</v>
      </c>
    </row>
    <row r="40" spans="2:7" ht="12">
      <c r="B40" t="s">
        <v>102</v>
      </c>
      <c r="C40" s="21">
        <f>C20/'Income Simple'!D8</f>
        <v>0.31154141966590804</v>
      </c>
      <c r="D40" s="21">
        <f>D20/'Income Simple'!E8</f>
        <v>-0.1965037011075942</v>
      </c>
      <c r="E40" s="40">
        <v>-0.1965037011075942</v>
      </c>
      <c r="F40" s="40">
        <v>-0.1965037011075942</v>
      </c>
      <c r="G40" s="40">
        <v>-0.1965037011075942</v>
      </c>
    </row>
    <row r="41" spans="2:7" ht="12">
      <c r="B41" t="s">
        <v>103</v>
      </c>
      <c r="C41" s="21">
        <f>C21/'Income Simple'!D8</f>
        <v>-0.06456839709626058</v>
      </c>
      <c r="D41" s="21">
        <f>D21/'Income Simple'!E8</f>
        <v>-0.044760636674995656</v>
      </c>
      <c r="E41" s="40">
        <v>-0.044760636674995656</v>
      </c>
      <c r="F41" s="40">
        <v>-0.044760636674995656</v>
      </c>
      <c r="G41" s="40">
        <v>-0.044760636674995656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</cp:lastModifiedBy>
  <dcterms:created xsi:type="dcterms:W3CDTF">2017-10-27T17:56:44Z</dcterms:created>
  <dcterms:modified xsi:type="dcterms:W3CDTF">2017-11-09T17:06:25Z</dcterms:modified>
  <cp:category/>
  <cp:version/>
  <cp:contentType/>
  <cp:contentStatus/>
</cp:coreProperties>
</file>