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A:\Home\Documents\Files\Interview Samples\Alantra\"/>
    </mc:Choice>
  </mc:AlternateContent>
  <xr:revisionPtr revIDLastSave="0" documentId="13_ncr:1_{2D0BE1A9-D962-4A82-B725-0BD5832155E3}" xr6:coauthVersionLast="43" xr6:coauthVersionMax="43" xr10:uidLastSave="{00000000-0000-0000-0000-000000000000}"/>
  <bookViews>
    <workbookView xWindow="-120" yWindow="-120" windowWidth="29040" windowHeight="15840" firstSheet="1" activeTab="2" xr2:uid="{54BDEF0C-98BF-4B9C-8085-0DC7A6C0491B}"/>
  </bookViews>
  <sheets>
    <sheet name="Assumptions" sheetId="6" r:id="rId1"/>
    <sheet name="Income Statement" sheetId="3" r:id="rId2"/>
    <sheet name="Balance Sheet" sheetId="9" r:id="rId3"/>
    <sheet name="Cash Flow Statement" sheetId="10" r:id="rId4"/>
    <sheet name="Investments" sheetId="23" r:id="rId5"/>
    <sheet name="Depreciation &amp; Amortization" sheetId="11" r:id="rId6"/>
    <sheet name="Debt" sheetId="19" r:id="rId7"/>
    <sheet name="Working Capital" sheetId="13" r:id="rId8"/>
    <sheet name="Stock-Based Compensation" sheetId="22" r:id="rId9"/>
    <sheet name="Customer and Revenue base" sheetId="16" r:id="rId10"/>
    <sheet name="Inputs" sheetId="18" r:id="rId11"/>
    <sheet name="Company Statements" sheetId="1" r:id="rId12"/>
  </sheets>
  <definedNames>
    <definedName name="_xlnm.Print_Area" localSheetId="0">Assumptions!$D$3:$G$25</definedName>
    <definedName name="_xlnm.Print_Area" localSheetId="9">'Customer and Revenue base'!$D$3:$P$21</definedName>
    <definedName name="_xlnm.Print_Area" localSheetId="6">Debt!$D$3:$L$22</definedName>
    <definedName name="_xlnm.Print_Area" localSheetId="5">'Depreciation &amp; Amortization'!$D$3:$O$70</definedName>
    <definedName name="_xlnm.Print_Area" localSheetId="1">'Income Statement'!$D$3:$J$54</definedName>
    <definedName name="_xlnm.Print_Area" localSheetId="10">Inputs!$D$3:$J$11</definedName>
    <definedName name="_xlnm.Print_Area" localSheetId="4">Investments!$D$3:$L$19</definedName>
    <definedName name="_xlnm.Print_Area" localSheetId="8">'Stock-Based Compensation'!$D$3:$L$20</definedName>
    <definedName name="_xlnm.Print_Area" localSheetId="7">'Working Capital'!$D$3:$L$40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0" i="9" l="1"/>
  <c r="F6" i="6"/>
  <c r="K43" i="10"/>
  <c r="K13" i="10"/>
  <c r="K23" i="9"/>
  <c r="I21" i="9"/>
  <c r="L51" i="11" s="1"/>
  <c r="L49" i="11" s="1"/>
  <c r="J43" i="10" l="1"/>
  <c r="K50" i="11"/>
  <c r="I13" i="10"/>
  <c r="I62" i="10"/>
  <c r="J62" i="10" s="1"/>
  <c r="I51" i="10"/>
  <c r="E60" i="10"/>
  <c r="I53" i="9"/>
  <c r="E71" i="9"/>
  <c r="I52" i="9"/>
  <c r="I51" i="9"/>
  <c r="I50" i="9"/>
  <c r="J50" i="9" s="1"/>
  <c r="K62" i="10" l="1"/>
  <c r="E4" i="22"/>
  <c r="F7" i="6"/>
  <c r="E4" i="11"/>
  <c r="G15" i="3"/>
  <c r="E4" i="23" l="1"/>
  <c r="I13" i="22" l="1"/>
  <c r="I12" i="22"/>
  <c r="I11" i="22"/>
  <c r="I10" i="22"/>
  <c r="P464" i="1"/>
  <c r="K19" i="19"/>
  <c r="J19" i="19"/>
  <c r="G17" i="19"/>
  <c r="J13" i="19"/>
  <c r="K13" i="19" s="1"/>
  <c r="F19" i="6"/>
  <c r="I10" i="19"/>
  <c r="E4" i="19"/>
  <c r="F42" i="11"/>
  <c r="G41" i="11"/>
  <c r="G40" i="11"/>
  <c r="G39" i="11"/>
  <c r="I14" i="22" l="1"/>
  <c r="G35" i="11"/>
  <c r="G34" i="11"/>
  <c r="G33" i="11"/>
  <c r="G29" i="11"/>
  <c r="G28" i="11"/>
  <c r="G27" i="11"/>
  <c r="G23" i="11"/>
  <c r="G22" i="11"/>
  <c r="G21" i="11"/>
  <c r="F36" i="11"/>
  <c r="F30" i="11"/>
  <c r="F24" i="11"/>
  <c r="N57" i="11"/>
  <c r="M57" i="11"/>
  <c r="I20" i="11"/>
  <c r="I32" i="11"/>
  <c r="I38" i="11" s="1"/>
  <c r="I26" i="11"/>
  <c r="L50" i="11"/>
  <c r="K49" i="11"/>
  <c r="F8" i="18"/>
  <c r="F25" i="1"/>
  <c r="F16" i="6"/>
  <c r="N20" i="16" s="1"/>
  <c r="E4" i="6"/>
  <c r="E4" i="18"/>
  <c r="L18" i="16"/>
  <c r="K18" i="16"/>
  <c r="J18" i="16"/>
  <c r="I18" i="16"/>
  <c r="L10" i="16"/>
  <c r="M10" i="16" s="1"/>
  <c r="G9" i="3" s="1"/>
  <c r="K10" i="16"/>
  <c r="J10" i="16"/>
  <c r="I10" i="16"/>
  <c r="L12" i="16"/>
  <c r="K12" i="16"/>
  <c r="K14" i="16" s="1"/>
  <c r="J12" i="16"/>
  <c r="J14" i="16" s="1"/>
  <c r="I12" i="16"/>
  <c r="M15" i="16"/>
  <c r="N15" i="16" s="1"/>
  <c r="O15" i="16" s="1"/>
  <c r="O18" i="16" s="1"/>
  <c r="M8" i="16"/>
  <c r="E4" i="16"/>
  <c r="M18" i="16" l="1"/>
  <c r="N18" i="16"/>
  <c r="N10" i="16"/>
  <c r="H9" i="3" s="1"/>
  <c r="L11" i="16"/>
  <c r="L17" i="16"/>
  <c r="I11" i="16"/>
  <c r="J11" i="16"/>
  <c r="K11" i="16"/>
  <c r="L14" i="16"/>
  <c r="I17" i="16"/>
  <c r="J17" i="16"/>
  <c r="I14" i="16"/>
  <c r="K17" i="16"/>
  <c r="M12" i="16"/>
  <c r="O20" i="16"/>
  <c r="M17" i="16" l="1"/>
  <c r="G12" i="3" s="1"/>
  <c r="M14" i="16"/>
  <c r="G11" i="3" s="1"/>
  <c r="M11" i="16"/>
  <c r="N11" i="16" s="1"/>
  <c r="O10" i="16"/>
  <c r="I9" i="3" s="1"/>
  <c r="G13" i="3" l="1"/>
  <c r="O11" i="16"/>
  <c r="O12" i="16" s="1"/>
  <c r="N12" i="16"/>
  <c r="E4" i="13"/>
  <c r="I50" i="3"/>
  <c r="H50" i="3"/>
  <c r="G50" i="3"/>
  <c r="F10" i="6"/>
  <c r="N17" i="16" l="1"/>
  <c r="H12" i="3" s="1"/>
  <c r="N14" i="16"/>
  <c r="H11" i="3" s="1"/>
  <c r="O17" i="16"/>
  <c r="I12" i="3" s="1"/>
  <c r="O14" i="16"/>
  <c r="I11" i="3" s="1"/>
  <c r="I22" i="10"/>
  <c r="I48" i="10"/>
  <c r="I61" i="10" s="1"/>
  <c r="J61" i="10" s="1"/>
  <c r="I45" i="10"/>
  <c r="I44" i="10"/>
  <c r="I43" i="10"/>
  <c r="I42" i="10"/>
  <c r="I41" i="10"/>
  <c r="I40" i="10"/>
  <c r="I36" i="10"/>
  <c r="I34" i="10"/>
  <c r="I33" i="10"/>
  <c r="I32" i="10"/>
  <c r="I28" i="10"/>
  <c r="I27" i="10"/>
  <c r="I26" i="10"/>
  <c r="I25" i="10"/>
  <c r="I24" i="10"/>
  <c r="I23" i="10"/>
  <c r="I21" i="10"/>
  <c r="L60" i="11" l="1"/>
  <c r="M60" i="11" s="1"/>
  <c r="K61" i="10"/>
  <c r="I54" i="3"/>
  <c r="I13" i="3"/>
  <c r="H54" i="3"/>
  <c r="H13" i="3"/>
  <c r="J13" i="23" s="1"/>
  <c r="J12" i="23" s="1"/>
  <c r="I46" i="10"/>
  <c r="I37" i="10"/>
  <c r="I18" i="10"/>
  <c r="I60" i="10" s="1"/>
  <c r="J60" i="10" s="1"/>
  <c r="I17" i="10"/>
  <c r="I16" i="10"/>
  <c r="I15" i="10"/>
  <c r="I14" i="10"/>
  <c r="I58" i="10" s="1"/>
  <c r="J58" i="10" s="1"/>
  <c r="L14" i="11"/>
  <c r="L13" i="11"/>
  <c r="L12" i="11"/>
  <c r="L11" i="11"/>
  <c r="H440" i="1"/>
  <c r="K14" i="11"/>
  <c r="K38" i="11" s="1"/>
  <c r="K13" i="11"/>
  <c r="K32" i="11" s="1"/>
  <c r="K12" i="11"/>
  <c r="K26" i="11" s="1"/>
  <c r="K30" i="11" s="1"/>
  <c r="K11" i="11"/>
  <c r="K20" i="11" s="1"/>
  <c r="K42" i="9" l="1"/>
  <c r="K48" i="10"/>
  <c r="K26" i="9"/>
  <c r="J48" i="10"/>
  <c r="K60" i="10"/>
  <c r="M49" i="11"/>
  <c r="N60" i="11"/>
  <c r="N49" i="11" s="1"/>
  <c r="I59" i="10"/>
  <c r="J59" i="10" s="1"/>
  <c r="K58" i="10"/>
  <c r="L38" i="11"/>
  <c r="L42" i="11" s="1"/>
  <c r="K42" i="11"/>
  <c r="L33" i="11"/>
  <c r="M33" i="11" s="1"/>
  <c r="N33" i="11" s="1"/>
  <c r="K36" i="11"/>
  <c r="L32" i="11"/>
  <c r="M32" i="11" s="1"/>
  <c r="L27" i="11"/>
  <c r="M27" i="11" s="1"/>
  <c r="N27" i="11" s="1"/>
  <c r="K24" i="11"/>
  <c r="L26" i="11"/>
  <c r="L20" i="11"/>
  <c r="L21" i="11"/>
  <c r="L15" i="11"/>
  <c r="K15" i="11"/>
  <c r="K48" i="11" s="1"/>
  <c r="K51" i="11" s="1"/>
  <c r="E4" i="10"/>
  <c r="I44" i="9"/>
  <c r="I43" i="9"/>
  <c r="I42" i="9"/>
  <c r="I69" i="9" s="1"/>
  <c r="J69" i="9" s="1"/>
  <c r="J42" i="9" s="1"/>
  <c r="I41" i="9"/>
  <c r="I37" i="9"/>
  <c r="I19" i="13" s="1"/>
  <c r="I36" i="9"/>
  <c r="I17" i="13" s="1"/>
  <c r="I35" i="9"/>
  <c r="I18" i="13" s="1"/>
  <c r="I34" i="9"/>
  <c r="I16" i="13" s="1"/>
  <c r="I27" i="9"/>
  <c r="I65" i="9" s="1"/>
  <c r="J65" i="9" s="1"/>
  <c r="I26" i="9"/>
  <c r="I64" i="9" s="1"/>
  <c r="J64" i="9" s="1"/>
  <c r="J26" i="9" s="1"/>
  <c r="I25" i="9"/>
  <c r="I24" i="9"/>
  <c r="L58" i="11" s="1"/>
  <c r="M56" i="11" s="1"/>
  <c r="M58" i="11" s="1"/>
  <c r="I23" i="9"/>
  <c r="J23" i="9" s="1"/>
  <c r="I22" i="9"/>
  <c r="I17" i="9"/>
  <c r="I12" i="13" s="1"/>
  <c r="I16" i="9"/>
  <c r="I11" i="13" s="1"/>
  <c r="I15" i="9"/>
  <c r="I10" i="13" s="1"/>
  <c r="I14" i="9"/>
  <c r="I67" i="9" s="1"/>
  <c r="J67" i="9" s="1"/>
  <c r="E4" i="9"/>
  <c r="G34" i="3"/>
  <c r="E4" i="3"/>
  <c r="G29" i="3"/>
  <c r="G26" i="3"/>
  <c r="G27" i="3"/>
  <c r="G21" i="3"/>
  <c r="I19" i="22" s="1"/>
  <c r="J19" i="22" s="1"/>
  <c r="K19" i="22" s="1"/>
  <c r="G20" i="3"/>
  <c r="G19" i="3"/>
  <c r="I17" i="22" s="1"/>
  <c r="J17" i="22" s="1"/>
  <c r="K17" i="22" s="1"/>
  <c r="K32" i="10" l="1"/>
  <c r="I11" i="23"/>
  <c r="J9" i="23" s="1"/>
  <c r="I71" i="9"/>
  <c r="J71" i="9" s="1"/>
  <c r="K67" i="9"/>
  <c r="K59" i="10"/>
  <c r="K65" i="9"/>
  <c r="I66" i="9"/>
  <c r="J66" i="9" s="1"/>
  <c r="K66" i="9" s="1"/>
  <c r="K46" i="11"/>
  <c r="M38" i="11"/>
  <c r="N38" i="11" s="1"/>
  <c r="I14" i="23"/>
  <c r="I14" i="19"/>
  <c r="J10" i="19" s="1"/>
  <c r="I55" i="10"/>
  <c r="J55" i="10" s="1"/>
  <c r="I27" i="13"/>
  <c r="I36" i="13" s="1"/>
  <c r="J36" i="13" s="1"/>
  <c r="I63" i="9"/>
  <c r="K63" i="9" s="1"/>
  <c r="I18" i="22"/>
  <c r="J18" i="22" s="1"/>
  <c r="K18" i="22" s="1"/>
  <c r="H34" i="3"/>
  <c r="I34" i="3" s="1"/>
  <c r="J32" i="10"/>
  <c r="K69" i="9"/>
  <c r="K64" i="9"/>
  <c r="J24" i="9"/>
  <c r="N56" i="11"/>
  <c r="N58" i="11" s="1"/>
  <c r="K24" i="9" s="1"/>
  <c r="L36" i="11"/>
  <c r="N32" i="11"/>
  <c r="M26" i="11"/>
  <c r="L30" i="11"/>
  <c r="M21" i="11"/>
  <c r="N21" i="11" s="1"/>
  <c r="M20" i="11"/>
  <c r="N20" i="11" s="1"/>
  <c r="L24" i="11"/>
  <c r="L62" i="11"/>
  <c r="I13" i="13"/>
  <c r="I20" i="13"/>
  <c r="L64" i="11"/>
  <c r="L63" i="11"/>
  <c r="K64" i="11"/>
  <c r="M64" i="11" s="1"/>
  <c r="K62" i="11"/>
  <c r="M62" i="11" s="1"/>
  <c r="K63" i="11"/>
  <c r="K65" i="11"/>
  <c r="L65" i="11"/>
  <c r="L48" i="11"/>
  <c r="M48" i="11" s="1"/>
  <c r="M15" i="11" s="1"/>
  <c r="M11" i="11" s="1"/>
  <c r="I28" i="9"/>
  <c r="I38" i="9"/>
  <c r="I45" i="9"/>
  <c r="I54" i="9"/>
  <c r="G22" i="3"/>
  <c r="I70" i="9" s="1"/>
  <c r="J70" i="9" s="1"/>
  <c r="K70" i="9" s="1"/>
  <c r="I25" i="13"/>
  <c r="I37" i="13" s="1"/>
  <c r="J37" i="13" s="1"/>
  <c r="K71" i="9" l="1"/>
  <c r="K55" i="10"/>
  <c r="L46" i="11"/>
  <c r="K13" i="23"/>
  <c r="K22" i="9" s="1"/>
  <c r="K53" i="9" s="1"/>
  <c r="J10" i="23"/>
  <c r="J36" i="10" s="1"/>
  <c r="N26" i="11"/>
  <c r="I22" i="13"/>
  <c r="K36" i="13"/>
  <c r="L66" i="11"/>
  <c r="K66" i="11"/>
  <c r="K37" i="13"/>
  <c r="I29" i="13"/>
  <c r="J29" i="13" s="1"/>
  <c r="I33" i="13"/>
  <c r="J33" i="13" s="1"/>
  <c r="I32" i="13"/>
  <c r="J32" i="13" s="1"/>
  <c r="K32" i="13" s="1"/>
  <c r="G44" i="3"/>
  <c r="J25" i="13"/>
  <c r="J19" i="13" s="1"/>
  <c r="J37" i="9" s="1"/>
  <c r="G43" i="3"/>
  <c r="H43" i="3" s="1"/>
  <c r="H21" i="3" s="1"/>
  <c r="J13" i="22" s="1"/>
  <c r="G41" i="3"/>
  <c r="H41" i="3" s="1"/>
  <c r="G48" i="3"/>
  <c r="H48" i="3" s="1"/>
  <c r="G42" i="3"/>
  <c r="H42" i="3" s="1"/>
  <c r="I47" i="9"/>
  <c r="I56" i="9" s="1"/>
  <c r="K14" i="9" l="1"/>
  <c r="J27" i="10"/>
  <c r="J10" i="13"/>
  <c r="K29" i="13"/>
  <c r="J11" i="23"/>
  <c r="K9" i="23"/>
  <c r="J22" i="9"/>
  <c r="I26" i="13"/>
  <c r="I16" i="22"/>
  <c r="J16" i="22" s="1"/>
  <c r="K16" i="22" s="1"/>
  <c r="H20" i="3"/>
  <c r="J25" i="9" s="1"/>
  <c r="N64" i="11"/>
  <c r="N63" i="11"/>
  <c r="M66" i="11"/>
  <c r="N62" i="11"/>
  <c r="I30" i="13"/>
  <c r="J30" i="13" s="1"/>
  <c r="I35" i="13"/>
  <c r="J35" i="13" s="1"/>
  <c r="K33" i="13"/>
  <c r="J12" i="13"/>
  <c r="J17" i="9" s="1"/>
  <c r="H19" i="3"/>
  <c r="J11" i="22" s="1"/>
  <c r="I41" i="3"/>
  <c r="H27" i="3"/>
  <c r="I48" i="3"/>
  <c r="I42" i="3"/>
  <c r="I43" i="3"/>
  <c r="I21" i="3" s="1"/>
  <c r="G16" i="3"/>
  <c r="G40" i="3" s="1"/>
  <c r="G39" i="3"/>
  <c r="H39" i="3" s="1"/>
  <c r="J53" i="9" l="1"/>
  <c r="J15" i="10"/>
  <c r="J15" i="9"/>
  <c r="J14" i="9"/>
  <c r="J23" i="10"/>
  <c r="K30" i="13"/>
  <c r="K10" i="23"/>
  <c r="K36" i="10" s="1"/>
  <c r="J12" i="22"/>
  <c r="J27" i="13"/>
  <c r="J18" i="13" s="1"/>
  <c r="N66" i="11"/>
  <c r="K35" i="13"/>
  <c r="I19" i="3"/>
  <c r="K11" i="22" s="1"/>
  <c r="K25" i="13"/>
  <c r="I27" i="3"/>
  <c r="I20" i="3"/>
  <c r="K25" i="9" s="1"/>
  <c r="H22" i="3"/>
  <c r="J43" i="9" s="1"/>
  <c r="K13" i="22"/>
  <c r="H15" i="3"/>
  <c r="J10" i="22" s="1"/>
  <c r="I39" i="3"/>
  <c r="I15" i="3" s="1"/>
  <c r="G24" i="3"/>
  <c r="G17" i="3"/>
  <c r="J34" i="10" l="1"/>
  <c r="J14" i="22"/>
  <c r="J14" i="10" s="1"/>
  <c r="J35" i="9"/>
  <c r="K11" i="23"/>
  <c r="K10" i="22"/>
  <c r="K27" i="13"/>
  <c r="K18" i="13" s="1"/>
  <c r="K35" i="9" s="1"/>
  <c r="K12" i="22"/>
  <c r="H44" i="3"/>
  <c r="K10" i="13"/>
  <c r="K19" i="13"/>
  <c r="K37" i="9" s="1"/>
  <c r="K27" i="10" s="1"/>
  <c r="K12" i="13"/>
  <c r="K17" i="9" s="1"/>
  <c r="K23" i="10" s="1"/>
  <c r="G28" i="3"/>
  <c r="G46" i="3"/>
  <c r="I16" i="3"/>
  <c r="K26" i="13"/>
  <c r="K16" i="13" s="1"/>
  <c r="K34" i="9" s="1"/>
  <c r="H16" i="3"/>
  <c r="J26" i="13"/>
  <c r="J16" i="13" s="1"/>
  <c r="J34" i="9" s="1"/>
  <c r="I22" i="3"/>
  <c r="K43" i="9" s="1"/>
  <c r="J25" i="10" l="1"/>
  <c r="K25" i="10"/>
  <c r="K28" i="10"/>
  <c r="K24" i="10"/>
  <c r="K15" i="10"/>
  <c r="K15" i="9" s="1"/>
  <c r="K21" i="10" s="1"/>
  <c r="K14" i="22"/>
  <c r="K14" i="10" s="1"/>
  <c r="J44" i="10"/>
  <c r="J45" i="10"/>
  <c r="I40" i="3"/>
  <c r="G49" i="3"/>
  <c r="I57" i="10"/>
  <c r="J57" i="10" s="1"/>
  <c r="K57" i="10" s="1"/>
  <c r="J28" i="10"/>
  <c r="J24" i="10"/>
  <c r="J17" i="13"/>
  <c r="K17" i="13"/>
  <c r="K36" i="9" s="1"/>
  <c r="K38" i="9" s="1"/>
  <c r="G30" i="3"/>
  <c r="H17" i="3"/>
  <c r="H40" i="3"/>
  <c r="I17" i="3"/>
  <c r="I24" i="3"/>
  <c r="I44" i="3"/>
  <c r="H24" i="3"/>
  <c r="K45" i="10" l="1"/>
  <c r="K44" i="10"/>
  <c r="J36" i="9"/>
  <c r="J46" i="10"/>
  <c r="G51" i="3"/>
  <c r="K20" i="13"/>
  <c r="J20" i="13"/>
  <c r="I10" i="10"/>
  <c r="G32" i="3"/>
  <c r="I46" i="3"/>
  <c r="H46" i="3"/>
  <c r="J26" i="10" l="1"/>
  <c r="K26" i="10"/>
  <c r="K46" i="10"/>
  <c r="J38" i="9"/>
  <c r="K11" i="13"/>
  <c r="K16" i="9" s="1"/>
  <c r="J11" i="13"/>
  <c r="J16" i="9" s="1"/>
  <c r="I12" i="10"/>
  <c r="J22" i="10" l="1"/>
  <c r="K22" i="10"/>
  <c r="J13" i="13"/>
  <c r="J22" i="13" s="1"/>
  <c r="K13" i="13"/>
  <c r="K22" i="13" s="1"/>
  <c r="M22" i="11" l="1"/>
  <c r="N22" i="11" s="1"/>
  <c r="M13" i="11"/>
  <c r="M34" i="11" s="1"/>
  <c r="M14" i="11"/>
  <c r="M40" i="11" s="1"/>
  <c r="M12" i="11"/>
  <c r="M28" i="11" s="1"/>
  <c r="N40" i="11" l="1"/>
  <c r="M42" i="11"/>
  <c r="N34" i="11"/>
  <c r="M36" i="11"/>
  <c r="N28" i="11"/>
  <c r="M30" i="11"/>
  <c r="M24" i="11"/>
  <c r="M46" i="11" l="1"/>
  <c r="M50" i="11" s="1"/>
  <c r="J12" i="10" s="1"/>
  <c r="M51" i="11" l="1"/>
  <c r="J21" i="9" s="1"/>
  <c r="N48" i="11" l="1"/>
  <c r="J18" i="10"/>
  <c r="J51" i="9" s="1"/>
  <c r="J28" i="9"/>
  <c r="N15" i="11"/>
  <c r="N12" i="11" l="1"/>
  <c r="N29" i="11" s="1"/>
  <c r="N30" i="11" s="1"/>
  <c r="N14" i="11"/>
  <c r="N41" i="11" s="1"/>
  <c r="N42" i="11" s="1"/>
  <c r="N13" i="11"/>
  <c r="N35" i="11" s="1"/>
  <c r="N36" i="11" s="1"/>
  <c r="N11" i="11"/>
  <c r="N23" i="11" s="1"/>
  <c r="N24" i="11" s="1"/>
  <c r="N46" i="11" l="1"/>
  <c r="N50" i="11" s="1"/>
  <c r="K12" i="10" s="1"/>
  <c r="N51" i="11" l="1"/>
  <c r="K21" i="9" s="1"/>
  <c r="K18" i="10" s="1"/>
  <c r="K51" i="9" s="1"/>
  <c r="K12" i="23"/>
  <c r="K34" i="10" s="1"/>
  <c r="K37" i="10" s="1"/>
  <c r="J37" i="10"/>
  <c r="K28" i="9" l="1"/>
  <c r="J21" i="10" l="1"/>
  <c r="I29" i="10"/>
  <c r="I50" i="10"/>
  <c r="I52" i="10" s="1"/>
  <c r="I12" i="19"/>
  <c r="I11" i="19" s="1"/>
  <c r="J12" i="19"/>
  <c r="J14" i="19" l="1"/>
  <c r="J41" i="9" s="1"/>
  <c r="J13" i="10"/>
  <c r="J20" i="19"/>
  <c r="J21" i="19" s="1"/>
  <c r="H26" i="3" s="1"/>
  <c r="H28" i="3" s="1"/>
  <c r="H49" i="3" s="1"/>
  <c r="J51" i="10"/>
  <c r="I13" i="9"/>
  <c r="K10" i="19"/>
  <c r="K12" i="19"/>
  <c r="I20" i="19"/>
  <c r="I21" i="19" s="1"/>
  <c r="K20" i="19" l="1"/>
  <c r="K21" i="19" s="1"/>
  <c r="I26" i="3" s="1"/>
  <c r="I28" i="3" s="1"/>
  <c r="I49" i="3" s="1"/>
  <c r="H29" i="3"/>
  <c r="J16" i="10" s="1"/>
  <c r="K14" i="19"/>
  <c r="K41" i="9" s="1"/>
  <c r="I18" i="9"/>
  <c r="I30" i="9" s="1"/>
  <c r="I29" i="3" l="1"/>
  <c r="K16" i="10" s="1"/>
  <c r="H30" i="3"/>
  <c r="J52" i="9" s="1"/>
  <c r="J44" i="9"/>
  <c r="H32" i="3"/>
  <c r="I59" i="9"/>
  <c r="I60" i="9"/>
  <c r="I30" i="3" l="1"/>
  <c r="K52" i="9"/>
  <c r="K54" i="9" s="1"/>
  <c r="K44" i="9"/>
  <c r="K45" i="9" s="1"/>
  <c r="K47" i="9" s="1"/>
  <c r="I51" i="3"/>
  <c r="K10" i="10"/>
  <c r="K29" i="10" s="1"/>
  <c r="K50" i="10" s="1"/>
  <c r="J10" i="10"/>
  <c r="J29" i="10" s="1"/>
  <c r="J50" i="10" s="1"/>
  <c r="J52" i="10" s="1"/>
  <c r="K51" i="10" s="1"/>
  <c r="H51" i="3"/>
  <c r="I32" i="3"/>
  <c r="J45" i="9"/>
  <c r="J47" i="9" l="1"/>
  <c r="K56" i="9"/>
  <c r="K52" i="10"/>
  <c r="K13" i="9" s="1"/>
  <c r="K18" i="9" s="1"/>
  <c r="K30" i="9" s="1"/>
  <c r="K60" i="9" s="1"/>
  <c r="J13" i="9"/>
  <c r="J54" i="9"/>
  <c r="J56" i="9" l="1"/>
  <c r="J18" i="9"/>
  <c r="K59" i="9" l="1"/>
  <c r="J30" i="9"/>
  <c r="J60" i="9" l="1"/>
  <c r="J59" i="9"/>
</calcChain>
</file>

<file path=xl/sharedStrings.xml><?xml version="1.0" encoding="utf-8"?>
<sst xmlns="http://schemas.openxmlformats.org/spreadsheetml/2006/main" count="755" uniqueCount="360">
  <si>
    <t/>
  </si>
  <si>
    <t>Year Ended December 31,</t>
  </si>
  <si>
    <t>(in thousands)</t>
  </si>
  <si>
    <t>Revenue</t>
  </si>
  <si>
    <t>Gross profit</t>
  </si>
  <si>
    <t>Operating expenses:</t>
  </si>
  <si>
    <t>Total operating expenses</t>
  </si>
  <si>
    <t>Income (loss) from operations</t>
  </si>
  <si>
    <t>Interest expense</t>
  </si>
  <si>
    <t>Other income (expense), net</t>
  </si>
  <si>
    <t>Net income (loss)</t>
  </si>
  <si>
    <t>Cost of revenue</t>
  </si>
  <si>
    <t>Research and development</t>
  </si>
  <si>
    <t>Sales and marketing</t>
  </si>
  <si>
    <t>General and administrative</t>
  </si>
  <si>
    <t>Total</t>
  </si>
  <si>
    <t>Stock Based Compensation Amounts (1)</t>
  </si>
  <si>
    <t>Amortization Amounts (2)</t>
  </si>
  <si>
    <t>As of</t>
  </si>
  <si>
    <t>Mar. 31,</t>
  </si>
  <si>
    <t>Jun. 30,</t>
  </si>
  <si>
    <t>Sep. 30,</t>
  </si>
  <si>
    <t>Dec. 31,</t>
  </si>
  <si>
    <t>Customers</t>
  </si>
  <si>
    <t>Number of Customers</t>
  </si>
  <si>
    <t>As of December 31,</t>
  </si>
  <si>
    <t>Cash and cash equivalents</t>
  </si>
  <si>
    <t>Total assets</t>
  </si>
  <si>
    <t>Total stockholders' equity</t>
  </si>
  <si>
    <t>Income (loss) before provision for (benefit</t>
  </si>
  <si>
    <t>of) income taxes</t>
  </si>
  <si>
    <t>Provision for (benefit of) income taxes</t>
  </si>
  <si>
    <t>Less: Accretion of Series A redeemable</t>
  </si>
  <si>
    <t>convertible preferred stock</t>
  </si>
  <si>
    <t>Net income (loss) attributable to common</t>
  </si>
  <si>
    <t>stockholders</t>
  </si>
  <si>
    <t>Net income (loss) per share attributable to</t>
  </si>
  <si>
    <t>common stockholders,</t>
  </si>
  <si>
    <t>basic</t>
  </si>
  <si>
    <t>diluted</t>
  </si>
  <si>
    <t>Weighted-average shares used to compute net</t>
  </si>
  <si>
    <t>income (loss) per</t>
  </si>
  <si>
    <t>share attributable to common</t>
  </si>
  <si>
    <t>stockholders, basic</t>
  </si>
  <si>
    <t>stockholders, diluted</t>
  </si>
  <si>
    <t>Other comprehensive income (loss), net of</t>
  </si>
  <si>
    <t>tax:</t>
  </si>
  <si>
    <t>Net unrealized holding gain (loss) on</t>
  </si>
  <si>
    <t>investments, net of tax</t>
  </si>
  <si>
    <t>Foreign currency translation adjustments,</t>
  </si>
  <si>
    <t>net of tax</t>
  </si>
  <si>
    <t>tax</t>
  </si>
  <si>
    <t>Total comprehensive income (loss)</t>
  </si>
  <si>
    <t>Consolidated Balance Sheets</t>
  </si>
  <si>
    <t>(in thousands, except par value)</t>
  </si>
  <si>
    <t>Assets</t>
  </si>
  <si>
    <t>Current assets:</t>
  </si>
  <si>
    <t>Short-term investments</t>
  </si>
  <si>
    <t>Accounts receivable, net of allowance for doubtful</t>
  </si>
  <si>
    <t>accounts and sales reserves of $2,297 and $1,714 as of</t>
  </si>
  <si>
    <t>December 31, 2018 and December 31, 2017, respectively</t>
  </si>
  <si>
    <t>Deferred commissions</t>
  </si>
  <si>
    <t>Prepaid expenses and other current assets</t>
  </si>
  <si>
    <t>Total current assets</t>
  </si>
  <si>
    <t>Property and equipment, net</t>
  </si>
  <si>
    <t>Long-term investments</t>
  </si>
  <si>
    <t>Goodwill</t>
  </si>
  <si>
    <t>Intangible assets, net</t>
  </si>
  <si>
    <t>Long-term deferred commissions</t>
  </si>
  <si>
    <t>Other assets</t>
  </si>
  <si>
    <t>Deferred incomes taxes, net</t>
  </si>
  <si>
    <t>Liabilities and Stockholders' Equity</t>
  </si>
  <si>
    <t>Current liabilities:</t>
  </si>
  <si>
    <t>Accounts payable</t>
  </si>
  <si>
    <t>Accrued payroll and payroll related liabilities</t>
  </si>
  <si>
    <t>Accrued expenses and other current liabilities</t>
  </si>
  <si>
    <t>Deferred revenue</t>
  </si>
  <si>
    <t>Total current liabilities</t>
  </si>
  <si>
    <t>Convertible senior notes, net</t>
  </si>
  <si>
    <t>Other liabilities</t>
  </si>
  <si>
    <t>Deferred income tax, net</t>
  </si>
  <si>
    <t>Total liabilities</t>
  </si>
  <si>
    <t>Commitments and contingencies (Note 14)</t>
  </si>
  <si>
    <t>Stockholders' equity:</t>
  </si>
  <si>
    <t>Preferred stock, $0.0001 par value: 10,000 shares</t>
  </si>
  <si>
    <t>authorized as of December 31, 2018 and December 31,</t>
  </si>
  <si>
    <t>2017, respectively; no shares issued and outstanding as</t>
  </si>
  <si>
    <t>of December 31, 2018 and December 31, 2017,</t>
  </si>
  <si>
    <t>respectively</t>
  </si>
  <si>
    <t>Common stock, $0.0001 par value: 500,000 Class A shares</t>
  </si>
  <si>
    <t>authorized, 37,832 and 26,687 shares issued and</t>
  </si>
  <si>
    <t>outstanding, as of December 31, 2018 and December 31,</t>
  </si>
  <si>
    <t>2017, respectively; 500,000 Class B shares</t>
  </si>
  <si>
    <t>authorized, 23,748 and 32,948 shares issued and</t>
  </si>
  <si>
    <t>outstanding as of December 31, 2018 and December 31,</t>
  </si>
  <si>
    <t>2017, respectively</t>
  </si>
  <si>
    <t>Additional paid-in capital</t>
  </si>
  <si>
    <t>Accumulated deficit</t>
  </si>
  <si>
    <t>Accumulated other comprehensive loss</t>
  </si>
  <si>
    <t>Total liabilities and stockholders' equity</t>
  </si>
  <si>
    <t>Quarter Ended</t>
  </si>
  <si>
    <t>September 30</t>
  </si>
  <si>
    <t>March 31 (1)</t>
  </si>
  <si>
    <t>June 30 (1)</t>
  </si>
  <si>
    <t>December 31</t>
  </si>
  <si>
    <t>Gross margin</t>
  </si>
  <si>
    <t>Diluted income (loss) per share</t>
  </si>
  <si>
    <t>($ in Thousands)</t>
  </si>
  <si>
    <t>Net Income</t>
  </si>
  <si>
    <t>2018A</t>
  </si>
  <si>
    <t>2019E</t>
  </si>
  <si>
    <t>2020E</t>
  </si>
  <si>
    <t>March 31,</t>
  </si>
  <si>
    <t>June 30,</t>
  </si>
  <si>
    <t>September 30,</t>
  </si>
  <si>
    <t>December 31,</t>
  </si>
  <si>
    <t>Cost of Revenue</t>
  </si>
  <si>
    <t>Gross Profit</t>
  </si>
  <si>
    <t>Gross Margin</t>
  </si>
  <si>
    <t>Research &amp; Development</t>
  </si>
  <si>
    <t>Sales &amp; Marketing</t>
  </si>
  <si>
    <t>General &amp; Administrative</t>
  </si>
  <si>
    <t>Total Operating Expenses</t>
  </si>
  <si>
    <t>Operating Income</t>
  </si>
  <si>
    <t>Interest Expense</t>
  </si>
  <si>
    <t>Other Income (expense)</t>
  </si>
  <si>
    <t>Tax Rate</t>
  </si>
  <si>
    <r>
      <t xml:space="preserve">Tax Rate </t>
    </r>
    <r>
      <rPr>
        <vertAlign val="superscript"/>
        <sz val="11"/>
        <color theme="1"/>
        <rFont val="Calibri"/>
        <family val="2"/>
        <scheme val="minor"/>
      </rPr>
      <t>(1)</t>
    </r>
  </si>
  <si>
    <t>Net Income before Tax</t>
  </si>
  <si>
    <t>Provision for Income Tax Expense (Benefit)</t>
  </si>
  <si>
    <t>EPS</t>
  </si>
  <si>
    <t>Common Stock</t>
  </si>
  <si>
    <t>Additional Paid-in Capital</t>
  </si>
  <si>
    <t>Stock-based compensation</t>
  </si>
  <si>
    <t>Current Assets</t>
  </si>
  <si>
    <t>Cash &amp; Cash Equivalent</t>
  </si>
  <si>
    <t>Short Term Investments</t>
  </si>
  <si>
    <t>Accounts Receivable</t>
  </si>
  <si>
    <t>Deferred Commissions</t>
  </si>
  <si>
    <t>Prepaid Expense &amp; Other Current Assets</t>
  </si>
  <si>
    <t>Total Current Assets</t>
  </si>
  <si>
    <t>Long Term Assets</t>
  </si>
  <si>
    <t>Long-Term Investments</t>
  </si>
  <si>
    <t>Intangible Assets</t>
  </si>
  <si>
    <t>Long-Term Deferred Commissions</t>
  </si>
  <si>
    <t>Other Assets</t>
  </si>
  <si>
    <t>Deferred Income Taxes</t>
  </si>
  <si>
    <t>Total Long Term Assets</t>
  </si>
  <si>
    <t>Total Assets</t>
  </si>
  <si>
    <t>Liabilities &amp; Shareholder Equity</t>
  </si>
  <si>
    <t>Current Liabilities</t>
  </si>
  <si>
    <t>Accounts Payable</t>
  </si>
  <si>
    <t>Accrued Payroll &amp; Payroll Liabilities</t>
  </si>
  <si>
    <t>Accrued Expenses &amp; Other Current Liabilities</t>
  </si>
  <si>
    <t>Deferred Revenue</t>
  </si>
  <si>
    <t>Total Current Liabilities</t>
  </si>
  <si>
    <t>Long Term Liabilities</t>
  </si>
  <si>
    <t>Convertible Senior Notes</t>
  </si>
  <si>
    <t>Other Liabilities</t>
  </si>
  <si>
    <t>Deferred Income Tax</t>
  </si>
  <si>
    <t>Total Long Term Liabilities</t>
  </si>
  <si>
    <t>Total Liabilities</t>
  </si>
  <si>
    <t>Shareholders Equity</t>
  </si>
  <si>
    <t>Accumulated Other Comprehensive Loss</t>
  </si>
  <si>
    <t>Total Shareholder Equity</t>
  </si>
  <si>
    <t>Total Liabilties &amp; Shareholder Equity</t>
  </si>
  <si>
    <t>Check</t>
  </si>
  <si>
    <t>Depreciation &amp; Amortization</t>
  </si>
  <si>
    <t>Computer equipment &amp; software</t>
  </si>
  <si>
    <t>2017A</t>
  </si>
  <si>
    <t>Furniture and fixtures</t>
  </si>
  <si>
    <t>Leasehold Improvements</t>
  </si>
  <si>
    <t>Construction in Process</t>
  </si>
  <si>
    <t>Leasehold improvements</t>
  </si>
  <si>
    <t>Construction in process</t>
  </si>
  <si>
    <t>Less: Accumulated depreciation and amortization</t>
  </si>
  <si>
    <t>Total property and equipment, net</t>
  </si>
  <si>
    <t>Property, Plant &amp; Equipment</t>
  </si>
  <si>
    <t>Beginning Property and Equipment</t>
  </si>
  <si>
    <t>Ending Property and Equipment Balance</t>
  </si>
  <si>
    <t>Property and Equipment</t>
  </si>
  <si>
    <t>CAPEX</t>
  </si>
  <si>
    <t>Cash flows from operating activities:</t>
  </si>
  <si>
    <t>Adjustments to reconcile net income (loss) to net</t>
  </si>
  <si>
    <t>cash provided by (used in) operating activities:</t>
  </si>
  <si>
    <t>Depreciation and amortization</t>
  </si>
  <si>
    <t>Amortization of debt discount and issuance costs</t>
  </si>
  <si>
    <t>Provision for doubtful accounts, net of recoveries</t>
  </si>
  <si>
    <t>Deferred income taxes</t>
  </si>
  <si>
    <t>Impairment of long-lived assets</t>
  </si>
  <si>
    <t>Change in fair value of contingent consideration</t>
  </si>
  <si>
    <t>Loss on disposal of assets</t>
  </si>
  <si>
    <t>Changes in operating assets and liabilities, net</t>
  </si>
  <si>
    <t>of effect of business acquisitions</t>
  </si>
  <si>
    <t>Accounts receivable</t>
  </si>
  <si>
    <t>Prepaid expenses and other current assets and</t>
  </si>
  <si>
    <t>other assets</t>
  </si>
  <si>
    <t>Net cash provided by (used in) operating</t>
  </si>
  <si>
    <t>activities</t>
  </si>
  <si>
    <t>Cash flows from investing activities:</t>
  </si>
  <si>
    <t>Purchases of property and equipment</t>
  </si>
  <si>
    <t>Cash paid in business acquisitions, net of cash</t>
  </si>
  <si>
    <t>acquired</t>
  </si>
  <si>
    <t>Purchases of investments</t>
  </si>
  <si>
    <t>Maturities of investments</t>
  </si>
  <si>
    <t>Net cash provided by (used in) investing</t>
  </si>
  <si>
    <t>Cash flows from financing activities:</t>
  </si>
  <si>
    <t>Proceeds from issuance of senior convertible</t>
  </si>
  <si>
    <t>notes, net of issuance costs</t>
  </si>
  <si>
    <t>Purchase of capped calls</t>
  </si>
  <si>
    <t>Proceeds from initial public offering, net of</t>
  </si>
  <si>
    <t>underwriting commissions and discounts</t>
  </si>
  <si>
    <t>Payments associated with issuance of Series C</t>
  </si>
  <si>
    <t>Payment of initial public offering costs</t>
  </si>
  <si>
    <t>Repurchase of common stock, net of costs paid</t>
  </si>
  <si>
    <t>Repayment of loans to stockholders</t>
  </si>
  <si>
    <t>Payment of holdback funds from acquisition</t>
  </si>
  <si>
    <t>Principal payments on capital lease obligations</t>
  </si>
  <si>
    <t>Proceeds from exercise of stock options</t>
  </si>
  <si>
    <t>Minimum tax withholding paid on behalf of</t>
  </si>
  <si>
    <t>employees for restricted stock units</t>
  </si>
  <si>
    <t>Net cash provided by financing activities</t>
  </si>
  <si>
    <t>Effect of exchange rate changes on cash and cash</t>
  </si>
  <si>
    <t>equivalents</t>
  </si>
  <si>
    <t>Net increase (decrease) in cash and cash</t>
  </si>
  <si>
    <t>Cash, cash equivalents and restricted</t>
  </si>
  <si>
    <t>cash-beginning of year</t>
  </si>
  <si>
    <t>Cash, cash equivalents, and restricted cash-end of</t>
  </si>
  <si>
    <t>year</t>
  </si>
  <si>
    <t>Amortization of Debt Discount</t>
  </si>
  <si>
    <t>Stock Based Compensation</t>
  </si>
  <si>
    <t>Provision for Doubtful Accounts</t>
  </si>
  <si>
    <t>Change in FV of Contingent Considerations</t>
  </si>
  <si>
    <t>Accounts Receivables</t>
  </si>
  <si>
    <t>Operating Cash Flows</t>
  </si>
  <si>
    <t>Prepaid Expenses and Other Current Assets</t>
  </si>
  <si>
    <t>Accrued Expenses and Other Current Liabilities</t>
  </si>
  <si>
    <t>Cash From Operating Activities</t>
  </si>
  <si>
    <t>Cash Flows from Investing</t>
  </si>
  <si>
    <t>Purchase of Property and Equipment</t>
  </si>
  <si>
    <t>Cash Paid in Business Acquisitions</t>
  </si>
  <si>
    <t>Purchase of Investments</t>
  </si>
  <si>
    <t>Maturities of Investments</t>
  </si>
  <si>
    <t>Cash From Investing Activities</t>
  </si>
  <si>
    <t>Cash Flows from Financing</t>
  </si>
  <si>
    <t>Issuance of Senior Convertible Note</t>
  </si>
  <si>
    <t>Purchase of Capped Calls</t>
  </si>
  <si>
    <t>Payment of Holdback from Acquisitions</t>
  </si>
  <si>
    <t>Principal Payments on Capital Lease Obligations</t>
  </si>
  <si>
    <t>Proceeds from Exercise of Stock Options</t>
  </si>
  <si>
    <t>Tax withholding on RSUs</t>
  </si>
  <si>
    <t>Cash from Financing Activities</t>
  </si>
  <si>
    <t>Effect of FX Changes</t>
  </si>
  <si>
    <t>Change In Cash from All Activities</t>
  </si>
  <si>
    <t>Beginning Cash</t>
  </si>
  <si>
    <t>Ending Cash</t>
  </si>
  <si>
    <t>Days per Year</t>
  </si>
  <si>
    <t>Forecast Drivers</t>
  </si>
  <si>
    <t>Growth Rates &amp; Assumptions</t>
  </si>
  <si>
    <t>Last Fiscal Year End</t>
  </si>
  <si>
    <t>Valuation Date</t>
  </si>
  <si>
    <t>Interest Rate (Convertible Note)</t>
  </si>
  <si>
    <t>% of Sales (unless otherwise noted)</t>
  </si>
  <si>
    <t>Accrued Expenses</t>
  </si>
  <si>
    <t>Net Working Capital</t>
  </si>
  <si>
    <t>Days Sales Outstanding</t>
  </si>
  <si>
    <t>Days Payable Outstanding</t>
  </si>
  <si>
    <t>Prepaid Expenses &amp; Other Current Assets</t>
  </si>
  <si>
    <t>Accrued Payroll and Payroll Liabilities</t>
  </si>
  <si>
    <t>COGS</t>
  </si>
  <si>
    <t>Case</t>
  </si>
  <si>
    <t>Base</t>
  </si>
  <si>
    <t>Subscription Revenue</t>
  </si>
  <si>
    <t>Revenue per Customer</t>
  </si>
  <si>
    <t>% Subscription Revenue</t>
  </si>
  <si>
    <t>Revenue from Subscriptions %</t>
  </si>
  <si>
    <t>Professional Services</t>
  </si>
  <si>
    <t>% Professional Services Revenue</t>
  </si>
  <si>
    <t>Customer Growth Rate</t>
  </si>
  <si>
    <t>Best</t>
  </si>
  <si>
    <t>Worst</t>
  </si>
  <si>
    <t>Growth Rate</t>
  </si>
  <si>
    <t>Deferred Commissions % of Revenue</t>
  </si>
  <si>
    <t>Prepaid Expenses &amp; Other Current Assets % of Revenue</t>
  </si>
  <si>
    <t>Deferred Revenue % of Revenue</t>
  </si>
  <si>
    <t>Accrued Expenses % of COGS</t>
  </si>
  <si>
    <t>Accrued Payroll and Payroll Liabilities % of Sales &amp; Marketing</t>
  </si>
  <si>
    <t>Interest Income (Expense)</t>
  </si>
  <si>
    <t>Other Income (Expense)</t>
  </si>
  <si>
    <t>Computer equipment &amp; software % Total PPE</t>
  </si>
  <si>
    <t>Furniture and fixtures % Total PPE</t>
  </si>
  <si>
    <t>Leasehold Improvements % Total PPE</t>
  </si>
  <si>
    <t>Construction in Process % Total PPE</t>
  </si>
  <si>
    <t xml:space="preserve">Total </t>
  </si>
  <si>
    <t>CAPEX % of Revenue</t>
  </si>
  <si>
    <t>Property, Equipments</t>
  </si>
  <si>
    <t>(1) Company utilizes a straight line depreciation</t>
  </si>
  <si>
    <t>Years</t>
  </si>
  <si>
    <t>to 2025</t>
  </si>
  <si>
    <t>3-7</t>
  </si>
  <si>
    <t>Beginning Balance</t>
  </si>
  <si>
    <t>Amortization</t>
  </si>
  <si>
    <t>Ending Balance</t>
  </si>
  <si>
    <t>Thereafter</t>
  </si>
  <si>
    <t>Amortization Schedule for Finite-Lived Intangibles</t>
  </si>
  <si>
    <t>Total Depreciation</t>
  </si>
  <si>
    <t>Total Property and Equipment (At Cost Before Depreciation)</t>
  </si>
  <si>
    <t>Construction in Process and Adjustments</t>
  </si>
  <si>
    <t>Reconciliations</t>
  </si>
  <si>
    <t>Balance Sheet Drivers</t>
  </si>
  <si>
    <t>Other Assets % of Revenue</t>
  </si>
  <si>
    <t>Senior Convertible Note</t>
  </si>
  <si>
    <t>Principal</t>
  </si>
  <si>
    <t>Repayment</t>
  </si>
  <si>
    <t>Senior Convertible Note Maturity</t>
  </si>
  <si>
    <t>Senior Convertible Note Issuance Date</t>
  </si>
  <si>
    <t>Years to Maturity</t>
  </si>
  <si>
    <t>Debt Discount</t>
  </si>
  <si>
    <t>Rate</t>
  </si>
  <si>
    <t>Contracted Interest Payment</t>
  </si>
  <si>
    <t>Amortization of Debt Issuance and Discount</t>
  </si>
  <si>
    <t>Other Liabilities % of Operating Expense</t>
  </si>
  <si>
    <t>Retained Earnings (Loss)</t>
  </si>
  <si>
    <t>Stock Based Compensation:</t>
  </si>
  <si>
    <t>Sales and Marketing</t>
  </si>
  <si>
    <t>General and Administrative</t>
  </si>
  <si>
    <t>Total Stock Based Compensation</t>
  </si>
  <si>
    <t>Cost of Revenue % of COGS</t>
  </si>
  <si>
    <t>Sales and Marketing % of S&amp;M Expense</t>
  </si>
  <si>
    <t>General and Administrative % of G&amp;A Expense</t>
  </si>
  <si>
    <t>Research &amp; Development % of R&amp;D Expense</t>
  </si>
  <si>
    <t>Drivers</t>
  </si>
  <si>
    <t>Provision for Doubtful Accounts % AR</t>
  </si>
  <si>
    <t>Effect of FX Changes % of Revenue</t>
  </si>
  <si>
    <t>Shares Outstanding</t>
  </si>
  <si>
    <t>Long Term Investments</t>
  </si>
  <si>
    <t>(1) Company guidance: all long-term investments had maturities in the next 2 years</t>
  </si>
  <si>
    <t>Marturing Investments</t>
  </si>
  <si>
    <t>Remaining Investments</t>
  </si>
  <si>
    <t>Change in Restricted Cash</t>
  </si>
  <si>
    <t>Tax witholding on RSUs % Stock Based Compensation</t>
  </si>
  <si>
    <t>Ending Long-Term Investment Balance</t>
  </si>
  <si>
    <t>Deferred Income Taxes Liabilities % of Tax Liabilities</t>
  </si>
  <si>
    <t>Long-Term Deferred Commissions % of S&amp;M</t>
  </si>
  <si>
    <t>(2) Company seeking to maintain approximate levels of LT Investments</t>
  </si>
  <si>
    <t>Long Term Investments % Revenue</t>
  </si>
  <si>
    <t>Exit Multiple</t>
  </si>
  <si>
    <t>Risk Free Rate 10 Yr T-Bill</t>
  </si>
  <si>
    <r>
      <t>IMRP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</si>
  <si>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Customer Growth Rate</t>
    </r>
    <r>
      <rPr>
        <vertAlign val="superscript"/>
        <sz val="11"/>
        <color theme="1"/>
        <rFont val="Calibri"/>
        <family val="2"/>
        <scheme val="minor"/>
      </rPr>
      <t>(3)</t>
    </r>
  </si>
  <si>
    <t>Next Fiscal Year End</t>
  </si>
  <si>
    <t>Deferred Income Taxes Liabilities</t>
  </si>
  <si>
    <t>Deferred Income Taxes Assets</t>
  </si>
  <si>
    <t>Proceeds from Stock Options</t>
  </si>
  <si>
    <t>Short term investments % of LT investments</t>
  </si>
  <si>
    <t>Loss of Disposable Assets</t>
  </si>
  <si>
    <r>
      <t xml:space="preserve">Depreciation Schedule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</si>
  <si>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Current Assets </t>
    </r>
    <r>
      <rPr>
        <b/>
        <vertAlign val="superscript"/>
        <sz val="11"/>
        <rFont val="Calibri"/>
        <family val="2"/>
        <scheme val="minor"/>
      </rPr>
      <t>(1)</t>
    </r>
  </si>
  <si>
    <r>
      <t>Long Term Investments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</si>
  <si>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Purchase of Long-Term Investments </t>
    </r>
    <r>
      <rPr>
        <vertAlign val="superscript"/>
        <sz val="11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</si>
</sst>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#,##0_);\(#,##0\);#,###\-_)"/>
    <numFmt numFmtId="168" formatCode="0.00%;\(0.00%\)"/>
    <numFmt numFmtId="169" formatCode="_(* #,##0_);_(* \(#,##0\);_(* &quot;-&quot;??_);_(@_)"/>
    <numFmt numFmtId="170" formatCode="_([$$-409]* #,##0.00_);_([$$-409]* \(#,##0.00\);_([$$-409]* &quot;-&quot;??_);_(@_)"/>
    <numFmt numFmtId="171" formatCode="_([$$-409]* #,##0_);_([$$-409]* \(#,##0\);_([$$-409]* &quot;-&quot;??_);_(@_)"/>
    <numFmt numFmtId="174" formatCode="0.0\x"/>
    <numFmt numFmtId="178" formatCode="_(&quot;$&quot;* #,##0.0000000_);_(&quot;$&quot;* \(#,##0.0000000\);_(&quot;$&quot;* &quot;-&quot;??_);_(@_)"/>
    <numFmt numFmtId="179" formatCode="0.000%"/>
    <numFmt numFmtId="180" formatCode="0.0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3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0"/>
      <name val="Arial"/>
      <family val="2"/>
    </font>
    <font>
      <vertAlign val="superscript"/>
      <sz val="1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i/>
      <sz val="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42" fontId="5" fillId="0" borderId="0" xfId="0" applyNumberFormat="1" applyFont="1" applyAlignment="1">
      <alignment vertical="top"/>
    </xf>
    <xf numFmtId="37" fontId="5" fillId="0" borderId="0" xfId="0" applyNumberFormat="1" applyFont="1" applyAlignment="1">
      <alignment vertical="top"/>
    </xf>
    <xf numFmtId="43" fontId="5" fillId="0" borderId="0" xfId="0" applyNumberFormat="1" applyFont="1" applyAlignment="1">
      <alignment vertical="top"/>
    </xf>
    <xf numFmtId="44" fontId="5" fillId="0" borderId="0" xfId="0" applyNumberFormat="1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2" fillId="0" borderId="0" xfId="0" applyFont="1"/>
    <xf numFmtId="0" fontId="6" fillId="0" borderId="0" xfId="0" applyFont="1" applyAlignment="1">
      <alignment vertical="top"/>
    </xf>
    <xf numFmtId="42" fontId="6" fillId="0" borderId="0" xfId="0" applyNumberFormat="1" applyFont="1" applyAlignment="1">
      <alignment vertical="top"/>
    </xf>
    <xf numFmtId="37" fontId="6" fillId="0" borderId="0" xfId="0" applyNumberFormat="1" applyFont="1" applyAlignment="1">
      <alignment vertical="top"/>
    </xf>
    <xf numFmtId="43" fontId="6" fillId="0" borderId="0" xfId="0" applyNumberFormat="1" applyFont="1" applyAlignment="1">
      <alignment vertical="top"/>
    </xf>
    <xf numFmtId="44" fontId="6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44" fontId="7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 shrinkToFit="1"/>
    </xf>
    <xf numFmtId="39" fontId="6" fillId="0" borderId="0" xfId="0" applyNumberFormat="1" applyFont="1" applyAlignment="1">
      <alignment vertical="top"/>
    </xf>
    <xf numFmtId="0" fontId="0" fillId="0" borderId="0" xfId="0" applyFill="1"/>
    <xf numFmtId="0" fontId="11" fillId="0" borderId="0" xfId="0" applyFont="1"/>
    <xf numFmtId="9" fontId="11" fillId="0" borderId="0" xfId="1" applyFont="1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2" fillId="0" borderId="0" xfId="0" applyFont="1" applyFill="1" applyBorder="1"/>
    <xf numFmtId="37" fontId="0" fillId="0" borderId="0" xfId="0" applyNumberFormat="1" applyAlignment="1">
      <alignment vertical="top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/>
    <xf numFmtId="164" fontId="0" fillId="0" borderId="0" xfId="0" applyNumberFormat="1" applyFill="1" applyBorder="1"/>
    <xf numFmtId="0" fontId="11" fillId="0" borderId="0" xfId="0" applyFont="1" applyFill="1" applyBorder="1"/>
    <xf numFmtId="0" fontId="11" fillId="0" borderId="0" xfId="0" applyFont="1" applyFill="1"/>
    <xf numFmtId="9" fontId="11" fillId="0" borderId="0" xfId="1" applyFont="1" applyFill="1" applyBorder="1"/>
    <xf numFmtId="9" fontId="11" fillId="0" borderId="0" xfId="1" applyFont="1" applyFill="1"/>
    <xf numFmtId="0" fontId="2" fillId="0" borderId="0" xfId="0" applyFont="1" applyFill="1"/>
    <xf numFmtId="0" fontId="0" fillId="0" borderId="0" xfId="0" applyFont="1" applyFill="1"/>
    <xf numFmtId="0" fontId="11" fillId="0" borderId="1" xfId="0" applyFont="1" applyBorder="1"/>
    <xf numFmtId="0" fontId="13" fillId="0" borderId="0" xfId="0" applyFont="1"/>
    <xf numFmtId="0" fontId="13" fillId="0" borderId="0" xfId="0" applyFont="1" applyFill="1" applyBorder="1"/>
    <xf numFmtId="0" fontId="11" fillId="0" borderId="1" xfId="0" applyFont="1" applyFill="1" applyBorder="1"/>
    <xf numFmtId="10" fontId="11" fillId="0" borderId="0" xfId="1" applyNumberFormat="1" applyFont="1"/>
    <xf numFmtId="168" fontId="11" fillId="0" borderId="0" xfId="1" applyNumberFormat="1" applyFont="1"/>
    <xf numFmtId="168" fontId="11" fillId="0" borderId="1" xfId="1" applyNumberFormat="1" applyFont="1" applyBorder="1"/>
    <xf numFmtId="168" fontId="13" fillId="0" borderId="0" xfId="1" applyNumberFormat="1" applyFont="1"/>
    <xf numFmtId="0" fontId="0" fillId="0" borderId="1" xfId="0" applyBorder="1" applyAlignment="1">
      <alignment horizontal="right"/>
    </xf>
    <xf numFmtId="14" fontId="0" fillId="0" borderId="0" xfId="0" applyNumberFormat="1" applyFill="1" applyBorder="1"/>
    <xf numFmtId="9" fontId="16" fillId="0" borderId="0" xfId="1" applyFont="1"/>
    <xf numFmtId="0" fontId="15" fillId="0" borderId="0" xfId="0" applyFont="1" applyFill="1" applyBorder="1" applyAlignment="1">
      <alignment horizontal="right"/>
    </xf>
    <xf numFmtId="0" fontId="14" fillId="0" borderId="0" xfId="0" applyFont="1" applyFill="1" applyBorder="1"/>
    <xf numFmtId="165" fontId="14" fillId="0" borderId="0" xfId="1" applyNumberFormat="1" applyFont="1" applyFill="1" applyBorder="1"/>
    <xf numFmtId="169" fontId="14" fillId="0" borderId="0" xfId="2" applyNumberFormat="1" applyFont="1" applyFill="1" applyBorder="1"/>
    <xf numFmtId="169" fontId="0" fillId="0" borderId="0" xfId="2" applyNumberFormat="1" applyFont="1" applyFill="1" applyBorder="1"/>
    <xf numFmtId="42" fontId="15" fillId="0" borderId="1" xfId="0" applyNumberFormat="1" applyFont="1" applyFill="1" applyBorder="1"/>
    <xf numFmtId="43" fontId="0" fillId="0" borderId="0" xfId="2" applyNumberFormat="1" applyFont="1" applyFill="1" applyBorder="1"/>
    <xf numFmtId="9" fontId="5" fillId="0" borderId="0" xfId="1" applyFont="1" applyAlignment="1">
      <alignment vertical="top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42" fontId="15" fillId="0" borderId="0" xfId="0" applyNumberFormat="1" applyFont="1" applyFill="1" applyBorder="1"/>
    <xf numFmtId="9" fontId="15" fillId="0" borderId="1" xfId="1" applyFont="1" applyFill="1" applyBorder="1"/>
    <xf numFmtId="42" fontId="0" fillId="0" borderId="0" xfId="0" applyNumberFormat="1" applyFont="1" applyFill="1" applyBorder="1"/>
    <xf numFmtId="44" fontId="0" fillId="0" borderId="0" xfId="0" applyNumberFormat="1" applyFill="1" applyBorder="1"/>
    <xf numFmtId="41" fontId="14" fillId="0" borderId="1" xfId="0" applyNumberFormat="1" applyFont="1" applyFill="1" applyBorder="1"/>
    <xf numFmtId="41" fontId="15" fillId="0" borderId="0" xfId="0" applyNumberFormat="1" applyFont="1" applyFill="1" applyBorder="1"/>
    <xf numFmtId="41" fontId="0" fillId="0" borderId="1" xfId="0" applyNumberFormat="1" applyFill="1" applyBorder="1"/>
    <xf numFmtId="0" fontId="0" fillId="0" borderId="0" xfId="0" applyFill="1" applyBorder="1" applyAlignment="1">
      <alignment vertical="center"/>
    </xf>
    <xf numFmtId="9" fontId="11" fillId="0" borderId="0" xfId="1" applyFont="1" applyFill="1" applyBorder="1" applyAlignment="1">
      <alignment vertical="center"/>
    </xf>
    <xf numFmtId="9" fontId="18" fillId="0" borderId="0" xfId="1" applyFont="1" applyFill="1" applyBorder="1" applyAlignment="1">
      <alignment horizontal="center"/>
    </xf>
    <xf numFmtId="165" fontId="0" fillId="0" borderId="0" xfId="0" applyNumberFormat="1" applyFill="1" applyBorder="1"/>
    <xf numFmtId="165" fontId="19" fillId="0" borderId="1" xfId="1" applyNumberFormat="1" applyFont="1" applyFill="1" applyBorder="1"/>
    <xf numFmtId="42" fontId="19" fillId="0" borderId="0" xfId="0" applyNumberFormat="1" applyFont="1" applyFill="1" applyBorder="1"/>
    <xf numFmtId="41" fontId="19" fillId="0" borderId="0" xfId="0" applyNumberFormat="1" applyFont="1" applyFill="1" applyBorder="1"/>
    <xf numFmtId="164" fontId="14" fillId="0" borderId="0" xfId="0" applyNumberFormat="1" applyFont="1" applyFill="1" applyBorder="1"/>
    <xf numFmtId="169" fontId="0" fillId="0" borderId="1" xfId="2" applyNumberFormat="1" applyFont="1" applyFill="1" applyBorder="1"/>
    <xf numFmtId="164" fontId="0" fillId="0" borderId="0" xfId="0" applyNumberFormat="1" applyFill="1" applyBorder="1" applyAlignment="1">
      <alignment vertical="center"/>
    </xf>
    <xf numFmtId="41" fontId="15" fillId="0" borderId="1" xfId="0" applyNumberFormat="1" applyFont="1" applyFill="1" applyBorder="1"/>
    <xf numFmtId="168" fontId="11" fillId="0" borderId="0" xfId="1" applyNumberFormat="1" applyFont="1" applyFill="1"/>
    <xf numFmtId="168" fontId="13" fillId="0" borderId="0" xfId="1" applyNumberFormat="1" applyFont="1" applyFill="1"/>
    <xf numFmtId="168" fontId="11" fillId="0" borderId="1" xfId="1" applyNumberFormat="1" applyFont="1" applyFill="1" applyBorder="1"/>
    <xf numFmtId="0" fontId="0" fillId="0" borderId="1" xfId="0" applyFill="1" applyBorder="1" applyAlignment="1">
      <alignment horizontal="right"/>
    </xf>
    <xf numFmtId="9" fontId="16" fillId="0" borderId="0" xfId="1" applyFont="1" applyFill="1"/>
    <xf numFmtId="168" fontId="11" fillId="0" borderId="1" xfId="0" applyNumberFormat="1" applyFont="1" applyFill="1" applyBorder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/>
    <xf numFmtId="174" fontId="0" fillId="0" borderId="0" xfId="0" applyNumberFormat="1" applyFill="1" applyBorder="1"/>
    <xf numFmtId="174" fontId="0" fillId="2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4" fontId="0" fillId="2" borderId="5" xfId="0" applyNumberFormat="1" applyFill="1" applyBorder="1" applyAlignment="1">
      <alignment vertical="center"/>
    </xf>
    <xf numFmtId="14" fontId="0" fillId="0" borderId="5" xfId="0" applyNumberForma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14" fillId="0" borderId="1" xfId="1" applyNumberFormat="1" applyFont="1" applyFill="1" applyBorder="1" applyAlignment="1">
      <alignment vertical="center"/>
    </xf>
    <xf numFmtId="165" fontId="14" fillId="2" borderId="5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5" fontId="14" fillId="0" borderId="5" xfId="1" applyNumberFormat="1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vertical="center"/>
    </xf>
    <xf numFmtId="2" fontId="14" fillId="0" borderId="5" xfId="0" applyNumberFormat="1" applyFont="1" applyFill="1" applyBorder="1" applyAlignment="1">
      <alignment vertical="center"/>
    </xf>
    <xf numFmtId="171" fontId="14" fillId="2" borderId="0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0" xfId="0" applyFill="1" applyBorder="1"/>
    <xf numFmtId="0" fontId="15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169" fontId="15" fillId="0" borderId="0" xfId="2" applyNumberFormat="1" applyFont="1" applyFill="1" applyBorder="1"/>
    <xf numFmtId="42" fontId="20" fillId="0" borderId="0" xfId="0" applyNumberFormat="1" applyFont="1" applyFill="1" applyBorder="1"/>
    <xf numFmtId="0" fontId="15" fillId="0" borderId="0" xfId="0" applyFont="1" applyFill="1" applyBorder="1"/>
    <xf numFmtId="164" fontId="15" fillId="0" borderId="0" xfId="0" applyNumberFormat="1" applyFont="1" applyFill="1" applyBorder="1"/>
    <xf numFmtId="9" fontId="21" fillId="0" borderId="0" xfId="1" applyFont="1" applyFill="1" applyBorder="1"/>
    <xf numFmtId="164" fontId="21" fillId="0" borderId="0" xfId="0" applyNumberFormat="1" applyFont="1" applyFill="1" applyBorder="1"/>
    <xf numFmtId="0" fontId="21" fillId="0" borderId="0" xfId="0" applyFont="1" applyFill="1" applyBorder="1"/>
    <xf numFmtId="42" fontId="22" fillId="0" borderId="0" xfId="0" applyNumberFormat="1" applyFont="1" applyFill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top" shrinkToFi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vertical="top"/>
    </xf>
    <xf numFmtId="37" fontId="15" fillId="0" borderId="0" xfId="0" applyNumberFormat="1" applyFont="1" applyFill="1" applyBorder="1"/>
    <xf numFmtId="0" fontId="24" fillId="0" borderId="0" xfId="0" applyFont="1" applyFill="1" applyBorder="1" applyAlignment="1">
      <alignment horizontal="left"/>
    </xf>
    <xf numFmtId="0" fontId="15" fillId="0" borderId="0" xfId="0" applyFont="1" applyFill="1"/>
    <xf numFmtId="0" fontId="24" fillId="0" borderId="0" xfId="0" applyFont="1" applyFill="1" applyAlignment="1">
      <alignment horizontal="left"/>
    </xf>
    <xf numFmtId="0" fontId="21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9" fontId="21" fillId="0" borderId="0" xfId="1" applyFont="1" applyFill="1"/>
    <xf numFmtId="0" fontId="20" fillId="0" borderId="0" xfId="0" applyFont="1" applyFill="1" applyBorder="1"/>
    <xf numFmtId="0" fontId="20" fillId="0" borderId="0" xfId="0" applyFont="1" applyFill="1"/>
    <xf numFmtId="0" fontId="15" fillId="0" borderId="1" xfId="0" applyFont="1" applyFill="1" applyBorder="1"/>
    <xf numFmtId="0" fontId="20" fillId="0" borderId="3" xfId="0" applyFont="1" applyFill="1" applyBorder="1"/>
    <xf numFmtId="37" fontId="15" fillId="0" borderId="0" xfId="0" applyNumberFormat="1" applyFont="1" applyFill="1"/>
    <xf numFmtId="168" fontId="21" fillId="0" borderId="5" xfId="0" applyNumberFormat="1" applyFont="1" applyFill="1" applyBorder="1"/>
    <xf numFmtId="168" fontId="22" fillId="0" borderId="0" xfId="1" applyNumberFormat="1" applyFont="1" applyFill="1"/>
    <xf numFmtId="168" fontId="21" fillId="0" borderId="0" xfId="0" applyNumberFormat="1" applyFont="1" applyFill="1"/>
    <xf numFmtId="168" fontId="21" fillId="0" borderId="1" xfId="0" applyNumberFormat="1" applyFont="1" applyFill="1" applyBorder="1"/>
    <xf numFmtId="0" fontId="22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164" fontId="15" fillId="0" borderId="0" xfId="0" applyNumberFormat="1" applyFont="1" applyFill="1"/>
    <xf numFmtId="169" fontId="15" fillId="0" borderId="1" xfId="2" applyNumberFormat="1" applyFont="1" applyFill="1" applyBorder="1"/>
    <xf numFmtId="164" fontId="20" fillId="0" borderId="0" xfId="0" applyNumberFormat="1" applyFont="1" applyFill="1"/>
    <xf numFmtId="164" fontId="15" fillId="0" borderId="1" xfId="0" applyNumberFormat="1" applyFont="1" applyFill="1" applyBorder="1"/>
    <xf numFmtId="165" fontId="21" fillId="0" borderId="0" xfId="1" applyNumberFormat="1" applyFont="1" applyFill="1"/>
    <xf numFmtId="37" fontId="15" fillId="0" borderId="1" xfId="0" applyNumberFormat="1" applyFont="1" applyFill="1" applyBorder="1"/>
    <xf numFmtId="164" fontId="20" fillId="0" borderId="0" xfId="0" applyNumberFormat="1" applyFont="1" applyFill="1" applyBorder="1"/>
    <xf numFmtId="44" fontId="20" fillId="0" borderId="1" xfId="0" applyNumberFormat="1" applyFont="1" applyFill="1" applyBorder="1"/>
    <xf numFmtId="44" fontId="20" fillId="0" borderId="4" xfId="0" applyNumberFormat="1" applyFont="1" applyFill="1" applyBorder="1"/>
    <xf numFmtId="37" fontId="20" fillId="0" borderId="0" xfId="0" applyNumberFormat="1" applyFont="1" applyFill="1" applyBorder="1"/>
    <xf numFmtId="0" fontId="15" fillId="0" borderId="1" xfId="0" applyFont="1" applyFill="1" applyBorder="1" applyAlignment="1">
      <alignment horizontal="right"/>
    </xf>
    <xf numFmtId="0" fontId="21" fillId="0" borderId="1" xfId="0" applyFont="1" applyFill="1" applyBorder="1"/>
    <xf numFmtId="168" fontId="21" fillId="0" borderId="1" xfId="1" applyNumberFormat="1" applyFont="1" applyFill="1" applyBorder="1"/>
    <xf numFmtId="0" fontId="22" fillId="0" borderId="0" xfId="0" applyFont="1" applyFill="1"/>
    <xf numFmtId="168" fontId="21" fillId="0" borderId="0" xfId="1" applyNumberFormat="1" applyFont="1" applyFill="1"/>
    <xf numFmtId="0" fontId="20" fillId="0" borderId="1" xfId="0" applyFont="1" applyFill="1" applyBorder="1"/>
    <xf numFmtId="169" fontId="15" fillId="0" borderId="0" xfId="2" applyNumberFormat="1" applyFont="1" applyFill="1"/>
    <xf numFmtId="169" fontId="15" fillId="0" borderId="0" xfId="0" applyNumberFormat="1" applyFont="1" applyFill="1"/>
    <xf numFmtId="169" fontId="21" fillId="0" borderId="0" xfId="1" applyNumberFormat="1" applyFont="1" applyFill="1"/>
    <xf numFmtId="169" fontId="20" fillId="0" borderId="0" xfId="2" applyNumberFormat="1" applyFont="1" applyFill="1"/>
    <xf numFmtId="37" fontId="20" fillId="0" borderId="0" xfId="0" applyNumberFormat="1" applyFont="1" applyFill="1"/>
    <xf numFmtId="169" fontId="20" fillId="0" borderId="0" xfId="0" applyNumberFormat="1" applyFont="1" applyFill="1"/>
    <xf numFmtId="44" fontId="20" fillId="0" borderId="0" xfId="0" applyNumberFormat="1" applyFont="1" applyFill="1" applyBorder="1"/>
    <xf numFmtId="42" fontId="15" fillId="0" borderId="0" xfId="0" applyNumberFormat="1" applyFont="1" applyFill="1"/>
    <xf numFmtId="0" fontId="15" fillId="0" borderId="0" xfId="0" quotePrefix="1" applyFont="1" applyFill="1"/>
    <xf numFmtId="169" fontId="15" fillId="0" borderId="1" xfId="0" applyNumberFormat="1" applyFont="1" applyFill="1" applyBorder="1"/>
    <xf numFmtId="44" fontId="15" fillId="0" borderId="0" xfId="0" applyNumberFormat="1" applyFont="1" applyFill="1"/>
    <xf numFmtId="179" fontId="22" fillId="0" borderId="0" xfId="1" applyNumberFormat="1" applyFont="1" applyFill="1"/>
    <xf numFmtId="180" fontId="22" fillId="0" borderId="0" xfId="1" applyNumberFormat="1" applyFont="1" applyFill="1"/>
    <xf numFmtId="9" fontId="21" fillId="0" borderId="0" xfId="0" applyNumberFormat="1" applyFont="1" applyFill="1"/>
    <xf numFmtId="9" fontId="15" fillId="0" borderId="0" xfId="1" applyFont="1" applyFill="1"/>
    <xf numFmtId="9" fontId="15" fillId="0" borderId="0" xfId="0" applyNumberFormat="1" applyFont="1" applyFill="1"/>
    <xf numFmtId="43" fontId="15" fillId="0" borderId="0" xfId="2" applyFont="1" applyFill="1"/>
    <xf numFmtId="164" fontId="15" fillId="0" borderId="0" xfId="0" applyNumberFormat="1" applyFont="1" applyFill="1" applyBorder="1" applyAlignment="1">
      <alignment horizontal="center" vertical="center"/>
    </xf>
    <xf numFmtId="165" fontId="21" fillId="0" borderId="0" xfId="1" applyNumberFormat="1" applyFont="1" applyFill="1" applyBorder="1"/>
    <xf numFmtId="164" fontId="21" fillId="0" borderId="0" xfId="1" applyNumberFormat="1" applyFont="1" applyFill="1"/>
    <xf numFmtId="9" fontId="22" fillId="0" borderId="0" xfId="1" applyFont="1" applyFill="1"/>
    <xf numFmtId="9" fontId="20" fillId="0" borderId="1" xfId="1" applyFont="1" applyFill="1" applyBorder="1"/>
    <xf numFmtId="9" fontId="22" fillId="0" borderId="1" xfId="1" applyFont="1" applyFill="1" applyBorder="1"/>
    <xf numFmtId="164" fontId="22" fillId="0" borderId="1" xfId="1" applyNumberFormat="1" applyFont="1" applyFill="1" applyBorder="1"/>
    <xf numFmtId="164" fontId="20" fillId="0" borderId="1" xfId="0" applyNumberFormat="1" applyFont="1" applyFill="1" applyBorder="1"/>
    <xf numFmtId="9" fontId="22" fillId="0" borderId="0" xfId="1" applyFont="1" applyFill="1" applyBorder="1"/>
    <xf numFmtId="9" fontId="15" fillId="0" borderId="0" xfId="1" applyFont="1" applyFill="1" applyBorder="1"/>
    <xf numFmtId="164" fontId="21" fillId="0" borderId="0" xfId="1" applyNumberFormat="1" applyFont="1" applyFill="1" applyBorder="1"/>
    <xf numFmtId="9" fontId="20" fillId="0" borderId="1" xfId="1" applyFont="1" applyFill="1" applyBorder="1" applyAlignment="1">
      <alignment horizontal="right"/>
    </xf>
    <xf numFmtId="169" fontId="15" fillId="0" borderId="0" xfId="2" applyNumberFormat="1" applyFont="1" applyFill="1" applyAlignment="1">
      <alignment horizontal="center" vertical="center"/>
    </xf>
    <xf numFmtId="164" fontId="15" fillId="0" borderId="0" xfId="1" applyNumberFormat="1" applyFont="1" applyFill="1"/>
    <xf numFmtId="169" fontId="15" fillId="0" borderId="0" xfId="2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/>
    <xf numFmtId="9" fontId="21" fillId="0" borderId="1" xfId="1" applyFont="1" applyFill="1" applyBorder="1"/>
    <xf numFmtId="169" fontId="15" fillId="0" borderId="1" xfId="2" applyNumberFormat="1" applyFont="1" applyFill="1" applyBorder="1" applyAlignment="1">
      <alignment horizontal="center" vertical="center"/>
    </xf>
    <xf numFmtId="169" fontId="20" fillId="0" borderId="0" xfId="2" applyNumberFormat="1" applyFont="1" applyFill="1" applyAlignment="1">
      <alignment horizontal="center" vertical="center"/>
    </xf>
    <xf numFmtId="164" fontId="20" fillId="0" borderId="0" xfId="1" applyNumberFormat="1" applyFont="1" applyFill="1"/>
    <xf numFmtId="170" fontId="21" fillId="0" borderId="0" xfId="1" applyNumberFormat="1" applyFont="1" applyFill="1" applyBorder="1"/>
    <xf numFmtId="170" fontId="21" fillId="0" borderId="1" xfId="1" applyNumberFormat="1" applyFont="1" applyFill="1" applyBorder="1"/>
    <xf numFmtId="9" fontId="20" fillId="0" borderId="0" xfId="1" applyFont="1" applyFill="1"/>
    <xf numFmtId="44" fontId="21" fillId="0" borderId="0" xfId="1" applyNumberFormat="1" applyFont="1" applyFill="1"/>
    <xf numFmtId="164" fontId="21" fillId="0" borderId="1" xfId="1" applyNumberFormat="1" applyFont="1" applyFill="1" applyBorder="1"/>
    <xf numFmtId="165" fontId="26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vertical="top"/>
    </xf>
    <xf numFmtId="165" fontId="21" fillId="0" borderId="1" xfId="1" applyNumberFormat="1" applyFont="1" applyFill="1" applyBorder="1"/>
    <xf numFmtId="165" fontId="26" fillId="0" borderId="1" xfId="1" applyNumberFormat="1" applyFont="1" applyFill="1" applyBorder="1" applyAlignment="1">
      <alignment vertical="top"/>
    </xf>
    <xf numFmtId="165" fontId="22" fillId="0" borderId="0" xfId="0" applyNumberFormat="1" applyFont="1" applyFill="1" applyBorder="1"/>
    <xf numFmtId="43" fontId="15" fillId="0" borderId="0" xfId="0" applyNumberFormat="1" applyFont="1" applyFill="1" applyBorder="1"/>
    <xf numFmtId="166" fontId="20" fillId="0" borderId="0" xfId="0" applyNumberFormat="1" applyFont="1" applyFill="1" applyBorder="1"/>
    <xf numFmtId="167" fontId="15" fillId="0" borderId="0" xfId="0" applyNumberFormat="1" applyFont="1" applyFill="1" applyBorder="1"/>
    <xf numFmtId="164" fontId="20" fillId="0" borderId="6" xfId="0" applyNumberFormat="1" applyFont="1" applyFill="1" applyBorder="1"/>
    <xf numFmtId="169" fontId="15" fillId="0" borderId="0" xfId="0" applyNumberFormat="1" applyFont="1" applyFill="1" applyBorder="1"/>
    <xf numFmtId="0" fontId="27" fillId="0" borderId="0" xfId="0" applyFont="1" applyFill="1" applyBorder="1"/>
    <xf numFmtId="165" fontId="15" fillId="0" borderId="0" xfId="1" applyNumberFormat="1" applyFont="1" applyFill="1" applyBorder="1"/>
    <xf numFmtId="165" fontId="15" fillId="0" borderId="0" xfId="0" applyNumberFormat="1" applyFont="1" applyFill="1" applyBorder="1"/>
    <xf numFmtId="9" fontId="20" fillId="0" borderId="0" xfId="1" applyFont="1" applyFill="1" applyBorder="1"/>
    <xf numFmtId="0" fontId="15" fillId="0" borderId="2" xfId="0" applyFont="1" applyFill="1" applyBorder="1" applyAlignment="1">
      <alignment horizontal="centerContinuous"/>
    </xf>
    <xf numFmtId="14" fontId="15" fillId="0" borderId="0" xfId="0" applyNumberFormat="1" applyFont="1" applyFill="1" applyBorder="1"/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4" fontId="20" fillId="0" borderId="1" xfId="0" applyNumberFormat="1" applyFont="1" applyFill="1" applyBorder="1"/>
    <xf numFmtId="10" fontId="21" fillId="0" borderId="0" xfId="1" applyNumberFormat="1" applyFont="1" applyFill="1"/>
    <xf numFmtId="43" fontId="15" fillId="0" borderId="0" xfId="2" applyNumberFormat="1" applyFont="1" applyFill="1" applyBorder="1"/>
    <xf numFmtId="165" fontId="20" fillId="0" borderId="0" xfId="1" applyNumberFormat="1" applyFont="1" applyFill="1" applyBorder="1"/>
    <xf numFmtId="165" fontId="2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/>
    </xf>
    <xf numFmtId="0" fontId="15" fillId="4" borderId="1" xfId="0" applyFont="1" applyFill="1" applyBorder="1"/>
    <xf numFmtId="169" fontId="15" fillId="4" borderId="0" xfId="2" applyNumberFormat="1" applyFont="1" applyFill="1"/>
    <xf numFmtId="0" fontId="23" fillId="0" borderId="0" xfId="0" applyFont="1" applyFill="1"/>
    <xf numFmtId="178" fontId="23" fillId="0" borderId="0" xfId="0" applyNumberFormat="1" applyFont="1" applyFill="1" applyAlignment="1">
      <alignment horizontal="left"/>
    </xf>
    <xf numFmtId="164" fontId="23" fillId="0" borderId="0" xfId="0" applyNumberFormat="1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309A-3EF4-4BDA-86E9-3D2EC2F29D31}">
  <sheetPr>
    <pageSetUpPr fitToPage="1"/>
  </sheetPr>
  <dimension ref="D3:Y42"/>
  <sheetViews>
    <sheetView showGridLines="0" zoomScaleNormal="100" zoomScaleSheetLayoutView="121" workbookViewId="0">
      <selection activeCell="E4" sqref="E4"/>
    </sheetView>
  </sheetViews>
  <sheetFormatPr defaultRowHeight="15" x14ac:dyDescent="0.25"/>
  <cols>
    <col min="1" max="4" width="1.7109375" customWidth="1"/>
    <col min="5" max="5" width="47.7109375" bestFit="1" customWidth="1"/>
    <col min="6" max="6" width="12.28515625" bestFit="1" customWidth="1"/>
    <col min="7" max="7" width="1.7109375" customWidth="1"/>
    <col min="9" max="10" width="9.140625" customWidth="1"/>
    <col min="20" max="22" width="1.7109375" style="20" customWidth="1"/>
    <col min="23" max="24" width="9.140625" style="20"/>
    <col min="25" max="25" width="1.7109375" style="20" customWidth="1"/>
    <col min="26" max="27" width="1.7109375" customWidth="1"/>
  </cols>
  <sheetData>
    <row r="3" spans="4:19" x14ac:dyDescent="0.25"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4:19" s="127" customFormat="1" ht="18" customHeight="1" x14ac:dyDescent="0.3">
      <c r="D4" s="126"/>
      <c r="E4" s="128" t="e">
        <f>#REF!&amp;" Model Inputs"</f>
        <v>#REF!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4:19" s="20" customFormat="1" ht="0.9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4:19" s="20" customFormat="1" x14ac:dyDescent="0.25">
      <c r="E6" s="109" t="s">
        <v>270</v>
      </c>
      <c r="F6" s="108" t="str">
        <f>'Balance Sheet'!N13</f>
        <v>Base</v>
      </c>
      <c r="G6" s="23"/>
      <c r="H6" s="23"/>
      <c r="L6" s="23"/>
      <c r="M6" s="23"/>
      <c r="N6" s="23"/>
      <c r="O6" s="23"/>
      <c r="P6" s="23"/>
      <c r="Q6" s="23"/>
      <c r="R6" s="23"/>
      <c r="S6" s="23"/>
    </row>
    <row r="7" spans="4:19" s="20" customFormat="1" x14ac:dyDescent="0.25">
      <c r="E7" s="103" t="s">
        <v>346</v>
      </c>
      <c r="F7" s="89">
        <f>VLOOKUP(F6,Inputs!$E$7:$I$9,5,FALSE)</f>
        <v>8.3000000000000007</v>
      </c>
      <c r="G7" s="23"/>
      <c r="H7" s="23"/>
      <c r="L7" s="107"/>
      <c r="M7" s="23"/>
      <c r="N7" s="23"/>
      <c r="O7" s="23"/>
      <c r="P7" s="23"/>
      <c r="Q7" s="23"/>
      <c r="R7" s="23"/>
      <c r="S7" s="23"/>
    </row>
    <row r="8" spans="4:19" s="20" customFormat="1" x14ac:dyDescent="0.25">
      <c r="D8" s="23"/>
      <c r="E8" s="68" t="s">
        <v>259</v>
      </c>
      <c r="F8" s="90">
        <v>43465</v>
      </c>
      <c r="G8" s="23"/>
      <c r="H8" s="23"/>
      <c r="I8" s="23"/>
      <c r="J8" s="23"/>
      <c r="K8" s="88"/>
      <c r="L8" s="23"/>
      <c r="M8" s="23"/>
      <c r="N8" s="23"/>
      <c r="O8" s="23"/>
      <c r="P8" s="23"/>
      <c r="Q8" s="23"/>
      <c r="R8" s="23"/>
      <c r="S8" s="23"/>
    </row>
    <row r="9" spans="4:19" s="20" customFormat="1" x14ac:dyDescent="0.25">
      <c r="E9" s="104" t="s">
        <v>350</v>
      </c>
      <c r="F9" s="91">
        <v>43830</v>
      </c>
      <c r="L9" s="23"/>
      <c r="M9" s="23"/>
      <c r="N9" s="23"/>
      <c r="O9" s="23"/>
      <c r="P9" s="23"/>
      <c r="Q9" s="23"/>
      <c r="R9" s="23"/>
      <c r="S9" s="23"/>
    </row>
    <row r="10" spans="4:19" s="20" customFormat="1" x14ac:dyDescent="0.25">
      <c r="D10" s="23"/>
      <c r="E10" s="105" t="s">
        <v>260</v>
      </c>
      <c r="F10" s="92">
        <f ca="1">TODAY()</f>
        <v>43573</v>
      </c>
      <c r="G10" s="23"/>
      <c r="H10" s="23"/>
      <c r="L10" s="23"/>
      <c r="M10" s="23"/>
      <c r="N10" s="23"/>
      <c r="O10" s="23"/>
      <c r="P10" s="23"/>
      <c r="Q10" s="23"/>
      <c r="R10" s="23"/>
      <c r="S10" s="23"/>
    </row>
    <row r="11" spans="4:19" s="20" customFormat="1" x14ac:dyDescent="0.25">
      <c r="D11" s="23"/>
      <c r="E11" s="106" t="s">
        <v>256</v>
      </c>
      <c r="F11" s="93">
        <v>365</v>
      </c>
      <c r="G11" s="23"/>
      <c r="H11" s="23"/>
      <c r="I11" s="23"/>
      <c r="J11" s="23"/>
      <c r="K11" s="52"/>
      <c r="L11" s="23"/>
      <c r="M11" s="23"/>
      <c r="N11" s="23"/>
      <c r="O11" s="23"/>
      <c r="P11" s="23"/>
      <c r="Q11" s="23"/>
      <c r="R11" s="23"/>
      <c r="S11" s="23"/>
    </row>
    <row r="12" spans="4:19" s="20" customFormat="1" ht="17.25" x14ac:dyDescent="0.25">
      <c r="D12" s="23"/>
      <c r="E12" s="102" t="s">
        <v>127</v>
      </c>
      <c r="F12" s="94">
        <v>0.21</v>
      </c>
      <c r="G12" s="23"/>
      <c r="H12" s="23"/>
      <c r="I12" s="23"/>
      <c r="J12" s="23"/>
      <c r="K12" s="52"/>
      <c r="L12" s="23"/>
      <c r="M12" s="23"/>
      <c r="N12" s="23"/>
      <c r="O12" s="23"/>
      <c r="P12" s="23"/>
      <c r="Q12" s="23"/>
      <c r="R12" s="23"/>
      <c r="S12" s="23"/>
    </row>
    <row r="13" spans="4:19" s="20" customFormat="1" x14ac:dyDescent="0.25">
      <c r="D13" s="23"/>
      <c r="E13" s="104" t="s">
        <v>347</v>
      </c>
      <c r="F13" s="95">
        <v>2.5999999999999999E-2</v>
      </c>
      <c r="G13" s="23"/>
      <c r="H13" s="23"/>
      <c r="I13" s="23"/>
      <c r="J13" s="23"/>
      <c r="K13" s="52"/>
      <c r="L13" s="23"/>
      <c r="M13" s="23"/>
      <c r="N13" s="23"/>
      <c r="O13" s="23"/>
      <c r="P13" s="23"/>
      <c r="Q13" s="23"/>
      <c r="R13" s="23"/>
      <c r="S13" s="23"/>
    </row>
    <row r="14" spans="4:19" s="20" customFormat="1" ht="17.25" x14ac:dyDescent="0.25">
      <c r="D14" s="23"/>
      <c r="E14" s="68" t="s">
        <v>348</v>
      </c>
      <c r="F14" s="96">
        <v>7.0099999999999996E-2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4:19" s="20" customFormat="1" x14ac:dyDescent="0.25">
      <c r="D15" s="23"/>
      <c r="E15" s="105" t="s">
        <v>275</v>
      </c>
      <c r="F15" s="97">
        <v>0.95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4:19" s="20" customFormat="1" ht="17.25" x14ac:dyDescent="0.25">
      <c r="D16" s="23"/>
      <c r="E16" s="104" t="s">
        <v>349</v>
      </c>
      <c r="F16" s="95">
        <f>VLOOKUP($F$6,Inputs!$E$7:$I$9,2,FALSE)</f>
        <v>0.37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4:19" s="20" customFormat="1" x14ac:dyDescent="0.25">
      <c r="D17" s="23"/>
      <c r="E17" s="102" t="s">
        <v>315</v>
      </c>
      <c r="F17" s="98">
        <v>43252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4:19" s="20" customFormat="1" x14ac:dyDescent="0.25">
      <c r="D18" s="23"/>
      <c r="E18" s="106" t="s">
        <v>314</v>
      </c>
      <c r="F18" s="99">
        <v>45078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4:19" s="20" customFormat="1" x14ac:dyDescent="0.25">
      <c r="D19" s="23"/>
      <c r="E19" s="102" t="s">
        <v>316</v>
      </c>
      <c r="F19" s="100">
        <f>2023-2018</f>
        <v>5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4:19" s="20" customFormat="1" ht="15" customHeight="1" x14ac:dyDescent="0.7">
      <c r="D20" s="23"/>
      <c r="E20" s="106" t="s">
        <v>311</v>
      </c>
      <c r="F20" s="101">
        <v>230000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3"/>
      <c r="S20" s="23"/>
    </row>
    <row r="21" spans="4:19" s="20" customFormat="1" ht="15" customHeight="1" x14ac:dyDescent="0.7">
      <c r="D21" s="23"/>
      <c r="E21" s="105" t="s">
        <v>261</v>
      </c>
      <c r="F21" s="97">
        <v>5.0000000000000001E-3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3"/>
      <c r="S21" s="23"/>
    </row>
    <row r="22" spans="4:19" s="20" customFormat="1" ht="15" customHeight="1" x14ac:dyDescent="0.7">
      <c r="D22" s="23"/>
      <c r="E22" s="2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3"/>
      <c r="S22" s="23"/>
    </row>
    <row r="23" spans="4:19" s="20" customFormat="1" ht="21" x14ac:dyDescent="0.35">
      <c r="D23" s="23"/>
      <c r="E23" s="87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3"/>
      <c r="S23" s="23"/>
    </row>
    <row r="24" spans="4:19" s="20" customFormat="1" x14ac:dyDescent="0.25">
      <c r="D24" s="23"/>
      <c r="E24" s="85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4:19" s="20" customFormat="1" ht="21" x14ac:dyDescent="0.35">
      <c r="D25" s="23"/>
      <c r="E25" s="86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23"/>
      <c r="S25" s="23"/>
    </row>
    <row r="26" spans="4:19" s="20" customFormat="1" x14ac:dyDescent="0.25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4:19" s="20" customFormat="1" x14ac:dyDescent="0.25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4:19" s="20" customFormat="1" x14ac:dyDescent="0.2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4:19" s="20" customFormat="1" x14ac:dyDescent="0.25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4:19" s="20" customFormat="1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4:19" s="20" customFormat="1" x14ac:dyDescent="0.25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4:19" s="20" customFormat="1" x14ac:dyDescent="0.25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4:19" s="20" customFormat="1" x14ac:dyDescent="0.25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4:19" s="20" customFormat="1" x14ac:dyDescent="0.25"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4:19" s="20" customFormat="1" x14ac:dyDescent="0.25">
      <c r="D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4:19" s="20" customFormat="1" x14ac:dyDescent="0.25">
      <c r="D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4:19" s="20" customFormat="1" x14ac:dyDescent="0.25">
      <c r="D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4:19" s="20" customFormat="1" x14ac:dyDescent="0.25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4:19" s="20" customFormat="1" x14ac:dyDescent="0.25"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4:19" s="20" customFormat="1" x14ac:dyDescent="0.2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4:19" s="20" customFormat="1" x14ac:dyDescent="0.25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4:19" s="20" customFormat="1" x14ac:dyDescent="0.25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</sheetData>
  <dataValidations count="1">
    <dataValidation type="list" allowBlank="1" showInputMessage="1" showErrorMessage="1" sqref="F6" xr:uid="{3EFB19BD-0964-43E2-AA1A-F9E1A1889672}">
      <formula1>"Best, Base, Worst"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60E6-62A1-4179-80D4-32E2DF763C25}">
  <sheetPr>
    <pageSetUpPr fitToPage="1"/>
  </sheetPr>
  <dimension ref="A3:S43"/>
  <sheetViews>
    <sheetView showGridLines="0" topLeftCell="B1" zoomScaleNormal="100" zoomScaleSheetLayoutView="85" workbookViewId="0">
      <selection activeCell="L25" sqref="L25"/>
    </sheetView>
  </sheetViews>
  <sheetFormatPr defaultRowHeight="15" outlineLevelCol="1" x14ac:dyDescent="0.25"/>
  <cols>
    <col min="1" max="4" width="1.7109375" style="127" customWidth="1"/>
    <col min="5" max="5" width="32.140625" style="127" bestFit="1" customWidth="1"/>
    <col min="6" max="6" width="10.7109375" style="127" bestFit="1" customWidth="1"/>
    <col min="7" max="8" width="9.140625" style="127"/>
    <col min="9" max="12" width="13.5703125" style="127" customWidth="1" outlineLevel="1"/>
    <col min="13" max="15" width="10.42578125" style="127" bestFit="1" customWidth="1"/>
    <col min="16" max="16" width="1.7109375" style="127" customWidth="1"/>
    <col min="17" max="19" width="9.140625" style="127"/>
    <col min="20" max="22" width="1.7109375" style="127" customWidth="1"/>
    <col min="23" max="24" width="8.7109375" style="127"/>
    <col min="25" max="27" width="1.7109375" style="127" customWidth="1"/>
    <col min="28" max="16384" width="9.140625" style="127"/>
  </cols>
  <sheetData>
    <row r="3" spans="1:19" x14ac:dyDescent="0.25"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8" customHeight="1" x14ac:dyDescent="0.3">
      <c r="D4" s="126"/>
      <c r="E4" s="128" t="e">
        <f>#REF!&amp;"'s Customer Growth"</f>
        <v>#REF!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18" customHeight="1" x14ac:dyDescent="0.3">
      <c r="D5" s="126"/>
      <c r="E5" s="129" t="s">
        <v>107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ht="0.95" customHeight="1" x14ac:dyDescent="0.3">
      <c r="D6" s="126"/>
      <c r="E6" s="128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19" x14ac:dyDescent="0.25">
      <c r="I7" s="215" t="s">
        <v>109</v>
      </c>
      <c r="J7" s="215"/>
      <c r="K7" s="215"/>
      <c r="L7" s="215"/>
    </row>
    <row r="8" spans="1:19" s="112" customFormat="1" x14ac:dyDescent="0.25">
      <c r="A8" s="127"/>
      <c r="B8" s="127"/>
      <c r="C8" s="127"/>
      <c r="E8" s="127"/>
      <c r="F8" s="127"/>
      <c r="G8" s="127"/>
      <c r="H8" s="127"/>
      <c r="I8" s="130" t="s">
        <v>112</v>
      </c>
      <c r="J8" s="130" t="s">
        <v>113</v>
      </c>
      <c r="K8" s="130" t="s">
        <v>114</v>
      </c>
      <c r="L8" s="130" t="s">
        <v>115</v>
      </c>
      <c r="M8" s="130" t="str">
        <f>I7</f>
        <v>2018A</v>
      </c>
      <c r="N8" s="130" t="s">
        <v>110</v>
      </c>
      <c r="O8" s="130" t="s">
        <v>111</v>
      </c>
    </row>
    <row r="9" spans="1:19" s="112" customFormat="1" x14ac:dyDescent="0.25">
      <c r="A9" s="127"/>
      <c r="B9" s="127"/>
      <c r="C9" s="127"/>
      <c r="F9" s="216"/>
    </row>
    <row r="10" spans="1:19" s="112" customFormat="1" x14ac:dyDescent="0.25">
      <c r="A10" s="127"/>
      <c r="B10" s="127"/>
      <c r="C10" s="127"/>
      <c r="E10" s="112" t="s">
        <v>24</v>
      </c>
      <c r="I10" s="110">
        <f>'Company Statements'!G242</f>
        <v>3673</v>
      </c>
      <c r="J10" s="110">
        <f>'Company Statements'!H242</f>
        <v>3940</v>
      </c>
      <c r="K10" s="110">
        <f>'Company Statements'!I242</f>
        <v>4315</v>
      </c>
      <c r="L10" s="110">
        <f>'Company Statements'!J242</f>
        <v>4696</v>
      </c>
      <c r="M10" s="110">
        <f>L10</f>
        <v>4696</v>
      </c>
      <c r="N10" s="110">
        <f>M10*(1+N20)</f>
        <v>6433.52</v>
      </c>
      <c r="O10" s="110">
        <f>N10*(1+O20)</f>
        <v>8813.9224000000013</v>
      </c>
    </row>
    <row r="11" spans="1:19" s="112" customFormat="1" x14ac:dyDescent="0.25">
      <c r="A11" s="127"/>
      <c r="B11" s="127"/>
      <c r="C11" s="127"/>
      <c r="E11" s="134" t="s">
        <v>273</v>
      </c>
      <c r="F11" s="134"/>
      <c r="G11" s="134"/>
      <c r="H11" s="134"/>
      <c r="I11" s="56">
        <f>I12/I10</f>
        <v>13.7024230873945</v>
      </c>
      <c r="J11" s="56">
        <f>J12/J10</f>
        <v>13.071573604060914</v>
      </c>
      <c r="K11" s="56">
        <f>K12/K10</f>
        <v>14.504982618771727</v>
      </c>
      <c r="L11" s="56">
        <f>L12/L10</f>
        <v>18.984241908006815</v>
      </c>
      <c r="M11" s="56">
        <f>M12/M10</f>
        <v>53.99701873935264</v>
      </c>
      <c r="N11" s="56">
        <f>M11</f>
        <v>53.99701873935264</v>
      </c>
      <c r="O11" s="56">
        <f>N11</f>
        <v>53.99701873935264</v>
      </c>
    </row>
    <row r="12" spans="1:19" s="132" customFormat="1" x14ac:dyDescent="0.25">
      <c r="A12" s="133"/>
      <c r="B12" s="133"/>
      <c r="C12" s="133"/>
      <c r="E12" s="132" t="s">
        <v>3</v>
      </c>
      <c r="I12" s="111">
        <f>'Company Statements'!E17</f>
        <v>50329</v>
      </c>
      <c r="J12" s="111">
        <f>'Company Statements'!F17</f>
        <v>51502</v>
      </c>
      <c r="K12" s="111">
        <f>'Company Statements'!G17</f>
        <v>62589</v>
      </c>
      <c r="L12" s="111">
        <f>'Company Statements'!H17</f>
        <v>89150</v>
      </c>
      <c r="M12" s="111">
        <f>SUM(I12:L12)</f>
        <v>253570</v>
      </c>
      <c r="N12" s="111">
        <f>N10*N11</f>
        <v>347390.9</v>
      </c>
      <c r="O12" s="111">
        <f>O10*O11</f>
        <v>475925.53300000005</v>
      </c>
    </row>
    <row r="13" spans="1:19" s="141" customFormat="1" x14ac:dyDescent="0.25">
      <c r="A13" s="156"/>
      <c r="B13" s="156"/>
      <c r="C13" s="156"/>
      <c r="I13" s="117"/>
      <c r="J13" s="117"/>
      <c r="K13" s="117"/>
      <c r="L13" s="117"/>
      <c r="M13" s="117"/>
      <c r="N13" s="117"/>
      <c r="O13" s="117"/>
    </row>
    <row r="14" spans="1:19" s="112" customFormat="1" x14ac:dyDescent="0.25">
      <c r="A14" s="127"/>
      <c r="B14" s="127"/>
      <c r="C14" s="127"/>
      <c r="E14" s="112" t="s">
        <v>272</v>
      </c>
      <c r="F14" s="212"/>
      <c r="I14" s="113">
        <f t="shared" ref="I14:O14" si="0">I15*I12</f>
        <v>47812.549999999996</v>
      </c>
      <c r="J14" s="113">
        <f t="shared" si="0"/>
        <v>48926.899999999994</v>
      </c>
      <c r="K14" s="113">
        <f t="shared" si="0"/>
        <v>59459.549999999996</v>
      </c>
      <c r="L14" s="113">
        <f t="shared" si="0"/>
        <v>84692.5</v>
      </c>
      <c r="M14" s="113">
        <f t="shared" si="0"/>
        <v>240891.5</v>
      </c>
      <c r="N14" s="113">
        <f t="shared" si="0"/>
        <v>330021.35499999998</v>
      </c>
      <c r="O14" s="113">
        <f t="shared" si="0"/>
        <v>452129.25635000004</v>
      </c>
    </row>
    <row r="15" spans="1:19" s="114" customFormat="1" x14ac:dyDescent="0.25">
      <c r="A15" s="129"/>
      <c r="B15" s="129"/>
      <c r="C15" s="129"/>
      <c r="D15" s="116"/>
      <c r="E15" s="116" t="s">
        <v>274</v>
      </c>
      <c r="F15" s="116"/>
      <c r="I15" s="114">
        <v>0.95</v>
      </c>
      <c r="J15" s="114">
        <v>0.95</v>
      </c>
      <c r="K15" s="114">
        <v>0.95</v>
      </c>
      <c r="L15" s="114">
        <v>0.95</v>
      </c>
      <c r="M15" s="114">
        <f>Assumptions!F15</f>
        <v>0.95</v>
      </c>
      <c r="N15" s="114">
        <f>M15</f>
        <v>0.95</v>
      </c>
      <c r="O15" s="114">
        <f>N15</f>
        <v>0.95</v>
      </c>
    </row>
    <row r="16" spans="1:19" s="112" customFormat="1" x14ac:dyDescent="0.25">
      <c r="A16" s="127"/>
      <c r="B16" s="127"/>
      <c r="C16" s="127"/>
    </row>
    <row r="17" spans="1:17" s="112" customFormat="1" x14ac:dyDescent="0.25">
      <c r="A17" s="127"/>
      <c r="B17" s="127"/>
      <c r="C17" s="127"/>
      <c r="E17" s="112" t="s">
        <v>276</v>
      </c>
      <c r="F17" s="212"/>
      <c r="I17" s="113">
        <f t="shared" ref="I17:O17" si="1">I18*I12</f>
        <v>2516.4500000000021</v>
      </c>
      <c r="J17" s="113">
        <f t="shared" si="1"/>
        <v>2575.1000000000022</v>
      </c>
      <c r="K17" s="113">
        <f t="shared" si="1"/>
        <v>3129.450000000003</v>
      </c>
      <c r="L17" s="113">
        <f t="shared" si="1"/>
        <v>4457.5000000000036</v>
      </c>
      <c r="M17" s="113">
        <f t="shared" si="1"/>
        <v>12678.500000000011</v>
      </c>
      <c r="N17" s="113">
        <f t="shared" si="1"/>
        <v>17369.545000000016</v>
      </c>
      <c r="O17" s="113">
        <f t="shared" si="1"/>
        <v>23796.276650000025</v>
      </c>
    </row>
    <row r="18" spans="1:17" s="112" customFormat="1" x14ac:dyDescent="0.25">
      <c r="A18" s="127"/>
      <c r="B18" s="127"/>
      <c r="C18" s="127"/>
      <c r="E18" s="116" t="s">
        <v>277</v>
      </c>
      <c r="F18" s="116"/>
      <c r="G18" s="114"/>
      <c r="H18" s="114"/>
      <c r="I18" s="114">
        <f>1-I15</f>
        <v>5.0000000000000044E-2</v>
      </c>
      <c r="J18" s="114">
        <f t="shared" ref="J18:O18" si="2">1-J15</f>
        <v>5.0000000000000044E-2</v>
      </c>
      <c r="K18" s="114">
        <f t="shared" si="2"/>
        <v>5.0000000000000044E-2</v>
      </c>
      <c r="L18" s="114">
        <f t="shared" si="2"/>
        <v>5.0000000000000044E-2</v>
      </c>
      <c r="M18" s="114">
        <f t="shared" si="2"/>
        <v>5.0000000000000044E-2</v>
      </c>
      <c r="N18" s="114">
        <f t="shared" si="2"/>
        <v>5.0000000000000044E-2</v>
      </c>
      <c r="O18" s="114">
        <f t="shared" si="2"/>
        <v>5.0000000000000044E-2</v>
      </c>
    </row>
    <row r="19" spans="1:17" s="112" customFormat="1" x14ac:dyDescent="0.25">
      <c r="A19" s="127"/>
      <c r="B19" s="127"/>
      <c r="C19" s="127"/>
    </row>
    <row r="20" spans="1:17" s="116" customFormat="1" x14ac:dyDescent="0.25">
      <c r="A20" s="129"/>
      <c r="B20" s="129"/>
      <c r="C20" s="129"/>
      <c r="E20" s="116" t="s">
        <v>278</v>
      </c>
      <c r="I20" s="115"/>
      <c r="M20" s="115"/>
      <c r="N20" s="114">
        <f>Assumptions!F16</f>
        <v>0.37</v>
      </c>
      <c r="O20" s="114">
        <f>N20</f>
        <v>0.37</v>
      </c>
    </row>
    <row r="21" spans="1:17" s="112" customFormat="1" ht="15" customHeight="1" x14ac:dyDescent="0.7">
      <c r="A21" s="127"/>
      <c r="B21" s="127"/>
      <c r="C21" s="12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</row>
    <row r="22" spans="1:17" s="112" customFormat="1" ht="15" customHeight="1" x14ac:dyDescent="0.7">
      <c r="A22" s="127"/>
      <c r="B22" s="127"/>
      <c r="C22" s="12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</row>
    <row r="23" spans="1:17" s="112" customFormat="1" ht="15" customHeight="1" x14ac:dyDescent="0.7">
      <c r="A23" s="127"/>
      <c r="B23" s="127"/>
      <c r="C23" s="12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</row>
    <row r="24" spans="1:17" s="112" customFormat="1" ht="21" x14ac:dyDescent="0.35">
      <c r="A24" s="127"/>
      <c r="B24" s="127"/>
      <c r="C24" s="127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</row>
    <row r="25" spans="1:17" s="112" customFormat="1" x14ac:dyDescent="0.25">
      <c r="A25" s="127"/>
      <c r="B25" s="127"/>
      <c r="C25" s="127"/>
    </row>
    <row r="26" spans="1:17" s="112" customFormat="1" ht="21" x14ac:dyDescent="0.35">
      <c r="A26" s="127"/>
      <c r="B26" s="127"/>
      <c r="C26" s="127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</row>
    <row r="27" spans="1:17" s="112" customFormat="1" x14ac:dyDescent="0.25">
      <c r="A27" s="127"/>
      <c r="B27" s="127"/>
      <c r="C27" s="127"/>
    </row>
    <row r="28" spans="1:17" s="112" customFormat="1" x14ac:dyDescent="0.25">
      <c r="A28" s="127"/>
      <c r="B28" s="127"/>
      <c r="C28" s="127"/>
    </row>
    <row r="29" spans="1:17" s="112" customFormat="1" x14ac:dyDescent="0.25">
      <c r="A29" s="127"/>
      <c r="B29" s="127"/>
      <c r="C29" s="127"/>
    </row>
    <row r="30" spans="1:17" s="112" customFormat="1" x14ac:dyDescent="0.25">
      <c r="A30" s="127"/>
      <c r="B30" s="127"/>
      <c r="C30" s="127"/>
    </row>
    <row r="31" spans="1:17" s="112" customFormat="1" x14ac:dyDescent="0.25">
      <c r="A31" s="127"/>
      <c r="B31" s="127"/>
      <c r="C31" s="127"/>
    </row>
    <row r="32" spans="1:17" s="112" customFormat="1" x14ac:dyDescent="0.25">
      <c r="A32" s="127"/>
      <c r="B32" s="127"/>
      <c r="C32" s="127"/>
    </row>
    <row r="33" spans="1:19" s="112" customFormat="1" x14ac:dyDescent="0.25">
      <c r="A33" s="127"/>
      <c r="B33" s="127"/>
      <c r="C33" s="127"/>
    </row>
    <row r="34" spans="1:19" s="112" customFormat="1" x14ac:dyDescent="0.25">
      <c r="A34" s="127"/>
      <c r="B34" s="127"/>
      <c r="C34" s="127"/>
    </row>
    <row r="35" spans="1:19" s="112" customFormat="1" x14ac:dyDescent="0.25">
      <c r="A35" s="127"/>
      <c r="B35" s="127"/>
      <c r="C35" s="127"/>
    </row>
    <row r="36" spans="1:19" s="112" customFormat="1" x14ac:dyDescent="0.25">
      <c r="A36" s="127"/>
      <c r="B36" s="127"/>
      <c r="C36" s="127"/>
    </row>
    <row r="37" spans="1:19" x14ac:dyDescent="0.25"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1:19" x14ac:dyDescent="0.25"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x14ac:dyDescent="0.25"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19" x14ac:dyDescent="0.25"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x14ac:dyDescent="0.25"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  <row r="42" spans="1:19" x14ac:dyDescent="0.25"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</row>
    <row r="43" spans="1:19" x14ac:dyDescent="0.25"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</row>
  </sheetData>
  <pageMargins left="0.7" right="0.7" top="0.75" bottom="0.75" header="0.3" footer="0.3"/>
  <pageSetup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AD30-9AB5-4027-88F1-92FFCE4F7375}">
  <dimension ref="D3:S39"/>
  <sheetViews>
    <sheetView showGridLines="0" zoomScaleNormal="100" zoomScaleSheetLayoutView="121" workbookViewId="0">
      <selection activeCell="J16" sqref="J16"/>
    </sheetView>
  </sheetViews>
  <sheetFormatPr defaultRowHeight="15" x14ac:dyDescent="0.25"/>
  <cols>
    <col min="1" max="3" width="1.7109375" style="127" customWidth="1"/>
    <col min="4" max="4" width="9.140625" style="127"/>
    <col min="5" max="5" width="32.140625" style="127" bestFit="1" customWidth="1"/>
    <col min="6" max="6" width="11.5703125" style="127" bestFit="1" customWidth="1"/>
    <col min="7" max="7" width="19.5703125" style="127" bestFit="1" customWidth="1"/>
    <col min="8" max="8" width="9.140625" style="127"/>
    <col min="9" max="9" width="12.42578125" style="127" bestFit="1" customWidth="1"/>
    <col min="10" max="19" width="9.140625" style="127"/>
    <col min="20" max="22" width="1.7109375" style="127" customWidth="1"/>
    <col min="23" max="24" width="8.7109375" style="127"/>
    <col min="25" max="27" width="1.7109375" style="127" customWidth="1"/>
    <col min="28" max="16384" width="9.140625" style="127"/>
  </cols>
  <sheetData>
    <row r="3" spans="4:19" x14ac:dyDescent="0.25"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4:19" ht="18" customHeight="1" x14ac:dyDescent="0.3">
      <c r="D4" s="126"/>
      <c r="E4" s="128" t="e">
        <f>#REF!&amp;" Model Inputs"</f>
        <v>#REF!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4:19" x14ac:dyDescent="0.25"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4:19" x14ac:dyDescent="0.25">
      <c r="D6" s="112"/>
      <c r="E6" s="158" t="s">
        <v>270</v>
      </c>
      <c r="F6" s="220" t="s">
        <v>281</v>
      </c>
      <c r="G6" s="158"/>
      <c r="H6" s="158"/>
      <c r="I6" s="158" t="s">
        <v>346</v>
      </c>
      <c r="J6" s="112"/>
      <c r="K6" s="51"/>
      <c r="L6" s="112"/>
      <c r="M6" s="112"/>
      <c r="N6" s="112"/>
      <c r="O6" s="112"/>
      <c r="P6" s="112"/>
      <c r="Q6" s="112"/>
      <c r="R6" s="112"/>
      <c r="S6" s="112"/>
    </row>
    <row r="7" spans="4:19" x14ac:dyDescent="0.25">
      <c r="D7" s="112"/>
      <c r="E7" s="112" t="s">
        <v>279</v>
      </c>
      <c r="F7" s="185">
        <v>0.44</v>
      </c>
      <c r="G7" s="112"/>
      <c r="H7" s="112"/>
      <c r="I7" s="112">
        <v>19.7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</row>
    <row r="8" spans="4:19" x14ac:dyDescent="0.25">
      <c r="D8" s="112"/>
      <c r="E8" s="112" t="s">
        <v>271</v>
      </c>
      <c r="F8" s="185">
        <f>AVERAGE(0.36,0.38)</f>
        <v>0.37</v>
      </c>
      <c r="G8" s="112"/>
      <c r="H8" s="112"/>
      <c r="I8" s="112">
        <v>8.3000000000000007</v>
      </c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spans="4:19" x14ac:dyDescent="0.25">
      <c r="D9" s="112"/>
      <c r="E9" s="112" t="s">
        <v>280</v>
      </c>
      <c r="F9" s="185">
        <v>8.3000000000000004E-2</v>
      </c>
      <c r="G9" s="112"/>
      <c r="H9" s="112"/>
      <c r="I9" s="112">
        <v>7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4:19" x14ac:dyDescent="0.25">
      <c r="D10" s="112"/>
      <c r="E10" s="112"/>
      <c r="F10" s="2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4:19" x14ac:dyDescent="0.25">
      <c r="D11" s="112"/>
      <c r="E11" s="112"/>
      <c r="F11" s="2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4:19" x14ac:dyDescent="0.25">
      <c r="D12" s="112"/>
      <c r="E12" s="112"/>
      <c r="F12" s="2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spans="4:19" x14ac:dyDescent="0.25"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spans="4:19" x14ac:dyDescent="0.25"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4:19" x14ac:dyDescent="0.25"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</row>
    <row r="16" spans="4:19" x14ac:dyDescent="0.25"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</row>
    <row r="17" spans="4:19" ht="15" customHeight="1" x14ac:dyDescent="0.7">
      <c r="D17" s="112"/>
      <c r="E17" s="112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112"/>
      <c r="S17" s="112"/>
    </row>
    <row r="18" spans="4:19" ht="15" customHeight="1" x14ac:dyDescent="0.7">
      <c r="D18" s="112"/>
      <c r="E18" s="112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112"/>
      <c r="S18" s="112"/>
    </row>
    <row r="19" spans="4:19" ht="15" customHeight="1" x14ac:dyDescent="0.7">
      <c r="D19" s="112"/>
      <c r="E19" s="112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112"/>
      <c r="S19" s="112"/>
    </row>
    <row r="20" spans="4:19" ht="21" x14ac:dyDescent="0.35">
      <c r="D20" s="112"/>
      <c r="E20" s="112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112"/>
      <c r="S20" s="112"/>
    </row>
    <row r="21" spans="4:19" x14ac:dyDescent="0.25"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</row>
    <row r="22" spans="4:19" ht="21" x14ac:dyDescent="0.35">
      <c r="D22" s="112"/>
      <c r="E22" s="112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112"/>
      <c r="S22" s="112"/>
    </row>
    <row r="23" spans="4:19" x14ac:dyDescent="0.25"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</row>
    <row r="24" spans="4:19" x14ac:dyDescent="0.25"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</row>
    <row r="25" spans="4:19" x14ac:dyDescent="0.25"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</row>
    <row r="26" spans="4:19" x14ac:dyDescent="0.25"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</row>
    <row r="27" spans="4:19" x14ac:dyDescent="0.25"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</row>
    <row r="28" spans="4:19" x14ac:dyDescent="0.25"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4:19" x14ac:dyDescent="0.25"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4:19" x14ac:dyDescent="0.25"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4:19" x14ac:dyDescent="0.25"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</row>
    <row r="32" spans="4:19" x14ac:dyDescent="0.25"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</row>
    <row r="33" spans="4:19" x14ac:dyDescent="0.25"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</row>
    <row r="34" spans="4:19" x14ac:dyDescent="0.25"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4:19" x14ac:dyDescent="0.25"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4:19" x14ac:dyDescent="0.25"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4:19" x14ac:dyDescent="0.25"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4:19" x14ac:dyDescent="0.25"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4:19" x14ac:dyDescent="0.25"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</sheetData>
  <dataValidations count="1">
    <dataValidation type="list" allowBlank="1" showInputMessage="1" showErrorMessage="1" sqref="K6" xr:uid="{F0558D76-619A-4CB4-918D-8C1AF65D7898}">
      <formula1>"Best, Base, Worst"</formula1>
    </dataValidation>
  </dataValidations>
  <pageMargins left="0.7" right="0.7" top="0.75" bottom="0.75" header="0.3" footer="0.3"/>
  <pageSetup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D5E9-C986-4DC6-8F85-4C8F8CEBCADA}">
  <dimension ref="A1:P464"/>
  <sheetViews>
    <sheetView showGridLines="0" topLeftCell="A427" zoomScale="115" workbookViewId="0">
      <selection activeCell="B455" sqref="B455"/>
    </sheetView>
  </sheetViews>
  <sheetFormatPr defaultRowHeight="15" x14ac:dyDescent="0.25"/>
  <cols>
    <col min="2" max="2" width="51.5703125" bestFit="1" customWidth="1"/>
    <col min="3" max="4" width="9.7109375" bestFit="1" customWidth="1"/>
    <col min="5" max="5" width="9.28515625" bestFit="1" customWidth="1"/>
    <col min="7" max="7" width="10.28515625" bestFit="1" customWidth="1"/>
  </cols>
  <sheetData>
    <row r="1" spans="1:8" x14ac:dyDescent="0.25">
      <c r="A1" s="118"/>
      <c r="B1" s="119"/>
      <c r="C1" s="119"/>
      <c r="D1" s="119"/>
      <c r="E1" s="119"/>
      <c r="F1" s="119"/>
      <c r="G1" s="119"/>
    </row>
    <row r="2" spans="1:8" x14ac:dyDescent="0.25">
      <c r="A2" s="118"/>
      <c r="B2" s="119"/>
      <c r="C2" s="119"/>
      <c r="D2" s="119"/>
      <c r="E2" s="119"/>
      <c r="F2" s="119"/>
      <c r="G2" s="119"/>
    </row>
    <row r="3" spans="1:8" x14ac:dyDescent="0.25">
      <c r="A3" s="118"/>
      <c r="B3" s="119"/>
      <c r="C3" s="119"/>
      <c r="D3" s="119"/>
      <c r="E3" s="119"/>
      <c r="F3" s="119"/>
      <c r="G3" s="119"/>
    </row>
    <row r="4" spans="1:8" x14ac:dyDescent="0.25">
      <c r="A4" s="118"/>
      <c r="B4" s="119"/>
      <c r="C4" s="119"/>
      <c r="D4" s="119"/>
      <c r="E4" s="119"/>
      <c r="F4" s="119"/>
      <c r="G4" s="119"/>
    </row>
    <row r="5" spans="1:8" x14ac:dyDescent="0.25">
      <c r="A5" s="118"/>
      <c r="B5" s="119"/>
      <c r="C5" s="119"/>
      <c r="D5" s="119"/>
      <c r="E5" s="119"/>
      <c r="F5" s="119"/>
      <c r="G5" s="119"/>
    </row>
    <row r="6" spans="1:8" x14ac:dyDescent="0.25">
      <c r="A6" s="118"/>
      <c r="B6" s="119"/>
      <c r="C6" s="119"/>
      <c r="D6" s="119"/>
      <c r="E6" s="119"/>
      <c r="F6" s="119"/>
      <c r="G6" s="119"/>
    </row>
    <row r="7" spans="1:8" x14ac:dyDescent="0.25">
      <c r="A7" s="118"/>
      <c r="B7" s="119"/>
      <c r="C7" s="119"/>
      <c r="D7" s="119"/>
      <c r="E7" s="119"/>
      <c r="F7" s="119"/>
      <c r="G7" s="119"/>
    </row>
    <row r="8" spans="1:8" x14ac:dyDescent="0.25">
      <c r="A8" s="122"/>
      <c r="B8" s="119"/>
      <c r="C8" s="119"/>
      <c r="D8" s="119"/>
      <c r="E8" s="119"/>
      <c r="F8" s="119"/>
      <c r="G8" s="119"/>
    </row>
    <row r="9" spans="1:8" x14ac:dyDescent="0.25">
      <c r="A9" s="118"/>
      <c r="B9" s="119"/>
      <c r="C9" s="119"/>
      <c r="D9" s="119"/>
      <c r="E9" s="119"/>
      <c r="F9" s="119"/>
      <c r="G9" s="119"/>
    </row>
    <row r="10" spans="1:8" x14ac:dyDescent="0.25">
      <c r="A10" s="1"/>
      <c r="B10" s="120"/>
      <c r="C10" s="121"/>
      <c r="D10" s="121"/>
      <c r="E10" s="1"/>
      <c r="F10" s="1"/>
      <c r="G10" s="1"/>
    </row>
    <row r="11" spans="1:8" x14ac:dyDescent="0.25">
      <c r="A11" s="1"/>
      <c r="B11" s="120"/>
      <c r="C11" s="121"/>
      <c r="D11" s="121"/>
      <c r="E11" s="1"/>
      <c r="F11" s="2"/>
      <c r="G11" s="2"/>
    </row>
    <row r="12" spans="1:8" x14ac:dyDescent="0.25">
      <c r="A12" s="1"/>
      <c r="B12" s="120"/>
      <c r="C12" s="121"/>
      <c r="D12" s="121"/>
      <c r="E12" s="1"/>
      <c r="F12" s="1"/>
      <c r="G12" s="1"/>
    </row>
    <row r="13" spans="1:8" x14ac:dyDescent="0.25">
      <c r="A13" s="1"/>
      <c r="B13" s="18"/>
      <c r="C13" s="10"/>
      <c r="D13" s="10"/>
      <c r="E13" s="1"/>
      <c r="F13" s="1"/>
      <c r="G13" s="1"/>
    </row>
    <row r="14" spans="1:8" x14ac:dyDescent="0.25">
      <c r="A14" s="1"/>
      <c r="B14" s="10" t="s">
        <v>0</v>
      </c>
      <c r="C14" s="10" t="s">
        <v>0</v>
      </c>
      <c r="D14" s="10" t="s">
        <v>0</v>
      </c>
      <c r="E14" s="10" t="s">
        <v>0</v>
      </c>
      <c r="F14" s="10" t="s">
        <v>100</v>
      </c>
      <c r="G14" s="1"/>
      <c r="H14" s="1"/>
    </row>
    <row r="15" spans="1:8" x14ac:dyDescent="0.25">
      <c r="A15" s="1"/>
      <c r="B15" s="10" t="s">
        <v>0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101</v>
      </c>
      <c r="H15" s="1"/>
    </row>
    <row r="16" spans="1:8" x14ac:dyDescent="0.25">
      <c r="A16" s="1"/>
      <c r="B16" s="10" t="s">
        <v>0</v>
      </c>
      <c r="C16" s="10" t="s">
        <v>0</v>
      </c>
      <c r="D16" s="10" t="s">
        <v>0</v>
      </c>
      <c r="E16" s="10" t="s">
        <v>102</v>
      </c>
      <c r="F16" s="10" t="s">
        <v>103</v>
      </c>
      <c r="G16" s="12">
        <v>-1</v>
      </c>
      <c r="H16" s="10" t="s">
        <v>104</v>
      </c>
    </row>
    <row r="17" spans="1:9" x14ac:dyDescent="0.25">
      <c r="A17" s="1"/>
      <c r="B17" s="10" t="s">
        <v>3</v>
      </c>
      <c r="C17" s="10" t="s">
        <v>0</v>
      </c>
      <c r="D17" s="10" t="s">
        <v>0</v>
      </c>
      <c r="E17" s="11">
        <v>50329</v>
      </c>
      <c r="F17" s="11">
        <v>51502</v>
      </c>
      <c r="G17" s="11">
        <v>62589</v>
      </c>
      <c r="H17" s="11">
        <v>89150</v>
      </c>
    </row>
    <row r="18" spans="1:9" x14ac:dyDescent="0.25">
      <c r="A18" s="1"/>
      <c r="B18" s="10" t="s">
        <v>105</v>
      </c>
      <c r="C18" s="10" t="s">
        <v>0</v>
      </c>
      <c r="D18" s="10" t="s">
        <v>0</v>
      </c>
      <c r="E18" s="12">
        <v>45325</v>
      </c>
      <c r="F18" s="12">
        <v>46233</v>
      </c>
      <c r="G18" s="12">
        <v>56779</v>
      </c>
      <c r="H18" s="12">
        <v>82433</v>
      </c>
    </row>
    <row r="19" spans="1:9" x14ac:dyDescent="0.25">
      <c r="A19" s="1"/>
      <c r="B19" s="10" t="s">
        <v>7</v>
      </c>
      <c r="C19" s="10" t="s">
        <v>0</v>
      </c>
      <c r="D19" s="10" t="s">
        <v>0</v>
      </c>
      <c r="E19" s="12">
        <v>2683</v>
      </c>
      <c r="F19" s="12">
        <v>-3425</v>
      </c>
      <c r="G19" s="12">
        <v>9394</v>
      </c>
      <c r="H19" s="12">
        <v>21118</v>
      </c>
    </row>
    <row r="20" spans="1:9" x14ac:dyDescent="0.25">
      <c r="A20" s="1"/>
      <c r="B20" s="10" t="s">
        <v>10</v>
      </c>
      <c r="C20" s="10" t="s">
        <v>0</v>
      </c>
      <c r="D20" s="10" t="s">
        <v>0</v>
      </c>
      <c r="E20" s="12">
        <v>4897</v>
      </c>
      <c r="F20" s="12">
        <v>-4239</v>
      </c>
      <c r="G20" s="12">
        <v>10821</v>
      </c>
      <c r="H20" s="12">
        <v>16541</v>
      </c>
    </row>
    <row r="21" spans="1:9" x14ac:dyDescent="0.25">
      <c r="A21" s="1"/>
      <c r="B21" s="120" t="s">
        <v>106</v>
      </c>
      <c r="C21" s="121" t="s">
        <v>0</v>
      </c>
      <c r="D21" s="10" t="s">
        <v>0</v>
      </c>
      <c r="E21" s="19">
        <v>0.08</v>
      </c>
      <c r="F21" s="19">
        <v>-7.0000000000000007E-2</v>
      </c>
      <c r="G21" s="19">
        <v>0.17</v>
      </c>
      <c r="H21" s="14">
        <v>0.25</v>
      </c>
    </row>
    <row r="22" spans="1:9" x14ac:dyDescent="0.25">
      <c r="A22" s="1"/>
      <c r="B22" s="18"/>
      <c r="C22" s="10"/>
      <c r="D22" s="10"/>
      <c r="E22" s="19"/>
      <c r="F22" s="19"/>
      <c r="G22" s="19"/>
      <c r="H22" s="14"/>
    </row>
    <row r="23" spans="1:9" x14ac:dyDescent="0.25">
      <c r="A23" s="1"/>
      <c r="B23" s="10" t="s">
        <v>0</v>
      </c>
      <c r="C23" s="10" t="s">
        <v>0</v>
      </c>
      <c r="D23" s="10" t="s">
        <v>1</v>
      </c>
      <c r="E23" s="1"/>
      <c r="F23" s="1"/>
      <c r="G23" s="1"/>
    </row>
    <row r="24" spans="1:9" x14ac:dyDescent="0.25">
      <c r="A24" s="1"/>
      <c r="B24" s="10" t="s">
        <v>0</v>
      </c>
      <c r="C24" s="10">
        <v>2018</v>
      </c>
      <c r="D24" s="10">
        <v>2017</v>
      </c>
      <c r="E24" s="10">
        <v>2016</v>
      </c>
      <c r="F24" s="3"/>
      <c r="G24" s="3"/>
      <c r="I24" s="10"/>
    </row>
    <row r="25" spans="1:9" x14ac:dyDescent="0.25">
      <c r="A25" s="1"/>
      <c r="B25" s="10" t="s">
        <v>3</v>
      </c>
      <c r="C25" s="11">
        <v>253570</v>
      </c>
      <c r="D25" s="11">
        <v>131607</v>
      </c>
      <c r="E25" s="11">
        <v>85790</v>
      </c>
      <c r="F25" s="58">
        <f>(C25/E25)^(1/3)-1</f>
        <v>0.43511620230654913</v>
      </c>
      <c r="G25" s="4"/>
      <c r="I25" s="10"/>
    </row>
    <row r="26" spans="1:9" x14ac:dyDescent="0.25">
      <c r="A26" s="1"/>
      <c r="B26" s="10" t="s">
        <v>11</v>
      </c>
      <c r="C26" s="12">
        <v>22800</v>
      </c>
      <c r="D26" s="12">
        <v>21803</v>
      </c>
      <c r="E26" s="12">
        <v>16026</v>
      </c>
      <c r="F26" s="4"/>
      <c r="G26" s="4"/>
      <c r="I26" s="10"/>
    </row>
    <row r="27" spans="1:9" x14ac:dyDescent="0.25">
      <c r="A27" s="1"/>
      <c r="B27" s="10" t="s">
        <v>4</v>
      </c>
      <c r="C27" s="12">
        <v>230770</v>
      </c>
      <c r="D27" s="12">
        <v>109804</v>
      </c>
      <c r="E27" s="12">
        <v>69764</v>
      </c>
      <c r="F27" s="1"/>
      <c r="G27" s="1"/>
      <c r="I27" s="10"/>
    </row>
    <row r="28" spans="1:9" x14ac:dyDescent="0.25">
      <c r="A28" s="1"/>
      <c r="B28" s="10" t="s">
        <v>5</v>
      </c>
      <c r="C28" s="1"/>
      <c r="D28" s="1"/>
      <c r="E28" s="1"/>
      <c r="F28" s="4"/>
      <c r="G28" s="4"/>
      <c r="I28" s="10"/>
    </row>
    <row r="29" spans="1:9" x14ac:dyDescent="0.25">
      <c r="A29" s="1"/>
      <c r="B29" s="10" t="s">
        <v>12</v>
      </c>
      <c r="C29" s="12">
        <v>43449</v>
      </c>
      <c r="D29" s="12">
        <v>29342</v>
      </c>
      <c r="E29" s="12">
        <v>17481</v>
      </c>
      <c r="F29" s="4"/>
      <c r="G29" s="4"/>
      <c r="I29" s="10"/>
    </row>
    <row r="30" spans="1:9" x14ac:dyDescent="0.25">
      <c r="A30" s="1"/>
      <c r="B30" s="10" t="s">
        <v>13</v>
      </c>
      <c r="C30" s="12">
        <v>109284</v>
      </c>
      <c r="D30" s="12">
        <v>66420</v>
      </c>
      <c r="E30" s="12">
        <v>57585</v>
      </c>
      <c r="F30" s="4"/>
      <c r="G30" s="4"/>
      <c r="I30" s="10"/>
    </row>
    <row r="31" spans="1:9" x14ac:dyDescent="0.25">
      <c r="A31" s="1"/>
      <c r="B31" s="10" t="s">
        <v>14</v>
      </c>
      <c r="C31" s="12">
        <v>48267</v>
      </c>
      <c r="D31" s="12">
        <v>32241</v>
      </c>
      <c r="E31" s="12">
        <v>17720</v>
      </c>
      <c r="F31" s="4"/>
      <c r="G31" s="4"/>
      <c r="I31" s="10"/>
    </row>
    <row r="32" spans="1:9" x14ac:dyDescent="0.25">
      <c r="A32" s="1"/>
      <c r="B32" s="10" t="s">
        <v>6</v>
      </c>
      <c r="C32" s="12">
        <v>201000</v>
      </c>
      <c r="D32" s="12">
        <v>128003</v>
      </c>
      <c r="E32" s="12">
        <v>92786</v>
      </c>
      <c r="F32" s="4"/>
      <c r="G32" s="4"/>
      <c r="I32" s="10"/>
    </row>
    <row r="33" spans="1:9" x14ac:dyDescent="0.25">
      <c r="A33" s="1"/>
      <c r="B33" s="10" t="s">
        <v>7</v>
      </c>
      <c r="C33" s="12">
        <v>29770</v>
      </c>
      <c r="D33" s="12">
        <v>-18199</v>
      </c>
      <c r="E33" s="12">
        <v>-23022</v>
      </c>
      <c r="F33" s="5"/>
      <c r="G33" s="5"/>
      <c r="I33" s="10"/>
    </row>
    <row r="34" spans="1:9" x14ac:dyDescent="0.25">
      <c r="A34" s="1"/>
      <c r="B34" s="10" t="s">
        <v>8</v>
      </c>
      <c r="C34" s="12">
        <v>-7378</v>
      </c>
      <c r="D34" s="13">
        <v>0</v>
      </c>
      <c r="E34" s="13">
        <v>0</v>
      </c>
      <c r="F34" s="4"/>
      <c r="G34" s="4"/>
      <c r="I34" s="10"/>
    </row>
    <row r="35" spans="1:9" x14ac:dyDescent="0.25">
      <c r="A35" s="1"/>
      <c r="B35" s="10" t="s">
        <v>9</v>
      </c>
      <c r="C35" s="12">
        <v>3042</v>
      </c>
      <c r="D35" s="12">
        <v>-205</v>
      </c>
      <c r="E35" s="12">
        <v>-1028</v>
      </c>
      <c r="F35" s="1"/>
      <c r="G35" s="27"/>
      <c r="I35" s="10"/>
    </row>
    <row r="36" spans="1:9" x14ac:dyDescent="0.25">
      <c r="A36" s="1"/>
      <c r="B36" s="10" t="s">
        <v>29</v>
      </c>
      <c r="C36" s="1"/>
      <c r="D36" s="1"/>
      <c r="E36" s="1"/>
      <c r="F36" s="4"/>
      <c r="G36" s="4"/>
      <c r="I36" s="10"/>
    </row>
    <row r="37" spans="1:9" x14ac:dyDescent="0.25">
      <c r="A37" s="1"/>
      <c r="B37" s="10" t="s">
        <v>30</v>
      </c>
      <c r="C37" s="12">
        <v>25434</v>
      </c>
      <c r="D37" s="12">
        <v>-18404</v>
      </c>
      <c r="E37" s="12">
        <v>-24050</v>
      </c>
      <c r="F37" s="1"/>
      <c r="G37" s="1"/>
      <c r="I37" s="10"/>
    </row>
    <row r="38" spans="1:9" x14ac:dyDescent="0.25">
      <c r="A38" s="1"/>
      <c r="B38" s="10" t="s">
        <v>31</v>
      </c>
      <c r="C38" s="12">
        <v>-2586</v>
      </c>
      <c r="D38" s="12">
        <v>-905</v>
      </c>
      <c r="E38" s="12">
        <v>208</v>
      </c>
      <c r="F38" s="4"/>
      <c r="G38" s="4"/>
      <c r="I38" s="10"/>
    </row>
    <row r="39" spans="1:9" x14ac:dyDescent="0.25">
      <c r="A39" s="1"/>
      <c r="B39" s="10" t="s">
        <v>10</v>
      </c>
      <c r="C39" s="11">
        <v>28020</v>
      </c>
      <c r="D39" s="11">
        <v>-17499</v>
      </c>
      <c r="E39" s="11">
        <v>-24258</v>
      </c>
      <c r="F39" s="3"/>
      <c r="G39" s="3"/>
      <c r="I39" s="10"/>
    </row>
    <row r="40" spans="1:9" x14ac:dyDescent="0.25">
      <c r="A40" s="1"/>
      <c r="B40" s="10" t="s">
        <v>32</v>
      </c>
      <c r="C40" s="1"/>
      <c r="D40" s="1"/>
      <c r="E40" s="1"/>
      <c r="F40" s="1"/>
      <c r="G40" s="1"/>
      <c r="I40" s="10"/>
    </row>
    <row r="41" spans="1:9" x14ac:dyDescent="0.25">
      <c r="A41" s="1"/>
      <c r="B41" s="10" t="s">
        <v>33</v>
      </c>
      <c r="C41" s="13">
        <v>0</v>
      </c>
      <c r="D41" s="12">
        <v>-1983</v>
      </c>
      <c r="E41" s="12">
        <v>-6442</v>
      </c>
      <c r="F41" s="1"/>
      <c r="G41" s="1"/>
      <c r="I41" s="10"/>
    </row>
    <row r="42" spans="1:9" x14ac:dyDescent="0.25">
      <c r="A42" s="1"/>
      <c r="B42" s="10" t="s">
        <v>34</v>
      </c>
      <c r="C42" s="1"/>
      <c r="D42" s="1"/>
      <c r="E42" s="1"/>
      <c r="F42" s="4"/>
      <c r="G42" s="4"/>
      <c r="I42" s="10"/>
    </row>
    <row r="43" spans="1:9" x14ac:dyDescent="0.25">
      <c r="A43" s="1"/>
      <c r="B43" s="10" t="s">
        <v>35</v>
      </c>
      <c r="C43" s="11">
        <v>28020</v>
      </c>
      <c r="D43" s="11">
        <v>-19482</v>
      </c>
      <c r="E43" s="11">
        <v>-30700</v>
      </c>
      <c r="F43" s="1"/>
      <c r="G43" s="1"/>
      <c r="I43" s="10"/>
    </row>
    <row r="44" spans="1:9" x14ac:dyDescent="0.25">
      <c r="A44" s="1"/>
      <c r="B44" s="10" t="s">
        <v>36</v>
      </c>
      <c r="C44" s="1"/>
      <c r="D44" s="1"/>
      <c r="E44" s="1"/>
      <c r="F44" s="1"/>
      <c r="G44" s="1"/>
      <c r="I44" s="10"/>
    </row>
    <row r="45" spans="1:9" x14ac:dyDescent="0.25">
      <c r="A45" s="1"/>
      <c r="B45" s="10" t="s">
        <v>37</v>
      </c>
      <c r="C45" s="1"/>
      <c r="D45" s="1"/>
      <c r="E45" s="1"/>
      <c r="F45" s="1"/>
      <c r="G45" s="1"/>
      <c r="I45" s="10"/>
    </row>
    <row r="46" spans="1:9" x14ac:dyDescent="0.25">
      <c r="A46" s="1"/>
      <c r="B46" s="10" t="s">
        <v>38</v>
      </c>
      <c r="C46" s="14">
        <v>0.46</v>
      </c>
      <c r="D46" s="14">
        <v>-0.37</v>
      </c>
      <c r="E46" s="14">
        <v>-0.95</v>
      </c>
      <c r="F46" s="1"/>
      <c r="G46" s="1"/>
      <c r="I46" s="10"/>
    </row>
    <row r="47" spans="1:9" x14ac:dyDescent="0.25">
      <c r="A47" s="1"/>
      <c r="B47" s="10" t="s">
        <v>36</v>
      </c>
      <c r="C47" s="1"/>
      <c r="D47" s="1"/>
      <c r="E47" s="1"/>
      <c r="F47" s="1"/>
      <c r="G47" s="1"/>
      <c r="I47" s="10"/>
    </row>
    <row r="48" spans="1:9" x14ac:dyDescent="0.25">
      <c r="A48" s="1"/>
      <c r="B48" s="10" t="s">
        <v>37</v>
      </c>
      <c r="C48" s="1"/>
      <c r="D48" s="1"/>
      <c r="E48" s="1"/>
      <c r="F48" s="1"/>
      <c r="G48" s="1"/>
      <c r="I48" s="10"/>
    </row>
    <row r="49" spans="1:9" x14ac:dyDescent="0.25">
      <c r="A49" s="1"/>
      <c r="B49" s="10" t="s">
        <v>39</v>
      </c>
      <c r="C49" s="14">
        <v>0.43</v>
      </c>
      <c r="D49" s="14">
        <v>-0.37</v>
      </c>
      <c r="E49" s="14">
        <v>-0.95</v>
      </c>
      <c r="F49" s="1"/>
      <c r="G49" s="1"/>
      <c r="I49" s="10"/>
    </row>
    <row r="50" spans="1:9" x14ac:dyDescent="0.25">
      <c r="A50" s="1"/>
      <c r="B50" s="10" t="s">
        <v>40</v>
      </c>
      <c r="C50" s="1"/>
      <c r="D50" s="1"/>
      <c r="E50" s="1"/>
      <c r="F50" s="1"/>
      <c r="G50" s="1"/>
      <c r="I50" s="10"/>
    </row>
    <row r="51" spans="1:9" x14ac:dyDescent="0.25">
      <c r="A51" s="1"/>
      <c r="B51" s="10" t="s">
        <v>41</v>
      </c>
      <c r="C51" s="1"/>
      <c r="D51" s="1"/>
      <c r="E51" s="1"/>
      <c r="F51" s="1"/>
      <c r="G51" s="1"/>
      <c r="I51" s="10"/>
    </row>
    <row r="52" spans="1:9" x14ac:dyDescent="0.25">
      <c r="A52" s="1"/>
      <c r="B52" s="10" t="s">
        <v>42</v>
      </c>
      <c r="C52" s="1"/>
      <c r="D52" s="1"/>
      <c r="E52" s="1"/>
      <c r="F52" s="1"/>
      <c r="G52" s="1"/>
      <c r="I52" s="10"/>
    </row>
    <row r="53" spans="1:9" x14ac:dyDescent="0.25">
      <c r="A53" s="1"/>
      <c r="B53" s="10" t="s">
        <v>43</v>
      </c>
      <c r="C53" s="12">
        <v>60829</v>
      </c>
      <c r="D53" s="12">
        <v>53006</v>
      </c>
      <c r="E53" s="12">
        <v>32440</v>
      </c>
      <c r="F53" s="1"/>
      <c r="G53" s="1"/>
      <c r="I53" s="10"/>
    </row>
    <row r="54" spans="1:9" x14ac:dyDescent="0.25">
      <c r="A54" s="1"/>
      <c r="B54" s="10" t="s">
        <v>40</v>
      </c>
      <c r="C54" s="1"/>
      <c r="D54" s="1"/>
      <c r="E54" s="1"/>
      <c r="F54" s="1"/>
      <c r="G54" s="1"/>
      <c r="I54" s="10"/>
    </row>
    <row r="55" spans="1:9" x14ac:dyDescent="0.25">
      <c r="A55" s="1"/>
      <c r="B55" s="10" t="s">
        <v>41</v>
      </c>
      <c r="C55" s="1"/>
      <c r="D55" s="1"/>
      <c r="E55" s="1"/>
      <c r="F55" s="1"/>
      <c r="G55" s="1"/>
      <c r="I55" s="10"/>
    </row>
    <row r="56" spans="1:9" x14ac:dyDescent="0.25">
      <c r="A56" s="1"/>
      <c r="B56" s="10" t="s">
        <v>42</v>
      </c>
      <c r="C56" s="1"/>
      <c r="D56" s="1"/>
      <c r="E56" s="1"/>
      <c r="F56" s="1"/>
      <c r="G56" s="1"/>
      <c r="I56" s="10"/>
    </row>
    <row r="57" spans="1:9" x14ac:dyDescent="0.25">
      <c r="A57" s="1"/>
      <c r="B57" s="10" t="s">
        <v>44</v>
      </c>
      <c r="C57" s="12">
        <v>64744</v>
      </c>
      <c r="D57" s="12">
        <v>53006</v>
      </c>
      <c r="E57" s="12">
        <v>32440</v>
      </c>
      <c r="F57" s="1"/>
      <c r="G57" s="1"/>
      <c r="I57" s="10"/>
    </row>
    <row r="58" spans="1:9" x14ac:dyDescent="0.25">
      <c r="A58" s="1"/>
      <c r="B58" s="10" t="s">
        <v>45</v>
      </c>
      <c r="C58" s="1"/>
      <c r="D58" s="1"/>
      <c r="E58" s="1"/>
      <c r="F58" s="1"/>
      <c r="G58" s="1"/>
      <c r="I58" s="10"/>
    </row>
    <row r="59" spans="1:9" x14ac:dyDescent="0.25">
      <c r="A59" s="1"/>
      <c r="B59" s="10" t="s">
        <v>46</v>
      </c>
      <c r="C59" s="1"/>
      <c r="D59" s="1"/>
      <c r="E59" s="1"/>
      <c r="F59" s="1"/>
      <c r="G59" s="1"/>
      <c r="I59" s="10"/>
    </row>
    <row r="60" spans="1:9" x14ac:dyDescent="0.25">
      <c r="A60" s="1"/>
      <c r="B60" s="10" t="s">
        <v>47</v>
      </c>
      <c r="C60" s="1"/>
      <c r="D60" s="1"/>
      <c r="E60" s="1"/>
      <c r="F60" s="3"/>
      <c r="G60" s="3"/>
      <c r="I60" s="10"/>
    </row>
    <row r="61" spans="1:9" x14ac:dyDescent="0.25">
      <c r="A61" s="1"/>
      <c r="B61" s="10" t="s">
        <v>48</v>
      </c>
      <c r="C61" s="12">
        <v>-22</v>
      </c>
      <c r="D61" s="12">
        <v>-217</v>
      </c>
      <c r="E61" s="12">
        <v>72</v>
      </c>
      <c r="F61" s="1"/>
      <c r="G61" s="1"/>
      <c r="I61" s="10"/>
    </row>
    <row r="62" spans="1:9" x14ac:dyDescent="0.25">
      <c r="A62" s="1"/>
      <c r="B62" s="10" t="s">
        <v>49</v>
      </c>
      <c r="C62" s="1"/>
      <c r="D62" s="1"/>
      <c r="E62" s="1"/>
      <c r="F62" s="1"/>
      <c r="G62" s="1"/>
      <c r="I62" s="10"/>
    </row>
    <row r="63" spans="1:9" x14ac:dyDescent="0.25">
      <c r="A63" s="1"/>
      <c r="B63" s="10" t="s">
        <v>50</v>
      </c>
      <c r="C63" s="12">
        <v>-195</v>
      </c>
      <c r="D63" s="12">
        <v>-128</v>
      </c>
      <c r="E63" s="13">
        <v>0</v>
      </c>
      <c r="F63" s="6"/>
      <c r="G63" s="6"/>
      <c r="I63" s="10"/>
    </row>
    <row r="64" spans="1:9" x14ac:dyDescent="0.25">
      <c r="A64" s="1"/>
      <c r="B64" s="10" t="s">
        <v>45</v>
      </c>
      <c r="C64" s="1"/>
      <c r="D64" s="1"/>
      <c r="E64" s="1"/>
      <c r="F64" s="1"/>
      <c r="G64" s="1"/>
      <c r="I64" s="10"/>
    </row>
    <row r="65" spans="1:9" x14ac:dyDescent="0.25">
      <c r="A65" s="1"/>
      <c r="B65" s="10" t="s">
        <v>51</v>
      </c>
      <c r="C65" s="11">
        <v>-217</v>
      </c>
      <c r="D65" s="11">
        <v>-345</v>
      </c>
      <c r="E65" s="11">
        <v>72</v>
      </c>
      <c r="F65" s="1"/>
      <c r="G65" s="1"/>
      <c r="I65" s="10"/>
    </row>
    <row r="66" spans="1:9" x14ac:dyDescent="0.25">
      <c r="A66" s="1"/>
      <c r="B66" s="10" t="s">
        <v>52</v>
      </c>
      <c r="C66" s="11">
        <v>27803</v>
      </c>
      <c r="D66" s="11">
        <v>-17844</v>
      </c>
      <c r="E66" s="11">
        <v>-24186</v>
      </c>
      <c r="F66" s="6"/>
      <c r="G66" s="6"/>
      <c r="I66" s="10"/>
    </row>
    <row r="67" spans="1:9" x14ac:dyDescent="0.25">
      <c r="A67" s="1"/>
      <c r="B67" s="2"/>
      <c r="C67" s="6"/>
      <c r="D67" s="6"/>
      <c r="E67" s="6"/>
      <c r="F67" s="6"/>
      <c r="G67" s="6"/>
      <c r="I67" s="10"/>
    </row>
    <row r="68" spans="1:9" x14ac:dyDescent="0.25">
      <c r="A68" s="1"/>
      <c r="B68" s="2"/>
      <c r="C68" s="6"/>
      <c r="D68" s="6"/>
      <c r="E68" s="6"/>
      <c r="F68" s="6"/>
      <c r="G68" s="6"/>
      <c r="I68" s="10"/>
    </row>
    <row r="69" spans="1:9" x14ac:dyDescent="0.25">
      <c r="A69" s="1"/>
      <c r="B69" s="2"/>
      <c r="C69" s="6"/>
      <c r="D69" s="6"/>
      <c r="E69" s="6"/>
      <c r="F69" s="6"/>
      <c r="G69" s="6"/>
      <c r="I69" s="10"/>
    </row>
    <row r="70" spans="1:9" s="9" customFormat="1" x14ac:dyDescent="0.25">
      <c r="A70" s="15"/>
      <c r="B70" s="16" t="s">
        <v>53</v>
      </c>
      <c r="C70" s="15"/>
      <c r="D70" s="15"/>
      <c r="E70" s="17"/>
      <c r="F70" s="17"/>
      <c r="G70" s="17"/>
      <c r="I70" s="16"/>
    </row>
    <row r="71" spans="1:9" x14ac:dyDescent="0.25">
      <c r="A71" s="1"/>
      <c r="B71" s="10" t="s">
        <v>54</v>
      </c>
      <c r="C71" s="1"/>
      <c r="D71" s="1"/>
      <c r="E71" s="6"/>
      <c r="F71" s="6"/>
      <c r="G71" s="6"/>
      <c r="I71" s="10"/>
    </row>
    <row r="72" spans="1:9" x14ac:dyDescent="0.25">
      <c r="A72" s="1"/>
      <c r="B72" s="1"/>
      <c r="C72" s="1"/>
      <c r="D72" s="1"/>
      <c r="E72" s="6"/>
      <c r="F72" s="6"/>
      <c r="G72" s="6"/>
      <c r="I72" s="10"/>
    </row>
    <row r="73" spans="1:9" x14ac:dyDescent="0.25">
      <c r="A73" s="1"/>
      <c r="B73" s="10" t="s">
        <v>0</v>
      </c>
      <c r="C73" s="120" t="s">
        <v>25</v>
      </c>
      <c r="D73" s="121" t="s">
        <v>0</v>
      </c>
      <c r="E73" s="6"/>
      <c r="F73" s="6"/>
      <c r="G73" s="6"/>
      <c r="I73" s="10"/>
    </row>
    <row r="74" spans="1:9" x14ac:dyDescent="0.25">
      <c r="A74" s="1"/>
      <c r="B74" s="10" t="s">
        <v>0</v>
      </c>
      <c r="C74" s="10">
        <v>2018</v>
      </c>
      <c r="D74" s="10">
        <v>2017</v>
      </c>
      <c r="E74" s="6"/>
      <c r="F74" s="6"/>
      <c r="G74" s="6"/>
      <c r="I74" s="10"/>
    </row>
    <row r="75" spans="1:9" x14ac:dyDescent="0.25">
      <c r="A75" s="1"/>
      <c r="B75" s="10" t="s">
        <v>55</v>
      </c>
      <c r="C75" s="1"/>
      <c r="D75" s="1"/>
      <c r="E75" s="6"/>
      <c r="F75" s="6"/>
      <c r="G75" s="6"/>
      <c r="I75" s="10"/>
    </row>
    <row r="76" spans="1:9" x14ac:dyDescent="0.25">
      <c r="A76" s="1"/>
      <c r="B76" s="10" t="s">
        <v>56</v>
      </c>
      <c r="C76" s="1"/>
      <c r="D76" s="1"/>
      <c r="E76" s="6"/>
      <c r="F76" s="6"/>
      <c r="G76" s="6"/>
      <c r="I76" s="10"/>
    </row>
    <row r="77" spans="1:9" x14ac:dyDescent="0.25">
      <c r="A77" s="1"/>
      <c r="B77" s="10" t="s">
        <v>26</v>
      </c>
      <c r="C77" s="11">
        <v>89974</v>
      </c>
      <c r="D77" s="11">
        <v>119716</v>
      </c>
      <c r="E77" s="6"/>
      <c r="F77" s="6"/>
      <c r="G77" s="6"/>
      <c r="I77" s="10"/>
    </row>
    <row r="78" spans="1:9" x14ac:dyDescent="0.25">
      <c r="A78" s="1"/>
      <c r="B78" s="10" t="s">
        <v>57</v>
      </c>
      <c r="C78" s="12">
        <v>239718</v>
      </c>
      <c r="D78" s="12">
        <v>54386</v>
      </c>
      <c r="E78" s="6"/>
      <c r="F78" s="6"/>
      <c r="G78" s="6"/>
      <c r="I78" s="10"/>
    </row>
    <row r="79" spans="1:9" x14ac:dyDescent="0.25">
      <c r="A79" s="1"/>
      <c r="B79" s="10" t="s">
        <v>58</v>
      </c>
      <c r="C79" s="1"/>
      <c r="D79" s="1"/>
      <c r="E79" s="6"/>
      <c r="F79" s="6"/>
      <c r="G79" s="6"/>
      <c r="I79" s="10"/>
    </row>
    <row r="80" spans="1:9" x14ac:dyDescent="0.25">
      <c r="A80" s="1"/>
      <c r="B80" s="10" t="s">
        <v>59</v>
      </c>
      <c r="C80" s="1"/>
      <c r="D80" s="1"/>
      <c r="E80" s="6"/>
      <c r="F80" s="6"/>
      <c r="G80" s="6"/>
      <c r="I80" s="10"/>
    </row>
    <row r="81" spans="1:9" x14ac:dyDescent="0.25">
      <c r="A81" s="1"/>
      <c r="B81" s="10" t="s">
        <v>60</v>
      </c>
      <c r="C81" s="12">
        <v>94922</v>
      </c>
      <c r="D81" s="12">
        <v>49797</v>
      </c>
      <c r="E81" s="6"/>
      <c r="F81" s="6"/>
      <c r="G81" s="6"/>
      <c r="I81" s="10"/>
    </row>
    <row r="82" spans="1:9" x14ac:dyDescent="0.25">
      <c r="A82" s="1"/>
      <c r="B82" s="10" t="s">
        <v>61</v>
      </c>
      <c r="C82" s="12">
        <v>10353</v>
      </c>
      <c r="D82" s="12">
        <v>11213</v>
      </c>
      <c r="E82" s="6"/>
      <c r="F82" s="6"/>
      <c r="G82" s="6"/>
      <c r="I82" s="10"/>
    </row>
    <row r="83" spans="1:9" x14ac:dyDescent="0.25">
      <c r="A83" s="1"/>
      <c r="B83" s="10" t="s">
        <v>62</v>
      </c>
      <c r="C83" s="12">
        <v>26846</v>
      </c>
      <c r="D83" s="12">
        <v>7227</v>
      </c>
      <c r="E83" s="6"/>
      <c r="F83" s="6"/>
      <c r="G83" s="6"/>
      <c r="I83" s="10"/>
    </row>
    <row r="84" spans="1:9" x14ac:dyDescent="0.25">
      <c r="A84" s="1"/>
      <c r="B84" s="10" t="s">
        <v>63</v>
      </c>
      <c r="C84" s="12">
        <v>461813</v>
      </c>
      <c r="D84" s="12">
        <v>242339</v>
      </c>
      <c r="E84" s="6"/>
      <c r="F84" s="6"/>
      <c r="G84" s="6"/>
      <c r="I84" s="10"/>
    </row>
    <row r="85" spans="1:9" x14ac:dyDescent="0.25">
      <c r="A85" s="1"/>
      <c r="B85" s="10" t="s">
        <v>64</v>
      </c>
      <c r="C85" s="12">
        <v>11729</v>
      </c>
      <c r="D85" s="12">
        <v>7492</v>
      </c>
      <c r="E85" s="6"/>
      <c r="F85" s="6"/>
      <c r="G85" s="6"/>
      <c r="I85" s="10"/>
    </row>
    <row r="86" spans="1:9" x14ac:dyDescent="0.25">
      <c r="A86" s="1"/>
      <c r="B86" s="10" t="s">
        <v>65</v>
      </c>
      <c r="C86" s="12">
        <v>96551</v>
      </c>
      <c r="D86" s="12">
        <v>19964</v>
      </c>
      <c r="E86" s="6"/>
      <c r="F86" s="6"/>
      <c r="G86" s="6"/>
      <c r="I86" s="10"/>
    </row>
    <row r="87" spans="1:9" x14ac:dyDescent="0.25">
      <c r="A87" s="1"/>
      <c r="B87" s="10" t="s">
        <v>66</v>
      </c>
      <c r="C87" s="12">
        <v>9494</v>
      </c>
      <c r="D87" s="12">
        <v>8750</v>
      </c>
      <c r="E87" s="6"/>
      <c r="F87" s="6"/>
      <c r="G87" s="6"/>
      <c r="I87" s="10"/>
    </row>
    <row r="88" spans="1:9" x14ac:dyDescent="0.25">
      <c r="A88" s="1"/>
      <c r="B88" s="10" t="s">
        <v>67</v>
      </c>
      <c r="C88" s="12">
        <v>7491</v>
      </c>
      <c r="D88" s="12">
        <v>7995</v>
      </c>
      <c r="E88" s="6"/>
      <c r="F88" s="6"/>
      <c r="G88" s="6"/>
      <c r="I88" s="10"/>
    </row>
    <row r="89" spans="1:9" x14ac:dyDescent="0.25">
      <c r="A89" s="1"/>
      <c r="B89" s="10" t="s">
        <v>68</v>
      </c>
      <c r="C89" s="12">
        <v>12038</v>
      </c>
      <c r="D89" s="13">
        <v>0</v>
      </c>
      <c r="E89" s="6"/>
      <c r="F89" s="6"/>
      <c r="G89" s="6"/>
      <c r="I89" s="10"/>
    </row>
    <row r="90" spans="1:9" x14ac:dyDescent="0.25">
      <c r="A90" s="1"/>
      <c r="B90" s="10" t="s">
        <v>69</v>
      </c>
      <c r="C90" s="12">
        <v>18982</v>
      </c>
      <c r="D90" s="12">
        <v>4263</v>
      </c>
      <c r="E90" s="6"/>
      <c r="F90" s="6"/>
      <c r="G90" s="6"/>
      <c r="I90" s="10"/>
    </row>
    <row r="91" spans="1:9" x14ac:dyDescent="0.25">
      <c r="A91" s="1"/>
      <c r="B91" s="10" t="s">
        <v>70</v>
      </c>
      <c r="C91" s="12">
        <v>69</v>
      </c>
      <c r="D91" s="12">
        <v>613</v>
      </c>
      <c r="E91" s="6"/>
      <c r="F91" s="6"/>
      <c r="G91" s="6"/>
      <c r="I91" s="10"/>
    </row>
    <row r="92" spans="1:9" x14ac:dyDescent="0.25">
      <c r="A92" s="1"/>
      <c r="B92" s="10" t="s">
        <v>27</v>
      </c>
      <c r="C92" s="11">
        <v>618167</v>
      </c>
      <c r="D92" s="11">
        <v>291416</v>
      </c>
      <c r="E92" s="6"/>
      <c r="F92" s="6"/>
      <c r="G92" s="6"/>
      <c r="I92" s="10"/>
    </row>
    <row r="93" spans="1:9" x14ac:dyDescent="0.25">
      <c r="A93" s="1"/>
      <c r="B93" s="10" t="s">
        <v>71</v>
      </c>
      <c r="C93" s="1"/>
      <c r="D93" s="1"/>
      <c r="E93" s="6"/>
      <c r="F93" s="6"/>
      <c r="G93" s="6"/>
      <c r="I93" s="10"/>
    </row>
    <row r="94" spans="1:9" x14ac:dyDescent="0.25">
      <c r="A94" s="1"/>
      <c r="B94" s="10" t="s">
        <v>72</v>
      </c>
      <c r="C94" s="1"/>
      <c r="D94" s="1"/>
      <c r="E94" s="6"/>
      <c r="F94" s="6"/>
      <c r="G94" s="6"/>
      <c r="I94" s="10"/>
    </row>
    <row r="95" spans="1:9" x14ac:dyDescent="0.25">
      <c r="A95" s="1"/>
      <c r="B95" s="10" t="s">
        <v>73</v>
      </c>
      <c r="C95" s="11">
        <v>5028</v>
      </c>
      <c r="D95" s="11">
        <v>522</v>
      </c>
      <c r="E95" s="6"/>
      <c r="F95" s="6"/>
      <c r="G95" s="6"/>
      <c r="I95" s="10"/>
    </row>
    <row r="96" spans="1:9" x14ac:dyDescent="0.25">
      <c r="A96" s="1"/>
      <c r="B96" s="10" t="s">
        <v>74</v>
      </c>
      <c r="C96" s="12">
        <v>24659</v>
      </c>
      <c r="D96" s="12">
        <v>11835</v>
      </c>
      <c r="E96" s="6"/>
      <c r="F96" s="6"/>
      <c r="G96" s="6"/>
      <c r="I96" s="10"/>
    </row>
    <row r="97" spans="1:9" x14ac:dyDescent="0.25">
      <c r="A97" s="1"/>
      <c r="B97" s="10" t="s">
        <v>75</v>
      </c>
      <c r="C97" s="12">
        <v>10878</v>
      </c>
      <c r="D97" s="12">
        <v>8270</v>
      </c>
      <c r="E97" s="6"/>
      <c r="F97" s="6"/>
      <c r="G97" s="6"/>
      <c r="I97" s="10"/>
    </row>
    <row r="98" spans="1:9" x14ac:dyDescent="0.25">
      <c r="A98" s="1"/>
      <c r="B98" s="10" t="s">
        <v>76</v>
      </c>
      <c r="C98" s="12">
        <v>84015</v>
      </c>
      <c r="D98" s="12">
        <v>110213</v>
      </c>
      <c r="E98" s="6"/>
      <c r="F98" s="6"/>
      <c r="G98" s="6"/>
      <c r="I98" s="10"/>
    </row>
    <row r="99" spans="1:9" x14ac:dyDescent="0.25">
      <c r="A99" s="1"/>
      <c r="B99" s="10" t="s">
        <v>77</v>
      </c>
      <c r="C99" s="12">
        <v>124580</v>
      </c>
      <c r="D99" s="12">
        <v>130840</v>
      </c>
      <c r="E99" s="6"/>
      <c r="F99" s="6"/>
      <c r="G99" s="6"/>
      <c r="I99" s="10"/>
    </row>
    <row r="100" spans="1:9" x14ac:dyDescent="0.25">
      <c r="A100" s="1"/>
      <c r="B100" s="10" t="s">
        <v>78</v>
      </c>
      <c r="C100" s="12">
        <v>173647</v>
      </c>
      <c r="D100" s="13">
        <v>0</v>
      </c>
      <c r="E100" s="6"/>
      <c r="F100" s="6"/>
      <c r="G100" s="6"/>
      <c r="I100" s="10"/>
    </row>
    <row r="101" spans="1:9" x14ac:dyDescent="0.25">
      <c r="A101" s="1"/>
      <c r="B101" s="10" t="s">
        <v>76</v>
      </c>
      <c r="C101" s="12">
        <v>2130</v>
      </c>
      <c r="D101" s="12">
        <v>3545</v>
      </c>
      <c r="E101" s="6"/>
      <c r="F101" s="6"/>
      <c r="G101" s="6"/>
      <c r="I101" s="10"/>
    </row>
    <row r="102" spans="1:9" x14ac:dyDescent="0.25">
      <c r="A102" s="1"/>
      <c r="B102" s="10" t="s">
        <v>79</v>
      </c>
      <c r="C102" s="12">
        <v>4345</v>
      </c>
      <c r="D102" s="12">
        <v>3313</v>
      </c>
      <c r="E102" s="6"/>
      <c r="F102" s="6"/>
      <c r="G102" s="6"/>
      <c r="I102" s="10"/>
    </row>
    <row r="103" spans="1:9" x14ac:dyDescent="0.25">
      <c r="A103" s="1"/>
      <c r="B103" s="10" t="s">
        <v>80</v>
      </c>
      <c r="C103" s="12">
        <v>11647</v>
      </c>
      <c r="D103" s="12">
        <v>214</v>
      </c>
      <c r="E103" s="6"/>
      <c r="F103" s="6"/>
      <c r="G103" s="6"/>
      <c r="I103" s="10"/>
    </row>
    <row r="104" spans="1:9" x14ac:dyDescent="0.25">
      <c r="A104" s="1"/>
      <c r="B104" s="10" t="s">
        <v>81</v>
      </c>
      <c r="C104" s="12">
        <v>316349</v>
      </c>
      <c r="D104" s="12">
        <v>137912</v>
      </c>
      <c r="E104" s="6"/>
      <c r="F104" s="6"/>
      <c r="G104" s="6"/>
      <c r="I104" s="10"/>
    </row>
    <row r="105" spans="1:9" x14ac:dyDescent="0.25">
      <c r="A105" s="1"/>
      <c r="B105" s="10" t="s">
        <v>82</v>
      </c>
      <c r="C105" s="1"/>
      <c r="D105" s="1"/>
      <c r="E105" s="6"/>
      <c r="F105" s="6"/>
      <c r="G105" s="6"/>
      <c r="I105" s="10"/>
    </row>
    <row r="106" spans="1:9" x14ac:dyDescent="0.25">
      <c r="A106" s="1"/>
      <c r="B106" s="10" t="s">
        <v>83</v>
      </c>
      <c r="C106" s="1"/>
      <c r="D106" s="1"/>
      <c r="E106" s="6"/>
      <c r="F106" s="6"/>
      <c r="G106" s="6"/>
      <c r="I106" s="10"/>
    </row>
    <row r="107" spans="1:9" x14ac:dyDescent="0.25">
      <c r="A107" s="1"/>
      <c r="B107" s="10" t="s">
        <v>84</v>
      </c>
      <c r="C107" s="1"/>
      <c r="D107" s="1"/>
      <c r="E107" s="6"/>
      <c r="F107" s="6"/>
      <c r="G107" s="6"/>
      <c r="I107" s="10"/>
    </row>
    <row r="108" spans="1:9" x14ac:dyDescent="0.25">
      <c r="A108" s="1"/>
      <c r="B108" s="10" t="s">
        <v>85</v>
      </c>
      <c r="C108" s="1"/>
      <c r="D108" s="1"/>
      <c r="E108" s="6"/>
      <c r="F108" s="6"/>
      <c r="G108" s="6"/>
      <c r="I108" s="10"/>
    </row>
    <row r="109" spans="1:9" x14ac:dyDescent="0.25">
      <c r="A109" s="1"/>
      <c r="B109" s="10" t="s">
        <v>86</v>
      </c>
      <c r="C109" s="1"/>
      <c r="D109" s="1"/>
      <c r="E109" s="6"/>
      <c r="F109" s="6"/>
      <c r="G109" s="6"/>
      <c r="I109" s="10"/>
    </row>
    <row r="110" spans="1:9" x14ac:dyDescent="0.25">
      <c r="A110" s="1"/>
      <c r="B110" s="10" t="s">
        <v>87</v>
      </c>
      <c r="C110" s="1"/>
      <c r="D110" s="1"/>
      <c r="E110" s="6"/>
      <c r="F110" s="6"/>
      <c r="G110" s="6"/>
      <c r="I110" s="10"/>
    </row>
    <row r="111" spans="1:9" x14ac:dyDescent="0.25">
      <c r="A111" s="1"/>
      <c r="B111" s="10" t="s">
        <v>88</v>
      </c>
      <c r="C111" s="13">
        <v>0</v>
      </c>
      <c r="D111" s="13">
        <v>0</v>
      </c>
      <c r="E111" s="6"/>
      <c r="F111" s="6"/>
      <c r="G111" s="6"/>
      <c r="I111" s="10"/>
    </row>
    <row r="112" spans="1:9" x14ac:dyDescent="0.25">
      <c r="A112" s="1"/>
      <c r="B112" s="10" t="s">
        <v>89</v>
      </c>
      <c r="C112" s="1"/>
      <c r="D112" s="1"/>
      <c r="E112" s="6"/>
      <c r="F112" s="6"/>
      <c r="G112" s="6"/>
      <c r="I112" s="10"/>
    </row>
    <row r="113" spans="1:9" x14ac:dyDescent="0.25">
      <c r="A113" s="1"/>
      <c r="B113" s="10" t="s">
        <v>90</v>
      </c>
      <c r="C113" s="1"/>
      <c r="D113" s="1"/>
      <c r="E113" s="6"/>
      <c r="F113" s="6"/>
      <c r="G113" s="6"/>
      <c r="I113" s="10"/>
    </row>
    <row r="114" spans="1:9" x14ac:dyDescent="0.25">
      <c r="A114" s="1"/>
      <c r="B114" s="10" t="s">
        <v>91</v>
      </c>
      <c r="C114" s="1"/>
      <c r="D114" s="1"/>
      <c r="E114" s="6"/>
      <c r="F114" s="6"/>
      <c r="G114" s="6"/>
      <c r="I114" s="10"/>
    </row>
    <row r="115" spans="1:9" x14ac:dyDescent="0.25">
      <c r="A115" s="1"/>
      <c r="B115" s="10" t="s">
        <v>92</v>
      </c>
      <c r="C115" s="1"/>
      <c r="D115" s="1"/>
      <c r="E115" s="6"/>
      <c r="F115" s="6"/>
      <c r="G115" s="6"/>
      <c r="I115" s="10"/>
    </row>
    <row r="116" spans="1:9" x14ac:dyDescent="0.25">
      <c r="A116" s="1"/>
      <c r="B116" s="10" t="s">
        <v>93</v>
      </c>
      <c r="C116" s="1"/>
      <c r="D116" s="1"/>
      <c r="E116" s="6"/>
      <c r="F116" s="6"/>
      <c r="G116" s="6"/>
      <c r="I116" s="10"/>
    </row>
    <row r="117" spans="1:9" x14ac:dyDescent="0.25">
      <c r="A117" s="1"/>
      <c r="B117" s="10" t="s">
        <v>94</v>
      </c>
      <c r="C117" s="1"/>
      <c r="D117" s="1"/>
      <c r="E117" s="6"/>
      <c r="F117" s="6"/>
      <c r="G117" s="6"/>
      <c r="I117" s="10"/>
    </row>
    <row r="118" spans="1:9" x14ac:dyDescent="0.25">
      <c r="A118" s="1"/>
      <c r="B118" s="10" t="s">
        <v>95</v>
      </c>
      <c r="C118" s="12">
        <v>6</v>
      </c>
      <c r="D118" s="12">
        <v>5</v>
      </c>
      <c r="E118" s="6"/>
      <c r="F118" s="6"/>
      <c r="G118" s="6"/>
      <c r="I118" s="10"/>
    </row>
    <row r="119" spans="1:9" x14ac:dyDescent="0.25">
      <c r="A119" s="1"/>
      <c r="B119" s="10" t="s">
        <v>96</v>
      </c>
      <c r="C119" s="12">
        <v>315291</v>
      </c>
      <c r="D119" s="12">
        <v>257399</v>
      </c>
      <c r="E119" s="6"/>
      <c r="F119" s="6"/>
      <c r="G119" s="6"/>
      <c r="I119" s="10"/>
    </row>
    <row r="120" spans="1:9" x14ac:dyDescent="0.25">
      <c r="A120" s="1"/>
      <c r="B120" s="10" t="s">
        <v>97</v>
      </c>
      <c r="C120" s="12">
        <v>-12908</v>
      </c>
      <c r="D120" s="12">
        <v>-103546</v>
      </c>
      <c r="E120" s="6"/>
      <c r="F120" s="6"/>
      <c r="G120" s="6"/>
      <c r="I120" s="10"/>
    </row>
    <row r="121" spans="1:9" x14ac:dyDescent="0.25">
      <c r="A121" s="1"/>
      <c r="B121" s="10" t="s">
        <v>98</v>
      </c>
      <c r="C121" s="12">
        <v>-571</v>
      </c>
      <c r="D121" s="12">
        <v>-354</v>
      </c>
      <c r="E121" s="6"/>
      <c r="F121" s="6"/>
      <c r="G121" s="6"/>
      <c r="I121" s="10"/>
    </row>
    <row r="122" spans="1:9" x14ac:dyDescent="0.25">
      <c r="A122" s="1"/>
      <c r="B122" s="10" t="s">
        <v>28</v>
      </c>
      <c r="C122" s="12">
        <v>301818</v>
      </c>
      <c r="D122" s="12">
        <v>153504</v>
      </c>
      <c r="E122" s="6"/>
      <c r="F122" s="6"/>
      <c r="G122" s="6"/>
      <c r="I122" s="10"/>
    </row>
    <row r="123" spans="1:9" x14ac:dyDescent="0.25">
      <c r="A123" s="1"/>
      <c r="B123" s="10" t="s">
        <v>99</v>
      </c>
      <c r="C123" s="11">
        <v>618167</v>
      </c>
      <c r="D123" s="11">
        <v>291416</v>
      </c>
      <c r="E123" s="6"/>
      <c r="F123" s="6"/>
      <c r="G123" s="6"/>
      <c r="I123" s="10"/>
    </row>
    <row r="124" spans="1:9" x14ac:dyDescent="0.25">
      <c r="A124" s="1"/>
      <c r="B124" s="10"/>
      <c r="C124" s="11"/>
      <c r="D124" s="11"/>
      <c r="E124" s="6"/>
      <c r="F124" s="6"/>
      <c r="G124" s="6"/>
      <c r="I124" s="10"/>
    </row>
    <row r="125" spans="1:9" x14ac:dyDescent="0.25">
      <c r="A125" s="1"/>
      <c r="B125" s="10" t="s">
        <v>0</v>
      </c>
      <c r="C125" s="10" t="s">
        <v>0</v>
      </c>
      <c r="D125" s="10" t="s">
        <v>1</v>
      </c>
      <c r="E125" s="1"/>
      <c r="F125" s="6"/>
      <c r="G125" s="6"/>
      <c r="I125" s="10"/>
    </row>
    <row r="126" spans="1:9" x14ac:dyDescent="0.25">
      <c r="A126" s="1"/>
      <c r="B126" s="10" t="s">
        <v>0</v>
      </c>
      <c r="C126" s="10">
        <v>2018</v>
      </c>
      <c r="D126" s="10">
        <v>2017</v>
      </c>
      <c r="E126" s="10">
        <v>2016</v>
      </c>
      <c r="F126" s="6"/>
      <c r="G126" s="6"/>
      <c r="I126" s="10"/>
    </row>
    <row r="127" spans="1:9" x14ac:dyDescent="0.25">
      <c r="A127" s="1"/>
      <c r="B127" s="10" t="s">
        <v>182</v>
      </c>
      <c r="C127" s="1"/>
      <c r="D127" s="1"/>
      <c r="E127" s="1"/>
      <c r="F127" s="6"/>
      <c r="G127" s="6"/>
      <c r="I127" s="10"/>
    </row>
    <row r="128" spans="1:9" x14ac:dyDescent="0.25">
      <c r="A128" s="1"/>
      <c r="B128" s="10" t="s">
        <v>10</v>
      </c>
      <c r="C128" s="11">
        <v>28020</v>
      </c>
      <c r="D128" s="11">
        <v>-17499</v>
      </c>
      <c r="E128" s="11">
        <v>-24258</v>
      </c>
      <c r="F128" s="6"/>
      <c r="G128" s="6"/>
      <c r="I128" s="10"/>
    </row>
    <row r="129" spans="1:9" x14ac:dyDescent="0.25">
      <c r="A129" s="1"/>
      <c r="B129" s="10" t="s">
        <v>183</v>
      </c>
      <c r="C129" s="1"/>
      <c r="D129" s="1"/>
      <c r="E129" s="1"/>
      <c r="F129" s="6"/>
      <c r="G129" s="6"/>
      <c r="I129" s="10"/>
    </row>
    <row r="130" spans="1:9" x14ac:dyDescent="0.25">
      <c r="A130" s="1"/>
      <c r="B130" s="10" t="s">
        <v>184</v>
      </c>
      <c r="C130" s="1"/>
      <c r="D130" s="1"/>
      <c r="E130" s="1"/>
      <c r="F130" s="6"/>
      <c r="G130" s="6"/>
      <c r="I130" s="10"/>
    </row>
    <row r="131" spans="1:9" x14ac:dyDescent="0.25">
      <c r="A131" s="1"/>
      <c r="B131" s="10" t="s">
        <v>185</v>
      </c>
      <c r="C131" s="12">
        <v>3836</v>
      </c>
      <c r="D131" s="12">
        <v>3957</v>
      </c>
      <c r="E131" s="12">
        <v>1677</v>
      </c>
      <c r="F131" s="6"/>
      <c r="G131" s="6"/>
      <c r="I131" s="10"/>
    </row>
    <row r="132" spans="1:9" x14ac:dyDescent="0.25">
      <c r="A132" s="1"/>
      <c r="B132" s="10" t="s">
        <v>186</v>
      </c>
      <c r="C132" s="12">
        <v>6652</v>
      </c>
      <c r="D132" s="13">
        <v>0</v>
      </c>
      <c r="E132" s="13">
        <v>0</v>
      </c>
      <c r="F132" s="6"/>
      <c r="G132" s="6"/>
      <c r="I132" s="10"/>
    </row>
    <row r="133" spans="1:9" x14ac:dyDescent="0.25">
      <c r="A133" s="1"/>
      <c r="B133" s="10" t="s">
        <v>133</v>
      </c>
      <c r="C133" s="12">
        <v>16647</v>
      </c>
      <c r="D133" s="12">
        <v>8886</v>
      </c>
      <c r="E133" s="12">
        <v>3284</v>
      </c>
      <c r="F133" s="6"/>
      <c r="G133" s="6"/>
      <c r="I133" s="10"/>
    </row>
    <row r="134" spans="1:9" x14ac:dyDescent="0.25">
      <c r="A134" s="1"/>
      <c r="B134" s="10" t="s">
        <v>187</v>
      </c>
      <c r="C134" s="12">
        <v>382</v>
      </c>
      <c r="D134" s="12">
        <v>820</v>
      </c>
      <c r="E134" s="12">
        <v>432</v>
      </c>
      <c r="F134" s="6"/>
      <c r="G134" s="6"/>
      <c r="I134" s="10"/>
    </row>
    <row r="135" spans="1:9" x14ac:dyDescent="0.25">
      <c r="A135" s="1"/>
      <c r="B135" s="10" t="s">
        <v>188</v>
      </c>
      <c r="C135" s="12">
        <v>-3434</v>
      </c>
      <c r="D135" s="12">
        <v>-1425</v>
      </c>
      <c r="E135" s="12">
        <v>-27</v>
      </c>
      <c r="F135" s="6"/>
      <c r="G135" s="6"/>
      <c r="I135" s="10"/>
    </row>
    <row r="136" spans="1:9" x14ac:dyDescent="0.25">
      <c r="A136" s="1"/>
      <c r="B136" s="10" t="s">
        <v>189</v>
      </c>
      <c r="C136" s="13">
        <v>0</v>
      </c>
      <c r="D136" s="12">
        <v>1050</v>
      </c>
      <c r="E136" s="13">
        <v>0</v>
      </c>
      <c r="F136" s="6"/>
      <c r="G136" s="6"/>
      <c r="I136" s="10"/>
    </row>
    <row r="137" spans="1:9" x14ac:dyDescent="0.25">
      <c r="A137" s="1"/>
      <c r="B137" s="10" t="s">
        <v>190</v>
      </c>
      <c r="C137" s="12">
        <v>624</v>
      </c>
      <c r="D137" s="12">
        <v>190</v>
      </c>
      <c r="E137" s="13">
        <v>0</v>
      </c>
      <c r="F137" s="6"/>
      <c r="G137" s="6"/>
      <c r="I137" s="10"/>
    </row>
    <row r="138" spans="1:9" x14ac:dyDescent="0.25">
      <c r="A138" s="1"/>
      <c r="B138" s="10" t="s">
        <v>191</v>
      </c>
      <c r="C138" s="12">
        <v>18</v>
      </c>
      <c r="D138" s="12">
        <v>175</v>
      </c>
      <c r="E138" s="12">
        <v>66</v>
      </c>
      <c r="F138" s="6"/>
      <c r="G138" s="6"/>
      <c r="I138" s="10"/>
    </row>
    <row r="139" spans="1:9" x14ac:dyDescent="0.25">
      <c r="A139" s="1"/>
      <c r="B139" s="10" t="s">
        <v>192</v>
      </c>
      <c r="C139" s="1"/>
      <c r="D139" s="1"/>
      <c r="E139" s="1"/>
      <c r="F139" s="6"/>
      <c r="G139" s="6"/>
      <c r="I139" s="10"/>
    </row>
    <row r="140" spans="1:9" x14ac:dyDescent="0.25">
      <c r="A140" s="1"/>
      <c r="B140" s="10" t="s">
        <v>193</v>
      </c>
      <c r="C140" s="1"/>
      <c r="D140" s="1"/>
      <c r="E140" s="1"/>
      <c r="F140" s="6"/>
      <c r="G140" s="6"/>
      <c r="I140" s="10"/>
    </row>
    <row r="141" spans="1:9" x14ac:dyDescent="0.25">
      <c r="A141" s="1"/>
      <c r="B141" s="10" t="s">
        <v>194</v>
      </c>
      <c r="C141" s="12">
        <v>-45640</v>
      </c>
      <c r="D141" s="12">
        <v>-15325</v>
      </c>
      <c r="E141" s="12">
        <v>-14248</v>
      </c>
      <c r="F141" s="6"/>
      <c r="G141" s="6"/>
      <c r="I141" s="10"/>
    </row>
    <row r="142" spans="1:9" x14ac:dyDescent="0.25">
      <c r="A142" s="1"/>
      <c r="B142" s="10" t="s">
        <v>61</v>
      </c>
      <c r="C142" s="12">
        <v>-12741</v>
      </c>
      <c r="D142" s="12">
        <v>-3663</v>
      </c>
      <c r="E142" s="12">
        <v>-1582</v>
      </c>
      <c r="F142" s="6"/>
      <c r="G142" s="6"/>
      <c r="I142" s="10"/>
    </row>
    <row r="143" spans="1:9" x14ac:dyDescent="0.25">
      <c r="A143" s="1"/>
      <c r="B143" s="10" t="s">
        <v>195</v>
      </c>
      <c r="C143" s="1"/>
      <c r="D143" s="1"/>
      <c r="E143" s="1"/>
      <c r="F143" s="6"/>
      <c r="G143" s="6"/>
      <c r="I143" s="10"/>
    </row>
    <row r="144" spans="1:9" x14ac:dyDescent="0.25">
      <c r="A144" s="1"/>
      <c r="B144" s="10" t="s">
        <v>196</v>
      </c>
      <c r="C144" s="12">
        <v>-16077</v>
      </c>
      <c r="D144" s="12">
        <v>-3508</v>
      </c>
      <c r="E144" s="12">
        <v>-4314</v>
      </c>
      <c r="F144" s="6"/>
      <c r="G144" s="6"/>
      <c r="I144" s="10"/>
    </row>
    <row r="145" spans="1:9" x14ac:dyDescent="0.25">
      <c r="A145" s="1"/>
      <c r="B145" s="10" t="s">
        <v>73</v>
      </c>
      <c r="C145" s="12">
        <v>4530</v>
      </c>
      <c r="D145" s="12">
        <v>-1483</v>
      </c>
      <c r="E145" s="12">
        <v>2134</v>
      </c>
      <c r="F145" s="6"/>
      <c r="G145" s="6"/>
      <c r="I145" s="10"/>
    </row>
    <row r="146" spans="1:9" x14ac:dyDescent="0.25">
      <c r="A146" s="1"/>
      <c r="B146" s="10" t="s">
        <v>74</v>
      </c>
      <c r="C146" s="12">
        <v>12898</v>
      </c>
      <c r="D146" s="12">
        <v>4047</v>
      </c>
      <c r="E146" s="12">
        <v>1177</v>
      </c>
      <c r="F146" s="6"/>
      <c r="G146" s="6"/>
      <c r="I146" s="10"/>
    </row>
    <row r="147" spans="1:9" x14ac:dyDescent="0.25">
      <c r="A147" s="1"/>
      <c r="B147" s="10" t="s">
        <v>75</v>
      </c>
      <c r="C147" s="12">
        <v>671</v>
      </c>
      <c r="D147" s="12">
        <v>2606</v>
      </c>
      <c r="E147" s="12">
        <v>1123</v>
      </c>
      <c r="F147" s="6"/>
      <c r="G147" s="6"/>
      <c r="I147" s="10"/>
    </row>
    <row r="148" spans="1:9" x14ac:dyDescent="0.25">
      <c r="A148" s="1"/>
      <c r="B148" s="10" t="s">
        <v>76</v>
      </c>
      <c r="C148" s="12">
        <v>29059</v>
      </c>
      <c r="D148" s="12">
        <v>39835</v>
      </c>
      <c r="E148" s="12">
        <v>27840</v>
      </c>
      <c r="F148" s="6"/>
      <c r="G148" s="6"/>
      <c r="I148" s="10"/>
    </row>
    <row r="149" spans="1:9" x14ac:dyDescent="0.25">
      <c r="A149" s="1"/>
      <c r="B149" s="10" t="s">
        <v>79</v>
      </c>
      <c r="C149" s="12">
        <v>644</v>
      </c>
      <c r="D149" s="12">
        <v>442</v>
      </c>
      <c r="E149" s="12">
        <v>666</v>
      </c>
      <c r="F149" s="6"/>
      <c r="G149" s="6"/>
      <c r="I149" s="10"/>
    </row>
    <row r="150" spans="1:9" x14ac:dyDescent="0.25">
      <c r="A150" s="1"/>
      <c r="B150" s="10" t="s">
        <v>197</v>
      </c>
      <c r="C150" s="1"/>
      <c r="D150" s="1"/>
      <c r="E150" s="1"/>
      <c r="F150" s="6"/>
      <c r="G150" s="6"/>
      <c r="I150" s="10"/>
    </row>
    <row r="151" spans="1:9" x14ac:dyDescent="0.25">
      <c r="A151" s="1"/>
      <c r="B151" s="10" t="s">
        <v>198</v>
      </c>
      <c r="C151" s="12">
        <v>26089</v>
      </c>
      <c r="D151" s="12">
        <v>19105</v>
      </c>
      <c r="E151" s="12">
        <v>-6030</v>
      </c>
      <c r="F151" s="6"/>
      <c r="G151" s="6"/>
      <c r="I151" s="10"/>
    </row>
    <row r="152" spans="1:9" x14ac:dyDescent="0.25">
      <c r="A152" s="1"/>
      <c r="B152" s="10" t="s">
        <v>199</v>
      </c>
      <c r="C152" s="1"/>
      <c r="D152" s="1"/>
      <c r="E152" s="1"/>
      <c r="F152" s="6"/>
      <c r="G152" s="6"/>
      <c r="I152" s="10"/>
    </row>
    <row r="153" spans="1:9" x14ac:dyDescent="0.25">
      <c r="A153" s="1"/>
      <c r="B153" s="10" t="s">
        <v>200</v>
      </c>
      <c r="C153" s="12">
        <v>-6728</v>
      </c>
      <c r="D153" s="12">
        <v>-3669</v>
      </c>
      <c r="E153" s="12">
        <v>-4307</v>
      </c>
      <c r="F153" s="6"/>
      <c r="G153" s="6"/>
      <c r="I153" s="10"/>
    </row>
    <row r="154" spans="1:9" x14ac:dyDescent="0.25">
      <c r="A154" s="1"/>
      <c r="B154" s="10" t="s">
        <v>201</v>
      </c>
      <c r="C154" s="1"/>
      <c r="D154" s="1"/>
      <c r="E154" s="1"/>
      <c r="F154" s="6"/>
      <c r="G154" s="6"/>
      <c r="I154" s="10"/>
    </row>
    <row r="155" spans="1:9" x14ac:dyDescent="0.25">
      <c r="A155" s="1"/>
      <c r="B155" s="10" t="s">
        <v>202</v>
      </c>
      <c r="C155" s="12">
        <v>-3537</v>
      </c>
      <c r="D155" s="12">
        <v>-9097</v>
      </c>
      <c r="E155" s="13">
        <v>0</v>
      </c>
      <c r="F155" s="6"/>
      <c r="G155" s="6"/>
      <c r="I155" s="10"/>
    </row>
    <row r="156" spans="1:9" x14ac:dyDescent="0.25">
      <c r="A156" s="1"/>
      <c r="B156" s="10" t="s">
        <v>203</v>
      </c>
      <c r="C156" s="12">
        <v>-445705</v>
      </c>
      <c r="D156" s="12">
        <v>-91517</v>
      </c>
      <c r="E156" s="12">
        <v>-5720</v>
      </c>
      <c r="F156" s="6"/>
      <c r="G156" s="6"/>
      <c r="I156" s="10"/>
    </row>
    <row r="157" spans="1:9" x14ac:dyDescent="0.25">
      <c r="A157" s="1"/>
      <c r="B157" s="10" t="s">
        <v>204</v>
      </c>
      <c r="C157" s="12">
        <v>185112</v>
      </c>
      <c r="D157" s="12">
        <v>37862</v>
      </c>
      <c r="E157" s="12">
        <v>20762</v>
      </c>
      <c r="F157" s="6"/>
      <c r="G157" s="6"/>
      <c r="I157" s="10"/>
    </row>
    <row r="158" spans="1:9" x14ac:dyDescent="0.25">
      <c r="A158" s="1"/>
      <c r="B158" s="10" t="s">
        <v>205</v>
      </c>
      <c r="C158" s="1"/>
      <c r="D158" s="1"/>
      <c r="E158" s="1"/>
      <c r="F158" s="6"/>
      <c r="G158" s="6"/>
      <c r="I158" s="10"/>
    </row>
    <row r="159" spans="1:9" x14ac:dyDescent="0.25">
      <c r="A159" s="1"/>
      <c r="B159" s="10" t="s">
        <v>198</v>
      </c>
      <c r="C159" s="12">
        <v>-270858</v>
      </c>
      <c r="D159" s="12">
        <v>-66421</v>
      </c>
      <c r="E159" s="12">
        <v>10735</v>
      </c>
      <c r="F159" s="6"/>
      <c r="G159" s="6"/>
      <c r="I159" s="10"/>
    </row>
    <row r="160" spans="1:9" x14ac:dyDescent="0.25">
      <c r="A160" s="1"/>
      <c r="B160" s="10" t="s">
        <v>206</v>
      </c>
      <c r="C160" s="1"/>
      <c r="D160" s="1"/>
      <c r="E160" s="1"/>
      <c r="F160" s="6"/>
      <c r="G160" s="6"/>
      <c r="I160" s="10"/>
    </row>
    <row r="161" spans="1:9" x14ac:dyDescent="0.25">
      <c r="A161" s="1"/>
      <c r="B161" s="10" t="s">
        <v>207</v>
      </c>
      <c r="C161" s="1"/>
      <c r="D161" s="1"/>
      <c r="E161" s="1"/>
      <c r="F161" s="6"/>
      <c r="G161" s="6"/>
      <c r="I161" s="10"/>
    </row>
    <row r="162" spans="1:9" x14ac:dyDescent="0.25">
      <c r="A162" s="1"/>
      <c r="B162" s="10" t="s">
        <v>208</v>
      </c>
      <c r="C162" s="12">
        <v>224246</v>
      </c>
      <c r="D162" s="13">
        <v>0</v>
      </c>
      <c r="E162" s="13">
        <v>0</v>
      </c>
      <c r="F162" s="6"/>
      <c r="G162" s="6"/>
      <c r="I162" s="10"/>
    </row>
    <row r="163" spans="1:9" x14ac:dyDescent="0.25">
      <c r="A163" s="1"/>
      <c r="B163" s="10" t="s">
        <v>209</v>
      </c>
      <c r="C163" s="12">
        <v>-19113</v>
      </c>
      <c r="D163" s="13">
        <v>0</v>
      </c>
      <c r="E163" s="13">
        <v>0</v>
      </c>
      <c r="F163" s="6"/>
      <c r="G163" s="6"/>
      <c r="I163" s="10"/>
    </row>
    <row r="164" spans="1:9" x14ac:dyDescent="0.25">
      <c r="A164" s="1"/>
      <c r="B164" s="10" t="s">
        <v>210</v>
      </c>
      <c r="C164" s="1"/>
      <c r="D164" s="1"/>
      <c r="E164" s="1"/>
      <c r="F164" s="6"/>
      <c r="G164" s="6"/>
      <c r="I164" s="10"/>
    </row>
    <row r="165" spans="1:9" x14ac:dyDescent="0.25">
      <c r="A165" s="1"/>
      <c r="B165" s="10" t="s">
        <v>211</v>
      </c>
      <c r="C165" s="13">
        <v>0</v>
      </c>
      <c r="D165" s="12">
        <v>134757</v>
      </c>
      <c r="E165" s="13">
        <v>0</v>
      </c>
      <c r="F165" s="6"/>
      <c r="G165" s="6"/>
      <c r="I165" s="10"/>
    </row>
    <row r="166" spans="1:9" x14ac:dyDescent="0.25">
      <c r="A166" s="1"/>
      <c r="B166" s="10" t="s">
        <v>212</v>
      </c>
      <c r="C166" s="1"/>
      <c r="D166" s="1"/>
      <c r="E166" s="1"/>
      <c r="F166" s="6"/>
      <c r="G166" s="6"/>
      <c r="I166" s="10"/>
    </row>
    <row r="167" spans="1:9" x14ac:dyDescent="0.25">
      <c r="A167" s="1"/>
      <c r="B167" s="10" t="s">
        <v>33</v>
      </c>
      <c r="C167" s="13">
        <v>0</v>
      </c>
      <c r="D167" s="13">
        <v>0</v>
      </c>
      <c r="E167" s="12">
        <v>-350</v>
      </c>
      <c r="F167" s="6"/>
      <c r="G167" s="6"/>
      <c r="I167" s="10"/>
    </row>
    <row r="168" spans="1:9" x14ac:dyDescent="0.25">
      <c r="A168" s="1"/>
      <c r="B168" s="10" t="s">
        <v>213</v>
      </c>
      <c r="C168" s="13">
        <v>0</v>
      </c>
      <c r="D168" s="12">
        <v>-2396</v>
      </c>
      <c r="E168" s="12">
        <v>-948</v>
      </c>
      <c r="F168" s="6"/>
      <c r="G168" s="6"/>
      <c r="I168" s="10"/>
    </row>
    <row r="169" spans="1:9" x14ac:dyDescent="0.25">
      <c r="A169" s="1"/>
      <c r="B169" s="10" t="s">
        <v>214</v>
      </c>
      <c r="C169" s="13">
        <v>0</v>
      </c>
      <c r="D169" s="13">
        <v>0</v>
      </c>
      <c r="E169" s="12">
        <v>-256</v>
      </c>
      <c r="F169" s="6"/>
      <c r="G169" s="6"/>
      <c r="I169" s="10"/>
    </row>
    <row r="170" spans="1:9" x14ac:dyDescent="0.25">
      <c r="A170" s="1"/>
      <c r="B170" s="10" t="s">
        <v>215</v>
      </c>
      <c r="C170" s="13">
        <v>0</v>
      </c>
      <c r="D170" s="13">
        <v>0</v>
      </c>
      <c r="E170" s="12">
        <v>2237</v>
      </c>
      <c r="F170" s="6"/>
      <c r="G170" s="6"/>
      <c r="I170" s="10"/>
    </row>
    <row r="171" spans="1:9" x14ac:dyDescent="0.25">
      <c r="A171" s="1"/>
      <c r="B171" s="10" t="s">
        <v>216</v>
      </c>
      <c r="C171" s="12">
        <v>-250</v>
      </c>
      <c r="D171" s="13">
        <v>0</v>
      </c>
      <c r="E171" s="13">
        <v>0</v>
      </c>
      <c r="F171" s="6"/>
      <c r="G171" s="6"/>
      <c r="I171" s="10"/>
    </row>
    <row r="172" spans="1:9" x14ac:dyDescent="0.25">
      <c r="A172" s="1"/>
      <c r="B172" s="10" t="s">
        <v>217</v>
      </c>
      <c r="C172" s="12">
        <v>-327</v>
      </c>
      <c r="D172" s="12">
        <v>-328</v>
      </c>
      <c r="E172" s="12">
        <v>-274</v>
      </c>
      <c r="F172" s="6"/>
      <c r="G172" s="6"/>
      <c r="I172" s="10"/>
    </row>
    <row r="173" spans="1:9" x14ac:dyDescent="0.25">
      <c r="A173" s="1"/>
      <c r="B173" s="10" t="s">
        <v>218</v>
      </c>
      <c r="C173" s="12">
        <v>14154</v>
      </c>
      <c r="D173" s="12">
        <v>4342</v>
      </c>
      <c r="E173" s="12">
        <v>413</v>
      </c>
      <c r="F173" s="6"/>
      <c r="G173" s="6"/>
      <c r="I173" s="10"/>
    </row>
    <row r="174" spans="1:9" x14ac:dyDescent="0.25">
      <c r="A174" s="1"/>
      <c r="B174" s="10" t="s">
        <v>219</v>
      </c>
      <c r="C174" s="1"/>
      <c r="D174" s="1"/>
      <c r="E174" s="1"/>
      <c r="F174" s="6"/>
      <c r="G174" s="6"/>
      <c r="I174" s="10"/>
    </row>
    <row r="175" spans="1:9" x14ac:dyDescent="0.25">
      <c r="A175" s="1"/>
      <c r="B175" s="10" t="s">
        <v>220</v>
      </c>
      <c r="C175" s="12">
        <v>-2730</v>
      </c>
      <c r="D175" s="12">
        <v>-674</v>
      </c>
      <c r="E175" s="13">
        <v>0</v>
      </c>
      <c r="F175" s="6"/>
      <c r="G175" s="6"/>
      <c r="I175" s="10"/>
    </row>
    <row r="176" spans="1:9" x14ac:dyDescent="0.25">
      <c r="B176" s="10" t="s">
        <v>221</v>
      </c>
      <c r="C176" s="12">
        <v>215980</v>
      </c>
      <c r="D176" s="12">
        <v>135701</v>
      </c>
      <c r="E176" s="12">
        <v>822</v>
      </c>
    </row>
    <row r="177" spans="2:5" x14ac:dyDescent="0.25">
      <c r="B177" s="10" t="s">
        <v>222</v>
      </c>
      <c r="C177" s="1"/>
      <c r="D177" s="1"/>
      <c r="E177" s="1"/>
    </row>
    <row r="178" spans="2:5" x14ac:dyDescent="0.25">
      <c r="B178" s="10" t="s">
        <v>223</v>
      </c>
      <c r="C178" s="12">
        <v>-166</v>
      </c>
      <c r="D178" s="12">
        <v>25</v>
      </c>
      <c r="E178" s="13">
        <v>0</v>
      </c>
    </row>
    <row r="179" spans="2:5" x14ac:dyDescent="0.25">
      <c r="B179" s="10" t="s">
        <v>224</v>
      </c>
      <c r="C179" s="1"/>
      <c r="D179" s="1"/>
      <c r="E179" s="1"/>
    </row>
    <row r="180" spans="2:5" x14ac:dyDescent="0.25">
      <c r="B180" s="10" t="s">
        <v>223</v>
      </c>
      <c r="C180" s="12">
        <v>-28955</v>
      </c>
      <c r="D180" s="12">
        <v>88410</v>
      </c>
      <c r="E180" s="12">
        <v>5527</v>
      </c>
    </row>
    <row r="181" spans="2:5" x14ac:dyDescent="0.25">
      <c r="B181" s="10" t="s">
        <v>225</v>
      </c>
      <c r="C181" s="1"/>
      <c r="D181" s="1"/>
      <c r="E181" s="1"/>
    </row>
    <row r="182" spans="2:5" x14ac:dyDescent="0.25">
      <c r="B182" s="10" t="s">
        <v>226</v>
      </c>
      <c r="C182" s="11">
        <v>119916</v>
      </c>
      <c r="D182" s="11">
        <v>31506</v>
      </c>
      <c r="E182" s="11">
        <v>25979</v>
      </c>
    </row>
    <row r="183" spans="2:5" x14ac:dyDescent="0.25">
      <c r="B183" s="10" t="s">
        <v>227</v>
      </c>
      <c r="C183" s="1"/>
      <c r="D183" s="1"/>
      <c r="E183" s="1"/>
    </row>
    <row r="184" spans="2:5" x14ac:dyDescent="0.25">
      <c r="B184" s="10" t="s">
        <v>228</v>
      </c>
      <c r="C184" s="11">
        <v>90961</v>
      </c>
      <c r="D184" s="11">
        <v>119916</v>
      </c>
      <c r="E184" s="11">
        <v>31506</v>
      </c>
    </row>
    <row r="208" spans="2:11" x14ac:dyDescent="0.25">
      <c r="B208" s="7" t="s">
        <v>16</v>
      </c>
      <c r="C208" s="7"/>
      <c r="D208" s="7"/>
      <c r="E208" s="7"/>
      <c r="F208" s="7"/>
      <c r="G208" s="7"/>
      <c r="H208" s="7"/>
      <c r="I208" s="7"/>
      <c r="J208" s="7"/>
      <c r="K208" s="7"/>
    </row>
    <row r="209" spans="2:11" x14ac:dyDescent="0.25">
      <c r="B209" s="2" t="s">
        <v>0</v>
      </c>
      <c r="C209" s="2" t="s">
        <v>0</v>
      </c>
      <c r="D209" s="123" t="s">
        <v>1</v>
      </c>
      <c r="E209" s="124" t="s">
        <v>0</v>
      </c>
      <c r="F209" s="124" t="s">
        <v>0</v>
      </c>
      <c r="G209" s="1"/>
    </row>
    <row r="210" spans="2:11" x14ac:dyDescent="0.25">
      <c r="B210" s="2" t="s">
        <v>0</v>
      </c>
      <c r="C210" s="2">
        <v>2018</v>
      </c>
      <c r="D210" s="2">
        <v>2017</v>
      </c>
      <c r="E210" s="2">
        <v>2016</v>
      </c>
      <c r="F210" s="2">
        <v>2015</v>
      </c>
      <c r="G210" s="2">
        <v>2014</v>
      </c>
    </row>
    <row r="211" spans="2:11" x14ac:dyDescent="0.25">
      <c r="B211" s="2" t="s">
        <v>0</v>
      </c>
      <c r="C211" s="2" t="s">
        <v>0</v>
      </c>
      <c r="D211" s="2" t="s">
        <v>0</v>
      </c>
      <c r="E211" s="2" t="s">
        <v>2</v>
      </c>
      <c r="F211" s="1"/>
      <c r="G211" s="1"/>
    </row>
    <row r="212" spans="2:11" x14ac:dyDescent="0.25">
      <c r="B212" s="2" t="s">
        <v>11</v>
      </c>
      <c r="C212" s="3">
        <v>797</v>
      </c>
      <c r="D212" s="3">
        <v>485</v>
      </c>
      <c r="E212" s="3">
        <v>106</v>
      </c>
      <c r="F212" s="3">
        <v>34</v>
      </c>
      <c r="G212" s="3">
        <v>34</v>
      </c>
    </row>
    <row r="213" spans="2:11" x14ac:dyDescent="0.25">
      <c r="B213" s="2" t="s">
        <v>12</v>
      </c>
      <c r="C213" s="4">
        <v>3699</v>
      </c>
      <c r="D213" s="4">
        <v>1635</v>
      </c>
      <c r="E213" s="4">
        <v>338</v>
      </c>
      <c r="F213" s="4">
        <v>239</v>
      </c>
      <c r="G213" s="4">
        <v>1081</v>
      </c>
    </row>
    <row r="214" spans="2:11" x14ac:dyDescent="0.25">
      <c r="B214" s="2" t="s">
        <v>13</v>
      </c>
      <c r="C214" s="4">
        <v>6153</v>
      </c>
      <c r="D214" s="4">
        <v>2302</v>
      </c>
      <c r="E214" s="4">
        <v>1281</v>
      </c>
      <c r="F214" s="4">
        <v>800</v>
      </c>
      <c r="G214" s="4">
        <v>183</v>
      </c>
    </row>
    <row r="215" spans="2:11" x14ac:dyDescent="0.25">
      <c r="B215" s="2" t="s">
        <v>14</v>
      </c>
      <c r="C215" s="4">
        <v>5998</v>
      </c>
      <c r="D215" s="4">
        <v>4519</v>
      </c>
      <c r="E215" s="4">
        <v>1559</v>
      </c>
      <c r="F215" s="4">
        <v>409</v>
      </c>
      <c r="G215" s="4">
        <v>9379</v>
      </c>
    </row>
    <row r="216" spans="2:11" x14ac:dyDescent="0.25">
      <c r="B216" s="2" t="s">
        <v>15</v>
      </c>
      <c r="C216" s="3">
        <v>16647</v>
      </c>
      <c r="D216" s="3">
        <v>8941</v>
      </c>
      <c r="E216" s="3">
        <v>3284</v>
      </c>
      <c r="F216" s="3">
        <v>1482</v>
      </c>
      <c r="G216" s="3">
        <v>10677</v>
      </c>
    </row>
    <row r="217" spans="2:11" x14ac:dyDescent="0.25">
      <c r="B217" s="2"/>
      <c r="C217" s="3"/>
      <c r="D217" s="3"/>
      <c r="E217" s="3"/>
      <c r="F217" s="3"/>
      <c r="G217" s="3"/>
    </row>
    <row r="218" spans="2:11" x14ac:dyDescent="0.25">
      <c r="B218" s="2"/>
      <c r="C218" s="3"/>
      <c r="D218" s="3"/>
      <c r="E218" s="3"/>
      <c r="F218" s="3"/>
      <c r="G218" s="3"/>
    </row>
    <row r="219" spans="2:11" x14ac:dyDescent="0.25">
      <c r="B219" s="7" t="s">
        <v>17</v>
      </c>
      <c r="C219" s="8"/>
      <c r="D219" s="8"/>
      <c r="E219" s="8"/>
      <c r="F219" s="8"/>
      <c r="G219" s="8"/>
      <c r="H219" s="7"/>
      <c r="I219" s="7"/>
      <c r="J219" s="7"/>
      <c r="K219" s="7"/>
    </row>
    <row r="220" spans="2:11" x14ac:dyDescent="0.25">
      <c r="B220" s="2" t="s">
        <v>0</v>
      </c>
      <c r="C220" s="2" t="s">
        <v>0</v>
      </c>
      <c r="D220" s="123" t="s">
        <v>1</v>
      </c>
      <c r="E220" s="124" t="s">
        <v>0</v>
      </c>
      <c r="F220" s="1"/>
      <c r="G220" s="1"/>
    </row>
    <row r="221" spans="2:11" x14ac:dyDescent="0.25">
      <c r="B221" s="2" t="s">
        <v>0</v>
      </c>
      <c r="C221" s="2">
        <v>2018</v>
      </c>
      <c r="D221" s="2">
        <v>2017</v>
      </c>
      <c r="E221" s="2">
        <v>2016</v>
      </c>
      <c r="F221" s="2">
        <v>2015</v>
      </c>
      <c r="G221" s="2">
        <v>2014</v>
      </c>
    </row>
    <row r="222" spans="2:11" x14ac:dyDescent="0.25">
      <c r="B222" s="2" t="s">
        <v>0</v>
      </c>
      <c r="C222" s="2" t="s">
        <v>0</v>
      </c>
      <c r="D222" s="2" t="s">
        <v>2</v>
      </c>
      <c r="E222" s="1"/>
      <c r="F222" s="1"/>
      <c r="G222" s="1"/>
    </row>
    <row r="223" spans="2:11" x14ac:dyDescent="0.25">
      <c r="B223" s="2" t="s">
        <v>11</v>
      </c>
      <c r="C223" s="3">
        <v>1809</v>
      </c>
      <c r="D223" s="3">
        <v>1213</v>
      </c>
      <c r="E223" s="6">
        <v>0</v>
      </c>
      <c r="F223" s="6">
        <v>0</v>
      </c>
      <c r="G223" s="6">
        <v>0</v>
      </c>
    </row>
    <row r="224" spans="2:11" x14ac:dyDescent="0.25">
      <c r="B224" s="2" t="s">
        <v>13</v>
      </c>
      <c r="C224" s="4">
        <v>220</v>
      </c>
      <c r="D224" s="4">
        <v>12</v>
      </c>
      <c r="E224" s="5">
        <v>0</v>
      </c>
      <c r="F224" s="5">
        <v>0</v>
      </c>
      <c r="G224" s="5">
        <v>0</v>
      </c>
    </row>
    <row r="225" spans="2:11" x14ac:dyDescent="0.25">
      <c r="B225" s="2" t="s">
        <v>15</v>
      </c>
      <c r="C225" s="3">
        <v>2029</v>
      </c>
      <c r="D225" s="3">
        <v>1225</v>
      </c>
      <c r="E225" s="6">
        <v>0</v>
      </c>
      <c r="F225" s="6">
        <v>0</v>
      </c>
      <c r="G225" s="6">
        <v>0</v>
      </c>
    </row>
    <row r="226" spans="2:11" x14ac:dyDescent="0.25">
      <c r="B226" s="1"/>
      <c r="C226" s="1"/>
      <c r="D226" s="1"/>
      <c r="E226" s="1"/>
      <c r="F226" s="1"/>
      <c r="G226" s="1"/>
    </row>
    <row r="238" spans="2:11" x14ac:dyDescent="0.25">
      <c r="B238" s="7" t="s">
        <v>24</v>
      </c>
      <c r="C238" s="8"/>
      <c r="D238" s="8"/>
      <c r="E238" s="8"/>
      <c r="F238" s="8"/>
      <c r="G238" s="8"/>
      <c r="H238" s="7"/>
      <c r="I238" s="7"/>
      <c r="J238" s="7"/>
      <c r="K238" s="7"/>
    </row>
    <row r="239" spans="2:11" x14ac:dyDescent="0.25">
      <c r="B239" s="2" t="s">
        <v>0</v>
      </c>
      <c r="C239" s="2" t="s">
        <v>0</v>
      </c>
      <c r="D239" s="2" t="s">
        <v>0</v>
      </c>
      <c r="E239" s="2" t="s">
        <v>0</v>
      </c>
      <c r="F239" s="2" t="s">
        <v>18</v>
      </c>
      <c r="G239" s="1"/>
      <c r="H239" s="1"/>
      <c r="I239" s="1"/>
      <c r="J239" s="1"/>
    </row>
    <row r="240" spans="2:11" x14ac:dyDescent="0.25">
      <c r="B240" s="2" t="s">
        <v>0</v>
      </c>
      <c r="C240" s="2" t="s">
        <v>19</v>
      </c>
      <c r="D240" s="2" t="s">
        <v>20</v>
      </c>
      <c r="E240" s="2" t="s">
        <v>21</v>
      </c>
      <c r="F240" s="2" t="s">
        <v>22</v>
      </c>
      <c r="G240" s="2" t="s">
        <v>19</v>
      </c>
      <c r="H240" s="2" t="s">
        <v>20</v>
      </c>
      <c r="I240" s="2" t="s">
        <v>21</v>
      </c>
      <c r="J240" s="2" t="s">
        <v>22</v>
      </c>
    </row>
    <row r="241" spans="2:10" x14ac:dyDescent="0.25">
      <c r="B241" s="2" t="s">
        <v>0</v>
      </c>
      <c r="C241" s="2">
        <v>2017</v>
      </c>
      <c r="D241" s="2">
        <v>2017</v>
      </c>
      <c r="E241" s="2">
        <v>2017</v>
      </c>
      <c r="F241" s="2">
        <v>2017</v>
      </c>
      <c r="G241" s="2">
        <v>2018</v>
      </c>
      <c r="H241" s="2">
        <v>2018</v>
      </c>
      <c r="I241" s="2">
        <v>2018</v>
      </c>
      <c r="J241" s="2">
        <v>2018</v>
      </c>
    </row>
    <row r="242" spans="2:10" x14ac:dyDescent="0.25">
      <c r="B242" s="2" t="s">
        <v>23</v>
      </c>
      <c r="C242" s="4">
        <v>2565</v>
      </c>
      <c r="D242" s="4">
        <v>2823</v>
      </c>
      <c r="E242" s="4">
        <v>3054</v>
      </c>
      <c r="F242" s="4">
        <v>3392</v>
      </c>
      <c r="G242" s="4">
        <v>3673</v>
      </c>
      <c r="H242" s="4">
        <v>3940</v>
      </c>
      <c r="I242" s="4">
        <v>4315</v>
      </c>
      <c r="J242" s="4">
        <v>4696</v>
      </c>
    </row>
    <row r="243" spans="2:10" x14ac:dyDescent="0.25">
      <c r="B243" s="1"/>
      <c r="C243" s="1"/>
      <c r="D243" s="1"/>
      <c r="E243" s="1"/>
      <c r="F243" s="1"/>
      <c r="G243" s="1"/>
      <c r="H243" s="1"/>
      <c r="I243" s="1"/>
      <c r="J243" s="1"/>
    </row>
    <row r="244" spans="2:10" x14ac:dyDescent="0.25">
      <c r="B244" s="1"/>
      <c r="C244" s="1"/>
      <c r="D244" s="1"/>
      <c r="E244" s="1"/>
      <c r="F244" s="1"/>
      <c r="G244" s="1"/>
      <c r="H244" s="1"/>
      <c r="I244" s="1"/>
      <c r="J244" s="1"/>
    </row>
    <row r="245" spans="2:10" x14ac:dyDescent="0.25">
      <c r="B245" s="9"/>
    </row>
    <row r="297" spans="2:13" x14ac:dyDescent="0.25">
      <c r="B297" s="120"/>
      <c r="C297" s="121"/>
      <c r="D297" s="121"/>
      <c r="E297" s="121"/>
      <c r="F297" s="1"/>
      <c r="G297" s="1"/>
      <c r="H297" s="1"/>
      <c r="I297" s="1"/>
      <c r="J297" s="1"/>
      <c r="K297" s="1"/>
      <c r="L297" s="1"/>
      <c r="M297" s="1"/>
    </row>
    <row r="298" spans="2:13" x14ac:dyDescent="0.25">
      <c r="B298" s="120"/>
      <c r="C298" s="121"/>
      <c r="D298" s="121"/>
      <c r="E298" s="121"/>
      <c r="F298" s="1"/>
      <c r="G298" s="1"/>
      <c r="H298" s="1"/>
      <c r="I298" s="1"/>
      <c r="J298" s="1"/>
      <c r="K298" s="1"/>
      <c r="L298" s="1"/>
      <c r="M298" s="1"/>
    </row>
    <row r="299" spans="2:13" x14ac:dyDescent="0.25">
      <c r="B299" s="120"/>
      <c r="C299" s="121"/>
      <c r="D299" s="121"/>
      <c r="E299" s="121"/>
      <c r="F299" s="1"/>
      <c r="G299" s="1"/>
      <c r="H299" s="1"/>
      <c r="I299" s="1"/>
      <c r="J299" s="1"/>
      <c r="K299" s="1"/>
      <c r="L299" s="1"/>
      <c r="M299" s="1"/>
    </row>
    <row r="300" spans="2:13" x14ac:dyDescent="0.25">
      <c r="B300" s="120"/>
      <c r="C300" s="121"/>
      <c r="D300" s="121"/>
      <c r="E300" s="121"/>
      <c r="F300" s="1"/>
      <c r="G300" s="1"/>
      <c r="H300" s="1"/>
      <c r="I300" s="1"/>
      <c r="J300" s="1"/>
      <c r="K300" s="1"/>
      <c r="L300" s="1"/>
      <c r="M300" s="1"/>
    </row>
    <row r="301" spans="2:13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"/>
      <c r="L302" s="1"/>
      <c r="M302" s="1"/>
    </row>
    <row r="303" spans="2:13" x14ac:dyDescent="0.25">
      <c r="B303" s="10"/>
      <c r="C303" s="120"/>
      <c r="D303" s="121"/>
      <c r="E303" s="10"/>
      <c r="F303" s="10"/>
      <c r="G303" s="10"/>
      <c r="H303" s="10"/>
      <c r="I303" s="10"/>
      <c r="J303" s="10"/>
      <c r="K303" s="1"/>
      <c r="L303" s="1"/>
      <c r="M303" s="1"/>
    </row>
    <row r="304" spans="2:13" x14ac:dyDescent="0.25">
      <c r="B304" s="10"/>
      <c r="C304" s="120"/>
      <c r="D304" s="121"/>
      <c r="E304" s="10"/>
      <c r="F304" s="10"/>
      <c r="G304" s="10"/>
      <c r="H304" s="10"/>
      <c r="I304" s="10"/>
      <c r="J304" s="10"/>
      <c r="K304" s="1"/>
      <c r="L304" s="1"/>
      <c r="M304" s="1"/>
    </row>
    <row r="305" spans="2:13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"/>
      <c r="M305" s="1"/>
    </row>
    <row r="306" spans="2:13" x14ac:dyDescent="0.25">
      <c r="B306" s="1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x14ac:dyDescent="0.25">
      <c r="B307" s="10"/>
      <c r="C307" s="12"/>
      <c r="D307" s="11"/>
      <c r="E307" s="12"/>
      <c r="F307" s="10"/>
      <c r="G307" s="11"/>
      <c r="H307" s="11"/>
      <c r="I307" s="11"/>
      <c r="J307" s="11"/>
      <c r="K307" s="11"/>
      <c r="L307" s="1"/>
      <c r="M307" s="1"/>
    </row>
    <row r="308" spans="2:13" x14ac:dyDescent="0.25">
      <c r="B308" s="10"/>
      <c r="C308" s="13"/>
      <c r="D308" s="13"/>
      <c r="E308" s="12"/>
      <c r="F308" s="13"/>
      <c r="G308" s="12"/>
      <c r="H308" s="13"/>
      <c r="I308" s="13"/>
      <c r="J308" s="13"/>
      <c r="K308" s="12"/>
      <c r="L308" s="1"/>
      <c r="M308" s="1"/>
    </row>
    <row r="309" spans="2:13" x14ac:dyDescent="0.25">
      <c r="B309" s="1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x14ac:dyDescent="0.25">
      <c r="B310" s="10"/>
      <c r="C310" s="13"/>
      <c r="D310" s="13"/>
      <c r="E310" s="12"/>
      <c r="F310" s="13"/>
      <c r="G310" s="12"/>
      <c r="H310" s="13"/>
      <c r="I310" s="13"/>
      <c r="J310" s="13"/>
      <c r="K310" s="12"/>
      <c r="L310" s="1"/>
      <c r="M310" s="1"/>
    </row>
    <row r="311" spans="2:13" x14ac:dyDescent="0.25">
      <c r="B311" s="1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x14ac:dyDescent="0.25">
      <c r="B312" s="1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x14ac:dyDescent="0.25">
      <c r="B313" s="1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x14ac:dyDescent="0.25">
      <c r="B314" s="1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x14ac:dyDescent="0.25">
      <c r="B315" s="10"/>
      <c r="C315" s="13"/>
      <c r="D315" s="12"/>
      <c r="E315" s="13"/>
      <c r="F315" s="13"/>
      <c r="G315" s="12"/>
      <c r="H315" s="13"/>
      <c r="I315" s="13"/>
      <c r="J315" s="13"/>
      <c r="K315" s="12"/>
      <c r="L315" s="1"/>
      <c r="M315" s="1"/>
    </row>
    <row r="316" spans="2:13" x14ac:dyDescent="0.25">
      <c r="B316" s="10"/>
      <c r="C316" s="13"/>
      <c r="D316" s="13"/>
      <c r="E316" s="12"/>
      <c r="F316" s="13"/>
      <c r="G316" s="12"/>
      <c r="H316" s="13"/>
      <c r="I316" s="13"/>
      <c r="J316" s="13"/>
      <c r="K316" s="12"/>
      <c r="L316" s="1"/>
      <c r="M316" s="1"/>
    </row>
    <row r="317" spans="2:13" x14ac:dyDescent="0.25">
      <c r="B317" s="10"/>
      <c r="C317" s="13"/>
      <c r="D317" s="13"/>
      <c r="E317" s="13"/>
      <c r="F317" s="13"/>
      <c r="G317" s="12"/>
      <c r="H317" s="13"/>
      <c r="I317" s="13"/>
      <c r="J317" s="13"/>
      <c r="K317" s="12"/>
      <c r="L317" s="1"/>
      <c r="M317" s="1"/>
    </row>
    <row r="318" spans="2:13" x14ac:dyDescent="0.25">
      <c r="B318" s="1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x14ac:dyDescent="0.25">
      <c r="B319" s="10"/>
      <c r="C319" s="13"/>
      <c r="D319" s="13"/>
      <c r="E319" s="13"/>
      <c r="F319" s="13"/>
      <c r="G319" s="12"/>
      <c r="H319" s="13"/>
      <c r="I319" s="13"/>
      <c r="J319" s="13"/>
      <c r="K319" s="12"/>
      <c r="L319" s="1"/>
      <c r="M319" s="1"/>
    </row>
    <row r="320" spans="2:13" x14ac:dyDescent="0.25">
      <c r="B320" s="1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x14ac:dyDescent="0.25">
      <c r="B321" s="10"/>
      <c r="C321" s="13"/>
      <c r="D321" s="13"/>
      <c r="E321" s="13"/>
      <c r="F321" s="13"/>
      <c r="G321" s="13"/>
      <c r="H321" s="12"/>
      <c r="I321" s="13"/>
      <c r="J321" s="13"/>
      <c r="K321" s="12"/>
      <c r="L321" s="1"/>
      <c r="M321" s="1"/>
    </row>
    <row r="322" spans="2:13" x14ac:dyDescent="0.25">
      <c r="B322" s="1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x14ac:dyDescent="0.25">
      <c r="B323" s="10"/>
      <c r="C323" s="13"/>
      <c r="D323" s="13"/>
      <c r="E323" s="13"/>
      <c r="F323" s="13"/>
      <c r="G323" s="13"/>
      <c r="H323" s="13"/>
      <c r="I323" s="13"/>
      <c r="J323" s="12"/>
      <c r="K323" s="12"/>
      <c r="L323" s="1"/>
      <c r="M323" s="1"/>
    </row>
    <row r="324" spans="2:13" x14ac:dyDescent="0.25">
      <c r="B324" s="10"/>
      <c r="C324" s="13"/>
      <c r="D324" s="13"/>
      <c r="E324" s="13"/>
      <c r="F324" s="13"/>
      <c r="G324" s="13"/>
      <c r="H324" s="13"/>
      <c r="I324" s="12"/>
      <c r="J324" s="13"/>
      <c r="K324" s="12"/>
      <c r="L324" s="1"/>
      <c r="M324" s="1"/>
    </row>
    <row r="325" spans="2:13" x14ac:dyDescent="0.25">
      <c r="B325" s="1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x14ac:dyDescent="0.25">
      <c r="B326" s="10"/>
      <c r="C326" s="12"/>
      <c r="D326" s="12"/>
      <c r="E326" s="12"/>
      <c r="F326" s="12"/>
      <c r="G326" s="12"/>
      <c r="H326" s="13"/>
      <c r="I326" s="12"/>
      <c r="J326" s="12"/>
      <c r="K326" s="12"/>
      <c r="L326" s="1"/>
      <c r="M326" s="1"/>
    </row>
    <row r="327" spans="2:13" x14ac:dyDescent="0.25">
      <c r="B327" s="1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x14ac:dyDescent="0.25">
      <c r="B328" s="1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x14ac:dyDescent="0.25">
      <c r="B329" s="1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x14ac:dyDescent="0.25">
      <c r="B330" s="10"/>
      <c r="C330" s="13"/>
      <c r="D330" s="13"/>
      <c r="E330" s="12"/>
      <c r="F330" s="12"/>
      <c r="G330" s="12"/>
      <c r="H330" s="13"/>
      <c r="I330" s="13"/>
      <c r="J330" s="13"/>
      <c r="K330" s="12"/>
      <c r="L330" s="1"/>
      <c r="M330" s="1"/>
    </row>
    <row r="331" spans="2:13" x14ac:dyDescent="0.25">
      <c r="B331" s="1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x14ac:dyDescent="0.25">
      <c r="B332" s="1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x14ac:dyDescent="0.25">
      <c r="B333" s="1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x14ac:dyDescent="0.25">
      <c r="B334" s="1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x14ac:dyDescent="0.25">
      <c r="B335" s="10"/>
      <c r="C335" s="13"/>
      <c r="D335" s="12"/>
      <c r="E335" s="13"/>
      <c r="F335" s="13"/>
      <c r="G335" s="12"/>
      <c r="H335" s="13"/>
      <c r="I335" s="13"/>
      <c r="J335" s="13"/>
      <c r="K335" s="12"/>
      <c r="L335" s="1"/>
      <c r="M335" s="1"/>
    </row>
    <row r="336" spans="2:13" x14ac:dyDescent="0.25">
      <c r="B336" s="1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x14ac:dyDescent="0.25">
      <c r="B337" s="1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x14ac:dyDescent="0.25">
      <c r="B338" s="10"/>
      <c r="C338" s="12"/>
      <c r="D338" s="12"/>
      <c r="E338" s="12"/>
      <c r="F338" s="12"/>
      <c r="G338" s="12"/>
      <c r="H338" s="13"/>
      <c r="I338" s="13"/>
      <c r="J338" s="13"/>
      <c r="K338" s="12"/>
      <c r="L338" s="1"/>
      <c r="M338" s="1"/>
    </row>
    <row r="339" spans="2:13" x14ac:dyDescent="0.25">
      <c r="B339" s="1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x14ac:dyDescent="0.25">
      <c r="B340" s="1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x14ac:dyDescent="0.25">
      <c r="B341" s="10"/>
      <c r="C341" s="13"/>
      <c r="D341" s="13"/>
      <c r="E341" s="12"/>
      <c r="F341" s="13"/>
      <c r="G341" s="12"/>
      <c r="H341" s="13"/>
      <c r="I341" s="13"/>
      <c r="J341" s="13"/>
      <c r="K341" s="12"/>
      <c r="L341" s="1"/>
      <c r="M341" s="1"/>
    </row>
    <row r="342" spans="2:13" x14ac:dyDescent="0.25">
      <c r="B342" s="1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x14ac:dyDescent="0.25">
      <c r="B343" s="10"/>
      <c r="C343" s="13"/>
      <c r="D343" s="13"/>
      <c r="E343" s="12"/>
      <c r="F343" s="13"/>
      <c r="G343" s="12"/>
      <c r="H343" s="13"/>
      <c r="I343" s="13"/>
      <c r="J343" s="13"/>
      <c r="K343" s="12"/>
      <c r="L343" s="1"/>
      <c r="M343" s="1"/>
    </row>
    <row r="344" spans="2:13" x14ac:dyDescent="0.25">
      <c r="B344" s="10"/>
      <c r="C344" s="13"/>
      <c r="D344" s="13"/>
      <c r="E344" s="13"/>
      <c r="F344" s="13"/>
      <c r="G344" s="12"/>
      <c r="H344" s="13"/>
      <c r="I344" s="13"/>
      <c r="J344" s="13"/>
      <c r="K344" s="12"/>
      <c r="L344" s="1"/>
      <c r="M344" s="1"/>
    </row>
    <row r="345" spans="2:13" x14ac:dyDescent="0.25">
      <c r="B345" s="1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x14ac:dyDescent="0.25">
      <c r="B346" s="10"/>
      <c r="C346" s="13"/>
      <c r="D346" s="13"/>
      <c r="E346" s="12"/>
      <c r="F346" s="13"/>
      <c r="G346" s="12"/>
      <c r="H346" s="13"/>
      <c r="I346" s="13"/>
      <c r="J346" s="13"/>
      <c r="K346" s="12"/>
      <c r="L346" s="1"/>
      <c r="M346" s="1"/>
    </row>
    <row r="347" spans="2:13" x14ac:dyDescent="0.25">
      <c r="B347" s="1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x14ac:dyDescent="0.25">
      <c r="B348" s="10"/>
      <c r="C348" s="13"/>
      <c r="D348" s="13"/>
      <c r="E348" s="13"/>
      <c r="F348" s="13"/>
      <c r="G348" s="12"/>
      <c r="H348" s="13"/>
      <c r="I348" s="13"/>
      <c r="J348" s="13"/>
      <c r="K348" s="12"/>
      <c r="L348" s="1"/>
      <c r="M348" s="1"/>
    </row>
    <row r="349" spans="2:13" x14ac:dyDescent="0.25">
      <c r="B349" s="1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x14ac:dyDescent="0.25">
      <c r="B350" s="10"/>
      <c r="C350" s="13"/>
      <c r="D350" s="13"/>
      <c r="E350" s="13"/>
      <c r="F350" s="13"/>
      <c r="G350" s="13"/>
      <c r="H350" s="13"/>
      <c r="I350" s="13"/>
      <c r="J350" s="12"/>
      <c r="K350" s="12"/>
      <c r="L350" s="1"/>
      <c r="M350" s="1"/>
    </row>
    <row r="351" spans="2:13" x14ac:dyDescent="0.25">
      <c r="B351" s="1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x14ac:dyDescent="0.25">
      <c r="B352" s="10"/>
      <c r="C352" s="13"/>
      <c r="D352" s="13"/>
      <c r="E352" s="13"/>
      <c r="F352" s="13"/>
      <c r="G352" s="13"/>
      <c r="H352" s="13"/>
      <c r="I352" s="13"/>
      <c r="J352" s="12"/>
      <c r="K352" s="12"/>
      <c r="L352" s="1"/>
      <c r="M352" s="1"/>
    </row>
    <row r="353" spans="2:13" x14ac:dyDescent="0.25">
      <c r="B353" s="10"/>
      <c r="C353" s="13"/>
      <c r="D353" s="13"/>
      <c r="E353" s="13"/>
      <c r="F353" s="13"/>
      <c r="G353" s="13"/>
      <c r="H353" s="13"/>
      <c r="I353" s="12"/>
      <c r="J353" s="13"/>
      <c r="K353" s="12"/>
      <c r="L353" s="1"/>
      <c r="M353" s="1"/>
    </row>
    <row r="354" spans="2:13" x14ac:dyDescent="0.25">
      <c r="B354" s="1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x14ac:dyDescent="0.25">
      <c r="B355" s="10"/>
      <c r="C355" s="13"/>
      <c r="D355" s="13"/>
      <c r="E355" s="12"/>
      <c r="F355" s="12"/>
      <c r="G355" s="12"/>
      <c r="H355" s="13"/>
      <c r="I355" s="12"/>
      <c r="J355" s="12"/>
      <c r="K355" s="12"/>
      <c r="L355" s="1"/>
      <c r="M355" s="1"/>
    </row>
    <row r="356" spans="2:13" x14ac:dyDescent="0.25">
      <c r="B356" s="1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x14ac:dyDescent="0.25">
      <c r="B357" s="1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x14ac:dyDescent="0.25">
      <c r="B358" s="10"/>
      <c r="C358" s="13"/>
      <c r="D358" s="13"/>
      <c r="E358" s="13"/>
      <c r="F358" s="13"/>
      <c r="G358" s="13"/>
      <c r="H358" s="13"/>
      <c r="I358" s="12"/>
      <c r="J358" s="13"/>
      <c r="K358" s="12"/>
      <c r="L358" s="1"/>
      <c r="M358" s="1"/>
    </row>
    <row r="359" spans="2:13" x14ac:dyDescent="0.25">
      <c r="B359" s="1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x14ac:dyDescent="0.25">
      <c r="B360" s="1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x14ac:dyDescent="0.25">
      <c r="B361" s="10"/>
      <c r="C361" s="13"/>
      <c r="D361" s="13"/>
      <c r="E361" s="13"/>
      <c r="F361" s="13"/>
      <c r="G361" s="12"/>
      <c r="H361" s="13"/>
      <c r="I361" s="12"/>
      <c r="J361" s="13"/>
      <c r="K361" s="12"/>
      <c r="L361" s="1"/>
      <c r="M361" s="1"/>
    </row>
    <row r="362" spans="2:13" x14ac:dyDescent="0.25">
      <c r="B362" s="1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x14ac:dyDescent="0.25">
      <c r="B363" s="10"/>
      <c r="C363" s="13"/>
      <c r="D363" s="13"/>
      <c r="E363" s="12"/>
      <c r="F363" s="12"/>
      <c r="G363" s="12"/>
      <c r="H363" s="13"/>
      <c r="I363" s="13"/>
      <c r="J363" s="13"/>
      <c r="K363" s="12"/>
      <c r="L363" s="1"/>
      <c r="M363" s="1"/>
    </row>
    <row r="364" spans="2:13" x14ac:dyDescent="0.25">
      <c r="B364" s="10"/>
      <c r="C364" s="13"/>
      <c r="D364" s="13"/>
      <c r="E364" s="13"/>
      <c r="F364" s="13"/>
      <c r="G364" s="12"/>
      <c r="H364" s="13"/>
      <c r="I364" s="13"/>
      <c r="J364" s="13"/>
      <c r="K364" s="12"/>
      <c r="L364" s="1"/>
      <c r="M364" s="1"/>
    </row>
    <row r="365" spans="2:13" x14ac:dyDescent="0.25">
      <c r="B365" s="1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x14ac:dyDescent="0.25">
      <c r="B366" s="10"/>
      <c r="C366" s="13"/>
      <c r="D366" s="13"/>
      <c r="E366" s="12"/>
      <c r="F366" s="13"/>
      <c r="G366" s="12"/>
      <c r="H366" s="13"/>
      <c r="I366" s="13"/>
      <c r="J366" s="13"/>
      <c r="K366" s="12"/>
      <c r="L366" s="1"/>
      <c r="M366" s="1"/>
    </row>
    <row r="367" spans="2:13" x14ac:dyDescent="0.25">
      <c r="B367" s="1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x14ac:dyDescent="0.25">
      <c r="B368" s="10"/>
      <c r="C368" s="13"/>
      <c r="D368" s="13"/>
      <c r="E368" s="13"/>
      <c r="F368" s="13"/>
      <c r="G368" s="13"/>
      <c r="H368" s="13"/>
      <c r="I368" s="13"/>
      <c r="J368" s="12"/>
      <c r="K368" s="12"/>
      <c r="L368" s="1"/>
      <c r="M368" s="1"/>
    </row>
    <row r="369" spans="2:13" x14ac:dyDescent="0.25">
      <c r="B369" s="1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x14ac:dyDescent="0.25">
      <c r="B370" s="10"/>
      <c r="C370" s="13"/>
      <c r="D370" s="13"/>
      <c r="E370" s="13"/>
      <c r="F370" s="13"/>
      <c r="G370" s="13"/>
      <c r="H370" s="13"/>
      <c r="I370" s="13"/>
      <c r="J370" s="12"/>
      <c r="K370" s="12"/>
    </row>
    <row r="371" spans="2:13" x14ac:dyDescent="0.25">
      <c r="B371" s="10"/>
      <c r="C371" s="1"/>
      <c r="D371" s="1"/>
      <c r="E371" s="1"/>
      <c r="F371" s="1"/>
      <c r="G371" s="1"/>
      <c r="H371" s="1"/>
      <c r="I371" s="1"/>
      <c r="J371" s="1"/>
      <c r="K371" s="1"/>
    </row>
    <row r="372" spans="2:13" x14ac:dyDescent="0.25">
      <c r="B372" s="10"/>
      <c r="C372" s="1"/>
      <c r="D372" s="1"/>
      <c r="E372" s="1"/>
      <c r="F372" s="1"/>
      <c r="G372" s="1"/>
      <c r="H372" s="1"/>
      <c r="I372" s="1"/>
      <c r="J372" s="1"/>
      <c r="K372" s="1"/>
    </row>
    <row r="373" spans="2:13" x14ac:dyDescent="0.25">
      <c r="B373" s="10"/>
      <c r="C373" s="1"/>
      <c r="D373" s="1"/>
      <c r="E373" s="1"/>
      <c r="F373" s="1"/>
      <c r="G373" s="1"/>
      <c r="H373" s="1"/>
      <c r="I373" s="1"/>
      <c r="J373" s="1"/>
      <c r="K373" s="1"/>
    </row>
    <row r="374" spans="2:13" x14ac:dyDescent="0.25">
      <c r="B374" s="10"/>
      <c r="C374" s="1"/>
      <c r="D374" s="1"/>
      <c r="E374" s="1"/>
      <c r="F374" s="1"/>
      <c r="G374" s="1"/>
      <c r="H374" s="1"/>
      <c r="I374" s="1"/>
      <c r="J374" s="1"/>
      <c r="K374" s="1"/>
    </row>
    <row r="375" spans="2:13" x14ac:dyDescent="0.25">
      <c r="B375" s="10"/>
      <c r="C375" s="13"/>
      <c r="D375" s="13"/>
      <c r="E375" s="13"/>
      <c r="F375" s="13"/>
      <c r="G375" s="12"/>
      <c r="H375" s="13"/>
      <c r="I375" s="13"/>
      <c r="J375" s="13"/>
      <c r="K375" s="12"/>
    </row>
    <row r="376" spans="2:13" x14ac:dyDescent="0.25">
      <c r="B376" s="10"/>
      <c r="C376" s="1"/>
      <c r="D376" s="1"/>
      <c r="E376" s="1"/>
      <c r="F376" s="1"/>
      <c r="G376" s="1"/>
      <c r="H376" s="1"/>
      <c r="I376" s="1"/>
      <c r="J376" s="1"/>
      <c r="K376" s="1"/>
    </row>
    <row r="377" spans="2:13" x14ac:dyDescent="0.25">
      <c r="B377" s="10"/>
      <c r="C377" s="1"/>
      <c r="D377" s="1"/>
      <c r="E377" s="1"/>
      <c r="F377" s="1"/>
      <c r="G377" s="1"/>
      <c r="H377" s="1"/>
      <c r="I377" s="1"/>
      <c r="J377" s="1"/>
      <c r="K377" s="1"/>
    </row>
    <row r="378" spans="2:13" x14ac:dyDescent="0.25">
      <c r="B378" s="10"/>
      <c r="C378" s="13"/>
      <c r="D378" s="13"/>
      <c r="E378" s="13"/>
      <c r="F378" s="13"/>
      <c r="G378" s="12"/>
      <c r="H378" s="13"/>
      <c r="I378" s="13"/>
      <c r="J378" s="13"/>
      <c r="K378" s="12"/>
    </row>
    <row r="379" spans="2:13" x14ac:dyDescent="0.25">
      <c r="B379" s="10"/>
      <c r="C379" s="13"/>
      <c r="D379" s="13"/>
      <c r="E379" s="13"/>
      <c r="F379" s="13"/>
      <c r="G379" s="13"/>
      <c r="H379" s="13"/>
      <c r="I379" s="12"/>
      <c r="J379" s="13"/>
      <c r="K379" s="12"/>
    </row>
    <row r="380" spans="2:13" x14ac:dyDescent="0.25">
      <c r="B380" s="10"/>
      <c r="C380" s="1"/>
      <c r="D380" s="1"/>
      <c r="E380" s="1"/>
      <c r="F380" s="1"/>
      <c r="G380" s="1"/>
      <c r="H380" s="1"/>
      <c r="I380" s="1"/>
      <c r="J380" s="1"/>
      <c r="K380" s="1"/>
    </row>
    <row r="381" spans="2:13" x14ac:dyDescent="0.25">
      <c r="B381" s="10"/>
      <c r="C381" s="13"/>
      <c r="D381" s="14"/>
      <c r="E381" s="12"/>
      <c r="F381" s="10"/>
      <c r="G381" s="11"/>
      <c r="H381" s="14"/>
      <c r="I381" s="11"/>
      <c r="J381" s="11"/>
      <c r="K381" s="11"/>
    </row>
    <row r="425" spans="15:16" x14ac:dyDescent="0.25">
      <c r="O425">
        <v>2019</v>
      </c>
      <c r="P425">
        <v>2033</v>
      </c>
    </row>
    <row r="426" spans="15:16" x14ac:dyDescent="0.25">
      <c r="O426">
        <v>2020</v>
      </c>
      <c r="P426">
        <v>1719</v>
      </c>
    </row>
    <row r="427" spans="15:16" x14ac:dyDescent="0.25">
      <c r="O427">
        <v>2021</v>
      </c>
      <c r="P427">
        <v>1509</v>
      </c>
    </row>
    <row r="428" spans="15:16" x14ac:dyDescent="0.25">
      <c r="O428">
        <v>2022</v>
      </c>
      <c r="P428">
        <v>963</v>
      </c>
    </row>
    <row r="429" spans="15:16" x14ac:dyDescent="0.25">
      <c r="O429">
        <v>2023</v>
      </c>
      <c r="P429">
        <v>603</v>
      </c>
    </row>
    <row r="430" spans="15:16" x14ac:dyDescent="0.25">
      <c r="O430" t="s">
        <v>303</v>
      </c>
      <c r="P430">
        <v>664</v>
      </c>
    </row>
    <row r="437" spans="2:8" x14ac:dyDescent="0.25">
      <c r="B437" s="10" t="s">
        <v>0</v>
      </c>
      <c r="C437" s="10" t="s">
        <v>1</v>
      </c>
      <c r="D437" s="1"/>
    </row>
    <row r="438" spans="2:8" x14ac:dyDescent="0.25">
      <c r="B438" s="10" t="s">
        <v>0</v>
      </c>
      <c r="C438" s="10">
        <v>2018</v>
      </c>
      <c r="D438" s="10">
        <v>2017</v>
      </c>
      <c r="E438" t="s">
        <v>297</v>
      </c>
      <c r="G438">
        <v>2017</v>
      </c>
      <c r="H438">
        <v>3894</v>
      </c>
    </row>
    <row r="439" spans="2:8" x14ac:dyDescent="0.25">
      <c r="B439" s="10" t="s">
        <v>168</v>
      </c>
      <c r="C439" s="11">
        <v>8909</v>
      </c>
      <c r="D439" s="11">
        <v>5852</v>
      </c>
      <c r="E439">
        <v>3</v>
      </c>
      <c r="G439">
        <v>2018</v>
      </c>
      <c r="H439">
        <v>3836</v>
      </c>
    </row>
    <row r="440" spans="2:8" x14ac:dyDescent="0.25">
      <c r="B440" s="10" t="s">
        <v>170</v>
      </c>
      <c r="C440" s="12">
        <v>3685</v>
      </c>
      <c r="D440" s="12">
        <v>1812</v>
      </c>
      <c r="E440" s="59" t="s">
        <v>299</v>
      </c>
      <c r="H440">
        <f>H438+H439</f>
        <v>7730</v>
      </c>
    </row>
    <row r="441" spans="2:8" x14ac:dyDescent="0.25">
      <c r="B441" s="10" t="s">
        <v>173</v>
      </c>
      <c r="C441" s="12">
        <v>5398</v>
      </c>
      <c r="D441" s="12">
        <v>2229</v>
      </c>
      <c r="E441" s="60" t="s">
        <v>298</v>
      </c>
    </row>
    <row r="442" spans="2:8" x14ac:dyDescent="0.25">
      <c r="B442" s="10" t="s">
        <v>174</v>
      </c>
      <c r="C442" s="12">
        <v>834</v>
      </c>
      <c r="D442" s="12">
        <v>1493</v>
      </c>
    </row>
    <row r="443" spans="2:8" x14ac:dyDescent="0.25">
      <c r="B443" s="10" t="s">
        <v>0</v>
      </c>
      <c r="C443" s="11">
        <v>18826</v>
      </c>
      <c r="D443" s="11">
        <v>11386</v>
      </c>
    </row>
    <row r="444" spans="2:8" x14ac:dyDescent="0.25">
      <c r="B444" s="10" t="s">
        <v>175</v>
      </c>
      <c r="C444" s="12">
        <v>-7097</v>
      </c>
      <c r="D444" s="12">
        <v>-3894</v>
      </c>
    </row>
    <row r="445" spans="2:8" x14ac:dyDescent="0.25">
      <c r="B445" s="10" t="s">
        <v>176</v>
      </c>
      <c r="C445" s="11">
        <v>11729</v>
      </c>
      <c r="D445" s="11">
        <v>7492</v>
      </c>
    </row>
    <row r="455" spans="2:16" x14ac:dyDescent="0.25">
      <c r="B455" t="s">
        <v>323</v>
      </c>
    </row>
    <row r="459" spans="2:16" x14ac:dyDescent="0.25">
      <c r="P459">
        <v>2018</v>
      </c>
    </row>
    <row r="460" spans="2:16" x14ac:dyDescent="0.25">
      <c r="P460">
        <v>797</v>
      </c>
    </row>
    <row r="461" spans="2:16" x14ac:dyDescent="0.25">
      <c r="P461">
        <v>3699</v>
      </c>
    </row>
    <row r="462" spans="2:16" x14ac:dyDescent="0.25">
      <c r="P462">
        <v>6153</v>
      </c>
    </row>
    <row r="463" spans="2:16" x14ac:dyDescent="0.25">
      <c r="P463">
        <v>5998</v>
      </c>
    </row>
    <row r="464" spans="2:16" x14ac:dyDescent="0.25">
      <c r="P464">
        <f>SUM(P460:P463)</f>
        <v>16647</v>
      </c>
    </row>
  </sheetData>
  <mergeCells count="22">
    <mergeCell ref="C304:D304"/>
    <mergeCell ref="A7:G7"/>
    <mergeCell ref="A8:G8"/>
    <mergeCell ref="A9:G9"/>
    <mergeCell ref="D209:F209"/>
    <mergeCell ref="D220:E220"/>
    <mergeCell ref="B10:D10"/>
    <mergeCell ref="B11:D11"/>
    <mergeCell ref="B12:D12"/>
    <mergeCell ref="C73:D73"/>
    <mergeCell ref="B21:C21"/>
    <mergeCell ref="B297:E297"/>
    <mergeCell ref="B298:E298"/>
    <mergeCell ref="B299:E299"/>
    <mergeCell ref="B300:E300"/>
    <mergeCell ref="C303:D303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D6B6-092F-45FE-A3E3-72D076081884}">
  <sheetPr>
    <pageSetUpPr fitToPage="1"/>
  </sheetPr>
  <dimension ref="A1:R54"/>
  <sheetViews>
    <sheetView showGridLines="0" zoomScaleNormal="100" zoomScaleSheetLayoutView="83" workbookViewId="0">
      <selection sqref="A1:N44"/>
    </sheetView>
  </sheetViews>
  <sheetFormatPr defaultColWidth="9.140625" defaultRowHeight="15" outlineLevelRow="1" x14ac:dyDescent="0.25"/>
  <cols>
    <col min="1" max="4" width="1.7109375" style="21" customWidth="1"/>
    <col min="5" max="5" width="1.5703125" style="21" customWidth="1"/>
    <col min="6" max="6" width="39.140625" style="21" customWidth="1"/>
    <col min="7" max="7" width="14.28515625" style="44" customWidth="1"/>
    <col min="8" max="9" width="14.28515625" style="21" customWidth="1"/>
    <col min="10" max="10" width="1.7109375" style="35" customWidth="1"/>
    <col min="11" max="18" width="9.140625" style="35"/>
    <col min="19" max="21" width="1.7109375" style="21" customWidth="1"/>
    <col min="22" max="16384" width="9.140625" style="21"/>
  </cols>
  <sheetData>
    <row r="1" spans="1:18" customFormat="1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20"/>
      <c r="P1" s="20"/>
      <c r="Q1" s="20"/>
      <c r="R1" s="20"/>
    </row>
    <row r="2" spans="1:18" customForma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20"/>
      <c r="P2" s="20"/>
      <c r="Q2" s="20"/>
      <c r="R2" s="20"/>
    </row>
    <row r="3" spans="1:18" customForma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20"/>
      <c r="P3" s="20"/>
      <c r="Q3" s="20"/>
      <c r="R3" s="20"/>
    </row>
    <row r="4" spans="1:18" customFormat="1" ht="18" customHeight="1" x14ac:dyDescent="0.3">
      <c r="A4" s="127"/>
      <c r="B4" s="127"/>
      <c r="C4" s="127"/>
      <c r="D4" s="127"/>
      <c r="E4" s="128" t="e">
        <f>#REF!&amp;"'s Income Statement"</f>
        <v>#REF!</v>
      </c>
      <c r="F4" s="127"/>
      <c r="G4" s="127"/>
      <c r="H4" s="127"/>
      <c r="I4" s="127"/>
      <c r="J4" s="127"/>
      <c r="K4" s="127"/>
      <c r="L4" s="127"/>
      <c r="M4" s="127"/>
      <c r="N4" s="127"/>
      <c r="O4" s="20"/>
      <c r="P4" s="20"/>
      <c r="Q4" s="20"/>
      <c r="R4" s="20"/>
    </row>
    <row r="5" spans="1:18" s="20" customFormat="1" ht="2.1" customHeight="1" x14ac:dyDescent="0.3">
      <c r="A5" s="127"/>
      <c r="B5" s="127"/>
      <c r="C5" s="127"/>
      <c r="D5" s="127"/>
      <c r="E5" s="128"/>
      <c r="F5" s="127"/>
      <c r="G5" s="127"/>
      <c r="H5" s="127"/>
      <c r="I5" s="127"/>
      <c r="J5" s="127"/>
      <c r="K5" s="127"/>
      <c r="L5" s="127"/>
      <c r="M5" s="127"/>
      <c r="N5" s="127"/>
    </row>
    <row r="6" spans="1:18" customFormat="1" x14ac:dyDescent="0.25">
      <c r="A6" s="127"/>
      <c r="B6" s="127"/>
      <c r="C6" s="127"/>
      <c r="D6" s="127"/>
      <c r="E6" s="129" t="s">
        <v>107</v>
      </c>
      <c r="F6" s="127"/>
      <c r="G6" s="127"/>
      <c r="H6" s="127"/>
      <c r="I6" s="127"/>
      <c r="J6" s="127"/>
      <c r="K6" s="127"/>
      <c r="L6" s="127"/>
      <c r="M6" s="127"/>
      <c r="N6" s="127"/>
      <c r="O6" s="20"/>
      <c r="P6" s="20"/>
      <c r="Q6" s="20"/>
      <c r="R6" s="20"/>
    </row>
    <row r="7" spans="1:18" customFormat="1" ht="0.95" customHeight="1" x14ac:dyDescent="0.25">
      <c r="A7" s="127"/>
      <c r="B7" s="127"/>
      <c r="C7" s="127"/>
      <c r="D7" s="127"/>
      <c r="E7" s="129"/>
      <c r="F7" s="127"/>
      <c r="G7" s="127"/>
      <c r="H7" s="127"/>
      <c r="I7" s="127"/>
      <c r="J7" s="127"/>
      <c r="K7" s="127"/>
      <c r="L7" s="127"/>
      <c r="M7" s="127"/>
      <c r="N7" s="127"/>
      <c r="O7" s="20"/>
      <c r="P7" s="20"/>
      <c r="Q7" s="20"/>
      <c r="R7" s="20"/>
    </row>
    <row r="8" spans="1:18" customFormat="1" x14ac:dyDescent="0.25">
      <c r="A8" s="127"/>
      <c r="B8" s="127"/>
      <c r="C8" s="127"/>
      <c r="D8" s="127"/>
      <c r="E8" s="127"/>
      <c r="F8" s="127"/>
      <c r="G8" s="142" t="s">
        <v>109</v>
      </c>
      <c r="H8" s="142" t="s">
        <v>110</v>
      </c>
      <c r="I8" s="142" t="s">
        <v>111</v>
      </c>
      <c r="J8" s="127"/>
      <c r="K8" s="127"/>
      <c r="L8" s="127"/>
      <c r="M8" s="127"/>
      <c r="N8" s="127"/>
      <c r="O8" s="20"/>
      <c r="P8" s="20"/>
      <c r="Q8" s="20"/>
      <c r="R8" s="20"/>
    </row>
    <row r="9" spans="1:18" s="20" customFormat="1" x14ac:dyDescent="0.25">
      <c r="A9" s="127"/>
      <c r="B9" s="127"/>
      <c r="C9" s="127"/>
      <c r="D9" s="127"/>
      <c r="E9" s="127" t="s">
        <v>24</v>
      </c>
      <c r="F9" s="127"/>
      <c r="G9" s="110">
        <f>'Customer and Revenue base'!M10</f>
        <v>4696</v>
      </c>
      <c r="H9" s="110">
        <f>'Customer and Revenue base'!N10</f>
        <v>6433.52</v>
      </c>
      <c r="I9" s="110">
        <f>'Customer and Revenue base'!O10</f>
        <v>8813.9224000000013</v>
      </c>
      <c r="J9" s="127"/>
      <c r="K9" s="127"/>
      <c r="L9" s="127"/>
      <c r="M9" s="127"/>
      <c r="N9" s="127"/>
    </row>
    <row r="10" spans="1:18" customFormat="1" ht="5.0999999999999996" customHeight="1" x14ac:dyDescent="0.25">
      <c r="A10" s="127"/>
      <c r="B10" s="127"/>
      <c r="C10" s="127"/>
      <c r="D10" s="127"/>
      <c r="E10" s="127"/>
      <c r="F10" s="127"/>
      <c r="G10" s="142"/>
      <c r="H10" s="142"/>
      <c r="I10" s="142"/>
      <c r="J10" s="127"/>
      <c r="K10" s="127"/>
      <c r="L10" s="127"/>
      <c r="M10" s="127"/>
      <c r="N10" s="127"/>
      <c r="O10" s="20"/>
      <c r="P10" s="20"/>
      <c r="Q10" s="20"/>
      <c r="R10" s="20"/>
    </row>
    <row r="11" spans="1:18" customFormat="1" x14ac:dyDescent="0.25">
      <c r="A11" s="127"/>
      <c r="B11" s="127"/>
      <c r="C11" s="127"/>
      <c r="D11" s="127"/>
      <c r="E11" s="127"/>
      <c r="F11" s="127" t="s">
        <v>272</v>
      </c>
      <c r="G11" s="143">
        <f>'Customer and Revenue base'!M14</f>
        <v>240891.5</v>
      </c>
      <c r="H11" s="143">
        <f>'Customer and Revenue base'!N14</f>
        <v>330021.35499999998</v>
      </c>
      <c r="I11" s="143">
        <f>'Customer and Revenue base'!O14</f>
        <v>452129.25635000004</v>
      </c>
      <c r="J11" s="127"/>
      <c r="K11" s="127"/>
      <c r="L11" s="127"/>
      <c r="M11" s="127"/>
      <c r="N11" s="127"/>
      <c r="O11" s="20"/>
      <c r="P11" s="20"/>
      <c r="Q11" s="20"/>
      <c r="R11" s="20"/>
    </row>
    <row r="12" spans="1:18" customFormat="1" x14ac:dyDescent="0.25">
      <c r="A12" s="127"/>
      <c r="B12" s="127"/>
      <c r="C12" s="127"/>
      <c r="D12" s="127"/>
      <c r="E12" s="134"/>
      <c r="F12" s="134" t="s">
        <v>276</v>
      </c>
      <c r="G12" s="144">
        <f>'Customer and Revenue base'!M17</f>
        <v>12678.500000000011</v>
      </c>
      <c r="H12" s="144">
        <f>'Customer and Revenue base'!N17</f>
        <v>17369.545000000016</v>
      </c>
      <c r="I12" s="144">
        <f>'Customer and Revenue base'!O17</f>
        <v>23796.276650000025</v>
      </c>
      <c r="J12" s="127"/>
      <c r="K12" s="127"/>
      <c r="L12" s="127"/>
      <c r="M12" s="127"/>
      <c r="N12" s="127"/>
      <c r="O12" s="20"/>
      <c r="P12" s="20"/>
      <c r="Q12" s="20"/>
      <c r="R12" s="20"/>
    </row>
    <row r="13" spans="1:18" customFormat="1" x14ac:dyDescent="0.25">
      <c r="A13" s="127"/>
      <c r="B13" s="127"/>
      <c r="C13" s="127"/>
      <c r="D13" s="127"/>
      <c r="E13" s="133" t="s">
        <v>3</v>
      </c>
      <c r="F13" s="133"/>
      <c r="G13" s="145">
        <f t="shared" ref="G13:I13" si="0">G11+G12</f>
        <v>253570</v>
      </c>
      <c r="H13" s="145">
        <f t="shared" si="0"/>
        <v>347390.9</v>
      </c>
      <c r="I13" s="145">
        <f t="shared" si="0"/>
        <v>475925.53300000005</v>
      </c>
      <c r="J13" s="127"/>
      <c r="K13" s="127"/>
      <c r="L13" s="127"/>
      <c r="M13" s="127"/>
      <c r="N13" s="127"/>
      <c r="O13" s="20"/>
      <c r="P13" s="20"/>
      <c r="Q13" s="20"/>
      <c r="R13" s="20"/>
    </row>
    <row r="14" spans="1:18" customFormat="1" ht="5.0999999999999996" customHeight="1" x14ac:dyDescent="0.25">
      <c r="A14" s="127"/>
      <c r="B14" s="127"/>
      <c r="C14" s="127"/>
      <c r="D14" s="127"/>
      <c r="E14" s="127"/>
      <c r="F14" s="127"/>
      <c r="G14" s="143"/>
      <c r="H14" s="143"/>
      <c r="I14" s="143"/>
      <c r="J14" s="127"/>
      <c r="K14" s="127"/>
      <c r="L14" s="127"/>
      <c r="M14" s="127"/>
      <c r="N14" s="127"/>
      <c r="O14" s="20"/>
      <c r="P14" s="20"/>
      <c r="Q14" s="20"/>
      <c r="R14" s="20"/>
    </row>
    <row r="15" spans="1:18" customFormat="1" x14ac:dyDescent="0.25">
      <c r="A15" s="127"/>
      <c r="B15" s="127"/>
      <c r="C15" s="127"/>
      <c r="D15" s="127"/>
      <c r="E15" s="134" t="s">
        <v>116</v>
      </c>
      <c r="F15" s="134"/>
      <c r="G15" s="146">
        <f>'Company Statements'!C26</f>
        <v>22800</v>
      </c>
      <c r="H15" s="146">
        <f>H13*H39</f>
        <v>31236.000000000004</v>
      </c>
      <c r="I15" s="146">
        <f>I13*I39</f>
        <v>42793.320000000007</v>
      </c>
      <c r="J15" s="127"/>
      <c r="K15" s="127"/>
      <c r="L15" s="127"/>
      <c r="M15" s="127"/>
      <c r="N15" s="127"/>
      <c r="O15" s="20"/>
      <c r="P15" s="20"/>
      <c r="Q15" s="20"/>
      <c r="R15" s="20"/>
    </row>
    <row r="16" spans="1:18" customFormat="1" x14ac:dyDescent="0.25">
      <c r="A16" s="127"/>
      <c r="B16" s="127"/>
      <c r="C16" s="127"/>
      <c r="D16" s="127"/>
      <c r="E16" s="133" t="s">
        <v>117</v>
      </c>
      <c r="F16" s="133"/>
      <c r="G16" s="145">
        <f>G13-G15</f>
        <v>230770</v>
      </c>
      <c r="H16" s="145">
        <f t="shared" ref="H16:I16" si="1">H13-H15</f>
        <v>316154.90000000002</v>
      </c>
      <c r="I16" s="145">
        <f t="shared" si="1"/>
        <v>433132.21300000005</v>
      </c>
      <c r="J16" s="127"/>
      <c r="K16" s="127"/>
      <c r="L16" s="127"/>
      <c r="M16" s="127"/>
      <c r="N16" s="127"/>
      <c r="O16" s="20"/>
      <c r="P16" s="20"/>
      <c r="Q16" s="20"/>
      <c r="R16" s="20"/>
    </row>
    <row r="17" spans="1:18" s="22" customFormat="1" x14ac:dyDescent="0.25">
      <c r="A17" s="129"/>
      <c r="B17" s="129"/>
      <c r="C17" s="129"/>
      <c r="D17" s="129"/>
      <c r="E17" s="129" t="s">
        <v>118</v>
      </c>
      <c r="F17" s="129"/>
      <c r="G17" s="147">
        <f t="shared" ref="G17" si="2">G16/G13</f>
        <v>0.91008400047324212</v>
      </c>
      <c r="H17" s="147">
        <f t="shared" ref="H17" si="3">H16/H13</f>
        <v>0.91008400047324212</v>
      </c>
      <c r="I17" s="147">
        <f t="shared" ref="I17" si="4">I16/I13</f>
        <v>0.91008400047324212</v>
      </c>
      <c r="J17" s="131"/>
      <c r="K17" s="131"/>
      <c r="L17" s="131"/>
      <c r="M17" s="131"/>
      <c r="N17" s="131"/>
      <c r="O17" s="37"/>
      <c r="P17" s="37"/>
      <c r="Q17" s="37"/>
      <c r="R17" s="37"/>
    </row>
    <row r="18" spans="1:18" customFormat="1" outlineLevel="1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20"/>
      <c r="P18" s="20"/>
      <c r="Q18" s="20"/>
      <c r="R18" s="20"/>
    </row>
    <row r="19" spans="1:18" customFormat="1" outlineLevel="1" x14ac:dyDescent="0.25">
      <c r="A19" s="127"/>
      <c r="B19" s="127"/>
      <c r="C19" s="127"/>
      <c r="D19" s="127"/>
      <c r="E19" s="127" t="s">
        <v>119</v>
      </c>
      <c r="F19" s="127"/>
      <c r="G19" s="143">
        <f>'Company Statements'!C29</f>
        <v>43449</v>
      </c>
      <c r="H19" s="143">
        <f>H13*H41</f>
        <v>52577.312000000005</v>
      </c>
      <c r="I19" s="143">
        <f>I13*I41</f>
        <v>62512.406780000019</v>
      </c>
      <c r="J19" s="127"/>
      <c r="K19" s="127"/>
      <c r="L19" s="127"/>
      <c r="M19" s="127"/>
      <c r="N19" s="127"/>
      <c r="O19" s="20"/>
      <c r="P19" s="20"/>
      <c r="Q19" s="20"/>
      <c r="R19" s="20"/>
    </row>
    <row r="20" spans="1:18" customFormat="1" outlineLevel="1" x14ac:dyDescent="0.25">
      <c r="A20" s="127"/>
      <c r="B20" s="127"/>
      <c r="C20" s="127"/>
      <c r="D20" s="127"/>
      <c r="E20" s="127" t="s">
        <v>120</v>
      </c>
      <c r="F20" s="127"/>
      <c r="G20" s="136">
        <f>'Company Statements'!C30</f>
        <v>109284</v>
      </c>
      <c r="H20" s="125">
        <f>H13*H42</f>
        <v>149719.08000000002</v>
      </c>
      <c r="I20" s="125">
        <f>I13*I42</f>
        <v>205115.13960000002</v>
      </c>
      <c r="J20" s="127"/>
      <c r="K20" s="127"/>
      <c r="L20" s="127"/>
      <c r="M20" s="127"/>
      <c r="N20" s="127"/>
      <c r="O20" s="20"/>
      <c r="P20" s="20"/>
      <c r="Q20" s="20"/>
      <c r="R20" s="20"/>
    </row>
    <row r="21" spans="1:18" customFormat="1" outlineLevel="1" x14ac:dyDescent="0.25">
      <c r="A21" s="127"/>
      <c r="B21" s="127"/>
      <c r="C21" s="127"/>
      <c r="D21" s="127"/>
      <c r="E21" s="134" t="s">
        <v>121</v>
      </c>
      <c r="F21" s="134"/>
      <c r="G21" s="148">
        <f>'Company Statements'!C31</f>
        <v>48267</v>
      </c>
      <c r="H21" s="148">
        <f>G13*H43</f>
        <v>48267</v>
      </c>
      <c r="I21" s="148">
        <f>H13*I43</f>
        <v>66125.790000000008</v>
      </c>
      <c r="J21" s="127"/>
      <c r="K21" s="127"/>
      <c r="L21" s="127"/>
      <c r="M21" s="127"/>
      <c r="N21" s="127"/>
      <c r="O21" s="20"/>
      <c r="P21" s="20"/>
      <c r="Q21" s="20"/>
      <c r="R21" s="20"/>
    </row>
    <row r="22" spans="1:18" s="9" customFormat="1" x14ac:dyDescent="0.25">
      <c r="A22" s="133"/>
      <c r="B22" s="133"/>
      <c r="C22" s="133"/>
      <c r="D22" s="133"/>
      <c r="E22" s="132" t="s">
        <v>122</v>
      </c>
      <c r="F22" s="133"/>
      <c r="G22" s="145">
        <f>SUM(G19:G21)</f>
        <v>201000</v>
      </c>
      <c r="H22" s="145">
        <f>SUM(H19:H21)</f>
        <v>250563.39200000002</v>
      </c>
      <c r="I22" s="145">
        <f>SUM(I19:I21)</f>
        <v>333753.33638000011</v>
      </c>
      <c r="J22" s="133"/>
      <c r="K22" s="133"/>
      <c r="L22" s="133"/>
      <c r="M22" s="133"/>
      <c r="N22" s="133"/>
      <c r="O22" s="38"/>
      <c r="P22" s="38"/>
      <c r="Q22" s="38"/>
      <c r="R22" s="38"/>
    </row>
    <row r="23" spans="1:18" customFormat="1" ht="5.0999999999999996" customHeight="1" x14ac:dyDescent="0.25">
      <c r="A23" s="127"/>
      <c r="B23" s="127"/>
      <c r="C23" s="127"/>
      <c r="D23" s="127"/>
      <c r="E23" s="127"/>
      <c r="F23" s="127"/>
      <c r="G23" s="112"/>
      <c r="H23" s="112"/>
      <c r="I23" s="112"/>
      <c r="J23" s="127"/>
      <c r="K23" s="127"/>
      <c r="L23" s="127"/>
      <c r="M23" s="127"/>
      <c r="N23" s="127"/>
      <c r="O23" s="20"/>
      <c r="P23" s="20"/>
      <c r="Q23" s="20"/>
      <c r="R23" s="20"/>
    </row>
    <row r="24" spans="1:18" s="9" customFormat="1" x14ac:dyDescent="0.25">
      <c r="A24" s="133"/>
      <c r="B24" s="133"/>
      <c r="C24" s="133"/>
      <c r="D24" s="133"/>
      <c r="E24" s="133" t="s">
        <v>123</v>
      </c>
      <c r="F24" s="133"/>
      <c r="G24" s="149">
        <f>G16-G22</f>
        <v>29770</v>
      </c>
      <c r="H24" s="149">
        <f>H16-H22</f>
        <v>65591.508000000002</v>
      </c>
      <c r="I24" s="149">
        <f>I16-I22</f>
        <v>99378.876619999937</v>
      </c>
      <c r="J24" s="133"/>
      <c r="K24" s="133"/>
      <c r="L24" s="133"/>
      <c r="M24" s="133"/>
      <c r="N24" s="133"/>
      <c r="O24" s="38"/>
      <c r="P24" s="38"/>
      <c r="Q24" s="38"/>
      <c r="R24" s="38"/>
    </row>
    <row r="25" spans="1:18" customFormat="1" ht="5.0999999999999996" customHeight="1" x14ac:dyDescent="0.25">
      <c r="A25" s="127"/>
      <c r="B25" s="127"/>
      <c r="C25" s="127"/>
      <c r="D25" s="127"/>
      <c r="E25" s="127"/>
      <c r="F25" s="127"/>
      <c r="G25" s="112"/>
      <c r="H25" s="112"/>
      <c r="I25" s="112"/>
      <c r="J25" s="127"/>
      <c r="K25" s="127"/>
      <c r="L25" s="127"/>
      <c r="M25" s="127"/>
      <c r="N25" s="127"/>
      <c r="O25" s="20"/>
      <c r="P25" s="20"/>
      <c r="Q25" s="20"/>
      <c r="R25" s="20"/>
    </row>
    <row r="26" spans="1:18" s="24" customFormat="1" outlineLevel="1" x14ac:dyDescent="0.25">
      <c r="A26" s="127"/>
      <c r="B26" s="127"/>
      <c r="C26" s="127"/>
      <c r="D26" s="127"/>
      <c r="E26" s="127" t="s">
        <v>287</v>
      </c>
      <c r="F26" s="127"/>
      <c r="G26" s="125">
        <f>'Company Statements'!C34</f>
        <v>-7378</v>
      </c>
      <c r="H26" s="125">
        <f>Debt!J21</f>
        <v>-7364</v>
      </c>
      <c r="I26" s="125">
        <f>Debt!K21</f>
        <v>-7364</v>
      </c>
      <c r="J26" s="133"/>
      <c r="K26" s="127"/>
      <c r="L26" s="127"/>
      <c r="M26" s="127"/>
      <c r="N26" s="127"/>
      <c r="O26" s="39"/>
      <c r="P26" s="39"/>
      <c r="Q26" s="39"/>
      <c r="R26" s="39"/>
    </row>
    <row r="27" spans="1:18" customFormat="1" outlineLevel="1" x14ac:dyDescent="0.25">
      <c r="A27" s="127"/>
      <c r="B27" s="127"/>
      <c r="C27" s="127"/>
      <c r="D27" s="127"/>
      <c r="E27" s="134" t="s">
        <v>288</v>
      </c>
      <c r="F27" s="134"/>
      <c r="G27" s="148">
        <f>'Company Statements'!C35</f>
        <v>3042</v>
      </c>
      <c r="H27" s="148">
        <f>H48*H13</f>
        <v>4167.54</v>
      </c>
      <c r="I27" s="148">
        <f>I48*I13</f>
        <v>5709.5298000000003</v>
      </c>
      <c r="J27" s="127"/>
      <c r="K27" s="127"/>
      <c r="L27" s="127"/>
      <c r="M27" s="127"/>
      <c r="N27" s="127"/>
      <c r="O27" s="20"/>
      <c r="P27" s="20"/>
      <c r="Q27" s="20"/>
      <c r="R27" s="20"/>
    </row>
    <row r="28" spans="1:18" s="9" customFormat="1" x14ac:dyDescent="0.25">
      <c r="A28" s="133"/>
      <c r="B28" s="133"/>
      <c r="C28" s="133"/>
      <c r="D28" s="133"/>
      <c r="E28" s="132" t="s">
        <v>128</v>
      </c>
      <c r="F28" s="133"/>
      <c r="G28" s="145">
        <f>SUM(G24:G27)</f>
        <v>25434</v>
      </c>
      <c r="H28" s="145">
        <f>SUM(H24:H27)</f>
        <v>62395.048000000003</v>
      </c>
      <c r="I28" s="145">
        <f>SUM(I24:I27)</f>
        <v>97724.406419999941</v>
      </c>
      <c r="J28" s="133"/>
      <c r="K28" s="133"/>
      <c r="L28" s="133"/>
      <c r="M28" s="133"/>
      <c r="N28" s="133"/>
      <c r="O28" s="38"/>
      <c r="P28" s="38"/>
      <c r="Q28" s="38"/>
      <c r="R28" s="38"/>
    </row>
    <row r="29" spans="1:18" customFormat="1" x14ac:dyDescent="0.25">
      <c r="A29" s="127"/>
      <c r="B29" s="127"/>
      <c r="C29" s="127"/>
      <c r="D29" s="127"/>
      <c r="E29" s="134" t="s">
        <v>129</v>
      </c>
      <c r="F29" s="134"/>
      <c r="G29" s="148">
        <f>'Company Statements'!C38</f>
        <v>-2586</v>
      </c>
      <c r="H29" s="148">
        <f>H28*Assumptions!$F$12</f>
        <v>13102.960080000001</v>
      </c>
      <c r="I29" s="148">
        <f>I28*Assumptions!$F$12</f>
        <v>20522.125348199988</v>
      </c>
      <c r="J29" s="127"/>
      <c r="K29" s="127"/>
      <c r="L29" s="127"/>
      <c r="M29" s="127"/>
      <c r="N29" s="127"/>
      <c r="O29" s="20"/>
      <c r="P29" s="20"/>
      <c r="Q29" s="20"/>
      <c r="R29" s="20"/>
    </row>
    <row r="30" spans="1:18" customFormat="1" x14ac:dyDescent="0.25">
      <c r="A30" s="127"/>
      <c r="B30" s="127"/>
      <c r="C30" s="127"/>
      <c r="D30" s="127"/>
      <c r="E30" s="132" t="s">
        <v>108</v>
      </c>
      <c r="F30" s="133"/>
      <c r="G30" s="145">
        <f>G28-G29</f>
        <v>28020</v>
      </c>
      <c r="H30" s="145">
        <f t="shared" ref="H30:I30" si="5">H28-H29</f>
        <v>49292.087920000005</v>
      </c>
      <c r="I30" s="145">
        <f t="shared" si="5"/>
        <v>77202.281071799953</v>
      </c>
      <c r="J30" s="127"/>
      <c r="K30" s="127"/>
      <c r="L30" s="127"/>
      <c r="M30" s="127"/>
      <c r="N30" s="127"/>
      <c r="O30" s="20"/>
      <c r="P30" s="20"/>
      <c r="Q30" s="20"/>
      <c r="R30" s="20"/>
    </row>
    <row r="31" spans="1:18" customFormat="1" x14ac:dyDescent="0.25">
      <c r="A31" s="127"/>
      <c r="B31" s="127"/>
      <c r="C31" s="127"/>
      <c r="D31" s="127"/>
      <c r="E31" s="134"/>
      <c r="F31" s="134"/>
      <c r="G31" s="134"/>
      <c r="H31" s="134"/>
      <c r="I31" s="134"/>
      <c r="J31" s="127"/>
      <c r="K31" s="127"/>
      <c r="L31" s="127"/>
      <c r="M31" s="127"/>
      <c r="N31" s="127"/>
      <c r="O31" s="20"/>
      <c r="P31" s="20"/>
      <c r="Q31" s="20"/>
      <c r="R31" s="20"/>
    </row>
    <row r="32" spans="1:18" customFormat="1" x14ac:dyDescent="0.25">
      <c r="A32" s="127"/>
      <c r="B32" s="127"/>
      <c r="C32" s="127"/>
      <c r="D32" s="127"/>
      <c r="E32" s="135" t="s">
        <v>130</v>
      </c>
      <c r="F32" s="134"/>
      <c r="G32" s="150">
        <f>G30/G34</f>
        <v>0.43278141603855186</v>
      </c>
      <c r="H32" s="150">
        <f>H30/H34</f>
        <v>0.76133831582849387</v>
      </c>
      <c r="I32" s="151">
        <f>I30/I34</f>
        <v>1.1924237160478184</v>
      </c>
      <c r="J32" s="127"/>
      <c r="K32" s="127"/>
      <c r="L32" s="127"/>
      <c r="M32" s="127"/>
      <c r="N32" s="127"/>
      <c r="O32" s="20"/>
      <c r="P32" s="20"/>
      <c r="Q32" s="20"/>
      <c r="R32" s="20"/>
    </row>
    <row r="33" spans="1:18" customFormat="1" x14ac:dyDescent="0.25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20"/>
      <c r="P33" s="20"/>
      <c r="Q33" s="20"/>
      <c r="R33" s="20"/>
    </row>
    <row r="34" spans="1:18" customFormat="1" x14ac:dyDescent="0.25">
      <c r="A34" s="127"/>
      <c r="B34" s="127"/>
      <c r="C34" s="127"/>
      <c r="D34" s="127"/>
      <c r="E34" s="132" t="s">
        <v>334</v>
      </c>
      <c r="F34" s="127"/>
      <c r="G34" s="152">
        <f>'Company Statements'!C57</f>
        <v>64744</v>
      </c>
      <c r="H34" s="136">
        <f>G34</f>
        <v>64744</v>
      </c>
      <c r="I34" s="136">
        <f>H34</f>
        <v>64744</v>
      </c>
      <c r="J34" s="127"/>
      <c r="K34" s="127"/>
      <c r="L34" s="127"/>
      <c r="M34" s="127"/>
      <c r="N34" s="127"/>
      <c r="O34" s="20"/>
      <c r="P34" s="20"/>
      <c r="Q34" s="20"/>
      <c r="R34" s="20"/>
    </row>
    <row r="35" spans="1:18" customFormat="1" x14ac:dyDescent="0.2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20"/>
      <c r="P35" s="20"/>
      <c r="Q35" s="20"/>
      <c r="R35" s="20"/>
    </row>
    <row r="36" spans="1:18" customFormat="1" x14ac:dyDescent="0.25">
      <c r="A36" s="127"/>
      <c r="B36" s="127"/>
      <c r="C36" s="127"/>
      <c r="D36" s="127"/>
      <c r="E36" s="129" t="s">
        <v>257</v>
      </c>
      <c r="F36" s="127"/>
      <c r="G36" s="127"/>
      <c r="H36" s="127"/>
      <c r="I36" s="127"/>
      <c r="J36" s="127"/>
      <c r="K36" s="127"/>
      <c r="L36" s="127"/>
      <c r="M36" s="127"/>
      <c r="N36" s="127"/>
      <c r="O36" s="20"/>
      <c r="P36" s="20"/>
      <c r="Q36" s="20"/>
      <c r="R36" s="20"/>
    </row>
    <row r="37" spans="1:18" customFormat="1" x14ac:dyDescent="0.25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20"/>
      <c r="P37" s="20"/>
      <c r="Q37" s="20"/>
      <c r="R37" s="20"/>
    </row>
    <row r="38" spans="1:18" customFormat="1" x14ac:dyDescent="0.25">
      <c r="A38" s="127"/>
      <c r="B38" s="127"/>
      <c r="C38" s="127"/>
      <c r="D38" s="127"/>
      <c r="E38" s="129" t="s">
        <v>262</v>
      </c>
      <c r="F38" s="127"/>
      <c r="G38" s="153" t="s">
        <v>109</v>
      </c>
      <c r="H38" s="153" t="s">
        <v>110</v>
      </c>
      <c r="I38" s="153" t="s">
        <v>111</v>
      </c>
      <c r="J38" s="127"/>
      <c r="K38" s="127"/>
      <c r="L38" s="127"/>
      <c r="M38" s="127"/>
      <c r="N38" s="127"/>
      <c r="O38" s="20"/>
      <c r="P38" s="20"/>
      <c r="Q38" s="20"/>
      <c r="R38" s="20"/>
    </row>
    <row r="39" spans="1:18" x14ac:dyDescent="0.25">
      <c r="A39" s="129"/>
      <c r="B39" s="129"/>
      <c r="C39" s="129"/>
      <c r="D39" s="129"/>
      <c r="E39" s="154" t="s">
        <v>116</v>
      </c>
      <c r="F39" s="154"/>
      <c r="G39" s="155">
        <f>G15/$G$13</f>
        <v>8.9915999526757898E-2</v>
      </c>
      <c r="H39" s="137">
        <f>G39</f>
        <v>8.9915999526757898E-2</v>
      </c>
      <c r="I39" s="137">
        <f>H39</f>
        <v>8.9915999526757898E-2</v>
      </c>
      <c r="J39" s="129"/>
      <c r="K39" s="129"/>
      <c r="L39" s="129"/>
      <c r="M39" s="129"/>
      <c r="N39" s="129"/>
    </row>
    <row r="40" spans="1:18" x14ac:dyDescent="0.25">
      <c r="A40" s="129"/>
      <c r="B40" s="129"/>
      <c r="C40" s="129"/>
      <c r="D40" s="129"/>
      <c r="E40" s="156" t="s">
        <v>117</v>
      </c>
      <c r="F40" s="129"/>
      <c r="G40" s="138">
        <f>G16/G$13</f>
        <v>0.91008400047324212</v>
      </c>
      <c r="H40" s="138">
        <f t="shared" ref="H40:I40" si="6">H16/H$13</f>
        <v>0.91008400047324212</v>
      </c>
      <c r="I40" s="138">
        <f t="shared" si="6"/>
        <v>0.91008400047324212</v>
      </c>
      <c r="J40" s="129"/>
      <c r="K40" s="129"/>
      <c r="L40" s="129"/>
      <c r="M40" s="129"/>
      <c r="N40" s="129"/>
    </row>
    <row r="41" spans="1:18" x14ac:dyDescent="0.25">
      <c r="A41" s="129"/>
      <c r="B41" s="129"/>
      <c r="C41" s="129"/>
      <c r="D41" s="129"/>
      <c r="E41" s="129" t="s">
        <v>119</v>
      </c>
      <c r="F41" s="129"/>
      <c r="G41" s="157">
        <f>G19/$G$13</f>
        <v>0.17134913436132035</v>
      </c>
      <c r="H41" s="139">
        <f>G41-0.02</f>
        <v>0.15134913436132036</v>
      </c>
      <c r="I41" s="139">
        <f>H41-0.02</f>
        <v>0.13134913436132037</v>
      </c>
      <c r="J41" s="129"/>
      <c r="K41" s="129"/>
      <c r="L41" s="129"/>
      <c r="M41" s="129"/>
      <c r="N41" s="129"/>
    </row>
    <row r="42" spans="1:18" x14ac:dyDescent="0.25">
      <c r="A42" s="129"/>
      <c r="B42" s="129"/>
      <c r="C42" s="129"/>
      <c r="D42" s="129"/>
      <c r="E42" s="129" t="s">
        <v>120</v>
      </c>
      <c r="F42" s="129"/>
      <c r="G42" s="157">
        <f>G20/$G$13</f>
        <v>0.4309815829948338</v>
      </c>
      <c r="H42" s="139">
        <f>G42</f>
        <v>0.4309815829948338</v>
      </c>
      <c r="I42" s="139">
        <f>H42</f>
        <v>0.4309815829948338</v>
      </c>
      <c r="J42" s="129"/>
      <c r="K42" s="129"/>
      <c r="L42" s="129"/>
      <c r="M42" s="129"/>
      <c r="N42" s="129"/>
    </row>
    <row r="43" spans="1:18" x14ac:dyDescent="0.25">
      <c r="A43" s="129"/>
      <c r="B43" s="129"/>
      <c r="C43" s="129"/>
      <c r="D43" s="129"/>
      <c r="E43" s="154" t="s">
        <v>121</v>
      </c>
      <c r="F43" s="154"/>
      <c r="G43" s="155">
        <f>G21/$G$13</f>
        <v>0.19034980478763261</v>
      </c>
      <c r="H43" s="140">
        <f>G43</f>
        <v>0.19034980478763261</v>
      </c>
      <c r="I43" s="140">
        <f>H43</f>
        <v>0.19034980478763261</v>
      </c>
      <c r="J43" s="129"/>
      <c r="K43" s="129"/>
      <c r="L43" s="129"/>
      <c r="M43" s="129"/>
      <c r="N43" s="129"/>
    </row>
    <row r="44" spans="1:18" x14ac:dyDescent="0.25">
      <c r="A44" s="129"/>
      <c r="B44" s="129"/>
      <c r="C44" s="129"/>
      <c r="D44" s="129"/>
      <c r="E44" s="141" t="s">
        <v>122</v>
      </c>
      <c r="F44" s="129"/>
      <c r="G44" s="138">
        <f>G22/G$13</f>
        <v>0.7926805221437867</v>
      </c>
      <c r="H44" s="138">
        <f t="shared" ref="H44:I44" si="7">H22/H$13</f>
        <v>0.72127218070479104</v>
      </c>
      <c r="I44" s="138">
        <f t="shared" si="7"/>
        <v>0.70127218070479125</v>
      </c>
      <c r="J44" s="129"/>
      <c r="K44" s="129"/>
      <c r="L44" s="129"/>
      <c r="M44" s="129"/>
      <c r="N44" s="129"/>
    </row>
    <row r="45" spans="1:18" s="35" customFormat="1" x14ac:dyDescent="0.25">
      <c r="G45" s="79"/>
    </row>
    <row r="46" spans="1:18" x14ac:dyDescent="0.25">
      <c r="E46" s="41" t="s">
        <v>123</v>
      </c>
      <c r="G46" s="47">
        <f>G24/G$13</f>
        <v>0.11740347832945537</v>
      </c>
      <c r="H46" s="80">
        <f t="shared" ref="H46:I46" si="8">H24/H$13</f>
        <v>0.18881181976845104</v>
      </c>
      <c r="I46" s="80">
        <f t="shared" si="8"/>
        <v>0.2088118197684509</v>
      </c>
    </row>
    <row r="47" spans="1:18" x14ac:dyDescent="0.25">
      <c r="G47" s="45"/>
      <c r="H47" s="35"/>
      <c r="I47" s="35"/>
    </row>
    <row r="48" spans="1:18" x14ac:dyDescent="0.25">
      <c r="E48" s="40" t="s">
        <v>125</v>
      </c>
      <c r="F48" s="40"/>
      <c r="G48" s="46">
        <f>G27/$G$13</f>
        <v>1.1996687305280593E-2</v>
      </c>
      <c r="H48" s="84">
        <f>G48</f>
        <v>1.1996687305280593E-2</v>
      </c>
      <c r="I48" s="84">
        <f>H48</f>
        <v>1.1996687305280593E-2</v>
      </c>
    </row>
    <row r="49" spans="5:9" x14ac:dyDescent="0.25">
      <c r="E49" s="42" t="s">
        <v>128</v>
      </c>
      <c r="G49" s="47">
        <f>G28/G$13</f>
        <v>0.1003036636826123</v>
      </c>
      <c r="H49" s="80">
        <f t="shared" ref="H49:I49" si="9">H28/H$13</f>
        <v>0.17961048490331785</v>
      </c>
      <c r="I49" s="80">
        <f t="shared" si="9"/>
        <v>0.20533549819021776</v>
      </c>
    </row>
    <row r="50" spans="5:9" x14ac:dyDescent="0.25">
      <c r="E50" s="43" t="s">
        <v>126</v>
      </c>
      <c r="F50" s="40"/>
      <c r="G50" s="46">
        <f>Assumptions!$F$12</f>
        <v>0.21</v>
      </c>
      <c r="H50" s="81">
        <f>Assumptions!$F$12</f>
        <v>0.21</v>
      </c>
      <c r="I50" s="81">
        <f>Assumptions!$F$12</f>
        <v>0.21</v>
      </c>
    </row>
    <row r="51" spans="5:9" x14ac:dyDescent="0.25">
      <c r="E51" s="42" t="s">
        <v>108</v>
      </c>
      <c r="G51" s="47">
        <f>G30/G$13</f>
        <v>0.11050203099735773</v>
      </c>
      <c r="H51" s="80">
        <f t="shared" ref="H51:I51" si="10">H30/H$13</f>
        <v>0.14189228307362112</v>
      </c>
      <c r="I51" s="80">
        <f t="shared" si="10"/>
        <v>0.16221504357027203</v>
      </c>
    </row>
    <row r="52" spans="5:9" x14ac:dyDescent="0.25">
      <c r="H52" s="35"/>
      <c r="I52" s="35"/>
    </row>
    <row r="53" spans="5:9" x14ac:dyDescent="0.25">
      <c r="E53" s="21" t="s">
        <v>258</v>
      </c>
      <c r="F53"/>
      <c r="G53" s="48" t="s">
        <v>109</v>
      </c>
      <c r="H53" s="82" t="s">
        <v>110</v>
      </c>
      <c r="I53" s="82" t="s">
        <v>111</v>
      </c>
    </row>
    <row r="54" spans="5:9" x14ac:dyDescent="0.25">
      <c r="E54" s="21" t="s">
        <v>3</v>
      </c>
      <c r="G54" s="50"/>
      <c r="H54" s="83">
        <f>H11/G11-1</f>
        <v>0.36999999999999988</v>
      </c>
      <c r="I54" s="83">
        <f>I11/H11-1</f>
        <v>0.37000000000000011</v>
      </c>
    </row>
  </sheetData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12E3-86B3-454E-A9D6-41AE1BFDD3A7}">
  <sheetPr>
    <pageSetUpPr fitToPage="1"/>
  </sheetPr>
  <dimension ref="A1:T73"/>
  <sheetViews>
    <sheetView showGridLines="0" tabSelected="1" topLeftCell="A16" zoomScaleNormal="100" zoomScaleSheetLayoutView="100" workbookViewId="0">
      <selection activeCell="N49" sqref="N49"/>
    </sheetView>
  </sheetViews>
  <sheetFormatPr defaultRowHeight="15" x14ac:dyDescent="0.25"/>
  <cols>
    <col min="1" max="6" width="1.7109375" style="127" customWidth="1"/>
    <col min="7" max="7" width="40" style="127" bestFit="1" customWidth="1"/>
    <col min="8" max="8" width="1.7109375" style="127" customWidth="1"/>
    <col min="9" max="9" width="14.28515625" style="127" customWidth="1"/>
    <col min="10" max="10" width="28.5703125" style="127" customWidth="1"/>
    <col min="11" max="11" width="14.28515625" style="127" customWidth="1"/>
    <col min="12" max="12" width="11.140625" style="127" bestFit="1" customWidth="1"/>
    <col min="13" max="13" width="12.28515625" style="127" bestFit="1" customWidth="1"/>
    <col min="14" max="14" width="23.85546875" style="159" customWidth="1"/>
    <col min="15" max="20" width="9.140625" style="127"/>
    <col min="21" max="23" width="1.7109375" style="127" customWidth="1"/>
    <col min="24" max="16384" width="9.140625" style="127"/>
  </cols>
  <sheetData>
    <row r="1" spans="1:16" x14ac:dyDescent="0.25">
      <c r="N1" s="127"/>
    </row>
    <row r="2" spans="1:16" x14ac:dyDescent="0.25">
      <c r="N2" s="127"/>
    </row>
    <row r="3" spans="1:16" x14ac:dyDescent="0.25">
      <c r="N3" s="127"/>
    </row>
    <row r="4" spans="1:16" ht="18" customHeight="1" x14ac:dyDescent="0.3">
      <c r="E4" s="128" t="e">
        <f>#REF!&amp;"'s Balance Sheet"</f>
        <v>#REF!</v>
      </c>
      <c r="F4" s="128"/>
      <c r="N4" s="127"/>
    </row>
    <row r="5" spans="1:16" ht="2.1" customHeight="1" x14ac:dyDescent="0.3">
      <c r="E5" s="128"/>
      <c r="F5" s="128"/>
      <c r="N5" s="127"/>
    </row>
    <row r="6" spans="1:16" x14ac:dyDescent="0.25">
      <c r="E6" s="129" t="s">
        <v>107</v>
      </c>
      <c r="F6" s="129"/>
      <c r="N6" s="127"/>
    </row>
    <row r="7" spans="1:16" ht="0.95" customHeight="1" x14ac:dyDescent="0.25">
      <c r="E7" s="129"/>
      <c r="F7" s="129"/>
      <c r="N7" s="127"/>
    </row>
    <row r="8" spans="1:16" ht="0.95" customHeight="1" x14ac:dyDescent="0.25">
      <c r="E8" s="129"/>
      <c r="F8" s="129"/>
      <c r="N8" s="127"/>
    </row>
    <row r="9" spans="1:16" x14ac:dyDescent="0.25">
      <c r="I9" s="130" t="s">
        <v>109</v>
      </c>
      <c r="J9" s="130" t="s">
        <v>110</v>
      </c>
      <c r="K9" s="130" t="s">
        <v>111</v>
      </c>
      <c r="M9" s="112"/>
      <c r="N9" s="127"/>
    </row>
    <row r="10" spans="1:16" x14ac:dyDescent="0.25">
      <c r="I10" s="142"/>
      <c r="J10" s="142"/>
      <c r="K10" s="142"/>
      <c r="M10" s="112"/>
      <c r="N10" s="127"/>
    </row>
    <row r="11" spans="1:16" x14ac:dyDescent="0.25">
      <c r="E11" s="158" t="s">
        <v>55</v>
      </c>
      <c r="F11" s="158"/>
      <c r="G11" s="158"/>
      <c r="H11" s="134"/>
      <c r="I11" s="146"/>
      <c r="J11" s="134"/>
      <c r="K11" s="134"/>
      <c r="M11" s="112"/>
      <c r="N11" s="127"/>
    </row>
    <row r="12" spans="1:16" x14ac:dyDescent="0.25">
      <c r="F12" s="112" t="s">
        <v>134</v>
      </c>
      <c r="G12" s="112"/>
      <c r="H12" s="112"/>
      <c r="I12" s="66"/>
      <c r="J12" s="112"/>
      <c r="K12" s="112"/>
      <c r="M12" s="112"/>
      <c r="N12" s="229" t="s">
        <v>270</v>
      </c>
    </row>
    <row r="13" spans="1:16" x14ac:dyDescent="0.25">
      <c r="G13" s="112" t="s">
        <v>135</v>
      </c>
      <c r="H13" s="132"/>
      <c r="I13" s="113">
        <f>'Cash Flow Statement'!I52</f>
        <v>89974.474399999948</v>
      </c>
      <c r="J13" s="113">
        <f>'Cash Flow Statement'!J52</f>
        <v>145856.73178224958</v>
      </c>
      <c r="K13" s="113">
        <f>'Cash Flow Statement'!K52</f>
        <v>125977.87329866449</v>
      </c>
      <c r="L13" s="113"/>
      <c r="M13" s="113"/>
      <c r="N13" s="230" t="s">
        <v>271</v>
      </c>
      <c r="O13" s="160"/>
    </row>
    <row r="14" spans="1:16" s="131" customFormat="1" x14ac:dyDescent="0.25">
      <c r="A14" s="129"/>
      <c r="B14" s="129"/>
      <c r="C14" s="129"/>
      <c r="D14" s="129"/>
      <c r="E14" s="129"/>
      <c r="F14" s="129"/>
      <c r="G14" s="112" t="s">
        <v>136</v>
      </c>
      <c r="H14" s="116"/>
      <c r="I14" s="125">
        <f>'Company Statements'!C78</f>
        <v>239718</v>
      </c>
      <c r="J14" s="125">
        <f>J67*J22+'Cash Flow Statement'!J35</f>
        <v>258751.90862715043</v>
      </c>
      <c r="K14" s="125">
        <f>K67*K22+'Cash Flow Statement'!K35</f>
        <v>354490.11481919611</v>
      </c>
      <c r="L14" s="125"/>
      <c r="M14" s="113"/>
      <c r="N14" s="159"/>
      <c r="O14" s="160"/>
      <c r="P14" s="161"/>
    </row>
    <row r="15" spans="1:16" x14ac:dyDescent="0.25">
      <c r="G15" s="112" t="s">
        <v>137</v>
      </c>
      <c r="H15" s="112"/>
      <c r="I15" s="125">
        <f>'Company Statements'!C81</f>
        <v>94922</v>
      </c>
      <c r="J15" s="125">
        <f>'Working Capital'!J10-'Cash Flow Statement'!J15</f>
        <v>129519.80000000003</v>
      </c>
      <c r="K15" s="125">
        <f>'Working Capital'!K10-'Cash Flow Statement'!K15</f>
        <v>177442.12600000005</v>
      </c>
      <c r="L15" s="125"/>
      <c r="M15" s="113"/>
      <c r="N15" s="159" t="s">
        <v>279</v>
      </c>
      <c r="O15" s="160"/>
    </row>
    <row r="16" spans="1:16" x14ac:dyDescent="0.25">
      <c r="G16" s="112" t="s">
        <v>138</v>
      </c>
      <c r="H16" s="112"/>
      <c r="I16" s="125">
        <f>'Company Statements'!C82</f>
        <v>10353</v>
      </c>
      <c r="J16" s="125">
        <f>'Working Capital'!J11</f>
        <v>14183.61</v>
      </c>
      <c r="K16" s="125">
        <f>'Working Capital'!K11</f>
        <v>19431.545700000002</v>
      </c>
      <c r="L16" s="125"/>
      <c r="M16" s="113"/>
      <c r="N16" s="159" t="s">
        <v>271</v>
      </c>
      <c r="O16" s="160"/>
    </row>
    <row r="17" spans="5:17" x14ac:dyDescent="0.25">
      <c r="F17" s="134"/>
      <c r="G17" s="134" t="s">
        <v>139</v>
      </c>
      <c r="H17" s="134"/>
      <c r="I17" s="148">
        <f>'Company Statements'!C83</f>
        <v>26846</v>
      </c>
      <c r="J17" s="148">
        <f>'Working Capital'!J12</f>
        <v>36779.020000000004</v>
      </c>
      <c r="K17" s="148">
        <f>'Working Capital'!K12</f>
        <v>50387.257400000002</v>
      </c>
      <c r="L17" s="148"/>
      <c r="M17" s="113"/>
      <c r="N17" s="159" t="s">
        <v>280</v>
      </c>
      <c r="O17" s="160"/>
    </row>
    <row r="18" spans="5:17" x14ac:dyDescent="0.25">
      <c r="F18" s="127" t="s">
        <v>140</v>
      </c>
      <c r="G18" s="112"/>
      <c r="H18" s="112"/>
      <c r="I18" s="113">
        <f>SUM(I13:I17)</f>
        <v>461813.47439999995</v>
      </c>
      <c r="J18" s="113">
        <f>SUM(J13:J17)</f>
        <v>585091.07040940004</v>
      </c>
      <c r="K18" s="113">
        <f>SUM(K13:K17)</f>
        <v>727728.9172178607</v>
      </c>
      <c r="L18" s="113"/>
      <c r="M18" s="113"/>
      <c r="O18" s="160"/>
    </row>
    <row r="19" spans="5:17" s="133" customFormat="1" x14ac:dyDescent="0.25">
      <c r="G19" s="132"/>
      <c r="H19" s="132"/>
      <c r="I19" s="149"/>
      <c r="J19" s="132"/>
      <c r="K19" s="132"/>
      <c r="L19" s="132"/>
      <c r="M19" s="113"/>
      <c r="N19" s="162"/>
    </row>
    <row r="20" spans="5:17" x14ac:dyDescent="0.25">
      <c r="F20" s="127" t="s">
        <v>141</v>
      </c>
      <c r="G20" s="112"/>
      <c r="H20" s="112"/>
      <c r="I20" s="112"/>
      <c r="J20" s="112"/>
      <c r="K20" s="112"/>
      <c r="L20" s="112"/>
      <c r="M20" s="113"/>
    </row>
    <row r="21" spans="5:17" s="133" customFormat="1" x14ac:dyDescent="0.25">
      <c r="G21" s="112" t="s">
        <v>177</v>
      </c>
      <c r="H21" s="132"/>
      <c r="I21" s="113">
        <f>'Company Statements'!C85</f>
        <v>11729</v>
      </c>
      <c r="J21" s="113">
        <f>'Depreciation &amp; Amortization'!M51</f>
        <v>17073.724034824343</v>
      </c>
      <c r="K21" s="113">
        <f>'Depreciation &amp; Amortization'!N51</f>
        <v>26194.778382993954</v>
      </c>
      <c r="L21" s="113"/>
      <c r="M21" s="113"/>
      <c r="N21" s="159"/>
      <c r="O21" s="160"/>
      <c r="P21" s="163"/>
      <c r="Q21" s="164"/>
    </row>
    <row r="22" spans="5:17" x14ac:dyDescent="0.25">
      <c r="G22" s="112" t="s">
        <v>142</v>
      </c>
      <c r="H22" s="112"/>
      <c r="I22" s="125">
        <f>'Company Statements'!C86</f>
        <v>96551</v>
      </c>
      <c r="J22" s="125">
        <f>Investments!J13</f>
        <v>104217.27</v>
      </c>
      <c r="K22" s="125">
        <f>Investments!K13</f>
        <v>142777.6599</v>
      </c>
      <c r="L22" s="125"/>
      <c r="M22" s="113"/>
      <c r="O22" s="160"/>
    </row>
    <row r="23" spans="5:17" x14ac:dyDescent="0.25">
      <c r="G23" s="112" t="s">
        <v>66</v>
      </c>
      <c r="H23" s="112"/>
      <c r="I23" s="125">
        <f>'Company Statements'!C87</f>
        <v>9494</v>
      </c>
      <c r="J23" s="125">
        <f>I23</f>
        <v>9494</v>
      </c>
      <c r="K23" s="125">
        <f>J23</f>
        <v>9494</v>
      </c>
      <c r="L23" s="125"/>
      <c r="M23" s="113"/>
      <c r="O23" s="160"/>
    </row>
    <row r="24" spans="5:17" x14ac:dyDescent="0.25">
      <c r="G24" s="112" t="s">
        <v>143</v>
      </c>
      <c r="H24" s="112"/>
      <c r="I24" s="125">
        <f>'Company Statements'!C88</f>
        <v>7491</v>
      </c>
      <c r="J24" s="125">
        <f>'Depreciation &amp; Amortization'!M58</f>
        <v>5458</v>
      </c>
      <c r="K24" s="125">
        <f>'Depreciation &amp; Amortization'!N58</f>
        <v>3739</v>
      </c>
      <c r="L24" s="125"/>
      <c r="M24" s="113"/>
      <c r="O24" s="160"/>
      <c r="P24" s="160"/>
    </row>
    <row r="25" spans="5:17" x14ac:dyDescent="0.25">
      <c r="G25" s="112" t="s">
        <v>144</v>
      </c>
      <c r="H25" s="112"/>
      <c r="I25" s="125">
        <f>'Company Statements'!C89</f>
        <v>12038</v>
      </c>
      <c r="J25" s="125">
        <f>J63*'Income Statement'!H20</f>
        <v>16469.098800000003</v>
      </c>
      <c r="K25" s="125">
        <f>K63*'Income Statement'!I20</f>
        <v>22562.665356000001</v>
      </c>
      <c r="L25" s="125"/>
      <c r="M25" s="113"/>
      <c r="O25" s="160"/>
      <c r="P25" s="160"/>
    </row>
    <row r="26" spans="5:17" x14ac:dyDescent="0.25">
      <c r="G26" s="112" t="s">
        <v>145</v>
      </c>
      <c r="H26" s="112"/>
      <c r="I26" s="125">
        <f>'Company Statements'!C90</f>
        <v>18982</v>
      </c>
      <c r="J26" s="125">
        <f>J64*'Income Statement'!H13</f>
        <v>26005.34</v>
      </c>
      <c r="K26" s="125">
        <f>K64*'Income Statement'!I13</f>
        <v>35627.315800000004</v>
      </c>
      <c r="L26" s="125"/>
      <c r="M26" s="113"/>
      <c r="O26" s="160"/>
    </row>
    <row r="27" spans="5:17" x14ac:dyDescent="0.25">
      <c r="F27" s="134"/>
      <c r="G27" s="134" t="s">
        <v>146</v>
      </c>
      <c r="H27" s="134"/>
      <c r="I27" s="148">
        <f>'Company Statements'!C91</f>
        <v>69</v>
      </c>
      <c r="J27" s="148">
        <v>0</v>
      </c>
      <c r="K27" s="148">
        <v>0</v>
      </c>
      <c r="L27" s="148"/>
      <c r="M27" s="113"/>
      <c r="O27" s="160"/>
    </row>
    <row r="28" spans="5:17" x14ac:dyDescent="0.25">
      <c r="F28" s="127" t="s">
        <v>147</v>
      </c>
      <c r="G28" s="112"/>
      <c r="H28" s="112"/>
      <c r="I28" s="113">
        <f>SUM(I21:I27)</f>
        <v>156354</v>
      </c>
      <c r="J28" s="113">
        <f>SUM(J21:J27)</f>
        <v>178717.43283482434</v>
      </c>
      <c r="K28" s="113">
        <f>SUM(K21:K27)</f>
        <v>240395.41943899397</v>
      </c>
      <c r="L28" s="113"/>
      <c r="M28" s="113"/>
      <c r="O28" s="160"/>
    </row>
    <row r="29" spans="5:17" x14ac:dyDescent="0.25">
      <c r="G29" s="132"/>
      <c r="H29" s="112"/>
      <c r="I29" s="165"/>
      <c r="J29" s="112"/>
      <c r="K29" s="112"/>
      <c r="L29" s="112"/>
      <c r="M29" s="113"/>
    </row>
    <row r="30" spans="5:17" s="133" customFormat="1" x14ac:dyDescent="0.25">
      <c r="E30" s="133" t="s">
        <v>148</v>
      </c>
      <c r="G30" s="132"/>
      <c r="H30" s="132"/>
      <c r="I30" s="149">
        <f>I18+I28</f>
        <v>618167.47439999995</v>
      </c>
      <c r="J30" s="149">
        <f>J18+J28</f>
        <v>763808.50324422435</v>
      </c>
      <c r="K30" s="149">
        <f>K18+K28</f>
        <v>968124.33665685472</v>
      </c>
      <c r="L30" s="149"/>
      <c r="M30" s="113"/>
      <c r="N30" s="159"/>
      <c r="O30" s="160"/>
    </row>
    <row r="31" spans="5:17" x14ac:dyDescent="0.25">
      <c r="G31" s="132"/>
      <c r="H31" s="112"/>
      <c r="I31" s="152"/>
      <c r="J31" s="112"/>
      <c r="K31" s="112"/>
      <c r="L31" s="112"/>
      <c r="M31" s="113"/>
    </row>
    <row r="32" spans="5:17" x14ac:dyDescent="0.25">
      <c r="E32" s="158" t="s">
        <v>149</v>
      </c>
      <c r="F32" s="134"/>
      <c r="G32" s="134"/>
      <c r="H32" s="134"/>
      <c r="I32" s="134"/>
      <c r="J32" s="134"/>
      <c r="K32" s="134"/>
      <c r="L32" s="134"/>
      <c r="M32" s="113"/>
    </row>
    <row r="33" spans="5:15" x14ac:dyDescent="0.25">
      <c r="F33" s="127" t="s">
        <v>150</v>
      </c>
      <c r="M33" s="113"/>
    </row>
    <row r="34" spans="5:15" x14ac:dyDescent="0.25">
      <c r="G34" s="127" t="s">
        <v>151</v>
      </c>
      <c r="I34" s="113">
        <f>'Company Statements'!C95</f>
        <v>5028</v>
      </c>
      <c r="J34" s="166">
        <f>'Working Capital'!J16</f>
        <v>6888.3600000000015</v>
      </c>
      <c r="K34" s="166">
        <f>'Working Capital'!K16</f>
        <v>9437.0532000000021</v>
      </c>
      <c r="L34" s="166"/>
      <c r="M34" s="113"/>
      <c r="O34" s="160"/>
    </row>
    <row r="35" spans="5:15" x14ac:dyDescent="0.25">
      <c r="G35" s="127" t="s">
        <v>152</v>
      </c>
      <c r="I35" s="125">
        <f>'Company Statements'!C96</f>
        <v>24659</v>
      </c>
      <c r="J35" s="136">
        <f>'Working Capital'!J18</f>
        <v>33782.83</v>
      </c>
      <c r="K35" s="136">
        <f>'Working Capital'!K18</f>
        <v>46282.477100000004</v>
      </c>
      <c r="L35" s="136"/>
      <c r="M35" s="113"/>
      <c r="O35" s="160"/>
    </row>
    <row r="36" spans="5:15" x14ac:dyDescent="0.25">
      <c r="G36" s="127" t="s">
        <v>153</v>
      </c>
      <c r="I36" s="125">
        <f>'Company Statements'!C97</f>
        <v>10878</v>
      </c>
      <c r="J36" s="136">
        <f>'Working Capital'!J17</f>
        <v>14902.860000000002</v>
      </c>
      <c r="K36" s="136">
        <f>'Working Capital'!K17</f>
        <v>20416.918200000004</v>
      </c>
      <c r="L36" s="136"/>
      <c r="M36" s="113"/>
      <c r="O36" s="160"/>
    </row>
    <row r="37" spans="5:15" x14ac:dyDescent="0.25">
      <c r="F37" s="134"/>
      <c r="G37" s="134" t="s">
        <v>154</v>
      </c>
      <c r="H37" s="134"/>
      <c r="I37" s="148">
        <f>'Company Statements'!C98</f>
        <v>84015</v>
      </c>
      <c r="J37" s="148">
        <f>'Working Capital'!J19</f>
        <v>115100.55000000002</v>
      </c>
      <c r="K37" s="148">
        <f>'Working Capital'!K19</f>
        <v>157687.75350000002</v>
      </c>
      <c r="L37" s="148"/>
      <c r="M37" s="113"/>
      <c r="O37" s="160"/>
    </row>
    <row r="38" spans="5:15" x14ac:dyDescent="0.25">
      <c r="F38" s="127" t="s">
        <v>155</v>
      </c>
      <c r="I38" s="113">
        <f>SUM(I34:I37)</f>
        <v>124580</v>
      </c>
      <c r="J38" s="113">
        <f>SUM(J34:J37)</f>
        <v>170674.60000000003</v>
      </c>
      <c r="K38" s="113">
        <f>SUM(K34:K37)</f>
        <v>233824.20200000005</v>
      </c>
      <c r="L38" s="113"/>
      <c r="M38" s="113"/>
      <c r="O38" s="160"/>
    </row>
    <row r="39" spans="5:15" x14ac:dyDescent="0.25">
      <c r="I39" s="113"/>
      <c r="M39" s="113"/>
    </row>
    <row r="40" spans="5:15" x14ac:dyDescent="0.25">
      <c r="F40" s="127" t="s">
        <v>156</v>
      </c>
      <c r="M40" s="113"/>
    </row>
    <row r="41" spans="5:15" x14ac:dyDescent="0.25">
      <c r="G41" s="127" t="s">
        <v>157</v>
      </c>
      <c r="I41" s="113">
        <f>'Company Statements'!C100</f>
        <v>173647</v>
      </c>
      <c r="J41" s="143">
        <f>Debt!J14</f>
        <v>180299</v>
      </c>
      <c r="K41" s="143">
        <f>Debt!K14</f>
        <v>186951</v>
      </c>
      <c r="L41" s="143"/>
      <c r="M41" s="113"/>
      <c r="O41" s="160"/>
    </row>
    <row r="42" spans="5:15" x14ac:dyDescent="0.25">
      <c r="G42" s="127" t="s">
        <v>154</v>
      </c>
      <c r="I42" s="125">
        <f>'Company Statements'!C101</f>
        <v>2130</v>
      </c>
      <c r="J42" s="125">
        <f>J69*'Income Statement'!H13</f>
        <v>2918.1000000000004</v>
      </c>
      <c r="K42" s="125">
        <f>K69*'Income Statement'!I13</f>
        <v>3997.7970000000005</v>
      </c>
      <c r="L42" s="125"/>
      <c r="M42" s="113"/>
      <c r="O42" s="160"/>
    </row>
    <row r="43" spans="5:15" x14ac:dyDescent="0.25">
      <c r="G43" s="127" t="s">
        <v>158</v>
      </c>
      <c r="I43" s="125">
        <f>'Company Statements'!C102</f>
        <v>4345</v>
      </c>
      <c r="J43" s="125">
        <f>J70*'Income Statement'!H22</f>
        <v>5416.4076529353233</v>
      </c>
      <c r="K43" s="125">
        <f>K70*'Income Statement'!I22</f>
        <v>7214.7176446323401</v>
      </c>
      <c r="L43" s="125"/>
      <c r="M43" s="113"/>
      <c r="O43" s="160"/>
    </row>
    <row r="44" spans="5:15" x14ac:dyDescent="0.25">
      <c r="F44" s="134"/>
      <c r="G44" s="134" t="s">
        <v>159</v>
      </c>
      <c r="H44" s="134"/>
      <c r="I44" s="148">
        <f>'Company Statements'!C103</f>
        <v>11647</v>
      </c>
      <c r="J44" s="148">
        <f>I44-'Cash Flow Statement'!J16</f>
        <v>20071.33729779036</v>
      </c>
      <c r="K44" s="148">
        <f>J44-'Cash Flow Statement'!K16</f>
        <v>33265.707496983559</v>
      </c>
      <c r="L44" s="148"/>
      <c r="M44" s="113"/>
      <c r="O44" s="160"/>
    </row>
    <row r="45" spans="5:15" x14ac:dyDescent="0.25">
      <c r="F45" s="127" t="s">
        <v>160</v>
      </c>
      <c r="I45" s="143">
        <f>SUM(I41:I44)</f>
        <v>191769</v>
      </c>
      <c r="J45" s="143">
        <f>SUM(J41:J44)</f>
        <v>208704.8449507257</v>
      </c>
      <c r="K45" s="143">
        <f>SUM(K41:K44)</f>
        <v>231429.22214161587</v>
      </c>
      <c r="L45" s="143"/>
      <c r="M45" s="113"/>
      <c r="O45" s="160"/>
    </row>
    <row r="46" spans="5:15" x14ac:dyDescent="0.25">
      <c r="M46" s="113"/>
    </row>
    <row r="47" spans="5:15" x14ac:dyDescent="0.25">
      <c r="E47" s="133" t="s">
        <v>161</v>
      </c>
      <c r="F47" s="133"/>
      <c r="G47" s="132"/>
      <c r="H47" s="132"/>
      <c r="I47" s="149">
        <f>I38+I45</f>
        <v>316349</v>
      </c>
      <c r="J47" s="149">
        <f>J38+J45</f>
        <v>379379.44495072577</v>
      </c>
      <c r="K47" s="149">
        <f>K38+K45</f>
        <v>465253.42414161592</v>
      </c>
      <c r="L47" s="149"/>
      <c r="M47" s="113"/>
      <c r="O47" s="160"/>
    </row>
    <row r="48" spans="5:15" x14ac:dyDescent="0.25">
      <c r="M48" s="113"/>
    </row>
    <row r="49" spans="5:20" x14ac:dyDescent="0.25">
      <c r="F49" s="127" t="s">
        <v>162</v>
      </c>
      <c r="M49" s="113"/>
      <c r="O49" s="136"/>
    </row>
    <row r="50" spans="5:20" x14ac:dyDescent="0.25">
      <c r="G50" s="127" t="s">
        <v>131</v>
      </c>
      <c r="I50" s="125">
        <f>'Income Statement'!G34*0.0001</f>
        <v>6.4744000000000002</v>
      </c>
      <c r="J50" s="136">
        <f>I50</f>
        <v>6.4744000000000002</v>
      </c>
      <c r="K50" s="136">
        <f>J50</f>
        <v>6.4744000000000002</v>
      </c>
      <c r="L50" s="136"/>
      <c r="M50" s="113"/>
      <c r="O50" s="160"/>
      <c r="P50" s="167"/>
      <c r="Q50" s="167"/>
      <c r="R50" s="167"/>
      <c r="S50" s="167"/>
      <c r="T50" s="167"/>
    </row>
    <row r="51" spans="5:20" x14ac:dyDescent="0.25">
      <c r="G51" s="127" t="s">
        <v>132</v>
      </c>
      <c r="I51" s="136">
        <f>'Company Statements'!C119</f>
        <v>315291</v>
      </c>
      <c r="J51" s="136">
        <f>I51+'Cash Flow Statement'!J14-'Cash Flow Statement'!J18+'Cash Flow Statement'!J43+'Cash Flow Statement'!J44+'Cash Flow Statement'!J45</f>
        <v>348655.42832543945</v>
      </c>
      <c r="K51" s="136">
        <f>J51+'Cash Flow Statement'!K14-'Cash Flow Statement'!K18+'Cash Flow Statement'!K43+'Cash Flow Statement'!K44+'Cash Flow Statement'!K45</f>
        <v>393114.92692580476</v>
      </c>
      <c r="L51" s="136"/>
      <c r="M51" s="113"/>
      <c r="O51" s="160"/>
      <c r="Q51" s="136"/>
      <c r="R51" s="136"/>
      <c r="S51" s="136"/>
      <c r="T51" s="160"/>
    </row>
    <row r="52" spans="5:20" x14ac:dyDescent="0.25">
      <c r="G52" s="127" t="s">
        <v>322</v>
      </c>
      <c r="I52" s="136">
        <f>'Company Statements'!C120</f>
        <v>-12908</v>
      </c>
      <c r="J52" s="136">
        <f>I52+'Income Statement'!H30</f>
        <v>36384.087920000005</v>
      </c>
      <c r="K52" s="136">
        <f>J52+'Income Statement'!I30</f>
        <v>113586.36899179996</v>
      </c>
      <c r="L52" s="136"/>
      <c r="M52" s="113"/>
      <c r="O52" s="160"/>
      <c r="P52" s="160"/>
    </row>
    <row r="53" spans="5:20" x14ac:dyDescent="0.25">
      <c r="F53" s="134"/>
      <c r="G53" s="134" t="s">
        <v>163</v>
      </c>
      <c r="H53" s="134"/>
      <c r="I53" s="148">
        <f>'Company Statements'!C121</f>
        <v>-571</v>
      </c>
      <c r="J53" s="168">
        <f>J71*J22</f>
        <v>-616.33811322513498</v>
      </c>
      <c r="K53" s="168">
        <f>K71*K22</f>
        <v>-844.3832151184348</v>
      </c>
      <c r="L53" s="168"/>
      <c r="M53" s="113"/>
      <c r="O53" s="160"/>
    </row>
    <row r="54" spans="5:20" x14ac:dyDescent="0.25">
      <c r="E54" s="133" t="s">
        <v>164</v>
      </c>
      <c r="F54" s="133"/>
      <c r="G54" s="133"/>
      <c r="H54" s="133"/>
      <c r="I54" s="145">
        <f>SUM(I50:I53)</f>
        <v>301818.47440000001</v>
      </c>
      <c r="J54" s="145">
        <f>SUM(J50:J53)</f>
        <v>384429.65253221436</v>
      </c>
      <c r="K54" s="145">
        <f>SUM(K50:K53)</f>
        <v>505863.38710248627</v>
      </c>
      <c r="L54" s="145"/>
      <c r="M54" s="113"/>
      <c r="O54" s="160"/>
    </row>
    <row r="55" spans="5:20" x14ac:dyDescent="0.25">
      <c r="M55" s="113"/>
    </row>
    <row r="56" spans="5:20" x14ac:dyDescent="0.25">
      <c r="E56" s="133" t="s">
        <v>165</v>
      </c>
      <c r="I56" s="145">
        <f>I47+I54</f>
        <v>618167.47439999995</v>
      </c>
      <c r="J56" s="145">
        <f>J47+J54</f>
        <v>763809.09748294018</v>
      </c>
      <c r="K56" s="145">
        <f>K47+K54</f>
        <v>971116.81124410219</v>
      </c>
      <c r="L56" s="145"/>
      <c r="M56" s="113"/>
      <c r="O56" s="160"/>
    </row>
    <row r="57" spans="5:20" x14ac:dyDescent="0.25">
      <c r="M57" s="112"/>
    </row>
    <row r="59" spans="5:20" x14ac:dyDescent="0.25">
      <c r="G59" s="231" t="s">
        <v>166</v>
      </c>
      <c r="H59" s="231"/>
      <c r="I59" s="231" t="b">
        <f>I56=I30</f>
        <v>1</v>
      </c>
      <c r="J59" s="231" t="b">
        <f>J56=J30</f>
        <v>0</v>
      </c>
      <c r="K59" s="231" t="b">
        <f>K56=K30</f>
        <v>0</v>
      </c>
    </row>
    <row r="60" spans="5:20" x14ac:dyDescent="0.25">
      <c r="G60" s="231"/>
      <c r="H60" s="231"/>
      <c r="I60" s="232">
        <f>I30-I56</f>
        <v>0</v>
      </c>
      <c r="J60" s="233">
        <f>J30-J56</f>
        <v>-0.59423871582839638</v>
      </c>
      <c r="K60" s="233">
        <f>K30-K56</f>
        <v>-2992.4745872474741</v>
      </c>
      <c r="M60" s="169"/>
    </row>
    <row r="61" spans="5:20" s="133" customFormat="1" x14ac:dyDescent="0.25">
      <c r="E61" s="156" t="s">
        <v>309</v>
      </c>
      <c r="F61" s="156"/>
      <c r="G61" s="156"/>
      <c r="H61" s="156"/>
      <c r="I61" s="170"/>
      <c r="J61" s="143"/>
      <c r="K61" s="171"/>
      <c r="N61" s="162"/>
    </row>
    <row r="62" spans="5:20" x14ac:dyDescent="0.25">
      <c r="E62" s="129" t="s">
        <v>142</v>
      </c>
      <c r="F62" s="129"/>
      <c r="G62" s="129"/>
      <c r="H62" s="129"/>
      <c r="I62" s="131"/>
      <c r="J62" s="129"/>
      <c r="K62" s="129"/>
    </row>
    <row r="63" spans="5:20" x14ac:dyDescent="0.25">
      <c r="E63" s="129" t="s">
        <v>343</v>
      </c>
      <c r="F63" s="129"/>
      <c r="G63" s="129"/>
      <c r="H63" s="129"/>
      <c r="I63" s="131">
        <f>I25/'Income Statement'!G20</f>
        <v>0.11015336188280078</v>
      </c>
      <c r="J63" s="172">
        <v>0.11</v>
      </c>
      <c r="K63" s="172">
        <f t="shared" ref="J63:K67" si="0">J63</f>
        <v>0.11</v>
      </c>
    </row>
    <row r="64" spans="5:20" x14ac:dyDescent="0.25">
      <c r="E64" s="129" t="s">
        <v>310</v>
      </c>
      <c r="F64" s="129"/>
      <c r="G64" s="129"/>
      <c r="H64" s="129"/>
      <c r="I64" s="131">
        <f>I26/'Income Statement'!G13</f>
        <v>7.4859013290215715E-2</v>
      </c>
      <c r="J64" s="172">
        <f t="shared" si="0"/>
        <v>7.4859013290215715E-2</v>
      </c>
      <c r="K64" s="172">
        <f t="shared" si="0"/>
        <v>7.4859013290215715E-2</v>
      </c>
    </row>
    <row r="65" spans="5:11" x14ac:dyDescent="0.25">
      <c r="E65" s="129" t="s">
        <v>352</v>
      </c>
      <c r="F65" s="129"/>
      <c r="G65" s="129"/>
      <c r="H65" s="129"/>
      <c r="I65" s="131">
        <f>I27/'Income Statement'!G13</f>
        <v>2.7211420909413573E-4</v>
      </c>
      <c r="J65" s="172">
        <f>I65</f>
        <v>2.7211420909413573E-4</v>
      </c>
      <c r="K65" s="172">
        <f>J65</f>
        <v>2.7211420909413573E-4</v>
      </c>
    </row>
    <row r="66" spans="5:11" x14ac:dyDescent="0.25">
      <c r="E66" s="129" t="s">
        <v>351</v>
      </c>
      <c r="F66" s="129"/>
      <c r="G66" s="129"/>
      <c r="H66" s="129"/>
      <c r="I66" s="131">
        <f>I44/'Income Statement'!G13</f>
        <v>4.5932089758252158E-2</v>
      </c>
      <c r="J66" s="172">
        <f t="shared" si="0"/>
        <v>4.5932089758252158E-2</v>
      </c>
      <c r="K66" s="172">
        <f t="shared" si="0"/>
        <v>4.5932089758252158E-2</v>
      </c>
    </row>
    <row r="67" spans="5:11" x14ac:dyDescent="0.25">
      <c r="E67" s="129" t="s">
        <v>354</v>
      </c>
      <c r="F67" s="129"/>
      <c r="G67" s="129"/>
      <c r="H67" s="129"/>
      <c r="I67" s="131">
        <f>I14/I22</f>
        <v>2.4828121925200155</v>
      </c>
      <c r="J67" s="172">
        <f>I67</f>
        <v>2.4828121925200155</v>
      </c>
      <c r="K67" s="172">
        <f t="shared" si="0"/>
        <v>2.4828121925200155</v>
      </c>
    </row>
    <row r="68" spans="5:11" x14ac:dyDescent="0.25">
      <c r="E68" s="129"/>
      <c r="F68" s="129"/>
      <c r="G68" s="129"/>
      <c r="H68" s="129"/>
      <c r="I68" s="131"/>
      <c r="J68" s="129"/>
      <c r="K68" s="129"/>
    </row>
    <row r="69" spans="5:11" x14ac:dyDescent="0.25">
      <c r="E69" s="127" t="s">
        <v>284</v>
      </c>
      <c r="F69" s="129"/>
      <c r="G69" s="129"/>
      <c r="H69" s="129"/>
      <c r="I69" s="131">
        <f>I42/'Income Statement'!G13</f>
        <v>8.4000473242102774E-3</v>
      </c>
      <c r="J69" s="172">
        <f t="shared" ref="J69:K71" si="1">I69</f>
        <v>8.4000473242102774E-3</v>
      </c>
      <c r="K69" s="172">
        <f t="shared" si="1"/>
        <v>8.4000473242102774E-3</v>
      </c>
    </row>
    <row r="70" spans="5:11" x14ac:dyDescent="0.25">
      <c r="E70" s="127" t="s">
        <v>321</v>
      </c>
      <c r="I70" s="173">
        <f>I43/'Income Statement'!G22</f>
        <v>2.1616915422885571E-2</v>
      </c>
      <c r="J70" s="173">
        <f t="shared" si="1"/>
        <v>2.1616915422885571E-2</v>
      </c>
      <c r="K70" s="174">
        <f t="shared" si="1"/>
        <v>2.1616915422885571E-2</v>
      </c>
    </row>
    <row r="71" spans="5:11" x14ac:dyDescent="0.25">
      <c r="E71" s="129" t="str">
        <f>G53</f>
        <v>Accumulated Other Comprehensive Loss</v>
      </c>
      <c r="F71" s="129"/>
      <c r="G71" s="129"/>
      <c r="H71" s="129"/>
      <c r="I71" s="131">
        <f>I53/I22</f>
        <v>-5.9139729262255181E-3</v>
      </c>
      <c r="J71" s="173">
        <f t="shared" si="1"/>
        <v>-5.9139729262255181E-3</v>
      </c>
      <c r="K71" s="173">
        <f t="shared" si="1"/>
        <v>-5.9139729262255181E-3</v>
      </c>
    </row>
    <row r="72" spans="5:11" x14ac:dyDescent="0.25">
      <c r="E72" s="129"/>
      <c r="F72" s="129"/>
      <c r="G72" s="129"/>
      <c r="H72" s="129"/>
      <c r="I72" s="175"/>
      <c r="J72" s="173"/>
      <c r="K72" s="174"/>
    </row>
    <row r="73" spans="5:11" x14ac:dyDescent="0.25">
      <c r="E73" s="129"/>
      <c r="F73" s="129"/>
      <c r="G73" s="129"/>
      <c r="H73" s="129"/>
      <c r="I73" s="129"/>
      <c r="J73" s="129"/>
      <c r="K73" s="129"/>
    </row>
  </sheetData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AA97-B0A2-46BB-B4DB-698E99B94E41}">
  <sheetPr>
    <pageSetUpPr fitToPage="1"/>
  </sheetPr>
  <dimension ref="A4:N64"/>
  <sheetViews>
    <sheetView showGridLines="0" zoomScaleNormal="100" zoomScaleSheetLayoutView="40" workbookViewId="0">
      <selection activeCell="K34" sqref="K34"/>
    </sheetView>
  </sheetViews>
  <sheetFormatPr defaultRowHeight="15" x14ac:dyDescent="0.25"/>
  <cols>
    <col min="1" max="6" width="1.7109375" style="127" customWidth="1"/>
    <col min="7" max="7" width="40" style="127" bestFit="1" customWidth="1"/>
    <col min="8" max="8" width="1.7109375" style="127" customWidth="1"/>
    <col min="9" max="11" width="14.28515625" style="127" customWidth="1"/>
    <col min="12" max="12" width="1.7109375" style="127" customWidth="1"/>
    <col min="13" max="20" width="9.140625" style="127"/>
    <col min="21" max="23" width="1.7109375" style="127" customWidth="1"/>
    <col min="24" max="16384" width="9.140625" style="127"/>
  </cols>
  <sheetData>
    <row r="4" spans="1:14" ht="18" customHeight="1" x14ac:dyDescent="0.3">
      <c r="E4" s="128" t="e">
        <f>#REF!&amp;"'s Cash Flow Statement"</f>
        <v>#REF!</v>
      </c>
      <c r="F4" s="128"/>
    </row>
    <row r="5" spans="1:14" ht="2.1" customHeight="1" x14ac:dyDescent="0.3">
      <c r="E5" s="128"/>
      <c r="F5" s="128"/>
    </row>
    <row r="6" spans="1:14" x14ac:dyDescent="0.25">
      <c r="E6" s="129" t="s">
        <v>107</v>
      </c>
      <c r="F6" s="129"/>
    </row>
    <row r="7" spans="1:14" ht="0.95" customHeight="1" x14ac:dyDescent="0.25">
      <c r="E7" s="129"/>
      <c r="F7" s="129"/>
    </row>
    <row r="8" spans="1:14" x14ac:dyDescent="0.25">
      <c r="I8" s="130" t="s">
        <v>109</v>
      </c>
      <c r="J8" s="130" t="s">
        <v>110</v>
      </c>
      <c r="K8" s="130" t="s">
        <v>111</v>
      </c>
    </row>
    <row r="9" spans="1:14" ht="0.95" customHeight="1" x14ac:dyDescent="0.25">
      <c r="D9" s="112"/>
      <c r="E9" s="132"/>
      <c r="F9" s="132"/>
      <c r="G9" s="132"/>
      <c r="H9" s="112"/>
      <c r="I9" s="113"/>
      <c r="J9" s="112"/>
      <c r="K9" s="112"/>
      <c r="L9" s="112"/>
    </row>
    <row r="10" spans="1:14" s="133" customFormat="1" x14ac:dyDescent="0.25">
      <c r="D10" s="132"/>
      <c r="E10" s="132"/>
      <c r="F10" s="132" t="s">
        <v>108</v>
      </c>
      <c r="G10" s="132"/>
      <c r="H10" s="132"/>
      <c r="I10" s="149">
        <f>'Income Statement'!G30</f>
        <v>28020</v>
      </c>
      <c r="J10" s="149">
        <f>'Income Statement'!H30</f>
        <v>49292.087920000005</v>
      </c>
      <c r="K10" s="149">
        <f>'Income Statement'!I30</f>
        <v>77202.281071799953</v>
      </c>
    </row>
    <row r="11" spans="1:14" ht="5.0999999999999996" customHeight="1" x14ac:dyDescent="0.25">
      <c r="D11" s="112"/>
      <c r="E11" s="112"/>
      <c r="F11" s="112"/>
      <c r="G11" s="112"/>
      <c r="H11" s="132"/>
      <c r="I11" s="113"/>
      <c r="J11" s="132"/>
      <c r="K11" s="132"/>
    </row>
    <row r="12" spans="1:14" s="131" customFormat="1" x14ac:dyDescent="0.25">
      <c r="A12" s="129"/>
      <c r="B12" s="129"/>
      <c r="C12" s="129"/>
      <c r="D12" s="116"/>
      <c r="E12" s="116"/>
      <c r="F12" s="116"/>
      <c r="G12" s="112" t="s">
        <v>167</v>
      </c>
      <c r="H12" s="116"/>
      <c r="I12" s="125">
        <f>-'Depreciation &amp; Amortization'!L50</f>
        <v>3836</v>
      </c>
      <c r="J12" s="125">
        <f>-'Depreciation &amp; Amortization'!M50+-'Depreciation &amp; Amortization'!M57</f>
        <v>7834.5959651756566</v>
      </c>
      <c r="K12" s="125">
        <f>-'Depreciation &amp; Amortization'!N50+-'Depreciation &amp; Amortization'!N57</f>
        <v>7868.4040518303918</v>
      </c>
    </row>
    <row r="13" spans="1:14" x14ac:dyDescent="0.25">
      <c r="D13" s="112"/>
      <c r="E13" s="112"/>
      <c r="F13" s="112"/>
      <c r="G13" s="112" t="s">
        <v>229</v>
      </c>
      <c r="H13" s="112"/>
      <c r="I13" s="125">
        <f>'Company Statements'!C132</f>
        <v>6652</v>
      </c>
      <c r="J13" s="125">
        <f>Debt!J12</f>
        <v>6652</v>
      </c>
      <c r="K13" s="125">
        <f>Debt!K12</f>
        <v>6652</v>
      </c>
    </row>
    <row r="14" spans="1:14" x14ac:dyDescent="0.25">
      <c r="D14" s="112"/>
      <c r="E14" s="112"/>
      <c r="F14" s="112"/>
      <c r="G14" s="112" t="s">
        <v>230</v>
      </c>
      <c r="H14" s="112"/>
      <c r="I14" s="125">
        <f>'Company Statements'!C133</f>
        <v>16647</v>
      </c>
      <c r="J14" s="125">
        <f>'Stock-Based Compensation'!J14</f>
        <v>19995.632410136022</v>
      </c>
      <c r="K14" s="125">
        <f>'Stock-Based Compensation'!K14</f>
        <v>26583.664703772702</v>
      </c>
    </row>
    <row r="15" spans="1:14" x14ac:dyDescent="0.25">
      <c r="D15" s="112"/>
      <c r="E15" s="112"/>
      <c r="F15" s="112"/>
      <c r="G15" s="112" t="s">
        <v>231</v>
      </c>
      <c r="H15" s="112"/>
      <c r="I15" s="125">
        <f>'Company Statements'!C134</f>
        <v>382</v>
      </c>
      <c r="J15" s="125">
        <f>J55*'Working Capital'!J10</f>
        <v>523.34000000000015</v>
      </c>
      <c r="K15" s="125">
        <f>K55*'Working Capital'!K10</f>
        <v>716.97580000000016</v>
      </c>
      <c r="N15" s="136"/>
    </row>
    <row r="16" spans="1:14" x14ac:dyDescent="0.25">
      <c r="D16" s="112"/>
      <c r="E16" s="112"/>
      <c r="F16" s="112"/>
      <c r="G16" s="112" t="s">
        <v>146</v>
      </c>
      <c r="H16" s="112"/>
      <c r="I16" s="125">
        <f>'Company Statements'!C135</f>
        <v>-3434</v>
      </c>
      <c r="J16" s="125">
        <f>J57*'Income Statement'!H29</f>
        <v>-8424.33729779036</v>
      </c>
      <c r="K16" s="125">
        <f>K57*'Income Statement'!I29</f>
        <v>-13194.370199193199</v>
      </c>
    </row>
    <row r="17" spans="4:11" x14ac:dyDescent="0.25">
      <c r="D17" s="112"/>
      <c r="E17" s="112"/>
      <c r="F17" s="112"/>
      <c r="G17" s="112" t="s">
        <v>232</v>
      </c>
      <c r="H17" s="112"/>
      <c r="I17" s="125">
        <f>'Company Statements'!C137</f>
        <v>624</v>
      </c>
      <c r="J17" s="210">
        <v>0</v>
      </c>
      <c r="K17" s="210">
        <v>0</v>
      </c>
    </row>
    <row r="18" spans="4:11" x14ac:dyDescent="0.25">
      <c r="D18" s="112"/>
      <c r="E18" s="112"/>
      <c r="F18" s="112"/>
      <c r="G18" s="112" t="s">
        <v>355</v>
      </c>
      <c r="H18" s="112"/>
      <c r="I18" s="125">
        <f>'Company Statements'!C138</f>
        <v>18</v>
      </c>
      <c r="J18" s="210">
        <f>J60*'Balance Sheet'!J21</f>
        <v>26.202321820004961</v>
      </c>
      <c r="K18" s="210">
        <f>K60*'Balance Sheet'!K21</f>
        <v>40.200017980551728</v>
      </c>
    </row>
    <row r="19" spans="4:11" x14ac:dyDescent="0.25">
      <c r="D19" s="112"/>
      <c r="E19" s="112"/>
      <c r="F19" s="112"/>
      <c r="G19" s="112"/>
      <c r="H19" s="112"/>
      <c r="J19" s="112"/>
      <c r="K19" s="112"/>
    </row>
    <row r="20" spans="4:11" s="133" customFormat="1" x14ac:dyDescent="0.25">
      <c r="D20" s="132"/>
      <c r="E20" s="132"/>
      <c r="F20" s="132" t="s">
        <v>234</v>
      </c>
      <c r="G20" s="112"/>
      <c r="H20" s="132"/>
      <c r="I20" s="125"/>
      <c r="J20" s="132"/>
      <c r="K20" s="132"/>
    </row>
    <row r="21" spans="4:11" x14ac:dyDescent="0.25">
      <c r="D21" s="112"/>
      <c r="E21" s="112"/>
      <c r="F21" s="112"/>
      <c r="G21" s="112" t="s">
        <v>233</v>
      </c>
      <c r="H21" s="112"/>
      <c r="I21" s="125">
        <f>'Company Statements'!C141</f>
        <v>-45640</v>
      </c>
      <c r="J21" s="125">
        <f>'Balance Sheet'!I15-'Balance Sheet'!J15</f>
        <v>-34597.800000000032</v>
      </c>
      <c r="K21" s="125">
        <f>'Balance Sheet'!J15-'Balance Sheet'!K15</f>
        <v>-47922.326000000015</v>
      </c>
    </row>
    <row r="22" spans="4:11" x14ac:dyDescent="0.25">
      <c r="D22" s="112"/>
      <c r="E22" s="112"/>
      <c r="F22" s="112"/>
      <c r="G22" s="112" t="s">
        <v>138</v>
      </c>
      <c r="H22" s="112"/>
      <c r="I22" s="125">
        <f>'Company Statements'!C142</f>
        <v>-12741</v>
      </c>
      <c r="J22" s="125">
        <f>('Balance Sheet'!J16-'Balance Sheet'!I16)+('Balance Sheet'!J25-'Balance Sheet'!I25)</f>
        <v>8261.708800000004</v>
      </c>
      <c r="K22" s="125">
        <f>('Balance Sheet'!K16-'Balance Sheet'!J16)+('Balance Sheet'!K25-'Balance Sheet'!J25)</f>
        <v>11341.502256</v>
      </c>
    </row>
    <row r="23" spans="4:11" x14ac:dyDescent="0.25">
      <c r="D23" s="112"/>
      <c r="E23" s="112"/>
      <c r="F23" s="112"/>
      <c r="G23" s="112" t="s">
        <v>235</v>
      </c>
      <c r="H23" s="112"/>
      <c r="I23" s="125">
        <f>'Company Statements'!C144</f>
        <v>-16077</v>
      </c>
      <c r="J23" s="125">
        <f>('Balance Sheet'!I17-'Balance Sheet'!J17)+('Balance Sheet'!I26-'Balance Sheet'!J26)</f>
        <v>-16956.360000000004</v>
      </c>
      <c r="K23" s="125">
        <f>('Balance Sheet'!J17-'Balance Sheet'!K17)+('Balance Sheet'!J26-'Balance Sheet'!K26)</f>
        <v>-23230.213200000002</v>
      </c>
    </row>
    <row r="24" spans="4:11" x14ac:dyDescent="0.25">
      <c r="D24" s="112"/>
      <c r="E24" s="112"/>
      <c r="F24" s="112"/>
      <c r="G24" s="112" t="s">
        <v>151</v>
      </c>
      <c r="H24" s="112"/>
      <c r="I24" s="125">
        <f>'Company Statements'!C145</f>
        <v>4530</v>
      </c>
      <c r="J24" s="125">
        <f>'Balance Sheet'!J34-'Balance Sheet'!I34</f>
        <v>1860.3600000000015</v>
      </c>
      <c r="K24" s="125">
        <f>'Balance Sheet'!K34-'Balance Sheet'!J34</f>
        <v>2548.6932000000006</v>
      </c>
    </row>
    <row r="25" spans="4:11" x14ac:dyDescent="0.25">
      <c r="D25" s="112"/>
      <c r="E25" s="112"/>
      <c r="F25" s="112"/>
      <c r="G25" s="112" t="s">
        <v>268</v>
      </c>
      <c r="H25" s="112"/>
      <c r="I25" s="125">
        <f>'Company Statements'!C146</f>
        <v>12898</v>
      </c>
      <c r="J25" s="125">
        <f>'Balance Sheet'!J35-'Balance Sheet'!I35</f>
        <v>9123.8300000000017</v>
      </c>
      <c r="K25" s="125">
        <f>'Balance Sheet'!K35-'Balance Sheet'!J35</f>
        <v>12499.647100000002</v>
      </c>
    </row>
    <row r="26" spans="4:11" x14ac:dyDescent="0.25">
      <c r="D26" s="112"/>
      <c r="E26" s="112"/>
      <c r="F26" s="112"/>
      <c r="G26" s="112" t="s">
        <v>236</v>
      </c>
      <c r="H26" s="112"/>
      <c r="I26" s="125">
        <f>'Company Statements'!C147</f>
        <v>671</v>
      </c>
      <c r="J26" s="125">
        <f>'Balance Sheet'!J36-'Balance Sheet'!I36</f>
        <v>4024.8600000000024</v>
      </c>
      <c r="K26" s="125">
        <f>'Balance Sheet'!K36-'Balance Sheet'!J36</f>
        <v>5514.0582000000013</v>
      </c>
    </row>
    <row r="27" spans="4:11" x14ac:dyDescent="0.25">
      <c r="D27" s="112"/>
      <c r="E27" s="112"/>
      <c r="F27" s="112"/>
      <c r="G27" s="112" t="s">
        <v>154</v>
      </c>
      <c r="H27" s="112"/>
      <c r="I27" s="125">
        <f>'Company Statements'!C148</f>
        <v>29059</v>
      </c>
      <c r="J27" s="125">
        <f>('Balance Sheet'!J37-'Balance Sheet'!I37)+('Balance Sheet'!J42-'Balance Sheet'!I42)</f>
        <v>31873.650000000016</v>
      </c>
      <c r="K27" s="125">
        <f>('Balance Sheet'!K37-'Balance Sheet'!J37)+('Balance Sheet'!K42-'Balance Sheet'!J42)</f>
        <v>43666.900500000003</v>
      </c>
    </row>
    <row r="28" spans="4:11" x14ac:dyDescent="0.25">
      <c r="D28" s="112"/>
      <c r="E28" s="112"/>
      <c r="F28" s="134"/>
      <c r="G28" s="134" t="s">
        <v>158</v>
      </c>
      <c r="H28" s="134"/>
      <c r="I28" s="148">
        <f>'Company Statements'!C149</f>
        <v>644</v>
      </c>
      <c r="J28" s="148">
        <f>'Balance Sheet'!J43-'Balance Sheet'!I43</f>
        <v>1071.4076529353233</v>
      </c>
      <c r="K28" s="148">
        <f>'Balance Sheet'!K43-'Balance Sheet'!J43</f>
        <v>1798.3099916970168</v>
      </c>
    </row>
    <row r="29" spans="4:11" s="133" customFormat="1" x14ac:dyDescent="0.25">
      <c r="D29" s="132"/>
      <c r="E29" s="132"/>
      <c r="F29" s="132" t="s">
        <v>237</v>
      </c>
      <c r="G29" s="132"/>
      <c r="H29" s="132"/>
      <c r="I29" s="149">
        <f>SUM(I10:I28)</f>
        <v>26089</v>
      </c>
      <c r="J29" s="149">
        <f>SUM(J10:J28)</f>
        <v>80561.177772276642</v>
      </c>
      <c r="K29" s="149">
        <f>SUM(K10:K28)</f>
        <v>112085.72749388742</v>
      </c>
    </row>
    <row r="30" spans="4:11" x14ac:dyDescent="0.25">
      <c r="D30" s="112"/>
      <c r="E30" s="112"/>
      <c r="F30" s="112"/>
      <c r="G30" s="132"/>
      <c r="H30" s="112"/>
      <c r="I30" s="152"/>
      <c r="J30" s="112"/>
      <c r="K30" s="112"/>
    </row>
    <row r="31" spans="4:11" x14ac:dyDescent="0.25">
      <c r="D31" s="112"/>
      <c r="E31" s="132" t="s">
        <v>238</v>
      </c>
      <c r="F31" s="112"/>
      <c r="G31" s="112"/>
      <c r="H31" s="112"/>
      <c r="I31" s="112"/>
      <c r="J31" s="112"/>
      <c r="K31" s="112"/>
    </row>
    <row r="32" spans="4:11" x14ac:dyDescent="0.25">
      <c r="D32" s="112"/>
      <c r="E32" s="112"/>
      <c r="F32" s="112" t="s">
        <v>239</v>
      </c>
      <c r="G32" s="112"/>
      <c r="H32" s="112"/>
      <c r="I32" s="113">
        <f>'Company Statements'!C153</f>
        <v>-6728</v>
      </c>
      <c r="J32" s="113">
        <f>-'Depreciation &amp; Amortization'!M49</f>
        <v>-11146.320000000002</v>
      </c>
      <c r="K32" s="113">
        <f>-'Depreciation &amp; Amortization'!N49</f>
        <v>-15270.458400000001</v>
      </c>
    </row>
    <row r="33" spans="4:14" x14ac:dyDescent="0.25">
      <c r="D33" s="112"/>
      <c r="E33" s="112"/>
      <c r="F33" s="112" t="s">
        <v>240</v>
      </c>
      <c r="G33" s="112"/>
      <c r="H33" s="112"/>
      <c r="I33" s="125">
        <f>'Company Statements'!C155</f>
        <v>-3537</v>
      </c>
      <c r="J33" s="210">
        <v>0</v>
      </c>
      <c r="K33" s="210">
        <v>0</v>
      </c>
    </row>
    <row r="34" spans="4:14" x14ac:dyDescent="0.25">
      <c r="D34" s="112"/>
      <c r="E34" s="112"/>
      <c r="F34" s="112" t="s">
        <v>241</v>
      </c>
      <c r="G34" s="112"/>
      <c r="H34" s="112"/>
      <c r="I34" s="125">
        <f>'Company Statements'!C156</f>
        <v>-445705</v>
      </c>
      <c r="J34" s="210">
        <f>Investments!J12-('Balance Sheet'!J14-'Balance Sheet'!I14)</f>
        <v>-74975.678627150439</v>
      </c>
      <c r="K34" s="210">
        <f>Investments!K12-('Balance Sheet'!K14-'Balance Sheet'!J14)</f>
        <v>-186407.23109204567</v>
      </c>
      <c r="N34" s="160"/>
    </row>
    <row r="35" spans="4:14" x14ac:dyDescent="0.25">
      <c r="D35" s="112"/>
      <c r="E35" s="112"/>
      <c r="F35" s="112" t="s">
        <v>339</v>
      </c>
      <c r="G35" s="112"/>
      <c r="H35" s="112"/>
      <c r="I35" s="125">
        <v>-986.52560000005099</v>
      </c>
      <c r="J35" s="210">
        <v>0</v>
      </c>
      <c r="K35" s="210">
        <v>0</v>
      </c>
    </row>
    <row r="36" spans="4:14" x14ac:dyDescent="0.25">
      <c r="D36" s="112"/>
      <c r="E36" s="134"/>
      <c r="F36" s="134" t="s">
        <v>242</v>
      </c>
      <c r="G36" s="134"/>
      <c r="H36" s="134"/>
      <c r="I36" s="148">
        <f>'Company Statements'!C157</f>
        <v>185112</v>
      </c>
      <c r="J36" s="78">
        <f>Investments!J10</f>
        <v>48275.5</v>
      </c>
      <c r="K36" s="78">
        <f>Investments!K10</f>
        <v>52108.635000000002</v>
      </c>
    </row>
    <row r="37" spans="4:14" s="133" customFormat="1" x14ac:dyDescent="0.25">
      <c r="D37" s="132"/>
      <c r="E37" s="132" t="s">
        <v>243</v>
      </c>
      <c r="F37" s="132"/>
      <c r="G37" s="132"/>
      <c r="H37" s="132"/>
      <c r="I37" s="149">
        <f>SUM(I32:I36)</f>
        <v>-271844.52560000005</v>
      </c>
      <c r="J37" s="149">
        <f>SUM(J32:J36)</f>
        <v>-37846.498627150446</v>
      </c>
      <c r="K37" s="149">
        <f>SUM(K32:K36)</f>
        <v>-149569.05449204566</v>
      </c>
    </row>
    <row r="38" spans="4:14" x14ac:dyDescent="0.25">
      <c r="D38" s="112"/>
      <c r="E38" s="112"/>
      <c r="F38" s="112"/>
      <c r="G38" s="112"/>
      <c r="H38" s="112"/>
      <c r="I38" s="113"/>
    </row>
    <row r="39" spans="4:14" s="133" customFormat="1" x14ac:dyDescent="0.25">
      <c r="D39" s="132"/>
      <c r="E39" s="132" t="s">
        <v>244</v>
      </c>
      <c r="F39" s="132"/>
      <c r="G39" s="132"/>
      <c r="H39" s="132"/>
      <c r="I39" s="149"/>
    </row>
    <row r="40" spans="4:14" x14ac:dyDescent="0.25">
      <c r="D40" s="112"/>
      <c r="E40" s="112"/>
      <c r="F40" s="112" t="s">
        <v>245</v>
      </c>
      <c r="G40" s="112"/>
      <c r="H40" s="112"/>
      <c r="I40" s="113">
        <f>'Company Statements'!C162</f>
        <v>224246</v>
      </c>
      <c r="J40" s="113">
        <v>0</v>
      </c>
      <c r="K40" s="113">
        <v>0</v>
      </c>
    </row>
    <row r="41" spans="4:14" x14ac:dyDescent="0.25">
      <c r="D41" s="112"/>
      <c r="E41" s="112"/>
      <c r="F41" s="112" t="s">
        <v>246</v>
      </c>
      <c r="G41" s="112"/>
      <c r="H41" s="112"/>
      <c r="I41" s="125">
        <f>'Company Statements'!C163</f>
        <v>-19113</v>
      </c>
      <c r="J41" s="210">
        <v>0</v>
      </c>
      <c r="K41" s="210">
        <v>0</v>
      </c>
    </row>
    <row r="42" spans="4:14" x14ac:dyDescent="0.25">
      <c r="D42" s="112"/>
      <c r="E42" s="132"/>
      <c r="F42" s="112" t="s">
        <v>247</v>
      </c>
      <c r="G42" s="132"/>
      <c r="H42" s="132"/>
      <c r="I42" s="125">
        <f>'Company Statements'!C171</f>
        <v>-250</v>
      </c>
      <c r="J42" s="210">
        <v>0</v>
      </c>
      <c r="K42" s="210">
        <v>0</v>
      </c>
    </row>
    <row r="43" spans="4:14" x14ac:dyDescent="0.25">
      <c r="D43" s="112"/>
      <c r="E43" s="112"/>
      <c r="F43" s="112" t="s">
        <v>248</v>
      </c>
      <c r="G43" s="112"/>
      <c r="H43" s="112"/>
      <c r="I43" s="125">
        <f>'Company Statements'!C172</f>
        <v>-327</v>
      </c>
      <c r="J43" s="136">
        <f>I43</f>
        <v>-327</v>
      </c>
      <c r="K43" s="136">
        <f>J43</f>
        <v>-327</v>
      </c>
    </row>
    <row r="44" spans="4:14" x14ac:dyDescent="0.25">
      <c r="D44" s="112"/>
      <c r="E44" s="112"/>
      <c r="F44" s="112" t="s">
        <v>249</v>
      </c>
      <c r="G44" s="112"/>
      <c r="H44" s="112"/>
      <c r="I44" s="125">
        <f>'Company Statements'!C173</f>
        <v>14154</v>
      </c>
      <c r="J44" s="125">
        <f>J59*J14</f>
        <v>17001.1522276125</v>
      </c>
      <c r="K44" s="125">
        <f>K59*K14</f>
        <v>22602.582460335125</v>
      </c>
      <c r="L44" s="112"/>
    </row>
    <row r="45" spans="4:14" x14ac:dyDescent="0.25">
      <c r="D45" s="112"/>
      <c r="E45" s="134"/>
      <c r="F45" s="134" t="s">
        <v>250</v>
      </c>
      <c r="G45" s="134"/>
      <c r="H45" s="134"/>
      <c r="I45" s="148">
        <f>'Company Statements'!C175</f>
        <v>-2730</v>
      </c>
      <c r="J45" s="148">
        <f>J58*J14</f>
        <v>-3279.1539904890574</v>
      </c>
      <c r="K45" s="148">
        <f>K58*K14</f>
        <v>-4359.548545761967</v>
      </c>
    </row>
    <row r="46" spans="4:14" s="133" customFormat="1" x14ac:dyDescent="0.25">
      <c r="D46" s="132"/>
      <c r="E46" s="132" t="s">
        <v>251</v>
      </c>
      <c r="F46" s="132"/>
      <c r="G46" s="132"/>
      <c r="H46" s="132"/>
      <c r="I46" s="149">
        <f>SUM(I40:I45)</f>
        <v>215980</v>
      </c>
      <c r="J46" s="149">
        <f>SUM(J40:J45)</f>
        <v>13394.998237123442</v>
      </c>
      <c r="K46" s="149">
        <f>SUM(K40:K45)</f>
        <v>17916.033914573156</v>
      </c>
    </row>
    <row r="47" spans="4:14" x14ac:dyDescent="0.25">
      <c r="D47" s="112"/>
      <c r="E47" s="112"/>
      <c r="F47" s="112"/>
      <c r="G47" s="112"/>
      <c r="H47" s="112"/>
      <c r="I47" s="125"/>
    </row>
    <row r="48" spans="4:14" s="133" customFormat="1" x14ac:dyDescent="0.25">
      <c r="D48" s="132"/>
      <c r="E48" s="132" t="s">
        <v>252</v>
      </c>
      <c r="F48" s="132"/>
      <c r="G48" s="132"/>
      <c r="H48" s="132"/>
      <c r="I48" s="149">
        <f>'Company Statements'!C178</f>
        <v>-166</v>
      </c>
      <c r="J48" s="149">
        <f>J61*'Income Statement'!H13</f>
        <v>-227.42000000000002</v>
      </c>
      <c r="K48" s="149">
        <f>K61*'Income Statement'!I13</f>
        <v>-311.56540000000001</v>
      </c>
    </row>
    <row r="49" spans="4:11" x14ac:dyDescent="0.25">
      <c r="D49" s="112"/>
      <c r="E49" s="112"/>
      <c r="F49" s="112"/>
      <c r="G49" s="112"/>
      <c r="H49" s="112"/>
      <c r="I49" s="125"/>
    </row>
    <row r="50" spans="4:11" s="133" customFormat="1" x14ac:dyDescent="0.25">
      <c r="D50" s="132"/>
      <c r="E50" s="112" t="s">
        <v>253</v>
      </c>
      <c r="F50" s="132"/>
      <c r="G50" s="132"/>
      <c r="H50" s="132"/>
      <c r="I50" s="125">
        <f>I29+I37+I46+I48</f>
        <v>-29941.525600000052</v>
      </c>
      <c r="J50" s="125">
        <f>J29+J37+J46+J48</f>
        <v>55882.257382249642</v>
      </c>
      <c r="K50" s="125">
        <f>K29+K37+K46+K48</f>
        <v>-19878.858483585085</v>
      </c>
    </row>
    <row r="51" spans="4:11" x14ac:dyDescent="0.25">
      <c r="D51" s="112"/>
      <c r="E51" s="134" t="s">
        <v>254</v>
      </c>
      <c r="F51" s="134"/>
      <c r="G51" s="134"/>
      <c r="H51" s="134"/>
      <c r="I51" s="148">
        <f>'Company Statements'!C182</f>
        <v>119916</v>
      </c>
      <c r="J51" s="148">
        <f>I52</f>
        <v>89974.474399999948</v>
      </c>
      <c r="K51" s="148">
        <f>J52</f>
        <v>145856.73178224958</v>
      </c>
    </row>
    <row r="52" spans="4:11" x14ac:dyDescent="0.25">
      <c r="D52" s="112"/>
      <c r="E52" s="132" t="s">
        <v>255</v>
      </c>
      <c r="F52" s="112"/>
      <c r="G52" s="112"/>
      <c r="H52" s="112"/>
      <c r="I52" s="149">
        <f>I50+I51</f>
        <v>89974.474399999948</v>
      </c>
      <c r="J52" s="149">
        <f>J50+J51</f>
        <v>145856.73178224958</v>
      </c>
      <c r="K52" s="149">
        <f>K50+K51</f>
        <v>125977.87329866449</v>
      </c>
    </row>
    <row r="53" spans="4:11" x14ac:dyDescent="0.25">
      <c r="D53" s="112"/>
      <c r="E53" s="112"/>
      <c r="F53" s="112"/>
      <c r="G53" s="112"/>
      <c r="H53" s="112"/>
      <c r="I53" s="112"/>
    </row>
    <row r="54" spans="4:11" x14ac:dyDescent="0.25">
      <c r="D54" s="112"/>
      <c r="E54" s="116" t="s">
        <v>331</v>
      </c>
      <c r="F54" s="116"/>
      <c r="G54" s="116"/>
      <c r="H54" s="116"/>
      <c r="I54" s="114"/>
      <c r="J54" s="131"/>
      <c r="K54" s="131"/>
    </row>
    <row r="55" spans="4:11" x14ac:dyDescent="0.25">
      <c r="D55" s="112"/>
      <c r="E55" s="116" t="s">
        <v>332</v>
      </c>
      <c r="F55" s="116"/>
      <c r="G55" s="116"/>
      <c r="H55" s="116"/>
      <c r="I55" s="177">
        <f>I15/'Balance Sheet'!I15</f>
        <v>4.0243568403531323E-3</v>
      </c>
      <c r="J55" s="147">
        <f>I55</f>
        <v>4.0243568403531323E-3</v>
      </c>
      <c r="K55" s="147">
        <f>J55</f>
        <v>4.0243568403531323E-3</v>
      </c>
    </row>
    <row r="56" spans="4:11" x14ac:dyDescent="0.25">
      <c r="D56" s="112"/>
      <c r="E56" s="116"/>
      <c r="F56" s="116"/>
      <c r="G56" s="116"/>
      <c r="H56" s="116"/>
      <c r="I56" s="177"/>
      <c r="J56" s="147"/>
      <c r="K56" s="147"/>
    </row>
    <row r="57" spans="4:11" x14ac:dyDescent="0.25">
      <c r="D57" s="112"/>
      <c r="E57" s="116" t="s">
        <v>342</v>
      </c>
      <c r="F57" s="116"/>
      <c r="G57" s="116"/>
      <c r="H57" s="116"/>
      <c r="I57" s="177">
        <f>I16/('Income Statement'!G28*Assumptions!F12)</f>
        <v>-0.64293390549583052</v>
      </c>
      <c r="J57" s="177">
        <f t="shared" ref="J57:K62" si="0">I57</f>
        <v>-0.64293390549583052</v>
      </c>
      <c r="K57" s="177">
        <f t="shared" si="0"/>
        <v>-0.64293390549583052</v>
      </c>
    </row>
    <row r="58" spans="4:11" x14ac:dyDescent="0.25">
      <c r="D58" s="112"/>
      <c r="E58" s="116" t="s">
        <v>340</v>
      </c>
      <c r="F58" s="116"/>
      <c r="G58" s="116"/>
      <c r="H58" s="116"/>
      <c r="I58" s="177">
        <f>I45/I14</f>
        <v>-0.16399351234456658</v>
      </c>
      <c r="J58" s="177">
        <f t="shared" si="0"/>
        <v>-0.16399351234456658</v>
      </c>
      <c r="K58" s="177">
        <f t="shared" si="0"/>
        <v>-0.16399351234456658</v>
      </c>
    </row>
    <row r="59" spans="4:11" x14ac:dyDescent="0.25">
      <c r="D59" s="112"/>
      <c r="E59" s="116" t="s">
        <v>353</v>
      </c>
      <c r="G59" s="116"/>
      <c r="H59" s="116"/>
      <c r="I59" s="177">
        <f>I44/I14</f>
        <v>0.85024328707875296</v>
      </c>
      <c r="J59" s="177">
        <f t="shared" si="0"/>
        <v>0.85024328707875296</v>
      </c>
      <c r="K59" s="177">
        <f t="shared" si="0"/>
        <v>0.85024328707875296</v>
      </c>
    </row>
    <row r="60" spans="4:11" x14ac:dyDescent="0.25">
      <c r="E60" s="129" t="str">
        <f>G18</f>
        <v>Loss of Disposable Assets</v>
      </c>
      <c r="G60" s="129"/>
      <c r="H60" s="129"/>
      <c r="I60" s="131">
        <f>I18/'Balance Sheet'!I21</f>
        <v>1.5346576860772445E-3</v>
      </c>
      <c r="J60" s="177">
        <f t="shared" si="0"/>
        <v>1.5346576860772445E-3</v>
      </c>
      <c r="K60" s="177">
        <f t="shared" si="0"/>
        <v>1.5346576860772445E-3</v>
      </c>
    </row>
    <row r="61" spans="4:11" x14ac:dyDescent="0.25">
      <c r="E61" s="116" t="s">
        <v>333</v>
      </c>
      <c r="F61" s="129"/>
      <c r="G61" s="129"/>
      <c r="H61" s="129"/>
      <c r="I61" s="221">
        <f>I48/'Income Statement'!G13</f>
        <v>-6.5465157550183381E-4</v>
      </c>
      <c r="J61" s="221">
        <f t="shared" si="0"/>
        <v>-6.5465157550183381E-4</v>
      </c>
      <c r="K61" s="221">
        <f t="shared" si="0"/>
        <v>-6.5465157550183381E-4</v>
      </c>
    </row>
    <row r="62" spans="4:11" x14ac:dyDescent="0.25">
      <c r="E62" s="112" t="s">
        <v>339</v>
      </c>
      <c r="F62" s="129"/>
      <c r="G62" s="129"/>
      <c r="H62" s="129"/>
      <c r="I62" s="131">
        <f>I35/'Income Statement'!G13</f>
        <v>-3.8905454115236464E-3</v>
      </c>
      <c r="J62" s="177">
        <f t="shared" si="0"/>
        <v>-3.8905454115236464E-3</v>
      </c>
      <c r="K62" s="177">
        <f t="shared" si="0"/>
        <v>-3.8905454115236464E-3</v>
      </c>
    </row>
    <row r="63" spans="4:11" x14ac:dyDescent="0.25">
      <c r="E63" s="129"/>
      <c r="F63" s="129"/>
      <c r="G63" s="129"/>
      <c r="H63" s="129"/>
      <c r="I63" s="129"/>
      <c r="J63" s="129"/>
      <c r="K63" s="129"/>
    </row>
    <row r="64" spans="4:11" x14ac:dyDescent="0.25">
      <c r="E64" s="129"/>
      <c r="F64" s="129"/>
      <c r="G64" s="129"/>
      <c r="H64" s="129"/>
      <c r="I64" s="129"/>
      <c r="J64" s="129"/>
      <c r="K64" s="129"/>
    </row>
  </sheetData>
  <pageMargins left="0.7" right="0.7" top="0.75" bottom="0.75" header="0.3" footer="0.3"/>
  <pageSetup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5476-A2EC-46B7-B3C3-F1BA248E96AE}">
  <sheetPr>
    <pageSetUpPr fitToPage="1"/>
  </sheetPr>
  <dimension ref="A3:O40"/>
  <sheetViews>
    <sheetView showGridLines="0" zoomScaleNormal="100" zoomScaleSheetLayoutView="130" workbookViewId="0">
      <selection activeCell="S24" sqref="S24"/>
    </sheetView>
  </sheetViews>
  <sheetFormatPr defaultRowHeight="15" x14ac:dyDescent="0.25"/>
  <cols>
    <col min="1" max="4" width="1.7109375" style="127" customWidth="1"/>
    <col min="5" max="5" width="1.5703125" style="127" customWidth="1"/>
    <col min="6" max="6" width="31.140625" style="127" customWidth="1"/>
    <col min="7" max="7" width="9.140625" style="127"/>
    <col min="8" max="8" width="10" style="127" bestFit="1" customWidth="1"/>
    <col min="9" max="9" width="11.140625" style="127" bestFit="1" customWidth="1"/>
    <col min="10" max="11" width="10.5703125" style="127" bestFit="1" customWidth="1"/>
    <col min="12" max="12" width="1.7109375" style="127" customWidth="1"/>
    <col min="13" max="15" width="9.140625" style="127"/>
    <col min="16" max="18" width="1.7109375" style="127" customWidth="1"/>
    <col min="19" max="20" width="8.7109375" style="127"/>
    <col min="21" max="23" width="1.7109375" style="127" customWidth="1"/>
    <col min="24" max="16384" width="9.140625" style="127"/>
  </cols>
  <sheetData>
    <row r="3" spans="1:15" x14ac:dyDescent="0.25"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 ht="18" customHeight="1" x14ac:dyDescent="0.3">
      <c r="D4" s="126"/>
      <c r="E4" s="128" t="e">
        <f>#REF!&amp;"'s Investments"</f>
        <v>#REF!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8" customHeight="1" x14ac:dyDescent="0.3">
      <c r="D5" s="126"/>
      <c r="E5" s="129" t="s">
        <v>107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5" ht="0.95" customHeight="1" x14ac:dyDescent="0.3">
      <c r="D6" s="126"/>
      <c r="E6" s="128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s="112" customFormat="1" x14ac:dyDescent="0.25">
      <c r="A7" s="127"/>
      <c r="B7" s="127"/>
      <c r="C7" s="127"/>
      <c r="E7" s="127"/>
      <c r="F7" s="127"/>
      <c r="G7" s="127"/>
      <c r="H7" s="127"/>
      <c r="I7" s="130" t="s">
        <v>109</v>
      </c>
      <c r="J7" s="130" t="s">
        <v>110</v>
      </c>
      <c r="K7" s="130" t="s">
        <v>111</v>
      </c>
    </row>
    <row r="8" spans="1:15" s="112" customFormat="1" ht="17.25" x14ac:dyDescent="0.25">
      <c r="A8" s="127"/>
      <c r="B8" s="127"/>
      <c r="C8" s="127"/>
      <c r="E8" s="132" t="s">
        <v>358</v>
      </c>
      <c r="I8" s="110"/>
      <c r="J8" s="222"/>
      <c r="K8" s="110"/>
    </row>
    <row r="9" spans="1:15" s="112" customFormat="1" x14ac:dyDescent="0.25">
      <c r="F9" s="112" t="s">
        <v>335</v>
      </c>
      <c r="J9" s="61">
        <f>I11</f>
        <v>96551</v>
      </c>
      <c r="K9" s="61">
        <f>J13</f>
        <v>104217.27</v>
      </c>
    </row>
    <row r="10" spans="1:15" s="112" customFormat="1" x14ac:dyDescent="0.25">
      <c r="E10" s="134"/>
      <c r="F10" s="134" t="s">
        <v>337</v>
      </c>
      <c r="G10" s="134"/>
      <c r="H10" s="134"/>
      <c r="I10" s="134"/>
      <c r="J10" s="78">
        <f>$J$9/2</f>
        <v>48275.5</v>
      </c>
      <c r="K10" s="78">
        <f>K9/2</f>
        <v>52108.635000000002</v>
      </c>
    </row>
    <row r="11" spans="1:15" s="112" customFormat="1" x14ac:dyDescent="0.25">
      <c r="A11" s="127"/>
      <c r="B11" s="127"/>
      <c r="C11" s="127"/>
      <c r="E11" s="132" t="s">
        <v>338</v>
      </c>
      <c r="F11" s="223"/>
      <c r="G11" s="132"/>
      <c r="H11" s="132"/>
      <c r="I11" s="149">
        <f>'Balance Sheet'!I22</f>
        <v>96551</v>
      </c>
      <c r="J11" s="149">
        <f>J9-J10</f>
        <v>48275.5</v>
      </c>
      <c r="K11" s="149">
        <f>K9-K10</f>
        <v>52108.635000000002</v>
      </c>
    </row>
    <row r="12" spans="1:15" s="185" customFormat="1" ht="17.25" x14ac:dyDescent="0.25">
      <c r="A12" s="127"/>
      <c r="B12" s="127"/>
      <c r="C12" s="127"/>
      <c r="D12" s="112"/>
      <c r="E12" s="134"/>
      <c r="F12" s="134" t="s">
        <v>359</v>
      </c>
      <c r="G12" s="62"/>
      <c r="H12" s="62"/>
      <c r="I12" s="146"/>
      <c r="J12" s="78">
        <f>J11-J13</f>
        <v>-55941.770000000004</v>
      </c>
      <c r="K12" s="78">
        <f>K11-K13</f>
        <v>-90669.024899999989</v>
      </c>
      <c r="L12" s="191"/>
    </row>
    <row r="13" spans="1:15" s="132" customFormat="1" x14ac:dyDescent="0.25">
      <c r="A13" s="133"/>
      <c r="B13" s="133"/>
      <c r="C13" s="133"/>
      <c r="E13" s="132" t="s">
        <v>341</v>
      </c>
      <c r="I13" s="165"/>
      <c r="J13" s="149">
        <f>J14*'Income Statement'!H13</f>
        <v>104217.27</v>
      </c>
      <c r="K13" s="149">
        <f>K14*'Income Statement'!I13</f>
        <v>142777.6599</v>
      </c>
      <c r="L13" s="149"/>
    </row>
    <row r="14" spans="1:15" s="116" customFormat="1" x14ac:dyDescent="0.25">
      <c r="E14" s="116" t="s">
        <v>345</v>
      </c>
      <c r="G14" s="177"/>
      <c r="H14" s="224"/>
      <c r="I14" s="114">
        <f>I11/'Income Statement'!G13</f>
        <v>0.38076665220649131</v>
      </c>
      <c r="J14" s="114">
        <v>0.3</v>
      </c>
      <c r="K14" s="114">
        <v>0.3</v>
      </c>
    </row>
    <row r="15" spans="1:15" s="112" customFormat="1" x14ac:dyDescent="0.25">
      <c r="E15" s="116"/>
      <c r="F15" s="116"/>
      <c r="G15" s="114"/>
      <c r="H15" s="114"/>
      <c r="I15" s="114"/>
      <c r="J15" s="114"/>
      <c r="K15" s="114"/>
    </row>
    <row r="16" spans="1:15" s="112" customFormat="1" x14ac:dyDescent="0.25">
      <c r="I16" s="113"/>
      <c r="J16" s="113"/>
      <c r="K16" s="113"/>
    </row>
    <row r="17" spans="1:13" s="116" customFormat="1" x14ac:dyDescent="0.25">
      <c r="F17" s="112"/>
      <c r="I17" s="110"/>
      <c r="J17" s="110"/>
      <c r="K17" s="110"/>
      <c r="L17" s="112"/>
    </row>
    <row r="18" spans="1:13" s="112" customFormat="1" ht="15" customHeight="1" x14ac:dyDescent="0.7">
      <c r="E18" s="225" t="s">
        <v>336</v>
      </c>
      <c r="F18" s="226"/>
      <c r="G18" s="217"/>
      <c r="H18" s="217"/>
      <c r="I18" s="227"/>
      <c r="J18" s="227"/>
      <c r="K18" s="227"/>
      <c r="L18" s="217"/>
      <c r="M18" s="217"/>
    </row>
    <row r="19" spans="1:13" s="114" customFormat="1" ht="15" customHeight="1" x14ac:dyDescent="0.7">
      <c r="A19" s="131"/>
      <c r="B19" s="131"/>
      <c r="C19" s="131"/>
      <c r="E19" s="225" t="s">
        <v>344</v>
      </c>
      <c r="F19" s="226"/>
      <c r="G19" s="228"/>
      <c r="H19" s="228"/>
      <c r="I19" s="228"/>
      <c r="J19" s="228"/>
      <c r="K19" s="228"/>
      <c r="L19" s="228"/>
      <c r="M19" s="228"/>
    </row>
    <row r="20" spans="1:13" s="112" customFormat="1" ht="15" customHeight="1" x14ac:dyDescent="0.7">
      <c r="A20" s="127"/>
      <c r="B20" s="127"/>
      <c r="C20" s="127"/>
      <c r="E20" s="226"/>
      <c r="F20" s="226"/>
      <c r="G20" s="217"/>
      <c r="H20" s="217"/>
      <c r="I20" s="217"/>
      <c r="J20" s="217"/>
      <c r="K20" s="217"/>
      <c r="L20" s="217"/>
      <c r="M20" s="217"/>
    </row>
    <row r="21" spans="1:13" s="112" customFormat="1" ht="21" x14ac:dyDescent="0.35">
      <c r="A21" s="127"/>
      <c r="B21" s="127"/>
      <c r="C21" s="127"/>
      <c r="F21" s="218"/>
      <c r="G21" s="218"/>
      <c r="H21" s="218"/>
      <c r="I21" s="218"/>
      <c r="J21" s="218"/>
      <c r="K21" s="218"/>
      <c r="L21" s="218"/>
      <c r="M21" s="218"/>
    </row>
    <row r="22" spans="1:13" s="112" customFormat="1" x14ac:dyDescent="0.25">
      <c r="A22" s="127"/>
      <c r="B22" s="127"/>
      <c r="C22" s="127"/>
    </row>
    <row r="23" spans="1:13" s="112" customFormat="1" ht="21" x14ac:dyDescent="0.35">
      <c r="A23" s="127"/>
      <c r="B23" s="127"/>
      <c r="C23" s="127"/>
      <c r="F23" s="219"/>
      <c r="G23" s="219"/>
      <c r="H23" s="219"/>
      <c r="I23" s="219"/>
      <c r="J23" s="219"/>
      <c r="K23" s="219"/>
      <c r="L23" s="219"/>
      <c r="M23" s="219"/>
    </row>
    <row r="24" spans="1:13" s="112" customFormat="1" x14ac:dyDescent="0.25">
      <c r="A24" s="127"/>
      <c r="B24" s="127"/>
      <c r="C24" s="127"/>
    </row>
    <row r="25" spans="1:13" s="112" customFormat="1" x14ac:dyDescent="0.25">
      <c r="A25" s="127"/>
      <c r="B25" s="127"/>
      <c r="C25" s="127"/>
    </row>
    <row r="26" spans="1:13" s="112" customFormat="1" x14ac:dyDescent="0.25">
      <c r="A26" s="127"/>
      <c r="B26" s="127"/>
      <c r="C26" s="127"/>
    </row>
    <row r="27" spans="1:13" s="112" customFormat="1" x14ac:dyDescent="0.25">
      <c r="A27" s="127"/>
      <c r="B27" s="127"/>
      <c r="C27" s="127"/>
    </row>
    <row r="28" spans="1:13" s="112" customFormat="1" x14ac:dyDescent="0.25">
      <c r="A28" s="127"/>
      <c r="B28" s="127"/>
      <c r="C28" s="127"/>
    </row>
    <row r="29" spans="1:13" s="112" customFormat="1" x14ac:dyDescent="0.25">
      <c r="A29" s="127"/>
      <c r="B29" s="127"/>
      <c r="C29" s="127"/>
    </row>
    <row r="30" spans="1:13" s="112" customFormat="1" x14ac:dyDescent="0.25">
      <c r="A30" s="127"/>
      <c r="B30" s="127"/>
      <c r="C30" s="127"/>
    </row>
    <row r="31" spans="1:13" s="112" customFormat="1" x14ac:dyDescent="0.25">
      <c r="A31" s="127"/>
      <c r="B31" s="127"/>
      <c r="C31" s="127"/>
    </row>
    <row r="32" spans="1:13" s="112" customFormat="1" x14ac:dyDescent="0.25">
      <c r="A32" s="127"/>
      <c r="B32" s="127"/>
      <c r="C32" s="127"/>
    </row>
    <row r="33" spans="1:15" s="112" customFormat="1" x14ac:dyDescent="0.25">
      <c r="A33" s="127"/>
      <c r="B33" s="127"/>
      <c r="C33" s="127"/>
    </row>
    <row r="34" spans="1:15" x14ac:dyDescent="0.25"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</row>
    <row r="35" spans="1:15" x14ac:dyDescent="0.25"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x14ac:dyDescent="0.25"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x14ac:dyDescent="0.25"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</row>
    <row r="38" spans="1:15" x14ac:dyDescent="0.25"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</row>
    <row r="39" spans="1:15" x14ac:dyDescent="0.25"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</row>
    <row r="40" spans="1:15" x14ac:dyDescent="0.25"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DE65-D432-46A1-9794-974B79F1FE7D}">
  <sheetPr>
    <pageSetUpPr fitToPage="1"/>
  </sheetPr>
  <dimension ref="A4:S97"/>
  <sheetViews>
    <sheetView showGridLines="0" zoomScaleNormal="100" zoomScaleSheetLayoutView="109" workbookViewId="0">
      <selection activeCell="R20" sqref="R20"/>
    </sheetView>
  </sheetViews>
  <sheetFormatPr defaultRowHeight="15" x14ac:dyDescent="0.25"/>
  <cols>
    <col min="1" max="6" width="1.7109375" style="127" customWidth="1"/>
    <col min="7" max="7" width="40" style="127" bestFit="1" customWidth="1"/>
    <col min="8" max="8" width="1.7109375" style="127" customWidth="1"/>
    <col min="9" max="14" width="14.28515625" style="127" customWidth="1"/>
    <col min="15" max="15" width="1.7109375" style="112" customWidth="1"/>
    <col min="16" max="16" width="14.28515625" style="112" customWidth="1"/>
    <col min="17" max="19" width="9.140625" style="112"/>
    <col min="20" max="25" width="9.140625" style="127"/>
    <col min="26" max="28" width="1.7109375" style="127" customWidth="1"/>
    <col min="29" max="16384" width="9.140625" style="127"/>
  </cols>
  <sheetData>
    <row r="4" spans="1:19" ht="18" customHeight="1" x14ac:dyDescent="0.3">
      <c r="E4" s="128" t="e">
        <f>#REF!&amp;"'s Depreciation &amp; Amortization"</f>
        <v>#REF!</v>
      </c>
      <c r="F4" s="128"/>
    </row>
    <row r="5" spans="1:19" ht="2.1" customHeight="1" x14ac:dyDescent="0.3">
      <c r="E5" s="128"/>
      <c r="F5" s="128"/>
    </row>
    <row r="6" spans="1:19" x14ac:dyDescent="0.25">
      <c r="E6" s="129" t="s">
        <v>107</v>
      </c>
      <c r="F6" s="129"/>
    </row>
    <row r="7" spans="1:19" ht="0.95" customHeight="1" x14ac:dyDescent="0.25">
      <c r="E7" s="129"/>
      <c r="F7" s="129"/>
    </row>
    <row r="8" spans="1:19" x14ac:dyDescent="0.25">
      <c r="I8" s="130"/>
      <c r="J8" s="130"/>
      <c r="K8" s="130" t="s">
        <v>169</v>
      </c>
      <c r="L8" s="130" t="s">
        <v>109</v>
      </c>
      <c r="M8" s="130" t="s">
        <v>110</v>
      </c>
      <c r="N8" s="130" t="s">
        <v>111</v>
      </c>
    </row>
    <row r="9" spans="1:19" ht="5.0999999999999996" customHeight="1" x14ac:dyDescent="0.25">
      <c r="I9" s="142"/>
      <c r="J9" s="142"/>
      <c r="K9" s="142"/>
      <c r="L9" s="142"/>
      <c r="M9" s="142"/>
      <c r="N9" s="142"/>
    </row>
    <row r="10" spans="1:19" x14ac:dyDescent="0.25">
      <c r="E10" s="132"/>
      <c r="F10" s="132" t="s">
        <v>180</v>
      </c>
      <c r="G10" s="132"/>
      <c r="H10" s="112"/>
      <c r="I10" s="113"/>
      <c r="J10" s="113"/>
      <c r="K10" s="113"/>
      <c r="L10" s="176"/>
      <c r="M10" s="142"/>
      <c r="N10" s="142"/>
    </row>
    <row r="11" spans="1:19" x14ac:dyDescent="0.25">
      <c r="D11" s="112"/>
      <c r="E11" s="112"/>
      <c r="F11" s="112"/>
      <c r="G11" s="112" t="s">
        <v>168</v>
      </c>
      <c r="H11" s="112"/>
      <c r="I11" s="66"/>
      <c r="J11" s="66"/>
      <c r="K11" s="113">
        <f>'Company Statements'!D439</f>
        <v>5852</v>
      </c>
      <c r="L11" s="113">
        <f>'Company Statements'!C439</f>
        <v>8909</v>
      </c>
      <c r="M11" s="113">
        <f>M62*M$15</f>
        <v>11291.178249655442</v>
      </c>
      <c r="N11" s="113">
        <f t="shared" ref="M11:N14" si="0">N62*N$15</f>
        <v>15964.975756010244</v>
      </c>
    </row>
    <row r="12" spans="1:19" x14ac:dyDescent="0.25">
      <c r="E12" s="112"/>
      <c r="F12" s="112"/>
      <c r="G12" s="112" t="s">
        <v>170</v>
      </c>
      <c r="H12" s="132"/>
      <c r="I12" s="149"/>
      <c r="J12" s="149"/>
      <c r="K12" s="125">
        <f>'Company Statements'!D440</f>
        <v>1812</v>
      </c>
      <c r="L12" s="125">
        <f>'Company Statements'!C440</f>
        <v>3685</v>
      </c>
      <c r="M12" s="125">
        <f t="shared" si="0"/>
        <v>4346.3108000000002</v>
      </c>
      <c r="N12" s="125">
        <f t="shared" si="0"/>
        <v>6145.3946626166262</v>
      </c>
    </row>
    <row r="13" spans="1:19" x14ac:dyDescent="0.25">
      <c r="D13" s="112"/>
      <c r="E13" s="116"/>
      <c r="F13" s="116"/>
      <c r="G13" s="112" t="s">
        <v>171</v>
      </c>
      <c r="H13" s="116"/>
      <c r="I13" s="177"/>
      <c r="J13" s="177"/>
      <c r="K13" s="125">
        <f>'Company Statements'!D441</f>
        <v>2229</v>
      </c>
      <c r="L13" s="125">
        <f>'Company Statements'!C441</f>
        <v>5398</v>
      </c>
      <c r="M13" s="125">
        <f t="shared" si="0"/>
        <v>5518.6463317430525</v>
      </c>
      <c r="N13" s="125">
        <f t="shared" si="0"/>
        <v>7802.9992038219116</v>
      </c>
    </row>
    <row r="14" spans="1:19" x14ac:dyDescent="0.25">
      <c r="D14" s="112"/>
      <c r="E14" s="112"/>
      <c r="F14" s="134"/>
      <c r="G14" s="134" t="s">
        <v>172</v>
      </c>
      <c r="H14" s="134"/>
      <c r="I14" s="134"/>
      <c r="J14" s="134"/>
      <c r="K14" s="148">
        <f>'Company Statements'!D442</f>
        <v>1493</v>
      </c>
      <c r="L14" s="148">
        <f>'Company Statements'!C442</f>
        <v>834</v>
      </c>
      <c r="M14" s="148">
        <f t="shared" si="0"/>
        <v>457.50639999999999</v>
      </c>
      <c r="N14" s="148">
        <f t="shared" si="0"/>
        <v>323.44182434824347</v>
      </c>
    </row>
    <row r="15" spans="1:19" x14ac:dyDescent="0.25">
      <c r="D15" s="112"/>
      <c r="E15" s="132"/>
      <c r="F15" s="132" t="s">
        <v>306</v>
      </c>
      <c r="G15" s="132"/>
      <c r="H15" s="132"/>
      <c r="I15" s="152"/>
      <c r="J15" s="149"/>
      <c r="K15" s="149">
        <f>SUM(K11:K14)</f>
        <v>11386</v>
      </c>
      <c r="L15" s="149">
        <f>SUM(L11:L14)</f>
        <v>18826</v>
      </c>
      <c r="M15" s="149">
        <f>M48+M49</f>
        <v>22875.32</v>
      </c>
      <c r="N15" s="149">
        <f>N48+N49</f>
        <v>32344.182434824346</v>
      </c>
    </row>
    <row r="16" spans="1:19" s="131" customFormat="1" x14ac:dyDescent="0.25">
      <c r="A16" s="129"/>
      <c r="B16" s="129"/>
      <c r="C16" s="129"/>
      <c r="D16" s="116"/>
      <c r="K16" s="178"/>
      <c r="L16" s="178"/>
      <c r="M16" s="114"/>
      <c r="N16" s="114"/>
      <c r="O16" s="114"/>
      <c r="P16" s="114"/>
      <c r="Q16" s="114"/>
      <c r="R16" s="114"/>
      <c r="S16" s="114"/>
    </row>
    <row r="17" spans="1:19" s="179" customFormat="1" ht="17.25" x14ac:dyDescent="0.25">
      <c r="A17" s="156"/>
      <c r="B17" s="156"/>
      <c r="C17" s="156"/>
      <c r="D17" s="141"/>
      <c r="F17" s="180" t="s">
        <v>356</v>
      </c>
      <c r="G17" s="181"/>
      <c r="H17" s="181"/>
      <c r="I17" s="181"/>
      <c r="J17" s="181"/>
      <c r="K17" s="182"/>
      <c r="L17" s="182"/>
      <c r="M17" s="183"/>
      <c r="N17" s="183"/>
      <c r="O17" s="184"/>
      <c r="P17" s="184"/>
      <c r="Q17" s="184"/>
      <c r="R17" s="184"/>
      <c r="S17" s="184"/>
    </row>
    <row r="18" spans="1:19" s="131" customFormat="1" ht="5.0999999999999996" customHeight="1" x14ac:dyDescent="0.25">
      <c r="A18" s="129"/>
      <c r="B18" s="129"/>
      <c r="C18" s="129"/>
      <c r="D18" s="116"/>
      <c r="F18" s="185"/>
      <c r="G18" s="114"/>
      <c r="H18" s="114"/>
      <c r="I18" s="114"/>
      <c r="J18" s="114"/>
      <c r="K18" s="186"/>
      <c r="L18" s="186"/>
      <c r="M18" s="113"/>
      <c r="N18" s="113"/>
      <c r="O18" s="114"/>
      <c r="P18" s="114"/>
      <c r="Q18" s="114"/>
      <c r="R18" s="114"/>
      <c r="S18" s="114"/>
    </row>
    <row r="19" spans="1:19" s="179" customFormat="1" x14ac:dyDescent="0.25">
      <c r="A19" s="156"/>
      <c r="B19" s="156"/>
      <c r="C19" s="156"/>
      <c r="D19" s="141"/>
      <c r="F19" s="180"/>
      <c r="G19" s="180" t="s">
        <v>295</v>
      </c>
      <c r="H19" s="181"/>
      <c r="I19" s="187" t="s">
        <v>297</v>
      </c>
      <c r="J19" s="181"/>
      <c r="K19" s="130" t="s">
        <v>169</v>
      </c>
      <c r="L19" s="130" t="s">
        <v>109</v>
      </c>
      <c r="M19" s="130" t="s">
        <v>110</v>
      </c>
      <c r="N19" s="130" t="s">
        <v>111</v>
      </c>
      <c r="O19" s="142"/>
      <c r="P19" s="142"/>
      <c r="Q19" s="184"/>
      <c r="R19" s="184"/>
      <c r="S19" s="184"/>
    </row>
    <row r="20" spans="1:19" s="131" customFormat="1" x14ac:dyDescent="0.25">
      <c r="A20" s="129"/>
      <c r="B20" s="129"/>
      <c r="C20" s="129"/>
      <c r="D20" s="116"/>
      <c r="F20" s="112" t="s">
        <v>168</v>
      </c>
      <c r="G20" s="112"/>
      <c r="I20" s="188">
        <f>'Company Statements'!E439</f>
        <v>3</v>
      </c>
      <c r="K20" s="189">
        <f>K11/I20</f>
        <v>1950.6666666666667</v>
      </c>
      <c r="L20" s="189">
        <f>IF(SUM($K$20:K20)&gt;=$K$11,0,$K$11/$I$20)</f>
        <v>1950.6666666666667</v>
      </c>
      <c r="M20" s="189">
        <f>IF(SUM($K$20:L20)&gt;=$K$11,0,$K$11/$I$20)</f>
        <v>1950.6666666666667</v>
      </c>
      <c r="N20" s="189">
        <f>IF(SUM($K$20:M20)&gt;=$K$11,0,$K$11/$I$20)</f>
        <v>0</v>
      </c>
      <c r="O20" s="114"/>
      <c r="P20" s="114"/>
      <c r="Q20" s="114"/>
      <c r="R20" s="114"/>
      <c r="S20" s="114"/>
    </row>
    <row r="21" spans="1:19" s="114" customFormat="1" x14ac:dyDescent="0.25">
      <c r="A21" s="129"/>
      <c r="B21" s="129"/>
      <c r="C21" s="129"/>
      <c r="D21" s="116"/>
      <c r="E21" s="131"/>
      <c r="F21" s="112"/>
      <c r="G21" s="112" t="str">
        <f>"2018 "&amp;F20</f>
        <v>2018 Computer equipment &amp; software</v>
      </c>
      <c r="I21" s="190"/>
      <c r="K21" s="110"/>
      <c r="L21" s="110">
        <f>(L11-K11)/$I$20</f>
        <v>1019</v>
      </c>
      <c r="M21" s="110">
        <f>IF(SUM($L$21:L21)&gt;=($L$11-$K$11),0,($L$11-$K$11)/$I$20)</f>
        <v>1019</v>
      </c>
      <c r="N21" s="110">
        <f>IF(SUM($L$21:M21)&gt;=($L$11-$K$11),0,($L$11-$K$11)/$I$20)</f>
        <v>1019</v>
      </c>
      <c r="O21" s="191"/>
    </row>
    <row r="22" spans="1:19" s="131" customFormat="1" x14ac:dyDescent="0.25">
      <c r="A22" s="129"/>
      <c r="B22" s="129"/>
      <c r="C22" s="129"/>
      <c r="D22" s="116"/>
      <c r="F22" s="112"/>
      <c r="G22" s="112" t="str">
        <f>"2019 "&amp;F20</f>
        <v>2019 Computer equipment &amp; software</v>
      </c>
      <c r="H22" s="114"/>
      <c r="I22" s="190"/>
      <c r="J22" s="114"/>
      <c r="K22" s="110"/>
      <c r="L22" s="110"/>
      <c r="M22" s="110">
        <f>(M11-L11)/$I$20</f>
        <v>794.05941655181414</v>
      </c>
      <c r="N22" s="110">
        <f>IF(SUM($M$22:M22)&gt;=($M$11-$L$11),0,($M$11-$L$11)/$I$20)</f>
        <v>794.05941655181414</v>
      </c>
      <c r="O22" s="191"/>
      <c r="P22" s="191"/>
      <c r="Q22" s="114"/>
      <c r="R22" s="114"/>
      <c r="S22" s="114"/>
    </row>
    <row r="23" spans="1:19" s="131" customFormat="1" x14ac:dyDescent="0.25">
      <c r="A23" s="129"/>
      <c r="B23" s="129"/>
      <c r="C23" s="129"/>
      <c r="D23" s="116"/>
      <c r="F23" s="134"/>
      <c r="G23" s="134" t="str">
        <f>"2020 "&amp;F20</f>
        <v>2020 Computer equipment &amp; software</v>
      </c>
      <c r="H23" s="192"/>
      <c r="I23" s="193"/>
      <c r="J23" s="192"/>
      <c r="K23" s="144"/>
      <c r="L23" s="144"/>
      <c r="M23" s="144"/>
      <c r="N23" s="144">
        <f>(N11-M11)/$I$20</f>
        <v>1557.9325021182674</v>
      </c>
      <c r="O23" s="114"/>
      <c r="P23" s="114"/>
      <c r="Q23" s="114"/>
      <c r="R23" s="114"/>
      <c r="S23" s="114"/>
    </row>
    <row r="24" spans="1:19" s="179" customFormat="1" x14ac:dyDescent="0.25">
      <c r="A24" s="156"/>
      <c r="B24" s="156"/>
      <c r="C24" s="156"/>
      <c r="D24" s="141"/>
      <c r="F24" s="132" t="str">
        <f>"Total "&amp;F20</f>
        <v>Total Computer equipment &amp; software</v>
      </c>
      <c r="G24" s="132"/>
      <c r="I24" s="194"/>
      <c r="K24" s="195">
        <f>SUM(K20:K23)</f>
        <v>1950.6666666666667</v>
      </c>
      <c r="L24" s="195">
        <f>SUM(L20:L23)</f>
        <v>2969.666666666667</v>
      </c>
      <c r="M24" s="195">
        <f>SUM(M20:M23)</f>
        <v>3763.7260832184811</v>
      </c>
      <c r="N24" s="195">
        <f>SUM(N20:N23)</f>
        <v>3370.9919186700818</v>
      </c>
      <c r="O24" s="184"/>
      <c r="P24" s="184"/>
      <c r="Q24" s="184"/>
      <c r="R24" s="184"/>
      <c r="S24" s="184"/>
    </row>
    <row r="25" spans="1:19" s="131" customFormat="1" ht="5.0999999999999996" customHeight="1" x14ac:dyDescent="0.25">
      <c r="A25" s="129"/>
      <c r="B25" s="129"/>
      <c r="C25" s="129"/>
      <c r="D25" s="116"/>
      <c r="F25" s="112"/>
      <c r="G25" s="112"/>
      <c r="I25" s="188"/>
      <c r="K25" s="189"/>
      <c r="L25" s="189"/>
      <c r="M25" s="189"/>
      <c r="N25" s="178"/>
      <c r="O25" s="114"/>
      <c r="P25" s="114"/>
      <c r="Q25" s="114"/>
      <c r="R25" s="114"/>
      <c r="S25" s="114"/>
    </row>
    <row r="26" spans="1:19" s="131" customFormat="1" x14ac:dyDescent="0.25">
      <c r="A26" s="129"/>
      <c r="B26" s="129"/>
      <c r="C26" s="129"/>
      <c r="D26" s="116"/>
      <c r="F26" s="112" t="s">
        <v>170</v>
      </c>
      <c r="G26" s="112"/>
      <c r="I26" s="188">
        <f>AVERAGE(3,7)</f>
        <v>5</v>
      </c>
      <c r="K26" s="189">
        <f>K12/$I26</f>
        <v>362.4</v>
      </c>
      <c r="L26" s="189">
        <f>IF(SUM($K$26:K26)&gt;=$K$12,0,$K$12/$I$26)</f>
        <v>362.4</v>
      </c>
      <c r="M26" s="189">
        <f>IF(SUM($K$26:L26)&gt;=$K$12,0,$K$12/$I$26)</f>
        <v>362.4</v>
      </c>
      <c r="N26" s="189">
        <f>IF(SUM($K$26:M26)&gt;=$K$12,0,$K$12/$I$26)</f>
        <v>362.4</v>
      </c>
      <c r="O26" s="191"/>
      <c r="P26" s="191"/>
      <c r="Q26" s="114"/>
      <c r="R26" s="114"/>
      <c r="S26" s="114"/>
    </row>
    <row r="27" spans="1:19" s="131" customFormat="1" x14ac:dyDescent="0.25">
      <c r="A27" s="129"/>
      <c r="B27" s="129"/>
      <c r="C27" s="129"/>
      <c r="D27" s="116"/>
      <c r="F27" s="112"/>
      <c r="G27" s="112" t="str">
        <f>"2018 "&amp;F26</f>
        <v>2018 Furniture and fixtures</v>
      </c>
      <c r="I27" s="188"/>
      <c r="K27" s="110"/>
      <c r="L27" s="110">
        <f>(L12-K12)/$I$26</f>
        <v>374.6</v>
      </c>
      <c r="M27" s="110">
        <f>IF(SUM($L$27:L27)&gt;=(L12-K12),0,(L12-K12)/$I$26)</f>
        <v>374.6</v>
      </c>
      <c r="N27" s="110">
        <f>IF(SUM($L$27:M27)&gt;=(L12-K12),0,(L12-K12)/$I$26)</f>
        <v>374.6</v>
      </c>
      <c r="O27" s="191"/>
      <c r="P27" s="191"/>
      <c r="Q27" s="191"/>
      <c r="R27" s="114"/>
      <c r="S27" s="114"/>
    </row>
    <row r="28" spans="1:19" s="131" customFormat="1" x14ac:dyDescent="0.25">
      <c r="A28" s="129"/>
      <c r="B28" s="129"/>
      <c r="C28" s="129"/>
      <c r="D28" s="116"/>
      <c r="F28" s="112"/>
      <c r="G28" s="112" t="str">
        <f>"2019 "&amp;F26</f>
        <v>2019 Furniture and fixtures</v>
      </c>
      <c r="I28" s="188"/>
      <c r="K28" s="110"/>
      <c r="L28" s="110"/>
      <c r="M28" s="110">
        <f>(M12-L12)/$I$26</f>
        <v>132.26216000000005</v>
      </c>
      <c r="N28" s="110">
        <f>IF(SUM($M$28:M28)&gt;=(M12-L12),0,(M12-L12)/$I$26)</f>
        <v>132.26216000000005</v>
      </c>
      <c r="O28" s="114"/>
      <c r="P28" s="114"/>
      <c r="Q28" s="114"/>
      <c r="R28" s="114"/>
      <c r="S28" s="114"/>
    </row>
    <row r="29" spans="1:19" s="131" customFormat="1" x14ac:dyDescent="0.25">
      <c r="A29" s="129"/>
      <c r="B29" s="129"/>
      <c r="C29" s="129"/>
      <c r="D29" s="116"/>
      <c r="F29" s="134"/>
      <c r="G29" s="134" t="str">
        <f>"2020 "&amp;F26</f>
        <v>2020 Furniture and fixtures</v>
      </c>
      <c r="H29" s="192"/>
      <c r="I29" s="193"/>
      <c r="J29" s="192"/>
      <c r="K29" s="144"/>
      <c r="L29" s="144"/>
      <c r="M29" s="144"/>
      <c r="N29" s="144">
        <f>(N12-M12)/$I$26</f>
        <v>359.8167725233252</v>
      </c>
      <c r="O29" s="114"/>
      <c r="P29" s="114"/>
      <c r="Q29" s="114"/>
      <c r="R29" s="114"/>
      <c r="S29" s="114"/>
    </row>
    <row r="30" spans="1:19" s="179" customFormat="1" x14ac:dyDescent="0.25">
      <c r="A30" s="156"/>
      <c r="B30" s="156"/>
      <c r="C30" s="156"/>
      <c r="D30" s="141"/>
      <c r="F30" s="132" t="str">
        <f>"Total "&amp;F26</f>
        <v>Total Furniture and fixtures</v>
      </c>
      <c r="G30" s="132"/>
      <c r="I30" s="194"/>
      <c r="K30" s="195">
        <f>SUM(K26:K29)</f>
        <v>362.4</v>
      </c>
      <c r="L30" s="195">
        <f>SUM(L26:L29)</f>
        <v>737</v>
      </c>
      <c r="M30" s="195">
        <f>SUM(M26:M29)</f>
        <v>869.26215999999999</v>
      </c>
      <c r="N30" s="195">
        <f>SUM(N26:N29)</f>
        <v>1229.0789325233252</v>
      </c>
      <c r="O30" s="184"/>
      <c r="P30" s="184"/>
      <c r="Q30" s="184"/>
      <c r="R30" s="184"/>
      <c r="S30" s="184"/>
    </row>
    <row r="31" spans="1:19" s="131" customFormat="1" ht="5.0999999999999996" customHeight="1" x14ac:dyDescent="0.25">
      <c r="A31" s="129"/>
      <c r="B31" s="129"/>
      <c r="C31" s="129"/>
      <c r="D31" s="116"/>
      <c r="F31" s="112"/>
      <c r="G31" s="112"/>
      <c r="I31" s="188"/>
      <c r="K31" s="189"/>
      <c r="L31" s="189"/>
      <c r="M31" s="189"/>
      <c r="N31" s="178"/>
      <c r="O31" s="114"/>
      <c r="P31" s="114"/>
      <c r="Q31" s="114"/>
      <c r="R31" s="114"/>
      <c r="S31" s="114"/>
    </row>
    <row r="32" spans="1:19" s="131" customFormat="1" x14ac:dyDescent="0.25">
      <c r="A32" s="129"/>
      <c r="B32" s="129"/>
      <c r="C32" s="129"/>
      <c r="D32" s="116"/>
      <c r="F32" s="112" t="s">
        <v>171</v>
      </c>
      <c r="G32" s="112"/>
      <c r="I32" s="188">
        <f>2025-2019</f>
        <v>6</v>
      </c>
      <c r="K32" s="189">
        <f>K13/$I$32</f>
        <v>371.5</v>
      </c>
      <c r="L32" s="189">
        <f>IF(SUM($K$32:K32)&gt;=$K$13,0,$K$13/$I$32)</f>
        <v>371.5</v>
      </c>
      <c r="M32" s="189">
        <f>IF(SUM($K$32:L32)&gt;=$K$13,0,$K$13/$I$32)</f>
        <v>371.5</v>
      </c>
      <c r="N32" s="189">
        <f>IF(SUM($K$32:M32)&gt;=$K$13,0,$K$13/$I$32)</f>
        <v>371.5</v>
      </c>
      <c r="O32" s="191"/>
      <c r="P32" s="191"/>
      <c r="Q32" s="191"/>
      <c r="R32" s="114"/>
      <c r="S32" s="114"/>
    </row>
    <row r="33" spans="1:19" s="131" customFormat="1" x14ac:dyDescent="0.25">
      <c r="A33" s="129"/>
      <c r="B33" s="129"/>
      <c r="C33" s="129"/>
      <c r="D33" s="116"/>
      <c r="F33" s="112"/>
      <c r="G33" s="112" t="str">
        <f>"2018 "&amp;F32</f>
        <v>2018 Leasehold Improvements</v>
      </c>
      <c r="I33" s="188"/>
      <c r="K33" s="110"/>
      <c r="L33" s="110">
        <f>(L13-K13)/$I$32</f>
        <v>528.16666666666663</v>
      </c>
      <c r="M33" s="110">
        <f>IF(SUM($K33:L33)&gt;=(L13-K13),0,(L13-K13)/$I$32)</f>
        <v>528.16666666666663</v>
      </c>
      <c r="N33" s="110">
        <f>IF(SUM($K33:M33)&gt;=(L13-K13),0,(L13-K13)/$I$32)</f>
        <v>528.16666666666663</v>
      </c>
      <c r="O33" s="114"/>
      <c r="P33" s="114"/>
      <c r="Q33" s="114"/>
      <c r="R33" s="114"/>
      <c r="S33" s="114"/>
    </row>
    <row r="34" spans="1:19" s="131" customFormat="1" x14ac:dyDescent="0.25">
      <c r="A34" s="129"/>
      <c r="B34" s="129"/>
      <c r="C34" s="129"/>
      <c r="D34" s="116"/>
      <c r="F34" s="112"/>
      <c r="G34" s="112" t="str">
        <f>"2019 "&amp;F32</f>
        <v>2019 Leasehold Improvements</v>
      </c>
      <c r="I34" s="188"/>
      <c r="K34" s="110"/>
      <c r="L34" s="110"/>
      <c r="M34" s="110">
        <f>MAX((M13-L13)/$I$32,0)</f>
        <v>20.107721957175425</v>
      </c>
      <c r="N34" s="110">
        <f>IF(SUM($M34:M34)&gt;=(M13-L13),0,(M13-L13)/$I$32)</f>
        <v>20.107721957175425</v>
      </c>
      <c r="O34" s="114"/>
      <c r="P34" s="114"/>
      <c r="Q34" s="114"/>
      <c r="R34" s="114"/>
      <c r="S34" s="114"/>
    </row>
    <row r="35" spans="1:19" s="131" customFormat="1" x14ac:dyDescent="0.25">
      <c r="A35" s="129"/>
      <c r="B35" s="129"/>
      <c r="C35" s="129"/>
      <c r="D35" s="116"/>
      <c r="F35" s="134"/>
      <c r="G35" s="134" t="str">
        <f>"2020 "&amp;F32</f>
        <v>2020 Leasehold Improvements</v>
      </c>
      <c r="H35" s="192"/>
      <c r="I35" s="193"/>
      <c r="J35" s="192"/>
      <c r="K35" s="144"/>
      <c r="L35" s="144"/>
      <c r="M35" s="144"/>
      <c r="N35" s="144">
        <f>(N13-M13)/$I$32</f>
        <v>380.72547867980984</v>
      </c>
      <c r="O35" s="114"/>
      <c r="P35" s="114"/>
      <c r="Q35" s="114"/>
      <c r="R35" s="114"/>
      <c r="S35" s="114"/>
    </row>
    <row r="36" spans="1:19" s="179" customFormat="1" x14ac:dyDescent="0.25">
      <c r="A36" s="156"/>
      <c r="B36" s="156"/>
      <c r="C36" s="156"/>
      <c r="D36" s="141"/>
      <c r="F36" s="132" t="str">
        <f>"Total "&amp;F32</f>
        <v>Total Leasehold Improvements</v>
      </c>
      <c r="G36" s="132"/>
      <c r="I36" s="194"/>
      <c r="K36" s="195">
        <f>SUM(K32:K35)</f>
        <v>371.5</v>
      </c>
      <c r="L36" s="195">
        <f>SUM(L32:L35)</f>
        <v>899.66666666666663</v>
      </c>
      <c r="M36" s="195">
        <f>SUM(M32:M35)</f>
        <v>919.77438862384201</v>
      </c>
      <c r="N36" s="195">
        <f>SUM(N32:N35)</f>
        <v>1300.4998673036519</v>
      </c>
      <c r="O36" s="184"/>
      <c r="P36" s="184"/>
      <c r="Q36" s="184"/>
      <c r="R36" s="184"/>
      <c r="S36" s="184"/>
    </row>
    <row r="37" spans="1:19" s="114" customFormat="1" ht="5.0999999999999996" customHeight="1" x14ac:dyDescent="0.25">
      <c r="A37" s="116"/>
      <c r="B37" s="116"/>
      <c r="C37" s="116"/>
      <c r="D37" s="116"/>
      <c r="F37" s="112"/>
      <c r="G37" s="112"/>
      <c r="I37" s="190"/>
      <c r="K37" s="110"/>
      <c r="L37" s="110"/>
      <c r="M37" s="110"/>
      <c r="N37" s="110"/>
    </row>
    <row r="38" spans="1:19" s="131" customFormat="1" x14ac:dyDescent="0.25">
      <c r="A38" s="129"/>
      <c r="B38" s="129"/>
      <c r="C38" s="129"/>
      <c r="D38" s="116"/>
      <c r="F38" s="112" t="s">
        <v>307</v>
      </c>
      <c r="G38" s="112"/>
      <c r="I38" s="190">
        <f>I32</f>
        <v>6</v>
      </c>
      <c r="J38" s="196"/>
      <c r="K38" s="189">
        <f>K14/$I$38</f>
        <v>248.83333333333334</v>
      </c>
      <c r="L38" s="189">
        <f>IF(SUM($K$38:K38)&gt;=K14,0,K14/$I$38)</f>
        <v>248.83333333333334</v>
      </c>
      <c r="M38" s="189">
        <f>IF(SUM($K$38:L38)&gt;=K14,0,K14/$I$38)</f>
        <v>248.83333333333334</v>
      </c>
      <c r="N38" s="189">
        <f>IF(SUM($K$38:M38)&gt;=K14,0,K14/$I$38)</f>
        <v>248.83333333333334</v>
      </c>
      <c r="O38" s="114"/>
      <c r="P38" s="114"/>
      <c r="Q38" s="114"/>
      <c r="R38" s="114"/>
      <c r="S38" s="114"/>
    </row>
    <row r="39" spans="1:19" s="131" customFormat="1" x14ac:dyDescent="0.25">
      <c r="A39" s="129"/>
      <c r="B39" s="129"/>
      <c r="C39" s="129"/>
      <c r="D39" s="116"/>
      <c r="F39" s="112"/>
      <c r="G39" s="112" t="str">
        <f>"2018 "&amp;F38</f>
        <v>2018 Construction in Process and Adjustments</v>
      </c>
      <c r="I39" s="190"/>
      <c r="J39" s="196"/>
      <c r="K39" s="110"/>
      <c r="L39" s="110">
        <v>410</v>
      </c>
      <c r="M39" s="110">
        <v>0</v>
      </c>
      <c r="N39" s="110">
        <v>0</v>
      </c>
      <c r="O39" s="114"/>
      <c r="P39" s="114"/>
      <c r="Q39" s="114"/>
      <c r="R39" s="114"/>
      <c r="S39" s="114"/>
    </row>
    <row r="40" spans="1:19" s="131" customFormat="1" x14ac:dyDescent="0.25">
      <c r="A40" s="129"/>
      <c r="B40" s="129"/>
      <c r="C40" s="129"/>
      <c r="D40" s="116"/>
      <c r="F40" s="112"/>
      <c r="G40" s="112" t="str">
        <f>"2019 "&amp;F38</f>
        <v>2019 Construction in Process and Adjustments</v>
      </c>
      <c r="I40" s="190"/>
      <c r="J40" s="196"/>
      <c r="K40" s="110"/>
      <c r="L40" s="110"/>
      <c r="M40" s="110">
        <f>MAX((M14-L14)/$I$38,0)</f>
        <v>0</v>
      </c>
      <c r="N40" s="110">
        <f>IF(SUM($M40:M40)&gt;=(M14-L14),0,(M14-L14)/$I$38)</f>
        <v>0</v>
      </c>
      <c r="O40" s="114"/>
      <c r="P40" s="114"/>
      <c r="Q40" s="114"/>
      <c r="R40" s="114"/>
      <c r="S40" s="114"/>
    </row>
    <row r="41" spans="1:19" s="131" customFormat="1" x14ac:dyDescent="0.25">
      <c r="A41" s="129"/>
      <c r="B41" s="129"/>
      <c r="C41" s="129"/>
      <c r="D41" s="116"/>
      <c r="F41" s="134"/>
      <c r="G41" s="134" t="str">
        <f>"2020 "&amp;F38</f>
        <v>2020 Construction in Process and Adjustments</v>
      </c>
      <c r="H41" s="192"/>
      <c r="I41" s="193"/>
      <c r="J41" s="197"/>
      <c r="K41" s="144"/>
      <c r="L41" s="144"/>
      <c r="M41" s="144"/>
      <c r="N41" s="144">
        <f>MAX((N14-M14)/$I$38,0)</f>
        <v>0</v>
      </c>
      <c r="O41" s="114"/>
      <c r="P41" s="114"/>
      <c r="Q41" s="114"/>
      <c r="R41" s="114"/>
      <c r="S41" s="114"/>
    </row>
    <row r="42" spans="1:19" s="131" customFormat="1" x14ac:dyDescent="0.25">
      <c r="A42" s="129"/>
      <c r="B42" s="129"/>
      <c r="C42" s="129"/>
      <c r="D42" s="116"/>
      <c r="F42" s="132" t="str">
        <f>"Total "&amp;F38</f>
        <v>Total Construction in Process and Adjustments</v>
      </c>
      <c r="G42" s="112"/>
      <c r="I42" s="190"/>
      <c r="J42" s="196"/>
      <c r="K42" s="195">
        <f>SUM(K38:K41)</f>
        <v>248.83333333333334</v>
      </c>
      <c r="L42" s="195">
        <f>SUM(L38:L41)</f>
        <v>658.83333333333337</v>
      </c>
      <c r="M42" s="195">
        <f>SUM(M38:M41)</f>
        <v>248.83333333333334</v>
      </c>
      <c r="N42" s="195">
        <f>SUM(N38:N41)</f>
        <v>248.83333333333334</v>
      </c>
      <c r="O42" s="114"/>
      <c r="P42" s="114"/>
      <c r="Q42" s="114"/>
      <c r="R42" s="114"/>
      <c r="S42" s="114"/>
    </row>
    <row r="43" spans="1:19" s="131" customFormat="1" x14ac:dyDescent="0.25">
      <c r="A43" s="129"/>
      <c r="B43" s="129"/>
      <c r="C43" s="129"/>
      <c r="D43" s="116"/>
      <c r="F43" s="132"/>
      <c r="G43" s="112"/>
      <c r="I43" s="190"/>
      <c r="J43" s="196"/>
      <c r="K43" s="195"/>
      <c r="L43" s="195"/>
      <c r="M43" s="195"/>
      <c r="N43" s="195"/>
      <c r="O43" s="114"/>
      <c r="P43" s="114"/>
      <c r="Q43" s="114"/>
      <c r="R43" s="114"/>
      <c r="S43" s="114"/>
    </row>
    <row r="44" spans="1:19" s="131" customFormat="1" x14ac:dyDescent="0.25">
      <c r="A44" s="129"/>
      <c r="B44" s="129"/>
      <c r="C44" s="129"/>
      <c r="D44" s="116"/>
      <c r="F44" s="132"/>
      <c r="G44" s="112" t="s">
        <v>308</v>
      </c>
      <c r="I44" s="190"/>
      <c r="J44" s="196"/>
      <c r="K44" s="189">
        <v>1023.5999999999999</v>
      </c>
      <c r="L44" s="189">
        <v>-1429.1666666666699</v>
      </c>
      <c r="M44" s="189">
        <v>0</v>
      </c>
      <c r="N44" s="189">
        <v>0</v>
      </c>
      <c r="O44" s="114"/>
      <c r="P44" s="114"/>
      <c r="Q44" s="114"/>
      <c r="R44" s="114"/>
      <c r="S44" s="114"/>
    </row>
    <row r="45" spans="1:19" s="131" customFormat="1" x14ac:dyDescent="0.25">
      <c r="A45" s="129"/>
      <c r="B45" s="129"/>
      <c r="C45" s="129"/>
      <c r="D45" s="116"/>
      <c r="F45" s="112"/>
      <c r="G45" s="112"/>
      <c r="I45" s="190"/>
      <c r="J45" s="196"/>
      <c r="K45" s="191"/>
      <c r="L45" s="191"/>
      <c r="M45" s="191"/>
      <c r="N45" s="191"/>
      <c r="O45" s="114"/>
      <c r="P45" s="114"/>
      <c r="Q45" s="114"/>
      <c r="R45" s="114"/>
      <c r="S45" s="114"/>
    </row>
    <row r="46" spans="1:19" s="179" customFormat="1" x14ac:dyDescent="0.25">
      <c r="A46" s="156"/>
      <c r="B46" s="156"/>
      <c r="C46" s="156"/>
      <c r="D46" s="141"/>
      <c r="F46" s="198" t="s">
        <v>305</v>
      </c>
      <c r="G46" s="198"/>
      <c r="K46" s="195">
        <f>K24+K30+K36+K42+K44</f>
        <v>3957</v>
      </c>
      <c r="L46" s="195">
        <f>L24+L30+L36+L42+L44</f>
        <v>3835.9999999999973</v>
      </c>
      <c r="M46" s="195">
        <f>M24+M30+M36+M42</f>
        <v>5801.5959651756566</v>
      </c>
      <c r="N46" s="195">
        <f>N24+N30+N36+N42</f>
        <v>6149.4040518303918</v>
      </c>
      <c r="O46" s="184"/>
      <c r="P46" s="184"/>
      <c r="Q46" s="184"/>
      <c r="R46" s="184"/>
      <c r="S46" s="184"/>
    </row>
    <row r="47" spans="1:19" s="131" customFormat="1" x14ac:dyDescent="0.25">
      <c r="A47" s="129"/>
      <c r="B47" s="129"/>
      <c r="C47" s="129"/>
      <c r="D47" s="116"/>
      <c r="F47" s="198"/>
      <c r="G47" s="198"/>
      <c r="K47" s="178"/>
      <c r="L47" s="178"/>
      <c r="M47" s="178"/>
      <c r="N47" s="178"/>
      <c r="O47" s="114"/>
      <c r="P47" s="114"/>
      <c r="Q47" s="114"/>
      <c r="R47" s="114"/>
      <c r="S47" s="114"/>
    </row>
    <row r="48" spans="1:19" s="131" customFormat="1" x14ac:dyDescent="0.25">
      <c r="A48" s="129"/>
      <c r="B48" s="129"/>
      <c r="C48" s="129"/>
      <c r="D48" s="116"/>
      <c r="F48" s="132" t="s">
        <v>178</v>
      </c>
      <c r="G48" s="132"/>
      <c r="H48" s="133"/>
      <c r="I48" s="133"/>
      <c r="J48" s="133"/>
      <c r="K48" s="145">
        <f>K15</f>
        <v>11386</v>
      </c>
      <c r="L48" s="145">
        <f>K51</f>
        <v>7429</v>
      </c>
      <c r="M48" s="145">
        <f>L51</f>
        <v>11729</v>
      </c>
      <c r="N48" s="145">
        <f>M51</f>
        <v>17073.724034824343</v>
      </c>
      <c r="O48" s="114"/>
      <c r="P48" s="114"/>
      <c r="Q48" s="186"/>
      <c r="R48" s="114"/>
      <c r="S48" s="114"/>
    </row>
    <row r="49" spans="1:19" s="131" customFormat="1" x14ac:dyDescent="0.25">
      <c r="A49" s="129"/>
      <c r="B49" s="129"/>
      <c r="C49" s="129"/>
      <c r="D49" s="116"/>
      <c r="F49" s="132"/>
      <c r="G49" s="112" t="s">
        <v>181</v>
      </c>
      <c r="H49" s="133"/>
      <c r="I49" s="133"/>
      <c r="J49" s="136"/>
      <c r="K49" s="136">
        <f>-'Company Statements'!D153</f>
        <v>3669</v>
      </c>
      <c r="L49" s="136">
        <f>L51-L48-L50</f>
        <v>8136</v>
      </c>
      <c r="M49" s="136">
        <f>M60*'Income Statement'!H13</f>
        <v>11146.320000000002</v>
      </c>
      <c r="N49" s="136">
        <f>N60*'Income Statement'!I13</f>
        <v>15270.458400000001</v>
      </c>
      <c r="O49" s="114"/>
      <c r="P49" s="114"/>
      <c r="Q49" s="114"/>
      <c r="R49" s="114"/>
      <c r="S49" s="114"/>
    </row>
    <row r="50" spans="1:19" s="131" customFormat="1" x14ac:dyDescent="0.25">
      <c r="A50" s="129"/>
      <c r="B50" s="129"/>
      <c r="C50" s="129"/>
      <c r="D50" s="116"/>
      <c r="F50" s="158"/>
      <c r="G50" s="134" t="s">
        <v>167</v>
      </c>
      <c r="H50" s="158"/>
      <c r="I50" s="158"/>
      <c r="J50" s="148"/>
      <c r="K50" s="148">
        <f>-'Company Statements'!D131</f>
        <v>-3957</v>
      </c>
      <c r="L50" s="148">
        <f>-'Company Statements'!C131</f>
        <v>-3836</v>
      </c>
      <c r="M50" s="146">
        <f>-M46</f>
        <v>-5801.5959651756566</v>
      </c>
      <c r="N50" s="146">
        <f>-N46</f>
        <v>-6149.4040518303918</v>
      </c>
      <c r="O50" s="114"/>
      <c r="P50" s="114"/>
      <c r="Q50" s="114"/>
      <c r="R50" s="114"/>
      <c r="S50" s="114"/>
    </row>
    <row r="51" spans="1:19" s="131" customFormat="1" x14ac:dyDescent="0.25">
      <c r="A51" s="129"/>
      <c r="B51" s="129"/>
      <c r="C51" s="129"/>
      <c r="D51" s="116"/>
      <c r="F51" s="132" t="s">
        <v>179</v>
      </c>
      <c r="G51" s="132"/>
      <c r="H51" s="132"/>
      <c r="I51" s="132"/>
      <c r="J51" s="149"/>
      <c r="K51" s="145">
        <f>K48+K50</f>
        <v>7429</v>
      </c>
      <c r="L51" s="145">
        <f>'Balance Sheet'!I21</f>
        <v>11729</v>
      </c>
      <c r="M51" s="145">
        <f>SUM(M48:M50)</f>
        <v>17073.724034824343</v>
      </c>
      <c r="N51" s="145">
        <f>SUM(N48:N50)</f>
        <v>26194.778382993954</v>
      </c>
      <c r="O51" s="114"/>
      <c r="P51" s="114"/>
      <c r="Q51" s="114"/>
      <c r="R51" s="114"/>
      <c r="S51" s="114"/>
    </row>
    <row r="52" spans="1:19" s="131" customFormat="1" x14ac:dyDescent="0.25">
      <c r="A52" s="129"/>
      <c r="B52" s="129"/>
      <c r="C52" s="129"/>
      <c r="D52" s="116"/>
      <c r="K52" s="178"/>
      <c r="L52" s="199"/>
      <c r="M52" s="113"/>
      <c r="N52" s="113"/>
      <c r="O52" s="114"/>
      <c r="P52" s="114"/>
      <c r="Q52" s="114"/>
      <c r="R52" s="114"/>
      <c r="S52" s="114"/>
    </row>
    <row r="53" spans="1:19" s="179" customFormat="1" x14ac:dyDescent="0.25">
      <c r="A53" s="156"/>
      <c r="B53" s="156"/>
      <c r="C53" s="156"/>
      <c r="D53" s="141"/>
      <c r="F53" s="180" t="s">
        <v>304</v>
      </c>
      <c r="G53" s="181"/>
      <c r="H53" s="181"/>
      <c r="I53" s="181"/>
      <c r="J53" s="181"/>
      <c r="K53" s="182"/>
      <c r="L53" s="182"/>
      <c r="M53" s="183"/>
      <c r="N53" s="183"/>
      <c r="O53" s="184"/>
      <c r="P53" s="184"/>
      <c r="Q53" s="184"/>
      <c r="R53" s="184"/>
      <c r="S53" s="184"/>
    </row>
    <row r="54" spans="1:19" s="131" customFormat="1" ht="5.0999999999999996" customHeight="1" x14ac:dyDescent="0.25">
      <c r="A54" s="129"/>
      <c r="B54" s="129"/>
      <c r="C54" s="129"/>
      <c r="D54" s="116"/>
      <c r="K54" s="178"/>
      <c r="L54" s="178"/>
      <c r="M54" s="113"/>
      <c r="N54" s="113"/>
      <c r="O54" s="114"/>
      <c r="P54" s="114"/>
      <c r="Q54" s="114"/>
      <c r="R54" s="114"/>
      <c r="S54" s="114"/>
    </row>
    <row r="55" spans="1:19" s="131" customFormat="1" x14ac:dyDescent="0.25">
      <c r="A55" s="129"/>
      <c r="B55" s="129"/>
      <c r="C55" s="129"/>
      <c r="D55" s="116"/>
      <c r="K55" s="130" t="s">
        <v>169</v>
      </c>
      <c r="L55" s="130" t="s">
        <v>109</v>
      </c>
      <c r="M55" s="130" t="s">
        <v>110</v>
      </c>
      <c r="N55" s="130" t="s">
        <v>111</v>
      </c>
      <c r="O55" s="142"/>
      <c r="P55" s="142"/>
      <c r="Q55" s="114"/>
      <c r="R55" s="114"/>
      <c r="S55" s="114"/>
    </row>
    <row r="56" spans="1:19" s="131" customFormat="1" x14ac:dyDescent="0.25">
      <c r="A56" s="129"/>
      <c r="B56" s="129"/>
      <c r="C56" s="129"/>
      <c r="D56" s="116"/>
      <c r="F56" s="198" t="s">
        <v>300</v>
      </c>
      <c r="G56" s="198"/>
      <c r="K56" s="178"/>
      <c r="L56" s="178"/>
      <c r="M56" s="113">
        <f>L58</f>
        <v>7491</v>
      </c>
      <c r="N56" s="113">
        <f>M58</f>
        <v>5458</v>
      </c>
      <c r="O56" s="114"/>
      <c r="P56" s="114"/>
      <c r="Q56" s="114"/>
      <c r="R56" s="114"/>
      <c r="S56" s="114"/>
    </row>
    <row r="57" spans="1:19" s="131" customFormat="1" x14ac:dyDescent="0.25">
      <c r="A57" s="129"/>
      <c r="B57" s="129"/>
      <c r="C57" s="129"/>
      <c r="D57" s="116"/>
      <c r="F57" s="192"/>
      <c r="G57" s="62" t="s">
        <v>301</v>
      </c>
      <c r="H57" s="192"/>
      <c r="I57" s="192"/>
      <c r="J57" s="192"/>
      <c r="K57" s="200"/>
      <c r="L57" s="200"/>
      <c r="M57" s="144">
        <f>-'Company Statements'!P425</f>
        <v>-2033</v>
      </c>
      <c r="N57" s="144">
        <f>-'Company Statements'!P426</f>
        <v>-1719</v>
      </c>
      <c r="O57" s="114"/>
      <c r="P57" s="114"/>
      <c r="Q57" s="114"/>
      <c r="R57" s="114"/>
      <c r="S57" s="114"/>
    </row>
    <row r="58" spans="1:19" s="131" customFormat="1" x14ac:dyDescent="0.25">
      <c r="A58" s="129"/>
      <c r="B58" s="129"/>
      <c r="C58" s="129"/>
      <c r="D58" s="116"/>
      <c r="F58" s="198" t="s">
        <v>302</v>
      </c>
      <c r="K58" s="178"/>
      <c r="L58" s="178">
        <f>'Balance Sheet'!I24</f>
        <v>7491</v>
      </c>
      <c r="M58" s="113">
        <f>M56+M57</f>
        <v>5458</v>
      </c>
      <c r="N58" s="113">
        <f>N56+N57</f>
        <v>3739</v>
      </c>
      <c r="O58" s="114"/>
      <c r="P58" s="114"/>
      <c r="Q58" s="114"/>
      <c r="R58" s="114"/>
      <c r="S58" s="114"/>
    </row>
    <row r="59" spans="1:19" x14ac:dyDescent="0.25">
      <c r="D59" s="112"/>
      <c r="E59" s="112"/>
      <c r="F59" s="112"/>
      <c r="G59" s="112"/>
      <c r="H59" s="112"/>
      <c r="I59" s="112"/>
      <c r="J59" s="112"/>
      <c r="K59" s="113"/>
      <c r="L59" s="125"/>
      <c r="M59" s="125"/>
      <c r="N59" s="112"/>
    </row>
    <row r="60" spans="1:19" s="173" customFormat="1" x14ac:dyDescent="0.25">
      <c r="D60" s="185"/>
      <c r="E60" s="185"/>
      <c r="F60" s="185"/>
      <c r="G60" s="114" t="s">
        <v>294</v>
      </c>
      <c r="H60" s="185"/>
      <c r="I60" s="185"/>
      <c r="J60" s="185"/>
      <c r="K60" s="177"/>
      <c r="L60" s="177">
        <f>L49/'Income Statement'!G13</f>
        <v>3.2085814567969398E-2</v>
      </c>
      <c r="M60" s="201">
        <f>L60</f>
        <v>3.2085814567969398E-2</v>
      </c>
      <c r="N60" s="201">
        <f>M60</f>
        <v>3.2085814567969398E-2</v>
      </c>
      <c r="O60" s="185"/>
      <c r="P60" s="185"/>
      <c r="Q60" s="185"/>
      <c r="R60" s="185"/>
      <c r="S60" s="185"/>
    </row>
    <row r="61" spans="1:19" ht="5.0999999999999996" customHeight="1" x14ac:dyDescent="0.25">
      <c r="D61" s="112"/>
      <c r="E61" s="112"/>
      <c r="F61" s="141"/>
      <c r="G61" s="141"/>
      <c r="H61" s="112"/>
      <c r="I61" s="112"/>
      <c r="J61" s="112"/>
      <c r="K61" s="132"/>
      <c r="L61" s="202"/>
      <c r="M61" s="202"/>
      <c r="N61" s="202"/>
    </row>
    <row r="62" spans="1:19" x14ac:dyDescent="0.25">
      <c r="D62" s="112"/>
      <c r="E62" s="112"/>
      <c r="F62" s="116"/>
      <c r="G62" s="116" t="s">
        <v>289</v>
      </c>
      <c r="H62" s="112"/>
      <c r="I62" s="112"/>
      <c r="J62" s="112"/>
      <c r="K62" s="177">
        <f>K11/$K$15</f>
        <v>0.51396451782891273</v>
      </c>
      <c r="L62" s="177">
        <f>L11/$L$15</f>
        <v>0.4732285137575693</v>
      </c>
      <c r="M62" s="201">
        <f>AVERAGE(K62:L62)</f>
        <v>0.49359651579324104</v>
      </c>
      <c r="N62" s="201">
        <f>M62</f>
        <v>0.49359651579324104</v>
      </c>
    </row>
    <row r="63" spans="1:19" x14ac:dyDescent="0.25">
      <c r="D63" s="112"/>
      <c r="E63" s="112"/>
      <c r="F63" s="116"/>
      <c r="G63" s="116" t="s">
        <v>290</v>
      </c>
      <c r="H63" s="112"/>
      <c r="I63" s="112"/>
      <c r="J63" s="112"/>
      <c r="K63" s="177">
        <f>K12/$K$15</f>
        <v>0.15914280695591076</v>
      </c>
      <c r="L63" s="177">
        <f>L12/$L$15</f>
        <v>0.19573993413364496</v>
      </c>
      <c r="M63" s="201">
        <v>0.19</v>
      </c>
      <c r="N63" s="201">
        <f>M63</f>
        <v>0.19</v>
      </c>
    </row>
    <row r="64" spans="1:19" x14ac:dyDescent="0.25">
      <c r="D64" s="112"/>
      <c r="E64" s="112"/>
      <c r="F64" s="116"/>
      <c r="G64" s="116" t="s">
        <v>291</v>
      </c>
      <c r="H64" s="112"/>
      <c r="I64" s="112"/>
      <c r="J64" s="112"/>
      <c r="K64" s="177">
        <f>K13/$K$15</f>
        <v>0.19576673107324785</v>
      </c>
      <c r="L64" s="177">
        <f>L13/$L$15</f>
        <v>0.28673111654095401</v>
      </c>
      <c r="M64" s="201">
        <f>AVERAGE(K64:L64)</f>
        <v>0.24124892380710095</v>
      </c>
      <c r="N64" s="201">
        <f>M64</f>
        <v>0.24124892380710095</v>
      </c>
    </row>
    <row r="65" spans="4:19" s="112" customFormat="1" x14ac:dyDescent="0.25">
      <c r="F65" s="154"/>
      <c r="G65" s="154" t="s">
        <v>292</v>
      </c>
      <c r="H65" s="134"/>
      <c r="I65" s="134"/>
      <c r="J65" s="134"/>
      <c r="K65" s="203">
        <f>K14/$K$15</f>
        <v>0.13112594414192869</v>
      </c>
      <c r="L65" s="203">
        <f>L14/$L$15</f>
        <v>4.4300435567831725E-2</v>
      </c>
      <c r="M65" s="204">
        <v>0.02</v>
      </c>
      <c r="N65" s="204">
        <v>0.01</v>
      </c>
    </row>
    <row r="66" spans="4:19" s="133" customFormat="1" x14ac:dyDescent="0.25">
      <c r="D66" s="132"/>
      <c r="E66" s="132"/>
      <c r="F66" s="141"/>
      <c r="G66" s="141" t="s">
        <v>293</v>
      </c>
      <c r="H66" s="132"/>
      <c r="I66" s="132"/>
      <c r="J66" s="132"/>
      <c r="K66" s="205">
        <f>SUM(K62:K65)</f>
        <v>1</v>
      </c>
      <c r="L66" s="205">
        <f>SUM(L62:L65)</f>
        <v>0.99999999999999989</v>
      </c>
      <c r="M66" s="205">
        <f>SUM(M62:M65)</f>
        <v>0.94484543960034206</v>
      </c>
      <c r="N66" s="205">
        <f>SUM(N62:N65)</f>
        <v>0.93484543960034205</v>
      </c>
      <c r="O66" s="132"/>
      <c r="P66" s="132"/>
      <c r="Q66" s="132"/>
      <c r="R66" s="132"/>
      <c r="S66" s="132"/>
    </row>
    <row r="67" spans="4:19" x14ac:dyDescent="0.25">
      <c r="D67" s="112"/>
      <c r="E67" s="112"/>
      <c r="F67" s="112"/>
      <c r="G67" s="132"/>
      <c r="H67" s="112"/>
      <c r="I67" s="112"/>
      <c r="J67" s="112"/>
      <c r="K67" s="112"/>
      <c r="L67" s="112"/>
      <c r="M67" s="152"/>
      <c r="N67" s="152"/>
    </row>
    <row r="68" spans="4:19" x14ac:dyDescent="0.25">
      <c r="D68" s="112"/>
      <c r="E68" s="132"/>
      <c r="F68" s="112"/>
      <c r="G68" s="112"/>
      <c r="H68" s="112"/>
      <c r="I68" s="112"/>
      <c r="J68" s="112"/>
      <c r="K68" s="112"/>
      <c r="L68" s="112"/>
      <c r="M68" s="112"/>
      <c r="N68" s="112"/>
    </row>
    <row r="69" spans="4:19" x14ac:dyDescent="0.25">
      <c r="D69" s="112"/>
      <c r="E69" s="112"/>
      <c r="F69" s="112" t="s">
        <v>296</v>
      </c>
      <c r="G69" s="112"/>
      <c r="H69" s="112"/>
      <c r="I69" s="112"/>
      <c r="J69" s="112"/>
      <c r="K69" s="112"/>
      <c r="L69" s="112"/>
      <c r="M69" s="112"/>
      <c r="N69" s="112"/>
    </row>
    <row r="70" spans="4:19" x14ac:dyDescent="0.25">
      <c r="D70" s="112"/>
      <c r="E70" s="112"/>
      <c r="F70" s="112"/>
      <c r="G70" s="112"/>
      <c r="H70" s="112"/>
      <c r="I70" s="112"/>
      <c r="J70" s="112"/>
      <c r="K70" s="112"/>
      <c r="L70" s="112"/>
      <c r="M70" s="113"/>
      <c r="N70" s="113"/>
    </row>
    <row r="71" spans="4:19" x14ac:dyDescent="0.25">
      <c r="D71" s="112"/>
      <c r="E71" s="112"/>
      <c r="F71" s="112"/>
      <c r="G71" s="112"/>
      <c r="H71" s="112"/>
      <c r="I71" s="112"/>
      <c r="J71" s="112"/>
      <c r="K71" s="112"/>
      <c r="L71" s="112"/>
      <c r="M71" s="125"/>
      <c r="N71" s="125"/>
    </row>
    <row r="72" spans="4:19" x14ac:dyDescent="0.25">
      <c r="D72" s="112"/>
      <c r="E72" s="112"/>
      <c r="F72" s="112"/>
      <c r="G72" s="112"/>
      <c r="H72" s="112"/>
      <c r="I72" s="112"/>
      <c r="J72" s="112"/>
      <c r="K72" s="112"/>
      <c r="L72" s="112"/>
      <c r="M72" s="125"/>
      <c r="N72" s="125"/>
    </row>
    <row r="73" spans="4:19" x14ac:dyDescent="0.25">
      <c r="D73" s="112"/>
      <c r="E73" s="112"/>
      <c r="F73" s="112"/>
      <c r="G73" s="112"/>
      <c r="H73" s="112"/>
      <c r="I73" s="112"/>
      <c r="J73" s="112"/>
      <c r="K73" s="112"/>
      <c r="L73" s="112"/>
      <c r="M73" s="125"/>
      <c r="N73" s="125"/>
    </row>
    <row r="74" spans="4:19" x14ac:dyDescent="0.25">
      <c r="D74" s="112"/>
      <c r="E74" s="112"/>
      <c r="F74" s="112"/>
      <c r="G74" s="112"/>
      <c r="H74" s="112"/>
      <c r="I74" s="112"/>
      <c r="J74" s="112"/>
      <c r="K74" s="112"/>
      <c r="L74" s="112"/>
      <c r="M74" s="113"/>
      <c r="N74" s="113"/>
    </row>
    <row r="75" spans="4:19" x14ac:dyDescent="0.25">
      <c r="D75" s="112"/>
      <c r="E75" s="112"/>
      <c r="F75" s="112"/>
      <c r="G75" s="112"/>
      <c r="H75" s="112"/>
      <c r="I75" s="112"/>
      <c r="J75" s="112"/>
      <c r="K75" s="112"/>
      <c r="L75" s="112"/>
      <c r="M75" s="113"/>
      <c r="N75" s="113"/>
    </row>
    <row r="76" spans="4:19" x14ac:dyDescent="0.25"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</row>
    <row r="77" spans="4:19" x14ac:dyDescent="0.25">
      <c r="D77" s="112"/>
      <c r="E77" s="112"/>
      <c r="F77" s="112"/>
      <c r="G77" s="112"/>
      <c r="H77" s="112"/>
      <c r="I77" s="112"/>
      <c r="J77" s="112"/>
      <c r="K77" s="112"/>
      <c r="L77" s="112"/>
      <c r="M77" s="113"/>
      <c r="N77" s="113"/>
    </row>
    <row r="78" spans="4:19" x14ac:dyDescent="0.25">
      <c r="D78" s="112"/>
      <c r="E78" s="112"/>
      <c r="F78" s="112"/>
      <c r="G78" s="112"/>
      <c r="H78" s="112"/>
      <c r="I78" s="112"/>
      <c r="J78" s="112"/>
      <c r="K78" s="112"/>
      <c r="L78" s="112"/>
      <c r="M78" s="125"/>
      <c r="N78" s="125"/>
    </row>
    <row r="79" spans="4:19" x14ac:dyDescent="0.25">
      <c r="D79" s="112"/>
      <c r="E79" s="112"/>
      <c r="F79" s="112"/>
      <c r="G79" s="112"/>
      <c r="H79" s="112"/>
      <c r="I79" s="112"/>
      <c r="J79" s="112"/>
      <c r="K79" s="112"/>
      <c r="L79" s="112"/>
      <c r="M79" s="125"/>
      <c r="N79" s="125"/>
    </row>
    <row r="80" spans="4:19" x14ac:dyDescent="0.25">
      <c r="D80" s="112"/>
      <c r="E80" s="112"/>
      <c r="F80" s="112"/>
      <c r="G80" s="112"/>
      <c r="H80" s="112"/>
      <c r="I80" s="112"/>
      <c r="J80" s="112"/>
      <c r="K80" s="112"/>
      <c r="L80" s="112"/>
      <c r="M80" s="125"/>
      <c r="N80" s="125"/>
    </row>
    <row r="81" spans="4:14" x14ac:dyDescent="0.25">
      <c r="D81" s="112"/>
      <c r="E81" s="112"/>
      <c r="F81" s="112"/>
      <c r="G81" s="112"/>
      <c r="H81" s="112"/>
      <c r="I81" s="112"/>
      <c r="J81" s="112"/>
      <c r="K81" s="112"/>
      <c r="L81" s="112"/>
      <c r="M81" s="113"/>
      <c r="N81" s="113"/>
    </row>
    <row r="82" spans="4:14" x14ac:dyDescent="0.25"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</row>
    <row r="83" spans="4:14" x14ac:dyDescent="0.25">
      <c r="D83" s="112"/>
      <c r="E83" s="132"/>
      <c r="F83" s="132"/>
      <c r="G83" s="132"/>
      <c r="H83" s="132"/>
      <c r="I83" s="132"/>
      <c r="J83" s="132"/>
      <c r="K83" s="132"/>
      <c r="L83" s="132"/>
      <c r="M83" s="149"/>
      <c r="N83" s="149"/>
    </row>
    <row r="84" spans="4:14" x14ac:dyDescent="0.25"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</row>
    <row r="85" spans="4:14" x14ac:dyDescent="0.25"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</row>
    <row r="86" spans="4:14" x14ac:dyDescent="0.25">
      <c r="D86" s="112"/>
      <c r="E86" s="112"/>
      <c r="F86" s="112"/>
      <c r="G86" s="112"/>
      <c r="H86" s="112"/>
      <c r="I86" s="112"/>
      <c r="J86" s="112"/>
      <c r="K86" s="112"/>
      <c r="L86" s="112"/>
      <c r="M86" s="206"/>
      <c r="N86" s="206"/>
    </row>
    <row r="87" spans="4:14" x14ac:dyDescent="0.25">
      <c r="D87" s="112"/>
      <c r="E87" s="112"/>
      <c r="F87" s="112"/>
      <c r="G87" s="112"/>
      <c r="H87" s="112"/>
      <c r="I87" s="112"/>
      <c r="J87" s="112"/>
      <c r="K87" s="112"/>
      <c r="L87" s="112"/>
      <c r="M87" s="125"/>
      <c r="N87" s="125"/>
    </row>
    <row r="88" spans="4:14" x14ac:dyDescent="0.25">
      <c r="D88" s="112"/>
      <c r="E88" s="112"/>
      <c r="F88" s="112"/>
      <c r="G88" s="112"/>
      <c r="H88" s="112"/>
      <c r="I88" s="112"/>
      <c r="J88" s="112"/>
      <c r="K88" s="112"/>
      <c r="L88" s="112"/>
      <c r="M88" s="125"/>
      <c r="N88" s="125"/>
    </row>
    <row r="89" spans="4:14" x14ac:dyDescent="0.25">
      <c r="D89" s="112"/>
      <c r="E89" s="112"/>
      <c r="F89" s="112"/>
      <c r="G89" s="112"/>
      <c r="H89" s="112"/>
      <c r="I89" s="112"/>
      <c r="J89" s="112"/>
      <c r="K89" s="112"/>
      <c r="L89" s="112"/>
      <c r="M89" s="125"/>
      <c r="N89" s="125"/>
    </row>
    <row r="90" spans="4:14" x14ac:dyDescent="0.25">
      <c r="D90" s="112"/>
      <c r="E90" s="112"/>
      <c r="F90" s="112"/>
      <c r="G90" s="112"/>
      <c r="H90" s="112"/>
      <c r="I90" s="112"/>
      <c r="J90" s="112"/>
      <c r="K90" s="112"/>
      <c r="L90" s="112"/>
      <c r="M90" s="125"/>
      <c r="N90" s="125"/>
    </row>
    <row r="91" spans="4:14" x14ac:dyDescent="0.25">
      <c r="D91" s="112"/>
      <c r="E91" s="112"/>
      <c r="F91" s="112"/>
      <c r="G91" s="112"/>
      <c r="H91" s="112"/>
      <c r="I91" s="112"/>
      <c r="J91" s="112"/>
      <c r="K91" s="112"/>
      <c r="L91" s="112"/>
      <c r="M91" s="113"/>
      <c r="N91" s="113"/>
    </row>
    <row r="92" spans="4:14" x14ac:dyDescent="0.25"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</row>
    <row r="93" spans="4:14" x14ac:dyDescent="0.25">
      <c r="D93" s="112"/>
      <c r="E93" s="132"/>
      <c r="F93" s="112"/>
      <c r="G93" s="112"/>
      <c r="H93" s="112"/>
      <c r="I93" s="112"/>
      <c r="J93" s="112"/>
      <c r="K93" s="112"/>
      <c r="L93" s="112"/>
      <c r="M93" s="113"/>
      <c r="N93" s="113"/>
    </row>
    <row r="94" spans="4:14" x14ac:dyDescent="0.25"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</row>
    <row r="95" spans="4:14" x14ac:dyDescent="0.25"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</row>
    <row r="96" spans="4:14" x14ac:dyDescent="0.25"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</row>
    <row r="97" spans="4:14" x14ac:dyDescent="0.25"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</row>
  </sheetData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DA28-F772-42B7-A605-DD1A0CB75905}">
  <sheetPr>
    <pageSetUpPr fitToPage="1"/>
  </sheetPr>
  <dimension ref="A3:U43"/>
  <sheetViews>
    <sheetView showGridLines="0" zoomScaleNormal="100" zoomScaleSheetLayoutView="115" workbookViewId="0">
      <selection activeCell="Z16" sqref="Z16"/>
    </sheetView>
  </sheetViews>
  <sheetFormatPr defaultRowHeight="15" x14ac:dyDescent="0.25"/>
  <cols>
    <col min="1" max="4" width="1.7109375" customWidth="1"/>
    <col min="5" max="5" width="1.5703125" customWidth="1"/>
    <col min="6" max="6" width="31.140625" customWidth="1"/>
    <col min="8" max="8" width="10" bestFit="1" customWidth="1"/>
    <col min="9" max="9" width="11.140625" bestFit="1" customWidth="1"/>
    <col min="10" max="11" width="10.7109375" bestFit="1" customWidth="1"/>
    <col min="12" max="12" width="1.7109375" customWidth="1"/>
    <col min="16" max="18" width="1.7109375" style="20" customWidth="1"/>
    <col min="19" max="20" width="8.7109375" style="20"/>
    <col min="21" max="21" width="1.7109375" style="20" customWidth="1"/>
    <col min="22" max="23" width="1.7109375" customWidth="1"/>
  </cols>
  <sheetData>
    <row r="3" spans="1:15" x14ac:dyDescent="0.25">
      <c r="B3" s="127"/>
      <c r="C3" s="12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23"/>
      <c r="O3" s="23"/>
    </row>
    <row r="4" spans="1:15" s="20" customFormat="1" ht="18" customHeight="1" x14ac:dyDescent="0.3">
      <c r="A4"/>
      <c r="B4" s="127"/>
      <c r="C4" s="127"/>
      <c r="D4" s="126"/>
      <c r="E4" s="128" t="e">
        <f>#REF!&amp;"'s Debt Schedule"</f>
        <v>#REF!</v>
      </c>
      <c r="F4" s="112"/>
      <c r="G4" s="112"/>
      <c r="H4" s="112"/>
      <c r="I4" s="112"/>
      <c r="J4" s="112"/>
      <c r="K4" s="112"/>
      <c r="L4" s="112"/>
      <c r="M4" s="112"/>
      <c r="N4" s="23"/>
      <c r="O4" s="23"/>
    </row>
    <row r="5" spans="1:15" s="20" customFormat="1" ht="18" customHeight="1" x14ac:dyDescent="0.3">
      <c r="B5" s="127"/>
      <c r="C5" s="127"/>
      <c r="D5" s="126"/>
      <c r="E5" s="129" t="s">
        <v>107</v>
      </c>
      <c r="F5" s="112"/>
      <c r="G5" s="112"/>
      <c r="H5" s="112"/>
      <c r="I5" s="112"/>
      <c r="J5" s="112"/>
      <c r="K5" s="112"/>
      <c r="L5" s="112"/>
      <c r="M5" s="112"/>
      <c r="N5" s="23"/>
      <c r="O5" s="23"/>
    </row>
    <row r="6" spans="1:15" s="20" customFormat="1" ht="0.95" customHeight="1" x14ac:dyDescent="0.3">
      <c r="B6" s="127"/>
      <c r="C6" s="127"/>
      <c r="D6" s="126"/>
      <c r="E6" s="128"/>
      <c r="F6" s="112"/>
      <c r="G6" s="112"/>
      <c r="H6" s="112"/>
      <c r="I6" s="112"/>
      <c r="J6" s="112"/>
      <c r="K6" s="112"/>
      <c r="L6" s="112"/>
      <c r="M6" s="112"/>
      <c r="N6" s="23"/>
      <c r="O6" s="23"/>
    </row>
    <row r="7" spans="1:15" s="23" customFormat="1" x14ac:dyDescent="0.25">
      <c r="A7" s="20"/>
      <c r="B7" s="127"/>
      <c r="C7" s="127"/>
      <c r="D7" s="112"/>
      <c r="E7" s="127"/>
      <c r="F7" s="127"/>
      <c r="G7" s="127"/>
      <c r="H7" s="127"/>
      <c r="I7" s="130" t="s">
        <v>109</v>
      </c>
      <c r="J7" s="130" t="s">
        <v>110</v>
      </c>
      <c r="K7" s="130" t="s">
        <v>111</v>
      </c>
      <c r="L7" s="112"/>
      <c r="M7" s="112"/>
    </row>
    <row r="8" spans="1:15" s="23" customFormat="1" x14ac:dyDescent="0.25">
      <c r="A8" s="20"/>
      <c r="B8" s="20"/>
      <c r="C8" s="20"/>
      <c r="F8" s="49"/>
    </row>
    <row r="9" spans="1:15" s="23" customFormat="1" x14ac:dyDescent="0.25">
      <c r="A9" s="20"/>
      <c r="B9" s="20"/>
      <c r="C9" s="20"/>
      <c r="E9" s="23" t="s">
        <v>311</v>
      </c>
      <c r="I9" s="54"/>
      <c r="J9" s="57"/>
      <c r="K9" s="55"/>
    </row>
    <row r="10" spans="1:15" s="23" customFormat="1" x14ac:dyDescent="0.25">
      <c r="F10" s="23" t="s">
        <v>312</v>
      </c>
      <c r="I10" s="73">
        <f>Assumptions!F20</f>
        <v>230000</v>
      </c>
      <c r="J10" s="61">
        <f>I14</f>
        <v>173647</v>
      </c>
      <c r="K10" s="61">
        <f>J14</f>
        <v>180299</v>
      </c>
    </row>
    <row r="11" spans="1:15" s="23" customFormat="1" x14ac:dyDescent="0.25">
      <c r="F11" s="23" t="s">
        <v>317</v>
      </c>
      <c r="I11" s="66">
        <f>(I14-I10)-I12</f>
        <v>-63005</v>
      </c>
      <c r="J11" s="61"/>
      <c r="K11" s="61"/>
    </row>
    <row r="12" spans="1:15" s="26" customFormat="1" x14ac:dyDescent="0.25">
      <c r="A12" s="38"/>
      <c r="B12" s="38"/>
      <c r="C12" s="38"/>
      <c r="F12" s="23" t="s">
        <v>301</v>
      </c>
      <c r="I12" s="74">
        <f>'Cash Flow Statement'!I13</f>
        <v>6652</v>
      </c>
      <c r="J12" s="63">
        <f>I12</f>
        <v>6652</v>
      </c>
      <c r="K12" s="63">
        <f>J12</f>
        <v>6652</v>
      </c>
    </row>
    <row r="13" spans="1:15" s="23" customFormat="1" x14ac:dyDescent="0.25">
      <c r="A13" s="20"/>
      <c r="B13" s="20"/>
      <c r="C13" s="20"/>
      <c r="E13" s="31"/>
      <c r="F13" s="62" t="s">
        <v>313</v>
      </c>
      <c r="G13" s="31"/>
      <c r="H13" s="31"/>
      <c r="I13" s="65">
        <v>0</v>
      </c>
      <c r="J13" s="67">
        <f>I13</f>
        <v>0</v>
      </c>
      <c r="K13" s="67">
        <f>J13</f>
        <v>0</v>
      </c>
    </row>
    <row r="14" spans="1:15" s="23" customFormat="1" x14ac:dyDescent="0.25">
      <c r="A14" s="20"/>
      <c r="B14" s="20"/>
      <c r="C14" s="20"/>
      <c r="E14" s="23" t="s">
        <v>302</v>
      </c>
      <c r="F14" s="53"/>
      <c r="I14" s="33">
        <f>'Balance Sheet'!I41</f>
        <v>173647</v>
      </c>
      <c r="J14" s="33">
        <f>SUM(J10:J13)</f>
        <v>180299</v>
      </c>
      <c r="K14" s="33">
        <f>SUM(K10:K13)</f>
        <v>186951</v>
      </c>
    </row>
    <row r="15" spans="1:15" s="36" customFormat="1" x14ac:dyDescent="0.25">
      <c r="A15" s="35"/>
      <c r="B15" s="35"/>
      <c r="C15" s="35"/>
      <c r="D15" s="34"/>
      <c r="E15" s="34"/>
      <c r="F15" s="34"/>
      <c r="I15" s="33"/>
    </row>
    <row r="16" spans="1:15" s="23" customFormat="1" x14ac:dyDescent="0.25">
      <c r="A16" s="20"/>
      <c r="B16" s="20"/>
      <c r="C16" s="20"/>
      <c r="E16" s="23" t="s">
        <v>124</v>
      </c>
      <c r="I16" s="64"/>
    </row>
    <row r="17" spans="1:13" s="23" customFormat="1" x14ac:dyDescent="0.25">
      <c r="A17" s="20"/>
      <c r="B17" s="20"/>
      <c r="C17" s="20"/>
      <c r="F17" s="31" t="s">
        <v>318</v>
      </c>
      <c r="G17" s="72">
        <f>Assumptions!F21</f>
        <v>5.0000000000000001E-3</v>
      </c>
      <c r="H17" s="71"/>
      <c r="I17" s="33"/>
      <c r="J17" s="33"/>
      <c r="K17" s="33"/>
    </row>
    <row r="18" spans="1:13" s="23" customFormat="1" x14ac:dyDescent="0.25">
      <c r="A18" s="20"/>
      <c r="B18" s="20"/>
      <c r="C18" s="20"/>
      <c r="E18" s="34"/>
      <c r="F18" s="34"/>
      <c r="G18" s="36"/>
      <c r="H18" s="36"/>
      <c r="I18" s="36"/>
      <c r="J18" s="36"/>
      <c r="K18" s="36"/>
    </row>
    <row r="19" spans="1:13" s="23" customFormat="1" x14ac:dyDescent="0.25">
      <c r="A19" s="20"/>
      <c r="B19" s="20"/>
      <c r="C19" s="20"/>
      <c r="F19" s="23" t="s">
        <v>319</v>
      </c>
      <c r="I19" s="75">
        <v>712</v>
      </c>
      <c r="J19" s="33">
        <f>I19</f>
        <v>712</v>
      </c>
      <c r="K19" s="33">
        <f>J19</f>
        <v>712</v>
      </c>
    </row>
    <row r="20" spans="1:13" s="34" customFormat="1" x14ac:dyDescent="0.25">
      <c r="A20" s="35"/>
      <c r="B20" s="35"/>
      <c r="C20" s="35"/>
      <c r="E20" s="43"/>
      <c r="F20" s="32" t="s">
        <v>320</v>
      </c>
      <c r="G20" s="43"/>
      <c r="H20" s="43"/>
      <c r="I20" s="76">
        <f>-I12</f>
        <v>-6652</v>
      </c>
      <c r="J20" s="76">
        <f t="shared" ref="J20:K20" si="0">-J12</f>
        <v>-6652</v>
      </c>
      <c r="K20" s="76">
        <f t="shared" si="0"/>
        <v>-6652</v>
      </c>
      <c r="L20" s="25"/>
    </row>
    <row r="21" spans="1:13" s="23" customFormat="1" ht="15" customHeight="1" x14ac:dyDescent="0.7">
      <c r="A21" s="20"/>
      <c r="B21" s="20"/>
      <c r="C21" s="20"/>
      <c r="E21" s="68" t="s">
        <v>15</v>
      </c>
      <c r="F21" s="28"/>
      <c r="G21" s="28"/>
      <c r="H21" s="28"/>
      <c r="I21" s="77">
        <f>-I19+I20</f>
        <v>-7364</v>
      </c>
      <c r="J21" s="77">
        <f t="shared" ref="J21:K21" si="1">-J19+J20</f>
        <v>-7364</v>
      </c>
      <c r="K21" s="77">
        <f t="shared" si="1"/>
        <v>-7364</v>
      </c>
      <c r="L21" s="28"/>
      <c r="M21" s="28"/>
    </row>
    <row r="22" spans="1:13" s="36" customFormat="1" ht="15" customHeight="1" x14ac:dyDescent="0.7">
      <c r="A22" s="37"/>
      <c r="B22" s="37"/>
      <c r="C22" s="37"/>
      <c r="E22" s="69"/>
      <c r="F22" s="70"/>
      <c r="G22" s="70"/>
      <c r="H22" s="70"/>
      <c r="I22" s="70"/>
      <c r="J22" s="70"/>
      <c r="K22" s="70"/>
      <c r="L22" s="70"/>
      <c r="M22" s="70"/>
    </row>
    <row r="23" spans="1:13" s="23" customFormat="1" ht="15" customHeight="1" x14ac:dyDescent="0.7">
      <c r="A23" s="20"/>
      <c r="B23" s="20"/>
      <c r="C23" s="20"/>
      <c r="F23" s="28"/>
      <c r="G23" s="28"/>
      <c r="H23" s="28"/>
      <c r="I23" s="28"/>
      <c r="J23" s="28"/>
      <c r="K23" s="28"/>
      <c r="L23" s="28"/>
      <c r="M23" s="28"/>
    </row>
    <row r="24" spans="1:13" s="23" customFormat="1" ht="21" x14ac:dyDescent="0.35">
      <c r="A24" s="20"/>
      <c r="B24" s="20"/>
      <c r="C24" s="20"/>
      <c r="F24" s="29"/>
      <c r="G24" s="29"/>
      <c r="H24" s="29"/>
      <c r="I24" s="29"/>
      <c r="J24" s="29"/>
      <c r="K24" s="29"/>
      <c r="L24" s="29"/>
      <c r="M24" s="29"/>
    </row>
    <row r="25" spans="1:13" s="23" customFormat="1" x14ac:dyDescent="0.25">
      <c r="A25" s="20"/>
      <c r="B25" s="20"/>
      <c r="C25" s="20"/>
    </row>
    <row r="26" spans="1:13" s="23" customFormat="1" ht="21" x14ac:dyDescent="0.35">
      <c r="A26" s="20"/>
      <c r="B26" s="20"/>
      <c r="C26" s="20"/>
      <c r="F26" s="30"/>
      <c r="G26" s="30"/>
      <c r="H26" s="30"/>
      <c r="I26" s="30"/>
      <c r="J26" s="30"/>
      <c r="K26" s="30"/>
      <c r="L26" s="30"/>
      <c r="M26" s="30"/>
    </row>
    <row r="27" spans="1:13" s="23" customFormat="1" x14ac:dyDescent="0.25">
      <c r="A27" s="20"/>
      <c r="B27" s="20"/>
      <c r="C27" s="20"/>
    </row>
    <row r="28" spans="1:13" s="23" customFormat="1" x14ac:dyDescent="0.25">
      <c r="A28" s="20"/>
      <c r="B28" s="20"/>
      <c r="C28" s="20"/>
    </row>
    <row r="29" spans="1:13" s="23" customFormat="1" x14ac:dyDescent="0.25">
      <c r="A29" s="20"/>
      <c r="B29" s="20"/>
      <c r="C29" s="20"/>
    </row>
    <row r="30" spans="1:13" s="23" customFormat="1" x14ac:dyDescent="0.25">
      <c r="A30" s="20"/>
      <c r="B30" s="20"/>
      <c r="C30" s="20"/>
    </row>
    <row r="31" spans="1:13" s="23" customFormat="1" x14ac:dyDescent="0.25">
      <c r="A31" s="20"/>
      <c r="B31" s="20"/>
      <c r="C31" s="20"/>
    </row>
    <row r="32" spans="1:13" s="23" customFormat="1" x14ac:dyDescent="0.25">
      <c r="A32" s="20"/>
      <c r="B32" s="20"/>
      <c r="C32" s="20"/>
    </row>
    <row r="33" spans="1:15" s="23" customFormat="1" x14ac:dyDescent="0.25">
      <c r="A33" s="20"/>
      <c r="B33" s="20"/>
      <c r="C33" s="20"/>
    </row>
    <row r="34" spans="1:15" s="23" customFormat="1" x14ac:dyDescent="0.25">
      <c r="A34" s="20"/>
      <c r="B34" s="20"/>
      <c r="C34" s="20"/>
    </row>
    <row r="35" spans="1:15" s="23" customFormat="1" x14ac:dyDescent="0.25">
      <c r="A35" s="20"/>
      <c r="B35" s="20"/>
      <c r="C35" s="20"/>
    </row>
    <row r="36" spans="1:15" s="23" customFormat="1" x14ac:dyDescent="0.25">
      <c r="A36" s="20"/>
      <c r="B36" s="20"/>
      <c r="C36" s="20"/>
    </row>
    <row r="37" spans="1:15" s="20" customFormat="1" x14ac:dyDescent="0.2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s="20" customFormat="1" x14ac:dyDescent="0.25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s="20" customFormat="1" x14ac:dyDescent="0.25"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s="20" customFormat="1" x14ac:dyDescent="0.2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s="20" customFormat="1" x14ac:dyDescent="0.25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s="20" customFormat="1" x14ac:dyDescent="0.25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s="20" customFormat="1" x14ac:dyDescent="0.25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A52C-4EF5-4C5C-817B-A96274C44BC2}">
  <sheetPr>
    <pageSetUpPr fitToPage="1"/>
  </sheetPr>
  <dimension ref="A4:K67"/>
  <sheetViews>
    <sheetView showGridLines="0" topLeftCell="B13" zoomScaleNormal="100" zoomScaleSheetLayoutView="79" workbookViewId="0">
      <selection activeCell="G35" sqref="G35"/>
    </sheetView>
  </sheetViews>
  <sheetFormatPr defaultRowHeight="15" x14ac:dyDescent="0.25"/>
  <cols>
    <col min="1" max="6" width="1.7109375" style="127" customWidth="1"/>
    <col min="7" max="7" width="57" style="127" customWidth="1"/>
    <col min="8" max="8" width="1.7109375" style="127" customWidth="1"/>
    <col min="9" max="11" width="14.28515625" style="127" customWidth="1"/>
    <col min="12" max="12" width="1.7109375" style="127" customWidth="1"/>
    <col min="13" max="20" width="9.140625" style="127"/>
    <col min="21" max="23" width="1.7109375" style="127" customWidth="1"/>
    <col min="24" max="16384" width="9.140625" style="127"/>
  </cols>
  <sheetData>
    <row r="4" spans="1:11" ht="18" customHeight="1" x14ac:dyDescent="0.3">
      <c r="E4" s="128" t="e">
        <f>#REF!&amp;"'s Working Capital Analysis"</f>
        <v>#REF!</v>
      </c>
      <c r="F4" s="128"/>
    </row>
    <row r="5" spans="1:11" ht="2.1" customHeight="1" x14ac:dyDescent="0.3">
      <c r="E5" s="128"/>
      <c r="F5" s="128"/>
    </row>
    <row r="6" spans="1:11" x14ac:dyDescent="0.25">
      <c r="E6" s="129" t="s">
        <v>107</v>
      </c>
      <c r="F6" s="129"/>
    </row>
    <row r="7" spans="1:11" ht="0.95" customHeight="1" x14ac:dyDescent="0.25">
      <c r="E7" s="129"/>
      <c r="F7" s="129"/>
    </row>
    <row r="8" spans="1:11" x14ac:dyDescent="0.25">
      <c r="I8" s="142" t="s">
        <v>109</v>
      </c>
      <c r="J8" s="142" t="s">
        <v>110</v>
      </c>
      <c r="K8" s="142" t="s">
        <v>111</v>
      </c>
    </row>
    <row r="9" spans="1:11" s="133" customFormat="1" ht="17.25" x14ac:dyDescent="0.25">
      <c r="D9" s="132"/>
      <c r="E9" s="132"/>
      <c r="F9" s="132" t="s">
        <v>357</v>
      </c>
      <c r="G9" s="132"/>
      <c r="H9" s="132"/>
      <c r="I9" s="149"/>
      <c r="J9" s="149"/>
      <c r="K9" s="207"/>
    </row>
    <row r="10" spans="1:11" x14ac:dyDescent="0.25">
      <c r="D10" s="112"/>
      <c r="E10" s="112"/>
      <c r="F10" s="112"/>
      <c r="G10" s="112" t="s">
        <v>233</v>
      </c>
      <c r="H10" s="132"/>
      <c r="I10" s="113">
        <f>'Balance Sheet'!I15</f>
        <v>94922</v>
      </c>
      <c r="J10" s="125">
        <f>J29*(J25/Assumptions!$F$11)</f>
        <v>130043.14000000003</v>
      </c>
      <c r="K10" s="125">
        <f>K29*(K25/Assumptions!$F$11)</f>
        <v>178159.10180000003</v>
      </c>
    </row>
    <row r="11" spans="1:11" x14ac:dyDescent="0.25">
      <c r="D11" s="112"/>
      <c r="E11" s="112"/>
      <c r="F11" s="112"/>
      <c r="G11" s="112" t="s">
        <v>138</v>
      </c>
      <c r="H11" s="132"/>
      <c r="I11" s="125">
        <f>'Balance Sheet'!I16</f>
        <v>10353</v>
      </c>
      <c r="J11" s="125">
        <f>J25*J32</f>
        <v>14183.61</v>
      </c>
      <c r="K11" s="125">
        <f>K25*K32</f>
        <v>19431.545700000002</v>
      </c>
    </row>
    <row r="12" spans="1:11" s="131" customFormat="1" x14ac:dyDescent="0.25">
      <c r="A12" s="129"/>
      <c r="B12" s="129"/>
      <c r="C12" s="129"/>
      <c r="D12" s="116"/>
      <c r="E12" s="116"/>
      <c r="F12" s="154"/>
      <c r="G12" s="134" t="s">
        <v>267</v>
      </c>
      <c r="H12" s="154"/>
      <c r="I12" s="148">
        <f>'Balance Sheet'!I17</f>
        <v>26846</v>
      </c>
      <c r="J12" s="148">
        <f>J33*J25</f>
        <v>36779.020000000004</v>
      </c>
      <c r="K12" s="148">
        <f>K33*K25</f>
        <v>50387.257400000002</v>
      </c>
    </row>
    <row r="13" spans="1:11" s="133" customFormat="1" x14ac:dyDescent="0.25">
      <c r="D13" s="132"/>
      <c r="E13" s="132"/>
      <c r="F13" s="132" t="s">
        <v>140</v>
      </c>
      <c r="G13" s="132"/>
      <c r="H13" s="132"/>
      <c r="I13" s="149">
        <f>SUM(I10:I12)</f>
        <v>132121</v>
      </c>
      <c r="J13" s="149">
        <f>SUM(J10:J12)</f>
        <v>181005.77000000002</v>
      </c>
      <c r="K13" s="149">
        <f>SUM(K10:K12)</f>
        <v>247977.90490000002</v>
      </c>
    </row>
    <row r="14" spans="1:11" x14ac:dyDescent="0.25">
      <c r="D14" s="112"/>
      <c r="E14" s="112"/>
      <c r="F14" s="112"/>
      <c r="G14" s="112"/>
      <c r="H14" s="112"/>
      <c r="I14" s="125"/>
      <c r="J14" s="112"/>
      <c r="K14" s="112"/>
    </row>
    <row r="15" spans="1:11" x14ac:dyDescent="0.25">
      <c r="D15" s="112"/>
      <c r="E15" s="112"/>
      <c r="F15" s="132" t="s">
        <v>150</v>
      </c>
      <c r="G15" s="112"/>
      <c r="H15" s="112"/>
      <c r="I15" s="125"/>
      <c r="J15" s="61"/>
      <c r="K15" s="112"/>
    </row>
    <row r="16" spans="1:11" x14ac:dyDescent="0.25">
      <c r="D16" s="112"/>
      <c r="E16" s="112"/>
      <c r="F16" s="112"/>
      <c r="G16" s="112" t="s">
        <v>151</v>
      </c>
      <c r="H16" s="112"/>
      <c r="I16" s="125">
        <f>'Balance Sheet'!I34</f>
        <v>5028</v>
      </c>
      <c r="J16" s="61">
        <f>J30*(J26/Assumptions!$F$11)</f>
        <v>6888.3600000000015</v>
      </c>
      <c r="K16" s="61">
        <f>K30*(K26/Assumptions!$F$11)</f>
        <v>9437.0532000000021</v>
      </c>
    </row>
    <row r="17" spans="4:11" x14ac:dyDescent="0.25">
      <c r="D17" s="112"/>
      <c r="E17" s="112"/>
      <c r="F17" s="112"/>
      <c r="G17" s="112" t="s">
        <v>263</v>
      </c>
      <c r="H17" s="112"/>
      <c r="I17" s="208">
        <f>'Balance Sheet'!I36</f>
        <v>10878</v>
      </c>
      <c r="J17" s="125">
        <f>J35*J26</f>
        <v>14902.860000000002</v>
      </c>
      <c r="K17" s="125">
        <f>K35*K26</f>
        <v>20416.918200000004</v>
      </c>
    </row>
    <row r="18" spans="4:11" x14ac:dyDescent="0.25">
      <c r="D18" s="112"/>
      <c r="E18" s="112"/>
      <c r="F18" s="112"/>
      <c r="G18" s="112" t="s">
        <v>268</v>
      </c>
      <c r="H18" s="112"/>
      <c r="I18" s="125">
        <f>'Balance Sheet'!I35</f>
        <v>24659</v>
      </c>
      <c r="J18" s="125">
        <f>J36*J27</f>
        <v>33782.83</v>
      </c>
      <c r="K18" s="125">
        <f>K36*K27</f>
        <v>46282.477100000004</v>
      </c>
    </row>
    <row r="19" spans="4:11" x14ac:dyDescent="0.25">
      <c r="D19" s="112"/>
      <c r="E19" s="112"/>
      <c r="F19" s="134"/>
      <c r="G19" s="134" t="s">
        <v>154</v>
      </c>
      <c r="H19" s="134"/>
      <c r="I19" s="148">
        <f>'Balance Sheet'!I37</f>
        <v>84015</v>
      </c>
      <c r="J19" s="148">
        <f>J37*J25</f>
        <v>115100.55000000002</v>
      </c>
      <c r="K19" s="148">
        <f>K37*K25</f>
        <v>157687.75350000002</v>
      </c>
    </row>
    <row r="20" spans="4:11" s="133" customFormat="1" x14ac:dyDescent="0.25">
      <c r="D20" s="132"/>
      <c r="E20" s="132"/>
      <c r="F20" s="132" t="s">
        <v>155</v>
      </c>
      <c r="G20" s="132"/>
      <c r="H20" s="132"/>
      <c r="I20" s="149">
        <f>SUM(I16:I19)</f>
        <v>124580</v>
      </c>
      <c r="J20" s="149">
        <f>SUM(J16:J19)</f>
        <v>170674.60000000003</v>
      </c>
      <c r="K20" s="149">
        <f>SUM(K16:K19)</f>
        <v>233824.20200000005</v>
      </c>
    </row>
    <row r="21" spans="4:11" x14ac:dyDescent="0.25">
      <c r="D21" s="112"/>
      <c r="E21" s="112"/>
      <c r="F21" s="134"/>
      <c r="G21" s="134"/>
      <c r="H21" s="134"/>
      <c r="I21" s="134"/>
      <c r="J21" s="134"/>
      <c r="K21" s="134"/>
    </row>
    <row r="22" spans="4:11" s="133" customFormat="1" x14ac:dyDescent="0.25">
      <c r="D22" s="132"/>
      <c r="E22" s="132"/>
      <c r="F22" s="135" t="s">
        <v>264</v>
      </c>
      <c r="G22" s="158"/>
      <c r="H22" s="158"/>
      <c r="I22" s="183">
        <f>I13-I20</f>
        <v>7541</v>
      </c>
      <c r="J22" s="183">
        <f>J13-J20</f>
        <v>10331.169999999984</v>
      </c>
      <c r="K22" s="209">
        <f>K13-K20</f>
        <v>14153.702899999975</v>
      </c>
    </row>
    <row r="23" spans="4:11" x14ac:dyDescent="0.25">
      <c r="D23" s="112"/>
      <c r="E23" s="112"/>
      <c r="F23" s="112"/>
      <c r="G23" s="112"/>
      <c r="H23" s="112"/>
      <c r="I23" s="112"/>
      <c r="J23" s="113"/>
      <c r="K23" s="112"/>
    </row>
    <row r="24" spans="4:11" x14ac:dyDescent="0.25">
      <c r="D24" s="112"/>
      <c r="E24" s="112"/>
      <c r="F24" s="112"/>
      <c r="G24" s="112"/>
      <c r="H24" s="112"/>
      <c r="I24" s="112"/>
      <c r="J24" s="112"/>
      <c r="K24" s="112"/>
    </row>
    <row r="25" spans="4:11" x14ac:dyDescent="0.25">
      <c r="D25" s="112"/>
      <c r="E25" s="112"/>
      <c r="F25" s="112" t="s">
        <v>3</v>
      </c>
      <c r="G25" s="112"/>
      <c r="H25" s="112"/>
      <c r="I25" s="113">
        <f>'Income Statement'!G13</f>
        <v>253570</v>
      </c>
      <c r="J25" s="113">
        <f>'Income Statement'!H13</f>
        <v>347390.9</v>
      </c>
      <c r="K25" s="113">
        <f>'Income Statement'!I13</f>
        <v>475925.53300000005</v>
      </c>
    </row>
    <row r="26" spans="4:11" x14ac:dyDescent="0.25">
      <c r="D26" s="112"/>
      <c r="E26" s="112"/>
      <c r="F26" s="112" t="s">
        <v>269</v>
      </c>
      <c r="G26" s="112"/>
      <c r="H26" s="112"/>
      <c r="I26" s="66">
        <f>'Income Statement'!G15</f>
        <v>22800</v>
      </c>
      <c r="J26" s="66">
        <f>'Income Statement'!H15</f>
        <v>31236.000000000004</v>
      </c>
      <c r="K26" s="66">
        <f>'Income Statement'!I15</f>
        <v>42793.320000000007</v>
      </c>
    </row>
    <row r="27" spans="4:11" x14ac:dyDescent="0.25">
      <c r="D27" s="112"/>
      <c r="E27" s="112"/>
      <c r="F27" s="112" t="s">
        <v>120</v>
      </c>
      <c r="G27" s="112"/>
      <c r="H27" s="112"/>
      <c r="I27" s="66">
        <f>'Income Statement'!G20</f>
        <v>109284</v>
      </c>
      <c r="J27" s="66">
        <f>'Income Statement'!H20</f>
        <v>149719.08000000002</v>
      </c>
      <c r="K27" s="66">
        <f>'Income Statement'!I20</f>
        <v>205115.13960000002</v>
      </c>
    </row>
    <row r="28" spans="4:11" x14ac:dyDescent="0.25">
      <c r="D28" s="112"/>
      <c r="E28" s="112"/>
      <c r="F28" s="112"/>
      <c r="G28" s="112"/>
      <c r="H28" s="112"/>
      <c r="I28" s="112"/>
      <c r="J28" s="112"/>
      <c r="K28" s="112"/>
    </row>
    <row r="29" spans="4:11" x14ac:dyDescent="0.25">
      <c r="D29" s="112"/>
      <c r="E29" s="112"/>
      <c r="F29" s="112" t="s">
        <v>265</v>
      </c>
      <c r="G29" s="112"/>
      <c r="H29" s="112"/>
      <c r="I29" s="66">
        <f>I10/(I25/Assumptions!F11)</f>
        <v>136.6349725913949</v>
      </c>
      <c r="J29" s="66">
        <f>I29</f>
        <v>136.6349725913949</v>
      </c>
      <c r="K29" s="66">
        <f>J29</f>
        <v>136.6349725913949</v>
      </c>
    </row>
    <row r="30" spans="4:11" x14ac:dyDescent="0.25">
      <c r="D30" s="112"/>
      <c r="E30" s="112"/>
      <c r="F30" s="112" t="s">
        <v>266</v>
      </c>
      <c r="G30" s="112"/>
      <c r="H30" s="112"/>
      <c r="I30" s="210">
        <f>I16/(I26/Assumptions!F11)</f>
        <v>80.492105263157896</v>
      </c>
      <c r="J30" s="66">
        <f>I30</f>
        <v>80.492105263157896</v>
      </c>
      <c r="K30" s="66">
        <f>J30</f>
        <v>80.492105263157896</v>
      </c>
    </row>
    <row r="31" spans="4:11" s="133" customFormat="1" x14ac:dyDescent="0.25">
      <c r="D31" s="132"/>
      <c r="E31" s="132"/>
      <c r="F31" s="132"/>
      <c r="G31" s="112"/>
      <c r="H31" s="132"/>
      <c r="I31" s="125"/>
      <c r="J31" s="132"/>
      <c r="K31" s="132"/>
    </row>
    <row r="32" spans="4:11" s="185" customFormat="1" x14ac:dyDescent="0.25">
      <c r="F32" s="114" t="s">
        <v>282</v>
      </c>
      <c r="G32" s="114"/>
      <c r="H32" s="114"/>
      <c r="I32" s="114">
        <f>I11/I$25</f>
        <v>4.0828962416689672E-2</v>
      </c>
      <c r="J32" s="114">
        <f>I32</f>
        <v>4.0828962416689672E-2</v>
      </c>
      <c r="K32" s="114">
        <f>J32</f>
        <v>4.0828962416689672E-2</v>
      </c>
    </row>
    <row r="33" spans="4:11" x14ac:dyDescent="0.25">
      <c r="D33" s="112"/>
      <c r="E33" s="112"/>
      <c r="F33" s="116" t="s">
        <v>283</v>
      </c>
      <c r="G33" s="116"/>
      <c r="H33" s="116"/>
      <c r="I33" s="114">
        <f>I12/I$25</f>
        <v>0.10587214575856765</v>
      </c>
      <c r="J33" s="114">
        <f>I33</f>
        <v>0.10587214575856765</v>
      </c>
      <c r="K33" s="114">
        <f>J33</f>
        <v>0.10587214575856765</v>
      </c>
    </row>
    <row r="34" spans="4:11" ht="5.0999999999999996" customHeight="1" x14ac:dyDescent="0.25">
      <c r="D34" s="112"/>
      <c r="E34" s="112"/>
      <c r="F34" s="116"/>
      <c r="G34" s="116"/>
      <c r="H34" s="116"/>
      <c r="I34" s="114"/>
      <c r="J34" s="114"/>
      <c r="K34" s="114"/>
    </row>
    <row r="35" spans="4:11" x14ac:dyDescent="0.25">
      <c r="D35" s="112"/>
      <c r="E35" s="112"/>
      <c r="F35" s="116" t="s">
        <v>285</v>
      </c>
      <c r="G35" s="116"/>
      <c r="H35" s="116"/>
      <c r="I35" s="114">
        <f>I17/I26</f>
        <v>0.47710526315789475</v>
      </c>
      <c r="J35" s="114">
        <f t="shared" ref="J35:K37" si="0">I35</f>
        <v>0.47710526315789475</v>
      </c>
      <c r="K35" s="114">
        <f t="shared" si="0"/>
        <v>0.47710526315789475</v>
      </c>
    </row>
    <row r="36" spans="4:11" x14ac:dyDescent="0.25">
      <c r="D36" s="112"/>
      <c r="E36" s="112"/>
      <c r="F36" s="116" t="s">
        <v>286</v>
      </c>
      <c r="G36" s="116"/>
      <c r="H36" s="116"/>
      <c r="I36" s="114">
        <f>I18/I27</f>
        <v>0.22564144797042568</v>
      </c>
      <c r="J36" s="114">
        <f t="shared" si="0"/>
        <v>0.22564144797042568</v>
      </c>
      <c r="K36" s="114">
        <f t="shared" si="0"/>
        <v>0.22564144797042568</v>
      </c>
    </row>
    <row r="37" spans="4:11" x14ac:dyDescent="0.25">
      <c r="D37" s="112"/>
      <c r="E37" s="112"/>
      <c r="F37" s="116" t="s">
        <v>284</v>
      </c>
      <c r="G37" s="116"/>
      <c r="H37" s="116"/>
      <c r="I37" s="114">
        <f>I19/I25</f>
        <v>0.33132862720353357</v>
      </c>
      <c r="J37" s="114">
        <f t="shared" si="0"/>
        <v>0.33132862720353357</v>
      </c>
      <c r="K37" s="114">
        <f t="shared" si="0"/>
        <v>0.33132862720353357</v>
      </c>
    </row>
    <row r="38" spans="4:11" x14ac:dyDescent="0.25">
      <c r="D38" s="112"/>
      <c r="E38" s="112"/>
      <c r="F38" s="112"/>
      <c r="G38" s="112"/>
      <c r="H38" s="112"/>
      <c r="I38" s="125"/>
      <c r="J38" s="112"/>
      <c r="K38" s="112"/>
    </row>
    <row r="39" spans="4:11" ht="17.25" x14ac:dyDescent="0.25">
      <c r="D39" s="112"/>
      <c r="E39" s="112"/>
      <c r="F39" s="211"/>
      <c r="G39" s="112"/>
      <c r="H39" s="112"/>
      <c r="I39" s="125"/>
      <c r="J39" s="112"/>
      <c r="K39" s="112"/>
    </row>
    <row r="40" spans="4:11" x14ac:dyDescent="0.25">
      <c r="D40" s="112"/>
      <c r="E40" s="112"/>
      <c r="F40" s="112"/>
      <c r="G40" s="112"/>
      <c r="H40" s="112"/>
      <c r="I40" s="125"/>
      <c r="J40" s="112"/>
      <c r="K40" s="112"/>
    </row>
    <row r="41" spans="4:11" s="133" customFormat="1" x14ac:dyDescent="0.25">
      <c r="D41" s="132"/>
      <c r="E41" s="132"/>
      <c r="F41" s="132"/>
      <c r="G41" s="132"/>
      <c r="H41" s="132"/>
      <c r="I41" s="149"/>
      <c r="J41" s="132"/>
      <c r="K41" s="132"/>
    </row>
    <row r="42" spans="4:11" x14ac:dyDescent="0.25">
      <c r="D42" s="112"/>
      <c r="E42" s="112"/>
      <c r="F42" s="112"/>
      <c r="G42" s="132"/>
      <c r="H42" s="112"/>
      <c r="I42" s="152"/>
      <c r="J42" s="112"/>
      <c r="K42" s="112"/>
    </row>
    <row r="43" spans="4:11" x14ac:dyDescent="0.25">
      <c r="D43" s="112"/>
      <c r="E43" s="132"/>
      <c r="F43" s="112"/>
      <c r="G43" s="112"/>
      <c r="H43" s="112"/>
      <c r="I43" s="112"/>
      <c r="J43" s="112"/>
      <c r="K43" s="112"/>
    </row>
    <row r="44" spans="4:11" x14ac:dyDescent="0.25">
      <c r="D44" s="112"/>
      <c r="E44" s="112"/>
      <c r="F44" s="112"/>
      <c r="G44" s="112"/>
      <c r="H44" s="112"/>
      <c r="I44" s="113"/>
      <c r="J44" s="112"/>
      <c r="K44" s="112"/>
    </row>
    <row r="45" spans="4:11" x14ac:dyDescent="0.25">
      <c r="D45" s="112"/>
      <c r="E45" s="112"/>
      <c r="F45" s="112"/>
      <c r="G45" s="112"/>
      <c r="H45" s="112"/>
      <c r="I45" s="125"/>
      <c r="J45" s="112"/>
      <c r="K45" s="112"/>
    </row>
    <row r="46" spans="4:11" x14ac:dyDescent="0.25">
      <c r="D46" s="112"/>
      <c r="E46" s="112"/>
      <c r="F46" s="112"/>
      <c r="G46" s="112"/>
      <c r="H46" s="112"/>
      <c r="I46" s="125"/>
      <c r="J46" s="112"/>
      <c r="K46" s="112"/>
    </row>
    <row r="47" spans="4:11" x14ac:dyDescent="0.25">
      <c r="D47" s="112"/>
      <c r="E47" s="112"/>
      <c r="F47" s="112"/>
      <c r="G47" s="112"/>
      <c r="H47" s="112"/>
      <c r="I47" s="125"/>
      <c r="J47" s="112"/>
      <c r="K47" s="112"/>
    </row>
    <row r="48" spans="4:11" x14ac:dyDescent="0.25">
      <c r="D48" s="112"/>
      <c r="E48" s="112"/>
      <c r="F48" s="112"/>
      <c r="G48" s="112"/>
      <c r="H48" s="112"/>
      <c r="I48" s="125"/>
      <c r="J48" s="112"/>
      <c r="K48" s="112"/>
    </row>
    <row r="49" spans="4:11" s="133" customFormat="1" x14ac:dyDescent="0.25">
      <c r="D49" s="132"/>
      <c r="E49" s="132"/>
      <c r="F49" s="132"/>
      <c r="G49" s="132"/>
      <c r="H49" s="132"/>
      <c r="I49" s="149"/>
      <c r="J49" s="132"/>
      <c r="K49" s="132"/>
    </row>
    <row r="50" spans="4:11" x14ac:dyDescent="0.25">
      <c r="D50" s="112"/>
      <c r="E50" s="112"/>
      <c r="F50" s="112"/>
      <c r="G50" s="112"/>
      <c r="H50" s="112"/>
      <c r="I50" s="113"/>
      <c r="J50" s="112"/>
      <c r="K50" s="112"/>
    </row>
    <row r="51" spans="4:11" s="133" customFormat="1" x14ac:dyDescent="0.25">
      <c r="D51" s="132"/>
      <c r="E51" s="132"/>
      <c r="F51" s="132"/>
      <c r="G51" s="132"/>
      <c r="H51" s="132"/>
      <c r="I51" s="149"/>
      <c r="J51" s="132"/>
      <c r="K51" s="132"/>
    </row>
    <row r="52" spans="4:11" x14ac:dyDescent="0.25">
      <c r="D52" s="112"/>
      <c r="E52" s="112"/>
      <c r="F52" s="112"/>
      <c r="G52" s="112"/>
      <c r="H52" s="112"/>
      <c r="I52" s="113"/>
      <c r="J52" s="112"/>
      <c r="K52" s="112"/>
    </row>
    <row r="53" spans="4:11" x14ac:dyDescent="0.25">
      <c r="D53" s="112"/>
      <c r="E53" s="112"/>
      <c r="F53" s="112"/>
      <c r="G53" s="112"/>
      <c r="H53" s="112"/>
      <c r="I53" s="125"/>
      <c r="J53" s="112"/>
      <c r="K53" s="112"/>
    </row>
    <row r="54" spans="4:11" x14ac:dyDescent="0.25">
      <c r="D54" s="112"/>
      <c r="E54" s="132"/>
      <c r="F54" s="112"/>
      <c r="G54" s="132"/>
      <c r="H54" s="132"/>
      <c r="I54" s="125"/>
      <c r="J54" s="112"/>
      <c r="K54" s="112"/>
    </row>
    <row r="55" spans="4:11" x14ac:dyDescent="0.25">
      <c r="D55" s="112"/>
      <c r="E55" s="112"/>
      <c r="F55" s="112"/>
      <c r="G55" s="112"/>
      <c r="H55" s="112"/>
      <c r="I55" s="125"/>
      <c r="J55" s="112"/>
      <c r="K55" s="112"/>
    </row>
    <row r="56" spans="4:11" x14ac:dyDescent="0.25">
      <c r="D56" s="112"/>
      <c r="E56" s="112"/>
      <c r="F56" s="112"/>
      <c r="G56" s="112"/>
      <c r="H56" s="112"/>
      <c r="I56" s="125"/>
      <c r="J56" s="112"/>
      <c r="K56" s="112"/>
    </row>
    <row r="57" spans="4:11" x14ac:dyDescent="0.25">
      <c r="D57" s="112"/>
      <c r="E57" s="112"/>
      <c r="F57" s="112"/>
      <c r="G57" s="112"/>
      <c r="H57" s="112"/>
      <c r="I57" s="125"/>
      <c r="J57" s="112"/>
      <c r="K57" s="112"/>
    </row>
    <row r="58" spans="4:11" s="133" customFormat="1" x14ac:dyDescent="0.25">
      <c r="D58" s="132"/>
      <c r="E58" s="132"/>
      <c r="F58" s="132"/>
      <c r="G58" s="132"/>
      <c r="H58" s="132"/>
      <c r="I58" s="149"/>
      <c r="J58" s="132"/>
      <c r="K58" s="132"/>
    </row>
    <row r="59" spans="4:11" x14ac:dyDescent="0.25">
      <c r="D59" s="112"/>
      <c r="E59" s="112"/>
      <c r="F59" s="112"/>
      <c r="G59" s="112"/>
      <c r="H59" s="112"/>
      <c r="I59" s="125"/>
      <c r="J59" s="112"/>
      <c r="K59" s="112"/>
    </row>
    <row r="60" spans="4:11" s="133" customFormat="1" x14ac:dyDescent="0.25">
      <c r="D60" s="132"/>
      <c r="E60" s="132"/>
      <c r="F60" s="132"/>
      <c r="G60" s="132"/>
      <c r="H60" s="132"/>
      <c r="I60" s="149"/>
      <c r="J60" s="132"/>
      <c r="K60" s="132"/>
    </row>
    <row r="61" spans="4:11" x14ac:dyDescent="0.25">
      <c r="D61" s="112"/>
      <c r="E61" s="112"/>
      <c r="F61" s="112"/>
      <c r="G61" s="112"/>
      <c r="H61" s="112"/>
      <c r="I61" s="125"/>
      <c r="J61" s="112"/>
      <c r="K61" s="112"/>
    </row>
    <row r="62" spans="4:11" s="133" customFormat="1" x14ac:dyDescent="0.25">
      <c r="D62" s="132"/>
      <c r="E62" s="112"/>
      <c r="F62" s="132"/>
      <c r="G62" s="132"/>
      <c r="H62" s="132"/>
      <c r="I62" s="125"/>
      <c r="J62" s="132"/>
      <c r="K62" s="132"/>
    </row>
    <row r="63" spans="4:11" x14ac:dyDescent="0.25">
      <c r="D63" s="112"/>
      <c r="E63" s="112"/>
      <c r="F63" s="112"/>
      <c r="G63" s="112"/>
      <c r="H63" s="112"/>
      <c r="I63" s="125"/>
      <c r="J63" s="112"/>
      <c r="K63" s="112"/>
    </row>
    <row r="64" spans="4:11" x14ac:dyDescent="0.25">
      <c r="D64" s="112"/>
      <c r="E64" s="132"/>
      <c r="F64" s="112"/>
      <c r="G64" s="112"/>
      <c r="H64" s="112"/>
      <c r="I64" s="149"/>
      <c r="J64" s="112"/>
      <c r="K64" s="112"/>
    </row>
    <row r="65" spans="4:9" x14ac:dyDescent="0.25">
      <c r="D65" s="112"/>
      <c r="E65" s="112"/>
      <c r="F65" s="112"/>
      <c r="G65" s="112"/>
      <c r="H65" s="112"/>
      <c r="I65" s="112"/>
    </row>
    <row r="66" spans="4:9" x14ac:dyDescent="0.25">
      <c r="D66" s="112"/>
      <c r="E66" s="112"/>
      <c r="F66" s="112"/>
      <c r="G66" s="112"/>
      <c r="H66" s="112"/>
      <c r="I66" s="113"/>
    </row>
    <row r="67" spans="4:9" x14ac:dyDescent="0.25">
      <c r="D67" s="112"/>
      <c r="E67" s="112"/>
      <c r="F67" s="112"/>
      <c r="G67" s="112"/>
      <c r="H67" s="112"/>
      <c r="I67" s="112"/>
    </row>
  </sheetData>
  <pageMargins left="0.7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439E-4519-404A-BCB4-185197AAF165}">
  <sheetPr>
    <pageSetUpPr fitToPage="1"/>
  </sheetPr>
  <dimension ref="A4:K62"/>
  <sheetViews>
    <sheetView showGridLines="0" zoomScaleNormal="100" zoomScaleSheetLayoutView="79" workbookViewId="0">
      <selection activeCell="R28" sqref="R28"/>
    </sheetView>
  </sheetViews>
  <sheetFormatPr defaultRowHeight="15" x14ac:dyDescent="0.25"/>
  <cols>
    <col min="1" max="6" width="1.7109375" style="127" customWidth="1"/>
    <col min="7" max="7" width="44.5703125" style="127" bestFit="1" customWidth="1"/>
    <col min="8" max="8" width="1.7109375" style="127" customWidth="1"/>
    <col min="9" max="11" width="14.28515625" style="127" customWidth="1"/>
    <col min="12" max="12" width="1.7109375" style="127" customWidth="1"/>
    <col min="13" max="20" width="9.140625" style="127"/>
    <col min="21" max="23" width="1.7109375" style="127" customWidth="1"/>
    <col min="24" max="16384" width="9.140625" style="127"/>
  </cols>
  <sheetData>
    <row r="4" spans="1:11" ht="18" customHeight="1" x14ac:dyDescent="0.3">
      <c r="E4" s="128" t="e">
        <f>#REF!&amp;"'s Stock Based Compensation"</f>
        <v>#REF!</v>
      </c>
      <c r="F4" s="128"/>
    </row>
    <row r="5" spans="1:11" ht="2.1" customHeight="1" x14ac:dyDescent="0.3">
      <c r="E5" s="128"/>
      <c r="F5" s="128"/>
    </row>
    <row r="6" spans="1:11" x14ac:dyDescent="0.25">
      <c r="E6" s="129" t="s">
        <v>107</v>
      </c>
      <c r="F6" s="129"/>
    </row>
    <row r="7" spans="1:11" ht="0.95" customHeight="1" x14ac:dyDescent="0.25">
      <c r="E7" s="129"/>
      <c r="F7" s="129"/>
    </row>
    <row r="8" spans="1:11" x14ac:dyDescent="0.25">
      <c r="I8" s="142" t="s">
        <v>109</v>
      </c>
      <c r="J8" s="142" t="s">
        <v>110</v>
      </c>
      <c r="K8" s="142" t="s">
        <v>111</v>
      </c>
    </row>
    <row r="9" spans="1:11" s="132" customFormat="1" x14ac:dyDescent="0.25">
      <c r="A9" s="133"/>
      <c r="B9" s="133"/>
      <c r="C9" s="133"/>
      <c r="F9" s="132" t="s">
        <v>230</v>
      </c>
      <c r="I9" s="149"/>
      <c r="J9" s="149"/>
      <c r="K9" s="207"/>
    </row>
    <row r="10" spans="1:11" s="112" customFormat="1" x14ac:dyDescent="0.25">
      <c r="A10" s="127"/>
      <c r="B10" s="127"/>
      <c r="C10" s="127"/>
      <c r="G10" s="112" t="s">
        <v>116</v>
      </c>
      <c r="H10" s="132"/>
      <c r="I10" s="113">
        <f>'Company Statements'!P460</f>
        <v>797</v>
      </c>
      <c r="J10" s="125">
        <f>J16*'Income Statement'!H15</f>
        <v>1091.8900000000001</v>
      </c>
      <c r="K10" s="125">
        <f>K16*'Income Statement'!I15</f>
        <v>1495.8893000000003</v>
      </c>
    </row>
    <row r="11" spans="1:11" s="112" customFormat="1" x14ac:dyDescent="0.25">
      <c r="A11" s="127"/>
      <c r="B11" s="127"/>
      <c r="C11" s="127"/>
      <c r="G11" s="112" t="s">
        <v>119</v>
      </c>
      <c r="H11" s="132"/>
      <c r="I11" s="125">
        <f>'Company Statements'!P461</f>
        <v>3699</v>
      </c>
      <c r="J11" s="125">
        <f>J17*'Income Statement'!H19</f>
        <v>4476.1324101360224</v>
      </c>
      <c r="K11" s="125">
        <f>K17*'Income Statement'!I19</f>
        <v>5321.9497037727006</v>
      </c>
    </row>
    <row r="12" spans="1:11" s="114" customFormat="1" x14ac:dyDescent="0.25">
      <c r="A12" s="129"/>
      <c r="B12" s="129"/>
      <c r="C12" s="129"/>
      <c r="D12" s="116"/>
      <c r="E12" s="116"/>
      <c r="F12" s="116"/>
      <c r="G12" s="112" t="s">
        <v>324</v>
      </c>
      <c r="H12" s="116"/>
      <c r="I12" s="125">
        <f>'Company Statements'!P462</f>
        <v>6153</v>
      </c>
      <c r="J12" s="125">
        <f>J18*'Income Statement'!H20</f>
        <v>8429.61</v>
      </c>
      <c r="K12" s="125">
        <f>K18*'Income Statement'!I20</f>
        <v>11548.565700000001</v>
      </c>
    </row>
    <row r="13" spans="1:11" s="112" customFormat="1" x14ac:dyDescent="0.25">
      <c r="A13" s="127"/>
      <c r="B13" s="127"/>
      <c r="C13" s="127"/>
      <c r="F13" s="134"/>
      <c r="G13" s="134" t="s">
        <v>325</v>
      </c>
      <c r="H13" s="134"/>
      <c r="I13" s="148">
        <f>'Company Statements'!P463</f>
        <v>5998</v>
      </c>
      <c r="J13" s="148">
        <f>J19*'Income Statement'!H21</f>
        <v>5998</v>
      </c>
      <c r="K13" s="148">
        <f>K19*'Income Statement'!I21</f>
        <v>8217.260000000002</v>
      </c>
    </row>
    <row r="14" spans="1:11" s="112" customFormat="1" x14ac:dyDescent="0.25">
      <c r="A14" s="127"/>
      <c r="B14" s="127"/>
      <c r="C14" s="127"/>
      <c r="F14" s="132" t="s">
        <v>326</v>
      </c>
      <c r="I14" s="149">
        <f>SUM(I10:I13)</f>
        <v>16647</v>
      </c>
      <c r="J14" s="149">
        <f>SUM(J10:J13)</f>
        <v>19995.632410136022</v>
      </c>
      <c r="K14" s="149">
        <f t="shared" ref="K14" si="0">SUM(K10:K13)</f>
        <v>26583.664703772702</v>
      </c>
    </row>
    <row r="15" spans="1:11" s="112" customFormat="1" x14ac:dyDescent="0.25">
      <c r="A15" s="127"/>
      <c r="B15" s="127"/>
      <c r="C15" s="127"/>
      <c r="F15" s="132"/>
      <c r="I15" s="125"/>
      <c r="J15" s="61"/>
    </row>
    <row r="16" spans="1:11" s="112" customFormat="1" x14ac:dyDescent="0.25">
      <c r="A16" s="127"/>
      <c r="B16" s="127"/>
      <c r="C16" s="127"/>
      <c r="G16" s="116" t="s">
        <v>327</v>
      </c>
      <c r="I16" s="212">
        <f>I10/'Income Statement'!G15</f>
        <v>3.4956140350877192E-2</v>
      </c>
      <c r="J16" s="213">
        <f>I16</f>
        <v>3.4956140350877192E-2</v>
      </c>
      <c r="K16" s="213">
        <f t="shared" ref="K16:K19" si="1">J16</f>
        <v>3.4956140350877192E-2</v>
      </c>
    </row>
    <row r="17" spans="1:11" s="112" customFormat="1" x14ac:dyDescent="0.25">
      <c r="A17" s="127"/>
      <c r="B17" s="127"/>
      <c r="C17" s="127"/>
      <c r="G17" s="116" t="s">
        <v>330</v>
      </c>
      <c r="I17" s="212">
        <f>I11/'Income Statement'!G19</f>
        <v>8.5134295380791272E-2</v>
      </c>
      <c r="J17" s="213">
        <f t="shared" ref="J17" si="2">I17</f>
        <v>8.5134295380791272E-2</v>
      </c>
      <c r="K17" s="213">
        <f t="shared" si="1"/>
        <v>8.5134295380791272E-2</v>
      </c>
    </row>
    <row r="18" spans="1:11" s="112" customFormat="1" x14ac:dyDescent="0.25">
      <c r="A18" s="127"/>
      <c r="B18" s="127"/>
      <c r="C18" s="127"/>
      <c r="G18" s="116" t="s">
        <v>328</v>
      </c>
      <c r="I18" s="212">
        <f>I12/'Income Statement'!G20</f>
        <v>5.6302843966179864E-2</v>
      </c>
      <c r="J18" s="213">
        <f t="shared" ref="J18" si="3">I18</f>
        <v>5.6302843966179864E-2</v>
      </c>
      <c r="K18" s="213">
        <f t="shared" si="1"/>
        <v>5.6302843966179864E-2</v>
      </c>
    </row>
    <row r="19" spans="1:11" s="112" customFormat="1" x14ac:dyDescent="0.25">
      <c r="A19" s="127"/>
      <c r="B19" s="127"/>
      <c r="C19" s="127"/>
      <c r="G19" s="116" t="s">
        <v>329</v>
      </c>
      <c r="I19" s="212">
        <f>I13/'Income Statement'!G21</f>
        <v>0.12426709760291711</v>
      </c>
      <c r="J19" s="213">
        <f t="shared" ref="J19" si="4">I19</f>
        <v>0.12426709760291711</v>
      </c>
      <c r="K19" s="213">
        <f t="shared" si="1"/>
        <v>0.12426709760291711</v>
      </c>
    </row>
    <row r="20" spans="1:11" s="132" customFormat="1" x14ac:dyDescent="0.25">
      <c r="A20" s="133"/>
      <c r="B20" s="133"/>
      <c r="C20" s="133"/>
      <c r="I20" s="214"/>
      <c r="J20" s="149"/>
      <c r="K20" s="149"/>
    </row>
    <row r="21" spans="1:11" s="112" customFormat="1" x14ac:dyDescent="0.25">
      <c r="A21" s="127"/>
      <c r="B21" s="127"/>
      <c r="C21" s="127"/>
    </row>
    <row r="22" spans="1:11" s="112" customFormat="1" x14ac:dyDescent="0.25">
      <c r="A22" s="127"/>
      <c r="B22" s="127"/>
      <c r="C22" s="127"/>
      <c r="I22" s="66"/>
      <c r="J22" s="66"/>
      <c r="K22" s="66"/>
    </row>
    <row r="23" spans="1:11" s="112" customFormat="1" x14ac:dyDescent="0.25">
      <c r="A23" s="127"/>
      <c r="B23" s="127"/>
      <c r="C23" s="127"/>
    </row>
    <row r="24" spans="1:11" s="112" customFormat="1" x14ac:dyDescent="0.25">
      <c r="A24" s="127"/>
      <c r="B24" s="127"/>
      <c r="C24" s="127"/>
      <c r="I24" s="66"/>
      <c r="J24" s="66"/>
      <c r="K24" s="66"/>
    </row>
    <row r="25" spans="1:11" s="112" customFormat="1" x14ac:dyDescent="0.25">
      <c r="A25" s="127"/>
      <c r="B25" s="127"/>
      <c r="C25" s="127"/>
      <c r="I25" s="206"/>
      <c r="J25" s="66"/>
      <c r="K25" s="66"/>
    </row>
    <row r="26" spans="1:11" s="132" customFormat="1" x14ac:dyDescent="0.25">
      <c r="A26" s="133"/>
      <c r="B26" s="133"/>
      <c r="C26" s="133"/>
      <c r="G26" s="112"/>
      <c r="I26" s="125"/>
    </row>
    <row r="27" spans="1:11" s="185" customFormat="1" x14ac:dyDescent="0.25">
      <c r="F27" s="114"/>
      <c r="G27" s="114"/>
      <c r="H27" s="114"/>
      <c r="I27" s="114"/>
      <c r="J27" s="114"/>
      <c r="K27" s="114"/>
    </row>
    <row r="28" spans="1:11" s="112" customFormat="1" x14ac:dyDescent="0.25">
      <c r="A28" s="127"/>
      <c r="B28" s="127"/>
      <c r="C28" s="127"/>
      <c r="F28" s="116"/>
      <c r="G28" s="116"/>
      <c r="H28" s="116"/>
      <c r="I28" s="114"/>
      <c r="J28" s="114"/>
      <c r="K28" s="114"/>
    </row>
    <row r="29" spans="1:11" s="112" customFormat="1" ht="5.0999999999999996" customHeight="1" x14ac:dyDescent="0.25">
      <c r="A29" s="127"/>
      <c r="B29" s="127"/>
      <c r="C29" s="127"/>
      <c r="F29" s="116"/>
      <c r="G29" s="116"/>
      <c r="H29" s="116"/>
      <c r="I29" s="114"/>
      <c r="J29" s="114"/>
      <c r="K29" s="114"/>
    </row>
    <row r="30" spans="1:11" s="112" customFormat="1" x14ac:dyDescent="0.25">
      <c r="A30" s="127"/>
      <c r="B30" s="127"/>
      <c r="C30" s="127"/>
      <c r="F30" s="116"/>
      <c r="G30" s="116"/>
      <c r="H30" s="116"/>
      <c r="I30" s="114"/>
      <c r="J30" s="114"/>
      <c r="K30" s="114"/>
    </row>
    <row r="31" spans="1:11" s="112" customFormat="1" x14ac:dyDescent="0.25">
      <c r="A31" s="127"/>
      <c r="B31" s="127"/>
      <c r="C31" s="127"/>
      <c r="F31" s="116"/>
      <c r="G31" s="116"/>
      <c r="H31" s="116"/>
      <c r="I31" s="114"/>
      <c r="J31" s="114"/>
      <c r="K31" s="114"/>
    </row>
    <row r="32" spans="1:11" s="112" customFormat="1" x14ac:dyDescent="0.25">
      <c r="A32" s="127"/>
      <c r="B32" s="127"/>
      <c r="C32" s="127"/>
      <c r="F32" s="116"/>
      <c r="G32" s="116"/>
      <c r="H32" s="116"/>
      <c r="I32" s="114"/>
      <c r="J32" s="114"/>
      <c r="K32" s="114"/>
    </row>
    <row r="33" spans="1:11" s="112" customFormat="1" x14ac:dyDescent="0.25">
      <c r="A33" s="127"/>
      <c r="B33" s="127"/>
      <c r="C33" s="127"/>
      <c r="I33" s="125"/>
    </row>
    <row r="34" spans="1:11" s="112" customFormat="1" ht="17.25" x14ac:dyDescent="0.25">
      <c r="A34" s="127"/>
      <c r="B34" s="127"/>
      <c r="C34" s="127"/>
      <c r="F34" s="211"/>
      <c r="I34" s="125"/>
    </row>
    <row r="35" spans="1:11" x14ac:dyDescent="0.25">
      <c r="D35" s="112"/>
      <c r="E35" s="112"/>
      <c r="F35" s="112"/>
      <c r="G35" s="112"/>
      <c r="H35" s="112"/>
      <c r="I35" s="125"/>
      <c r="J35" s="112"/>
      <c r="K35" s="112"/>
    </row>
    <row r="36" spans="1:11" s="133" customFormat="1" x14ac:dyDescent="0.25">
      <c r="D36" s="132"/>
      <c r="E36" s="132"/>
      <c r="F36" s="132"/>
      <c r="G36" s="132"/>
      <c r="H36" s="132"/>
      <c r="I36" s="149"/>
      <c r="J36" s="132"/>
      <c r="K36" s="132"/>
    </row>
    <row r="37" spans="1:11" x14ac:dyDescent="0.25">
      <c r="D37" s="112"/>
      <c r="E37" s="112"/>
      <c r="F37" s="112"/>
      <c r="G37" s="132"/>
      <c r="H37" s="112"/>
      <c r="I37" s="152"/>
      <c r="J37" s="112"/>
      <c r="K37" s="112"/>
    </row>
    <row r="38" spans="1:11" x14ac:dyDescent="0.25">
      <c r="D38" s="112"/>
      <c r="E38" s="132"/>
      <c r="F38" s="112"/>
      <c r="G38" s="112"/>
      <c r="H38" s="112"/>
      <c r="I38" s="112"/>
      <c r="J38" s="112"/>
      <c r="K38" s="112"/>
    </row>
    <row r="39" spans="1:11" x14ac:dyDescent="0.25">
      <c r="D39" s="112"/>
      <c r="E39" s="112"/>
      <c r="F39" s="112"/>
      <c r="G39" s="112"/>
      <c r="H39" s="112"/>
      <c r="I39" s="113"/>
      <c r="J39" s="112"/>
      <c r="K39" s="112"/>
    </row>
    <row r="40" spans="1:11" x14ac:dyDescent="0.25">
      <c r="D40" s="112"/>
      <c r="E40" s="112"/>
      <c r="F40" s="112"/>
      <c r="G40" s="112"/>
      <c r="H40" s="112"/>
      <c r="I40" s="125"/>
      <c r="J40" s="112"/>
      <c r="K40" s="112"/>
    </row>
    <row r="41" spans="1:11" x14ac:dyDescent="0.25">
      <c r="D41" s="112"/>
      <c r="E41" s="112"/>
      <c r="F41" s="112"/>
      <c r="G41" s="112"/>
      <c r="H41" s="112"/>
      <c r="I41" s="125"/>
      <c r="J41" s="112"/>
      <c r="K41" s="112"/>
    </row>
    <row r="42" spans="1:11" x14ac:dyDescent="0.25">
      <c r="D42" s="112"/>
      <c r="E42" s="112"/>
      <c r="F42" s="112"/>
      <c r="G42" s="112"/>
      <c r="H42" s="112"/>
      <c r="I42" s="125"/>
      <c r="J42" s="112"/>
      <c r="K42" s="112"/>
    </row>
    <row r="43" spans="1:11" x14ac:dyDescent="0.25">
      <c r="D43" s="112"/>
      <c r="E43" s="112"/>
      <c r="F43" s="112"/>
      <c r="G43" s="112"/>
      <c r="H43" s="112"/>
      <c r="I43" s="125"/>
      <c r="J43" s="112"/>
      <c r="K43" s="112"/>
    </row>
    <row r="44" spans="1:11" s="133" customFormat="1" x14ac:dyDescent="0.25">
      <c r="D44" s="132"/>
      <c r="E44" s="132"/>
      <c r="F44" s="132"/>
      <c r="G44" s="132"/>
      <c r="H44" s="132"/>
      <c r="I44" s="149"/>
      <c r="J44" s="132"/>
      <c r="K44" s="132"/>
    </row>
    <row r="45" spans="1:11" x14ac:dyDescent="0.25">
      <c r="D45" s="112"/>
      <c r="E45" s="112"/>
      <c r="F45" s="112"/>
      <c r="G45" s="112"/>
      <c r="H45" s="112"/>
      <c r="I45" s="113"/>
      <c r="J45" s="112"/>
      <c r="K45" s="112"/>
    </row>
    <row r="46" spans="1:11" s="133" customFormat="1" x14ac:dyDescent="0.25">
      <c r="D46" s="132"/>
      <c r="E46" s="132"/>
      <c r="F46" s="132"/>
      <c r="G46" s="132"/>
      <c r="H46" s="132"/>
      <c r="I46" s="149"/>
      <c r="J46" s="132"/>
      <c r="K46" s="132"/>
    </row>
    <row r="47" spans="1:11" x14ac:dyDescent="0.25">
      <c r="D47" s="112"/>
      <c r="E47" s="112"/>
      <c r="F47" s="112"/>
      <c r="G47" s="112"/>
      <c r="H47" s="112"/>
      <c r="I47" s="113"/>
      <c r="J47" s="112"/>
      <c r="K47" s="112"/>
    </row>
    <row r="48" spans="1:11" x14ac:dyDescent="0.25">
      <c r="D48" s="112"/>
      <c r="E48" s="112"/>
      <c r="F48" s="112"/>
      <c r="G48" s="112"/>
      <c r="H48" s="112"/>
      <c r="I48" s="125"/>
      <c r="J48" s="112"/>
      <c r="K48" s="112"/>
    </row>
    <row r="49" spans="4:11" x14ac:dyDescent="0.25">
      <c r="D49" s="112"/>
      <c r="E49" s="132"/>
      <c r="F49" s="112"/>
      <c r="G49" s="132"/>
      <c r="H49" s="132"/>
      <c r="I49" s="125"/>
      <c r="J49" s="112"/>
      <c r="K49" s="112"/>
    </row>
    <row r="50" spans="4:11" x14ac:dyDescent="0.25">
      <c r="D50" s="112"/>
      <c r="E50" s="112"/>
      <c r="F50" s="112"/>
      <c r="G50" s="112"/>
      <c r="H50" s="112"/>
      <c r="I50" s="125"/>
      <c r="J50" s="112"/>
      <c r="K50" s="112"/>
    </row>
    <row r="51" spans="4:11" x14ac:dyDescent="0.25">
      <c r="D51" s="112"/>
      <c r="E51" s="112"/>
      <c r="F51" s="112"/>
      <c r="G51" s="112"/>
      <c r="H51" s="112"/>
      <c r="I51" s="125"/>
      <c r="J51" s="112"/>
      <c r="K51" s="112"/>
    </row>
    <row r="52" spans="4:11" x14ac:dyDescent="0.25">
      <c r="D52" s="112"/>
      <c r="E52" s="112"/>
      <c r="F52" s="112"/>
      <c r="G52" s="112"/>
      <c r="H52" s="112"/>
      <c r="I52" s="125"/>
      <c r="J52" s="112"/>
      <c r="K52" s="112"/>
    </row>
    <row r="53" spans="4:11" s="133" customFormat="1" x14ac:dyDescent="0.25">
      <c r="D53" s="132"/>
      <c r="E53" s="132"/>
      <c r="F53" s="132"/>
      <c r="G53" s="132"/>
      <c r="H53" s="132"/>
      <c r="I53" s="149"/>
      <c r="J53" s="132"/>
      <c r="K53" s="132"/>
    </row>
    <row r="54" spans="4:11" x14ac:dyDescent="0.25">
      <c r="D54" s="112"/>
      <c r="E54" s="112"/>
      <c r="F54" s="112"/>
      <c r="G54" s="112"/>
      <c r="H54" s="112"/>
      <c r="I54" s="125"/>
      <c r="J54" s="112"/>
      <c r="K54" s="112"/>
    </row>
    <row r="55" spans="4:11" s="133" customFormat="1" x14ac:dyDescent="0.25">
      <c r="D55" s="132"/>
      <c r="E55" s="132"/>
      <c r="F55" s="132"/>
      <c r="G55" s="132"/>
      <c r="H55" s="132"/>
      <c r="I55" s="149"/>
      <c r="J55" s="132"/>
      <c r="K55" s="132"/>
    </row>
    <row r="56" spans="4:11" x14ac:dyDescent="0.25">
      <c r="D56" s="112"/>
      <c r="E56" s="112"/>
      <c r="F56" s="112"/>
      <c r="G56" s="112"/>
      <c r="H56" s="112"/>
      <c r="I56" s="125"/>
      <c r="J56" s="112"/>
      <c r="K56" s="112"/>
    </row>
    <row r="57" spans="4:11" s="133" customFormat="1" x14ac:dyDescent="0.25">
      <c r="D57" s="132"/>
      <c r="E57" s="112"/>
      <c r="F57" s="132"/>
      <c r="G57" s="132"/>
      <c r="H57" s="132"/>
      <c r="I57" s="125"/>
      <c r="J57" s="132"/>
      <c r="K57" s="132"/>
    </row>
    <row r="58" spans="4:11" x14ac:dyDescent="0.25">
      <c r="D58" s="112"/>
      <c r="E58" s="112"/>
      <c r="F58" s="112"/>
      <c r="G58" s="112"/>
      <c r="H58" s="112"/>
      <c r="I58" s="125"/>
      <c r="J58" s="112"/>
      <c r="K58" s="112"/>
    </row>
    <row r="59" spans="4:11" x14ac:dyDescent="0.25">
      <c r="D59" s="112"/>
      <c r="E59" s="132"/>
      <c r="F59" s="112"/>
      <c r="G59" s="112"/>
      <c r="H59" s="112"/>
      <c r="I59" s="149"/>
      <c r="J59" s="112"/>
      <c r="K59" s="112"/>
    </row>
    <row r="60" spans="4:11" x14ac:dyDescent="0.25">
      <c r="D60" s="112"/>
      <c r="E60" s="112"/>
      <c r="F60" s="112"/>
      <c r="G60" s="112"/>
      <c r="H60" s="112"/>
      <c r="I60" s="112"/>
    </row>
    <row r="61" spans="4:11" x14ac:dyDescent="0.25">
      <c r="D61" s="112"/>
      <c r="E61" s="112"/>
      <c r="F61" s="112"/>
      <c r="G61" s="112"/>
      <c r="H61" s="112"/>
      <c r="I61" s="113"/>
    </row>
    <row r="62" spans="4:11" x14ac:dyDescent="0.25">
      <c r="D62" s="112"/>
      <c r="E62" s="112"/>
      <c r="F62" s="112"/>
      <c r="G62" s="112"/>
      <c r="H62" s="112"/>
      <c r="I62" s="112"/>
    </row>
  </sheetData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Assumptions</vt:lpstr>
      <vt:lpstr>Income Statement</vt:lpstr>
      <vt:lpstr>Balance Sheet</vt:lpstr>
      <vt:lpstr>Cash Flow Statement</vt:lpstr>
      <vt:lpstr>Investments</vt:lpstr>
      <vt:lpstr>Depreciation &amp; Amortization</vt:lpstr>
      <vt:lpstr>Debt</vt:lpstr>
      <vt:lpstr>Working Capital</vt:lpstr>
      <vt:lpstr>Stock-Based Compensation</vt:lpstr>
      <vt:lpstr>Customer and Revenue base</vt:lpstr>
      <vt:lpstr>Inputs</vt:lpstr>
      <vt:lpstr>Company Statements</vt:lpstr>
      <vt:lpstr>Assumptions!Print_Area</vt:lpstr>
      <vt:lpstr>'Customer and Revenue base'!Print_Area</vt:lpstr>
      <vt:lpstr>Debt!Print_Area</vt:lpstr>
      <vt:lpstr>'Depreciation &amp; Amortization'!Print_Area</vt:lpstr>
      <vt:lpstr>'Income Statement'!Print_Area</vt:lpstr>
      <vt:lpstr>Inputs!Print_Area</vt:lpstr>
      <vt:lpstr>Investments!Print_Area</vt:lpstr>
      <vt:lpstr>'Stock-Based Compensation'!Print_Area</vt:lpstr>
      <vt:lpstr>'Working Capital'!Print_Area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2019-04-17T18:25:19Z</cp:lastPrinted>
  <dcterms:created xsi:type="dcterms:W3CDTF">2019-04-10T02:17:59Z</dcterms:created>
  <dcterms:modified xsi:type="dcterms:W3CDTF">2019-04-18T06:24:38Z</dcterms:modified>
</cp:coreProperties>
</file>