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bookViews>
    <workbookView xWindow="0" yWindow="0" windowWidth="23040" windowHeight="8904"/>
  </bookViews>
  <sheets>
    <sheet name="Homepage" sheetId="29" r:id="rId1"/>
    <sheet name="Page 1" sheetId="21" r:id="rId2"/>
    <sheet name="Page 2" sheetId="24" r:id="rId3"/>
    <sheet name="Page 3" sheetId="25" r:id="rId4"/>
    <sheet name="Page 4" sheetId="26" r:id="rId5"/>
    <sheet name="Valuation" sheetId="28" r:id="rId6"/>
    <sheet name="Target Co" sheetId="12" r:id="rId7"/>
    <sheet name="Comp1" sheetId="14" r:id="rId8"/>
    <sheet name="Comp2" sheetId="15" r:id="rId9"/>
    <sheet name="Comp3" sheetId="16" r:id="rId10"/>
    <sheet name="Comp4" sheetId="17" r:id="rId11"/>
    <sheet name="Comp5" sheetId="18" r:id="rId12"/>
    <sheet name="Comp6" sheetId="19" r:id="rId13"/>
    <sheet name="Comp7" sheetId="20" r:id="rId14"/>
    <sheet name="EPS" sheetId="22" r:id="rId15"/>
    <sheet name="EV" sheetId="2" r:id="rId16"/>
  </sheet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9" l="1"/>
  <c r="G8" i="18"/>
  <c r="G7" i="17"/>
  <c r="C64" i="12"/>
  <c r="C65" i="12"/>
  <c r="J21" i="2"/>
  <c r="G16" i="25"/>
  <c r="R16" i="25"/>
  <c r="Q16" i="25"/>
  <c r="D13" i="25"/>
  <c r="Y13" i="25"/>
  <c r="D61" i="14"/>
  <c r="L9" i="24"/>
  <c r="C6" i="2"/>
  <c r="C9" i="2"/>
  <c r="C11" i="2"/>
  <c r="C12" i="2"/>
  <c r="C17" i="2"/>
  <c r="C18" i="2"/>
  <c r="C21" i="2"/>
  <c r="E8" i="21"/>
  <c r="D8" i="21"/>
  <c r="D29" i="28"/>
  <c r="V45" i="28"/>
  <c r="V44" i="28"/>
  <c r="V43" i="28"/>
  <c r="V41" i="28"/>
  <c r="V40" i="28"/>
  <c r="V39" i="28"/>
  <c r="V37" i="28"/>
  <c r="V36" i="28"/>
  <c r="V35" i="28"/>
  <c r="U45" i="28"/>
  <c r="U44" i="28"/>
  <c r="U43" i="28"/>
  <c r="U41" i="28"/>
  <c r="U40" i="28"/>
  <c r="U39" i="28"/>
  <c r="U37" i="28"/>
  <c r="U36" i="28"/>
  <c r="U35" i="28"/>
  <c r="T45" i="28"/>
  <c r="T44" i="28"/>
  <c r="T43" i="28"/>
  <c r="T41" i="28"/>
  <c r="T40" i="28"/>
  <c r="T39" i="28"/>
  <c r="T37" i="28"/>
  <c r="T36" i="28"/>
  <c r="T35" i="28"/>
  <c r="S45" i="28"/>
  <c r="S44" i="28"/>
  <c r="S43" i="28"/>
  <c r="S41" i="28"/>
  <c r="S40" i="28"/>
  <c r="S39" i="28"/>
  <c r="S37" i="28"/>
  <c r="S36" i="28"/>
  <c r="S35" i="28"/>
  <c r="R45" i="28"/>
  <c r="R44" i="28"/>
  <c r="R43" i="28"/>
  <c r="R41" i="28"/>
  <c r="R40" i="28"/>
  <c r="R39" i="28"/>
  <c r="R37" i="28"/>
  <c r="R36" i="28"/>
  <c r="R35" i="28"/>
  <c r="E23" i="28"/>
  <c r="D6" i="2"/>
  <c r="D9" i="2"/>
  <c r="D11" i="2"/>
  <c r="D21" i="2"/>
  <c r="G10" i="25"/>
  <c r="J10" i="25"/>
  <c r="E6" i="2"/>
  <c r="E9" i="2"/>
  <c r="E11" i="2"/>
  <c r="E17" i="2"/>
  <c r="E18" i="2"/>
  <c r="E21" i="2"/>
  <c r="G11" i="25"/>
  <c r="J11" i="25"/>
  <c r="F6" i="2"/>
  <c r="F9" i="2"/>
  <c r="F11" i="2"/>
  <c r="F12" i="2"/>
  <c r="F17" i="2"/>
  <c r="F18" i="2"/>
  <c r="F21" i="2"/>
  <c r="G12" i="25"/>
  <c r="J12" i="25"/>
  <c r="G6" i="2"/>
  <c r="G9" i="2"/>
  <c r="G11" i="2"/>
  <c r="G12" i="2"/>
  <c r="G14" i="2"/>
  <c r="G17" i="2"/>
  <c r="G18" i="2"/>
  <c r="G21" i="2"/>
  <c r="G13" i="25"/>
  <c r="J13" i="25"/>
  <c r="H6" i="2"/>
  <c r="H9" i="2"/>
  <c r="H11" i="2"/>
  <c r="H12" i="2"/>
  <c r="H17" i="2"/>
  <c r="H18" i="2"/>
  <c r="H21" i="2"/>
  <c r="G14" i="25"/>
  <c r="J14" i="25"/>
  <c r="I6" i="2"/>
  <c r="I9" i="2"/>
  <c r="I11" i="2"/>
  <c r="I12" i="2"/>
  <c r="I17" i="2"/>
  <c r="I18" i="2"/>
  <c r="I21" i="2"/>
  <c r="G15" i="25"/>
  <c r="J15" i="25"/>
  <c r="J6" i="2"/>
  <c r="J9" i="2"/>
  <c r="J11" i="2"/>
  <c r="J12" i="2"/>
  <c r="J18" i="2"/>
  <c r="J16" i="25"/>
  <c r="J19" i="25"/>
  <c r="E6" i="28"/>
  <c r="K6" i="28"/>
  <c r="D28" i="28"/>
  <c r="Q6" i="28"/>
  <c r="G16" i="18"/>
  <c r="D9" i="22"/>
  <c r="D14" i="25"/>
  <c r="X14" i="25"/>
  <c r="D12" i="25"/>
  <c r="Y12" i="25"/>
  <c r="G15" i="14"/>
  <c r="D5" i="22"/>
  <c r="D10" i="25"/>
  <c r="X10" i="25"/>
  <c r="G17" i="15"/>
  <c r="D6" i="22"/>
  <c r="D11" i="25"/>
  <c r="X11" i="25"/>
  <c r="G18" i="16"/>
  <c r="D7" i="22"/>
  <c r="X12" i="25"/>
  <c r="G22" i="17"/>
  <c r="D8" i="22"/>
  <c r="X13" i="25"/>
  <c r="G18" i="19"/>
  <c r="D10" i="22"/>
  <c r="D15" i="25"/>
  <c r="X15" i="25"/>
  <c r="G18" i="20"/>
  <c r="D11" i="22"/>
  <c r="D16" i="25"/>
  <c r="X16" i="25"/>
  <c r="X24" i="25"/>
  <c r="F23" i="28"/>
  <c r="Y10" i="25"/>
  <c r="Y11" i="25"/>
  <c r="Y14" i="25"/>
  <c r="Y15" i="25"/>
  <c r="Y16" i="25"/>
  <c r="Y24" i="25"/>
  <c r="Y19" i="25"/>
  <c r="X19" i="25"/>
  <c r="G5" i="12"/>
  <c r="D23" i="28"/>
  <c r="Y20" i="25"/>
  <c r="Y21" i="25"/>
  <c r="Y23" i="25"/>
  <c r="X20" i="25"/>
  <c r="X21" i="25"/>
  <c r="X23" i="25"/>
  <c r="E10" i="14"/>
  <c r="E11" i="14"/>
  <c r="F11" i="14"/>
  <c r="D11" i="14"/>
  <c r="G11" i="14"/>
  <c r="H10" i="21"/>
  <c r="G5" i="14"/>
  <c r="G10" i="21"/>
  <c r="L10" i="21"/>
  <c r="U10" i="25"/>
  <c r="E13" i="15"/>
  <c r="F13" i="15"/>
  <c r="D13" i="15"/>
  <c r="G13" i="15"/>
  <c r="H11" i="21"/>
  <c r="G5" i="15"/>
  <c r="G11" i="21"/>
  <c r="L11" i="21"/>
  <c r="U11" i="25"/>
  <c r="E13" i="16"/>
  <c r="F13" i="16"/>
  <c r="D13" i="16"/>
  <c r="G13" i="16"/>
  <c r="H12" i="21"/>
  <c r="G5" i="16"/>
  <c r="G12" i="21"/>
  <c r="L12" i="21"/>
  <c r="U12" i="25"/>
  <c r="E12" i="17"/>
  <c r="F12" i="17"/>
  <c r="D12" i="17"/>
  <c r="G12" i="17"/>
  <c r="H13" i="21"/>
  <c r="G5" i="17"/>
  <c r="G13" i="21"/>
  <c r="L13" i="21"/>
  <c r="U13" i="25"/>
  <c r="E12" i="18"/>
  <c r="F12" i="18"/>
  <c r="D12" i="18"/>
  <c r="G12" i="18"/>
  <c r="H14" i="21"/>
  <c r="G5" i="18"/>
  <c r="G14" i="21"/>
  <c r="L14" i="21"/>
  <c r="U14" i="25"/>
  <c r="E13" i="19"/>
  <c r="F13" i="19"/>
  <c r="D13" i="19"/>
  <c r="G13" i="19"/>
  <c r="H15" i="21"/>
  <c r="G5" i="19"/>
  <c r="G15" i="21"/>
  <c r="L15" i="21"/>
  <c r="U15" i="25"/>
  <c r="E13" i="20"/>
  <c r="F13" i="20"/>
  <c r="D13" i="20"/>
  <c r="G13" i="20"/>
  <c r="H16" i="21"/>
  <c r="G5" i="20"/>
  <c r="G16" i="21"/>
  <c r="L16" i="21"/>
  <c r="U16" i="25"/>
  <c r="U21" i="25"/>
  <c r="M9" i="24"/>
  <c r="V10" i="25"/>
  <c r="M10" i="24"/>
  <c r="V11" i="25"/>
  <c r="M11" i="24"/>
  <c r="V12" i="25"/>
  <c r="M12" i="24"/>
  <c r="V13" i="25"/>
  <c r="M13" i="24"/>
  <c r="V14" i="25"/>
  <c r="M14" i="24"/>
  <c r="V15" i="25"/>
  <c r="M15" i="24"/>
  <c r="V16" i="25"/>
  <c r="V21" i="25"/>
  <c r="Z10" i="25"/>
  <c r="Z11" i="25"/>
  <c r="Z12" i="25"/>
  <c r="Z13" i="25"/>
  <c r="Z14" i="25"/>
  <c r="Z15" i="25"/>
  <c r="Z16" i="25"/>
  <c r="Z21" i="25"/>
  <c r="U19" i="25"/>
  <c r="V19" i="25"/>
  <c r="Z19" i="25"/>
  <c r="J24" i="25"/>
  <c r="D6" i="28"/>
  <c r="J6" i="28"/>
  <c r="P6" i="28"/>
  <c r="K10" i="25"/>
  <c r="K11" i="25"/>
  <c r="K12" i="25"/>
  <c r="K13" i="25"/>
  <c r="K14" i="25"/>
  <c r="K15" i="25"/>
  <c r="K16" i="25"/>
  <c r="K19" i="25"/>
  <c r="E7" i="28"/>
  <c r="K7" i="28"/>
  <c r="Q7" i="28"/>
  <c r="K24" i="25"/>
  <c r="D7" i="28"/>
  <c r="J7" i="28"/>
  <c r="P7" i="28"/>
  <c r="G10" i="14"/>
  <c r="Q10" i="25"/>
  <c r="G12" i="15"/>
  <c r="Q11" i="25"/>
  <c r="G12" i="16"/>
  <c r="Q12" i="25"/>
  <c r="G11" i="17"/>
  <c r="Q13" i="25"/>
  <c r="G11" i="18"/>
  <c r="Q14" i="25"/>
  <c r="G12" i="19"/>
  <c r="Q15" i="25"/>
  <c r="G12" i="20"/>
  <c r="Q19" i="25"/>
  <c r="E9" i="28"/>
  <c r="G11" i="12"/>
  <c r="D24" i="28"/>
  <c r="K9" i="28"/>
  <c r="Q9" i="28"/>
  <c r="Q24" i="25"/>
  <c r="D9" i="28"/>
  <c r="J9" i="28"/>
  <c r="P9" i="28"/>
  <c r="R10" i="25"/>
  <c r="R11" i="25"/>
  <c r="R12" i="25"/>
  <c r="R13" i="25"/>
  <c r="R14" i="25"/>
  <c r="R15" i="25"/>
  <c r="R19" i="25"/>
  <c r="E10" i="28"/>
  <c r="E24" i="28"/>
  <c r="K10" i="28"/>
  <c r="Q10" i="28"/>
  <c r="R24" i="25"/>
  <c r="D10" i="28"/>
  <c r="J10" i="28"/>
  <c r="P10" i="28"/>
  <c r="S10" i="25"/>
  <c r="S11" i="25"/>
  <c r="S12" i="25"/>
  <c r="S13" i="25"/>
  <c r="F14" i="25"/>
  <c r="S14" i="25"/>
  <c r="S15" i="25"/>
  <c r="S16" i="25"/>
  <c r="S19" i="25"/>
  <c r="E11" i="28"/>
  <c r="F24" i="28"/>
  <c r="K11" i="28"/>
  <c r="Q11" i="28"/>
  <c r="S24" i="25"/>
  <c r="D11" i="28"/>
  <c r="J11" i="28"/>
  <c r="P11" i="28"/>
  <c r="M10" i="25"/>
  <c r="M11" i="25"/>
  <c r="M12" i="25"/>
  <c r="M13" i="25"/>
  <c r="M14" i="25"/>
  <c r="M15" i="25"/>
  <c r="M16" i="25"/>
  <c r="M19" i="25"/>
  <c r="E13" i="28"/>
  <c r="G9" i="12"/>
  <c r="G12" i="12"/>
  <c r="D25" i="28"/>
  <c r="K13" i="28"/>
  <c r="Q13" i="28"/>
  <c r="M24" i="25"/>
  <c r="D13" i="28"/>
  <c r="J13" i="28"/>
  <c r="P13" i="28"/>
  <c r="N10" i="25"/>
  <c r="N11" i="25"/>
  <c r="N12" i="25"/>
  <c r="N13" i="25"/>
  <c r="N14" i="25"/>
  <c r="N15" i="25"/>
  <c r="N16" i="25"/>
  <c r="N19" i="25"/>
  <c r="E14" i="28"/>
  <c r="E25" i="28"/>
  <c r="K14" i="28"/>
  <c r="Q14" i="28"/>
  <c r="N24" i="25"/>
  <c r="D14" i="28"/>
  <c r="J14" i="28"/>
  <c r="P14" i="28"/>
  <c r="O10" i="25"/>
  <c r="O11" i="25"/>
  <c r="O12" i="25"/>
  <c r="O13" i="25"/>
  <c r="O14" i="25"/>
  <c r="O15" i="25"/>
  <c r="O16" i="25"/>
  <c r="O19" i="25"/>
  <c r="E15" i="28"/>
  <c r="F25" i="28"/>
  <c r="K15" i="28"/>
  <c r="Q15" i="28"/>
  <c r="O24" i="25"/>
  <c r="D15" i="28"/>
  <c r="J15" i="28"/>
  <c r="P15" i="28"/>
  <c r="I10" i="25"/>
  <c r="I11" i="25"/>
  <c r="I12" i="25"/>
  <c r="I13" i="25"/>
  <c r="I14" i="25"/>
  <c r="I15" i="25"/>
  <c r="I16" i="25"/>
  <c r="I19" i="25"/>
  <c r="E5" i="28"/>
  <c r="K5" i="28"/>
  <c r="Q5" i="28"/>
  <c r="I24" i="25"/>
  <c r="D5" i="28"/>
  <c r="J5" i="28"/>
  <c r="P5" i="28"/>
  <c r="W15" i="28"/>
  <c r="O20" i="25"/>
  <c r="F15" i="28"/>
  <c r="L15" i="28"/>
  <c r="R15" i="28"/>
  <c r="X15" i="28"/>
  <c r="O21" i="25"/>
  <c r="G15" i="28"/>
  <c r="M15" i="28"/>
  <c r="S15" i="28"/>
  <c r="Y15" i="28"/>
  <c r="O23" i="25"/>
  <c r="H15" i="28"/>
  <c r="N15" i="28"/>
  <c r="T15" i="28"/>
  <c r="Z15" i="28"/>
  <c r="V15" i="28"/>
  <c r="W14" i="28"/>
  <c r="N20" i="25"/>
  <c r="F14" i="28"/>
  <c r="L14" i="28"/>
  <c r="R14" i="28"/>
  <c r="X14" i="28"/>
  <c r="N21" i="25"/>
  <c r="G14" i="28"/>
  <c r="M14" i="28"/>
  <c r="S14" i="28"/>
  <c r="Y14" i="28"/>
  <c r="N23" i="25"/>
  <c r="H14" i="28"/>
  <c r="N14" i="28"/>
  <c r="T14" i="28"/>
  <c r="Z14" i="28"/>
  <c r="V14" i="28"/>
  <c r="W13" i="28"/>
  <c r="M20" i="25"/>
  <c r="F13" i="28"/>
  <c r="L13" i="28"/>
  <c r="R13" i="28"/>
  <c r="X13" i="28"/>
  <c r="M21" i="25"/>
  <c r="G13" i="28"/>
  <c r="M13" i="28"/>
  <c r="S13" i="28"/>
  <c r="Y13" i="28"/>
  <c r="M23" i="25"/>
  <c r="H13" i="28"/>
  <c r="N13" i="28"/>
  <c r="T13" i="28"/>
  <c r="Z13" i="28"/>
  <c r="V13" i="28"/>
  <c r="W11" i="28"/>
  <c r="S20" i="25"/>
  <c r="F11" i="28"/>
  <c r="L11" i="28"/>
  <c r="R11" i="28"/>
  <c r="X11" i="28"/>
  <c r="S21" i="25"/>
  <c r="G11" i="28"/>
  <c r="M11" i="28"/>
  <c r="S11" i="28"/>
  <c r="Y11" i="28"/>
  <c r="S23" i="25"/>
  <c r="H11" i="28"/>
  <c r="N11" i="28"/>
  <c r="T11" i="28"/>
  <c r="Z11" i="28"/>
  <c r="V11" i="28"/>
  <c r="W10" i="28"/>
  <c r="R20" i="25"/>
  <c r="F10" i="28"/>
  <c r="L10" i="28"/>
  <c r="R10" i="28"/>
  <c r="X10" i="28"/>
  <c r="R21" i="25"/>
  <c r="G10" i="28"/>
  <c r="M10" i="28"/>
  <c r="S10" i="28"/>
  <c r="Y10" i="28"/>
  <c r="R23" i="25"/>
  <c r="H10" i="28"/>
  <c r="N10" i="28"/>
  <c r="T10" i="28"/>
  <c r="Z10" i="28"/>
  <c r="V10" i="28"/>
  <c r="W9" i="28"/>
  <c r="Q20" i="25"/>
  <c r="F9" i="28"/>
  <c r="L9" i="28"/>
  <c r="R9" i="28"/>
  <c r="X9" i="28"/>
  <c r="Q21" i="25"/>
  <c r="G9" i="28"/>
  <c r="M9" i="28"/>
  <c r="S9" i="28"/>
  <c r="Y9" i="28"/>
  <c r="Q23" i="25"/>
  <c r="H9" i="28"/>
  <c r="N9" i="28"/>
  <c r="T9" i="28"/>
  <c r="Z9" i="28"/>
  <c r="V9" i="28"/>
  <c r="W7" i="28"/>
  <c r="K20" i="25"/>
  <c r="F7" i="28"/>
  <c r="L7" i="28"/>
  <c r="R7" i="28"/>
  <c r="X7" i="28"/>
  <c r="K21" i="25"/>
  <c r="G7" i="28"/>
  <c r="M7" i="28"/>
  <c r="S7" i="28"/>
  <c r="Y7" i="28"/>
  <c r="K23" i="25"/>
  <c r="H7" i="28"/>
  <c r="N7" i="28"/>
  <c r="T7" i="28"/>
  <c r="Z7" i="28"/>
  <c r="V7" i="28"/>
  <c r="W6" i="28"/>
  <c r="J20" i="25"/>
  <c r="F6" i="28"/>
  <c r="L6" i="28"/>
  <c r="R6" i="28"/>
  <c r="X6" i="28"/>
  <c r="J21" i="25"/>
  <c r="G6" i="28"/>
  <c r="M6" i="28"/>
  <c r="S6" i="28"/>
  <c r="Y6" i="28"/>
  <c r="J23" i="25"/>
  <c r="H6" i="28"/>
  <c r="N6" i="28"/>
  <c r="T6" i="28"/>
  <c r="Z6" i="28"/>
  <c r="V6" i="28"/>
  <c r="W5" i="28"/>
  <c r="I20" i="25"/>
  <c r="F5" i="28"/>
  <c r="L5" i="28"/>
  <c r="R5" i="28"/>
  <c r="X5" i="28"/>
  <c r="I21" i="25"/>
  <c r="G5" i="28"/>
  <c r="M5" i="28"/>
  <c r="S5" i="28"/>
  <c r="Y5" i="28"/>
  <c r="I23" i="25"/>
  <c r="H5" i="28"/>
  <c r="N5" i="28"/>
  <c r="T5" i="28"/>
  <c r="Z5" i="28"/>
  <c r="V5" i="28"/>
  <c r="G10" i="26"/>
  <c r="J10" i="26"/>
  <c r="G11" i="26"/>
  <c r="J11" i="26"/>
  <c r="G12" i="26"/>
  <c r="J12" i="26"/>
  <c r="G13" i="26"/>
  <c r="J13" i="26"/>
  <c r="G14" i="26"/>
  <c r="J14" i="26"/>
  <c r="G15" i="26"/>
  <c r="J15" i="26"/>
  <c r="G16" i="26"/>
  <c r="J16" i="26"/>
  <c r="J22" i="26"/>
  <c r="L10" i="26"/>
  <c r="L11" i="26"/>
  <c r="L12" i="26"/>
  <c r="L13" i="26"/>
  <c r="L14" i="26"/>
  <c r="L15" i="26"/>
  <c r="L16" i="26"/>
  <c r="L22" i="26"/>
  <c r="M10" i="26"/>
  <c r="M11" i="26"/>
  <c r="M12" i="26"/>
  <c r="M13" i="26"/>
  <c r="M14" i="26"/>
  <c r="M15" i="26"/>
  <c r="M16" i="26"/>
  <c r="M22" i="26"/>
  <c r="G14" i="16"/>
  <c r="N12" i="26"/>
  <c r="G13" i="17"/>
  <c r="N13" i="26"/>
  <c r="G13" i="18"/>
  <c r="N14" i="26"/>
  <c r="G14" i="19"/>
  <c r="N15" i="26"/>
  <c r="G14" i="20"/>
  <c r="N16" i="26"/>
  <c r="N22" i="26"/>
  <c r="P22" i="26"/>
  <c r="Q22" i="26"/>
  <c r="S22" i="26"/>
  <c r="I10" i="26"/>
  <c r="I11" i="26"/>
  <c r="I12" i="26"/>
  <c r="I13" i="26"/>
  <c r="I14" i="26"/>
  <c r="I15" i="26"/>
  <c r="I16" i="26"/>
  <c r="I22" i="26"/>
  <c r="J21" i="26"/>
  <c r="L21" i="26"/>
  <c r="M21" i="26"/>
  <c r="N21" i="26"/>
  <c r="P21" i="26"/>
  <c r="Q21" i="26"/>
  <c r="S21" i="26"/>
  <c r="I21" i="26"/>
  <c r="J19" i="26"/>
  <c r="L19" i="26"/>
  <c r="M19" i="26"/>
  <c r="N19" i="26"/>
  <c r="P19" i="26"/>
  <c r="Q19" i="26"/>
  <c r="S19" i="26"/>
  <c r="I19" i="26"/>
  <c r="J18" i="26"/>
  <c r="L18" i="26"/>
  <c r="M18" i="26"/>
  <c r="N18" i="26"/>
  <c r="P18" i="26"/>
  <c r="Q18" i="26"/>
  <c r="S18" i="26"/>
  <c r="I18" i="26"/>
  <c r="G13" i="12"/>
  <c r="N8" i="26"/>
  <c r="H8" i="21"/>
  <c r="M7" i="24"/>
  <c r="V8" i="25"/>
  <c r="M8" i="26"/>
  <c r="G8" i="21"/>
  <c r="L8" i="21"/>
  <c r="L8" i="26"/>
  <c r="G8" i="26"/>
  <c r="J8" i="26"/>
  <c r="I8" i="26"/>
  <c r="D10" i="26"/>
  <c r="D11" i="26"/>
  <c r="D12" i="26"/>
  <c r="D13" i="26"/>
  <c r="D14" i="26"/>
  <c r="D15" i="26"/>
  <c r="D16" i="26"/>
  <c r="F14" i="26"/>
  <c r="F16" i="26"/>
  <c r="E16" i="26"/>
  <c r="F15" i="26"/>
  <c r="E15" i="26"/>
  <c r="E14" i="26"/>
  <c r="F13" i="26"/>
  <c r="E13" i="26"/>
  <c r="F12" i="26"/>
  <c r="E12" i="26"/>
  <c r="F11" i="26"/>
  <c r="E11" i="26"/>
  <c r="F10" i="26"/>
  <c r="E10" i="26"/>
  <c r="D8" i="26"/>
  <c r="F8" i="26"/>
  <c r="E8" i="26"/>
  <c r="Z24" i="25"/>
  <c r="Z23" i="25"/>
  <c r="Z20" i="25"/>
  <c r="Z18" i="25"/>
  <c r="D8" i="25"/>
  <c r="Z8" i="25"/>
  <c r="Y8" i="25"/>
  <c r="U24" i="25"/>
  <c r="V24" i="25"/>
  <c r="U23" i="25"/>
  <c r="V23" i="25"/>
  <c r="U20" i="25"/>
  <c r="V20" i="25"/>
  <c r="U18" i="25"/>
  <c r="V18" i="25"/>
  <c r="X18" i="25"/>
  <c r="Y18" i="25"/>
  <c r="G17" i="12"/>
  <c r="D4" i="22"/>
  <c r="X8" i="25"/>
  <c r="F4" i="22"/>
  <c r="T8" i="21"/>
  <c r="U8" i="25"/>
  <c r="J18" i="25"/>
  <c r="K18" i="25"/>
  <c r="M18" i="25"/>
  <c r="N18" i="25"/>
  <c r="O18" i="25"/>
  <c r="Q18" i="25"/>
  <c r="R18" i="25"/>
  <c r="S18" i="25"/>
  <c r="I18" i="25"/>
  <c r="G8" i="25"/>
  <c r="S8" i="25"/>
  <c r="R8" i="25"/>
  <c r="Q8" i="25"/>
  <c r="O8" i="25"/>
  <c r="N8" i="25"/>
  <c r="M8" i="25"/>
  <c r="K8" i="25"/>
  <c r="J8" i="25"/>
  <c r="I8" i="25"/>
  <c r="F16" i="25"/>
  <c r="F15" i="25"/>
  <c r="F13" i="25"/>
  <c r="F12" i="25"/>
  <c r="F11" i="25"/>
  <c r="F10" i="25"/>
  <c r="F8" i="25"/>
  <c r="E16" i="25"/>
  <c r="E15" i="25"/>
  <c r="E14" i="25"/>
  <c r="E13" i="25"/>
  <c r="E12" i="25"/>
  <c r="E11" i="25"/>
  <c r="E10" i="25"/>
  <c r="E8" i="25"/>
  <c r="J10" i="21"/>
  <c r="E48" i="14"/>
  <c r="H9" i="24"/>
  <c r="J11" i="21"/>
  <c r="E43" i="15"/>
  <c r="H10" i="24"/>
  <c r="J12" i="21"/>
  <c r="E52" i="16"/>
  <c r="H11" i="24"/>
  <c r="J13" i="21"/>
  <c r="E54" i="17"/>
  <c r="H12" i="24"/>
  <c r="J14" i="21"/>
  <c r="E52" i="18"/>
  <c r="H13" i="24"/>
  <c r="J15" i="21"/>
  <c r="E54" i="19"/>
  <c r="H14" i="24"/>
  <c r="J16" i="21"/>
  <c r="E49" i="20"/>
  <c r="H15" i="24"/>
  <c r="H21" i="24"/>
  <c r="E30" i="14"/>
  <c r="I9" i="24"/>
  <c r="E30" i="15"/>
  <c r="I10" i="24"/>
  <c r="E35" i="16"/>
  <c r="I11" i="24"/>
  <c r="E38" i="17"/>
  <c r="I12" i="24"/>
  <c r="E33" i="18"/>
  <c r="I13" i="24"/>
  <c r="E39" i="19"/>
  <c r="I14" i="24"/>
  <c r="E31" i="20"/>
  <c r="I15" i="24"/>
  <c r="I21" i="24"/>
  <c r="I10" i="21"/>
  <c r="E40" i="14"/>
  <c r="E21" i="14"/>
  <c r="E59" i="14"/>
  <c r="G9" i="24"/>
  <c r="I11" i="21"/>
  <c r="E38" i="15"/>
  <c r="E24" i="15"/>
  <c r="E54" i="15"/>
  <c r="G10" i="24"/>
  <c r="I12" i="21"/>
  <c r="E45" i="16"/>
  <c r="E26" i="16"/>
  <c r="E64" i="16"/>
  <c r="G11" i="24"/>
  <c r="I13" i="21"/>
  <c r="E49" i="17"/>
  <c r="E28" i="17"/>
  <c r="E66" i="17"/>
  <c r="G12" i="24"/>
  <c r="I14" i="21"/>
  <c r="E45" i="18"/>
  <c r="E22" i="18"/>
  <c r="E64" i="18"/>
  <c r="G13" i="24"/>
  <c r="I15" i="21"/>
  <c r="E47" i="19"/>
  <c r="E23" i="19"/>
  <c r="E27" i="19"/>
  <c r="E58" i="19"/>
  <c r="G14" i="24"/>
  <c r="I16" i="21"/>
  <c r="E42" i="20"/>
  <c r="E24" i="20"/>
  <c r="E61" i="20"/>
  <c r="G15" i="24"/>
  <c r="G21" i="24"/>
  <c r="H20" i="24"/>
  <c r="I20" i="24"/>
  <c r="G20" i="24"/>
  <c r="H18" i="24"/>
  <c r="I18" i="24"/>
  <c r="G18" i="24"/>
  <c r="H17" i="24"/>
  <c r="I17" i="24"/>
  <c r="G17" i="24"/>
  <c r="K23" i="20"/>
  <c r="Q15" i="24"/>
  <c r="I23" i="19"/>
  <c r="J23" i="19"/>
  <c r="K23" i="19"/>
  <c r="Q14" i="24"/>
  <c r="I21" i="18"/>
  <c r="J21" i="18"/>
  <c r="H21" i="18"/>
  <c r="K21" i="18"/>
  <c r="Q13" i="24"/>
  <c r="I27" i="17"/>
  <c r="J27" i="17"/>
  <c r="H27" i="17"/>
  <c r="K27" i="17"/>
  <c r="Q12" i="24"/>
  <c r="I23" i="16"/>
  <c r="J23" i="16"/>
  <c r="H23" i="16"/>
  <c r="K23" i="16"/>
  <c r="Q11" i="24"/>
  <c r="I23" i="12"/>
  <c r="J23" i="12"/>
  <c r="H23" i="12"/>
  <c r="K23" i="12"/>
  <c r="Q7" i="24"/>
  <c r="J20" i="14"/>
  <c r="I20" i="14"/>
  <c r="H20" i="14"/>
  <c r="J23" i="15"/>
  <c r="I23" i="15"/>
  <c r="H23" i="15"/>
  <c r="K23" i="15"/>
  <c r="K20" i="14"/>
  <c r="R15" i="24"/>
  <c r="R14" i="24"/>
  <c r="R13" i="24"/>
  <c r="R12" i="24"/>
  <c r="R11" i="24"/>
  <c r="I8" i="21"/>
  <c r="R7" i="24"/>
  <c r="P15" i="24"/>
  <c r="P14" i="24"/>
  <c r="P13" i="24"/>
  <c r="P12" i="24"/>
  <c r="P11" i="24"/>
  <c r="P7" i="24"/>
  <c r="E53" i="15"/>
  <c r="D61" i="20"/>
  <c r="N15" i="24"/>
  <c r="D58" i="19"/>
  <c r="N14" i="24"/>
  <c r="D64" i="18"/>
  <c r="N13" i="24"/>
  <c r="D66" i="17"/>
  <c r="N12" i="24"/>
  <c r="D64" i="16"/>
  <c r="N11" i="24"/>
  <c r="D54" i="15"/>
  <c r="N10" i="24"/>
  <c r="D59" i="14"/>
  <c r="N9" i="24"/>
  <c r="D64" i="12"/>
  <c r="N7" i="24"/>
  <c r="D63" i="20"/>
  <c r="L15" i="24"/>
  <c r="D60" i="19"/>
  <c r="L14" i="24"/>
  <c r="D66" i="18"/>
  <c r="L13" i="24"/>
  <c r="D68" i="17"/>
  <c r="L12" i="24"/>
  <c r="D66" i="16"/>
  <c r="L11" i="24"/>
  <c r="D56" i="15"/>
  <c r="L10" i="24"/>
  <c r="D65" i="12"/>
  <c r="L7" i="24"/>
  <c r="E63" i="20"/>
  <c r="C63" i="20"/>
  <c r="E60" i="19"/>
  <c r="C60" i="19"/>
  <c r="E66" i="18"/>
  <c r="C66" i="18"/>
  <c r="E68" i="17"/>
  <c r="C68" i="17"/>
  <c r="E66" i="16"/>
  <c r="C66" i="16"/>
  <c r="E56" i="15"/>
  <c r="C56" i="15"/>
  <c r="E61" i="14"/>
  <c r="C61" i="14"/>
  <c r="E44" i="12"/>
  <c r="E52" i="12"/>
  <c r="E65" i="12"/>
  <c r="J8" i="21"/>
  <c r="E34" i="12"/>
  <c r="I7" i="24"/>
  <c r="H7" i="24"/>
  <c r="E25" i="12"/>
  <c r="E64" i="12"/>
  <c r="G7" i="24"/>
  <c r="C61" i="20"/>
  <c r="C58" i="19"/>
  <c r="C64" i="18"/>
  <c r="C66" i="17"/>
  <c r="C64" i="16"/>
  <c r="C54" i="15"/>
  <c r="C59" i="14"/>
  <c r="E25" i="20"/>
  <c r="E26" i="20"/>
  <c r="E27" i="20"/>
  <c r="E28" i="20"/>
  <c r="E29" i="20"/>
  <c r="E30" i="20"/>
  <c r="E33" i="20"/>
  <c r="E34" i="20"/>
  <c r="E35" i="20"/>
  <c r="E36" i="20"/>
  <c r="E37" i="20"/>
  <c r="E38" i="20"/>
  <c r="E39" i="20"/>
  <c r="E40" i="20"/>
  <c r="E41" i="20"/>
  <c r="E44" i="20"/>
  <c r="E45" i="20"/>
  <c r="E46" i="20"/>
  <c r="E47" i="20"/>
  <c r="E48" i="20"/>
  <c r="E50" i="20"/>
  <c r="E52" i="20"/>
  <c r="E53" i="20"/>
  <c r="E55" i="20"/>
  <c r="E56" i="20"/>
  <c r="E57" i="20"/>
  <c r="E58" i="20"/>
  <c r="E59" i="20"/>
  <c r="E23" i="20"/>
  <c r="E24" i="19"/>
  <c r="E25" i="19"/>
  <c r="E26" i="19"/>
  <c r="E28" i="19"/>
  <c r="E29" i="19"/>
  <c r="E31" i="19"/>
  <c r="E32" i="19"/>
  <c r="E33" i="19"/>
  <c r="E34" i="19"/>
  <c r="E35" i="19"/>
  <c r="E36" i="19"/>
  <c r="E37" i="19"/>
  <c r="E38" i="19"/>
  <c r="E41" i="19"/>
  <c r="E42" i="19"/>
  <c r="E43" i="19"/>
  <c r="E44" i="19"/>
  <c r="E45" i="19"/>
  <c r="E46" i="19"/>
  <c r="E49" i="19"/>
  <c r="E50" i="19"/>
  <c r="E51" i="19"/>
  <c r="E52" i="19"/>
  <c r="E53" i="19"/>
  <c r="E55" i="19"/>
  <c r="E23" i="18"/>
  <c r="E24" i="18"/>
  <c r="E25" i="18"/>
  <c r="E26" i="18"/>
  <c r="E27" i="18"/>
  <c r="E28" i="18"/>
  <c r="E29" i="18"/>
  <c r="E30" i="18"/>
  <c r="E31" i="18"/>
  <c r="E32" i="18"/>
  <c r="E35" i="18"/>
  <c r="E36" i="18"/>
  <c r="E37" i="18"/>
  <c r="E38" i="18"/>
  <c r="E39" i="18"/>
  <c r="E40" i="18"/>
  <c r="E41" i="18"/>
  <c r="E42" i="18"/>
  <c r="E43" i="18"/>
  <c r="E44" i="18"/>
  <c r="E47" i="18"/>
  <c r="E48" i="18"/>
  <c r="E49" i="18"/>
  <c r="E50" i="18"/>
  <c r="E51" i="18"/>
  <c r="E53" i="18"/>
  <c r="E55" i="18"/>
  <c r="E56" i="18"/>
  <c r="E58" i="18"/>
  <c r="E59" i="18"/>
  <c r="E60" i="18"/>
  <c r="E61" i="18"/>
  <c r="E62" i="18"/>
  <c r="E21" i="18"/>
  <c r="E29" i="17"/>
  <c r="E30" i="17"/>
  <c r="E31" i="17"/>
  <c r="E32" i="17"/>
  <c r="E33" i="17"/>
  <c r="E34" i="17"/>
  <c r="E35" i="17"/>
  <c r="E36" i="17"/>
  <c r="E37" i="17"/>
  <c r="E40" i="17"/>
  <c r="E41" i="17"/>
  <c r="E42" i="17"/>
  <c r="E43" i="17"/>
  <c r="E44" i="17"/>
  <c r="E45" i="17"/>
  <c r="E46" i="17"/>
  <c r="E47" i="17"/>
  <c r="E48" i="17"/>
  <c r="E51" i="17"/>
  <c r="E52" i="17"/>
  <c r="E53" i="17"/>
  <c r="E55" i="17"/>
  <c r="E57" i="17"/>
  <c r="E58" i="17"/>
  <c r="E60" i="17"/>
  <c r="E61" i="17"/>
  <c r="E62" i="17"/>
  <c r="E63" i="17"/>
  <c r="E64" i="17"/>
  <c r="E27" i="17"/>
  <c r="E24" i="16"/>
  <c r="E25" i="16"/>
  <c r="E27" i="16"/>
  <c r="E28" i="16"/>
  <c r="E29" i="16"/>
  <c r="E30" i="16"/>
  <c r="E31" i="16"/>
  <c r="E32" i="16"/>
  <c r="E33" i="16"/>
  <c r="E34" i="16"/>
  <c r="E37" i="16"/>
  <c r="E38" i="16"/>
  <c r="E39" i="16"/>
  <c r="E40" i="16"/>
  <c r="E41" i="16"/>
  <c r="E42" i="16"/>
  <c r="E43" i="16"/>
  <c r="E44" i="16"/>
  <c r="E47" i="16"/>
  <c r="E48" i="16"/>
  <c r="E49" i="16"/>
  <c r="E50" i="16"/>
  <c r="E51" i="16"/>
  <c r="E53" i="16"/>
  <c r="E55" i="16"/>
  <c r="E56" i="16"/>
  <c r="E58" i="16"/>
  <c r="E59" i="16"/>
  <c r="E60" i="16"/>
  <c r="E61" i="16"/>
  <c r="E62" i="16"/>
  <c r="E23" i="16"/>
  <c r="E25" i="15"/>
  <c r="E26" i="15"/>
  <c r="E27" i="15"/>
  <c r="E28" i="15"/>
  <c r="E29" i="15"/>
  <c r="E32" i="15"/>
  <c r="E33" i="15"/>
  <c r="E34" i="15"/>
  <c r="E35" i="15"/>
  <c r="E36" i="15"/>
  <c r="E37" i="15"/>
  <c r="E40" i="15"/>
  <c r="E41" i="15"/>
  <c r="E42" i="15"/>
  <c r="E44" i="15"/>
  <c r="E46" i="15"/>
  <c r="E47" i="15"/>
  <c r="E49" i="15"/>
  <c r="E50" i="15"/>
  <c r="E51" i="15"/>
  <c r="E23" i="15"/>
  <c r="E22" i="14"/>
  <c r="E23" i="14"/>
  <c r="E24" i="14"/>
  <c r="E25" i="14"/>
  <c r="E26" i="14"/>
  <c r="E27" i="14"/>
  <c r="E28" i="14"/>
  <c r="E29" i="14"/>
  <c r="E32" i="14"/>
  <c r="E33" i="14"/>
  <c r="E34" i="14"/>
  <c r="E35" i="14"/>
  <c r="E36" i="14"/>
  <c r="E37" i="14"/>
  <c r="E38" i="14"/>
  <c r="E39" i="14"/>
  <c r="E42" i="14"/>
  <c r="E43" i="14"/>
  <c r="E44" i="14"/>
  <c r="E45" i="14"/>
  <c r="E46" i="14"/>
  <c r="E47" i="14"/>
  <c r="E49" i="14"/>
  <c r="E51" i="14"/>
  <c r="E52" i="14"/>
  <c r="E54" i="14"/>
  <c r="E55" i="14"/>
  <c r="E56" i="14"/>
  <c r="E57" i="14"/>
  <c r="E58" i="14"/>
  <c r="E20" i="14"/>
  <c r="E24" i="12"/>
  <c r="E26" i="12"/>
  <c r="E27" i="12"/>
  <c r="E28" i="12"/>
  <c r="E29" i="12"/>
  <c r="E30" i="12"/>
  <c r="E31" i="12"/>
  <c r="E32" i="12"/>
  <c r="E33" i="12"/>
  <c r="E36" i="12"/>
  <c r="E37" i="12"/>
  <c r="E38" i="12"/>
  <c r="E39" i="12"/>
  <c r="E40" i="12"/>
  <c r="E41" i="12"/>
  <c r="E42" i="12"/>
  <c r="E43" i="12"/>
  <c r="E46" i="12"/>
  <c r="E47" i="12"/>
  <c r="E48" i="12"/>
  <c r="E49" i="12"/>
  <c r="E50" i="12"/>
  <c r="E51" i="12"/>
  <c r="E53" i="12"/>
  <c r="E55" i="12"/>
  <c r="E56" i="12"/>
  <c r="E58" i="12"/>
  <c r="E59" i="12"/>
  <c r="E60" i="12"/>
  <c r="E61" i="12"/>
  <c r="E62" i="12"/>
  <c r="E23" i="12"/>
  <c r="L17" i="24"/>
  <c r="P8" i="21"/>
  <c r="R21" i="24"/>
  <c r="Q21" i="24"/>
  <c r="P21" i="24"/>
  <c r="N21" i="24"/>
  <c r="M21" i="24"/>
  <c r="L21" i="24"/>
  <c r="R20" i="24"/>
  <c r="Q20" i="24"/>
  <c r="P20" i="24"/>
  <c r="N20" i="24"/>
  <c r="M20" i="24"/>
  <c r="L20" i="24"/>
  <c r="R18" i="24"/>
  <c r="Q18" i="24"/>
  <c r="P18" i="24"/>
  <c r="N18" i="24"/>
  <c r="M18" i="24"/>
  <c r="L18" i="24"/>
  <c r="R17" i="24"/>
  <c r="Q17" i="24"/>
  <c r="P17" i="24"/>
  <c r="N17" i="24"/>
  <c r="M17" i="24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F5" i="22"/>
  <c r="T10" i="21"/>
  <c r="F6" i="22"/>
  <c r="T11" i="21"/>
  <c r="F7" i="22"/>
  <c r="T12" i="21"/>
  <c r="F8" i="22"/>
  <c r="T13" i="21"/>
  <c r="F9" i="22"/>
  <c r="T14" i="21"/>
  <c r="F10" i="22"/>
  <c r="T15" i="21"/>
  <c r="F11" i="22"/>
  <c r="T16" i="21"/>
  <c r="T22" i="21"/>
  <c r="U10" i="21"/>
  <c r="J6" i="22"/>
  <c r="U11" i="21"/>
  <c r="U12" i="21"/>
  <c r="U13" i="21"/>
  <c r="U14" i="21"/>
  <c r="U15" i="21"/>
  <c r="U16" i="21"/>
  <c r="U22" i="21"/>
  <c r="T21" i="21"/>
  <c r="U21" i="21"/>
  <c r="T19" i="21"/>
  <c r="U19" i="21"/>
  <c r="T18" i="21"/>
  <c r="U18" i="21"/>
  <c r="U8" i="21"/>
  <c r="J5" i="22"/>
  <c r="J7" i="22"/>
  <c r="J8" i="22"/>
  <c r="J9" i="22"/>
  <c r="J10" i="22"/>
  <c r="J11" i="22"/>
  <c r="J4" i="22"/>
  <c r="M10" i="21"/>
  <c r="M11" i="21"/>
  <c r="M12" i="21"/>
  <c r="M13" i="21"/>
  <c r="M14" i="21"/>
  <c r="M15" i="21"/>
  <c r="M16" i="21"/>
  <c r="M22" i="21"/>
  <c r="N10" i="21"/>
  <c r="N11" i="21"/>
  <c r="N12" i="21"/>
  <c r="N13" i="21"/>
  <c r="N14" i="21"/>
  <c r="N15" i="21"/>
  <c r="N16" i="21"/>
  <c r="N22" i="21"/>
  <c r="P10" i="21"/>
  <c r="P11" i="21"/>
  <c r="P12" i="21"/>
  <c r="P13" i="21"/>
  <c r="P14" i="21"/>
  <c r="P15" i="21"/>
  <c r="P16" i="21"/>
  <c r="P22" i="21"/>
  <c r="Q10" i="21"/>
  <c r="Q11" i="21"/>
  <c r="Q12" i="21"/>
  <c r="Q13" i="21"/>
  <c r="Q14" i="21"/>
  <c r="Q15" i="21"/>
  <c r="Q16" i="21"/>
  <c r="Q22" i="21"/>
  <c r="C11" i="14"/>
  <c r="R10" i="21"/>
  <c r="C13" i="15"/>
  <c r="R11" i="21"/>
  <c r="C13" i="16"/>
  <c r="R12" i="21"/>
  <c r="C12" i="17"/>
  <c r="R13" i="21"/>
  <c r="C12" i="18"/>
  <c r="R14" i="21"/>
  <c r="C13" i="19"/>
  <c r="R15" i="21"/>
  <c r="C13" i="20"/>
  <c r="R16" i="21"/>
  <c r="R22" i="21"/>
  <c r="S10" i="21"/>
  <c r="S11" i="21"/>
  <c r="S12" i="21"/>
  <c r="S13" i="21"/>
  <c r="S14" i="21"/>
  <c r="S15" i="21"/>
  <c r="S16" i="21"/>
  <c r="S22" i="21"/>
  <c r="L22" i="21"/>
  <c r="M21" i="21"/>
  <c r="N21" i="21"/>
  <c r="P21" i="21"/>
  <c r="Q21" i="21"/>
  <c r="R21" i="21"/>
  <c r="S21" i="21"/>
  <c r="L21" i="21"/>
  <c r="P19" i="21"/>
  <c r="Q19" i="21"/>
  <c r="R19" i="21"/>
  <c r="S19" i="21"/>
  <c r="P18" i="21"/>
  <c r="Q18" i="21"/>
  <c r="R18" i="21"/>
  <c r="S18" i="21"/>
  <c r="E12" i="12"/>
  <c r="S8" i="21"/>
  <c r="Q8" i="21"/>
  <c r="C12" i="12"/>
  <c r="R8" i="21"/>
  <c r="M19" i="21"/>
  <c r="N19" i="21"/>
  <c r="L19" i="21"/>
  <c r="N18" i="21"/>
  <c r="M18" i="21"/>
  <c r="L18" i="21"/>
  <c r="N8" i="21"/>
  <c r="M8" i="21"/>
  <c r="E6" i="20"/>
  <c r="F6" i="20"/>
  <c r="D6" i="20"/>
  <c r="G6" i="20"/>
  <c r="G7" i="20"/>
  <c r="G8" i="20"/>
  <c r="G9" i="20"/>
  <c r="G10" i="20"/>
  <c r="G11" i="20"/>
  <c r="G15" i="20"/>
  <c r="G16" i="20"/>
  <c r="G17" i="20"/>
  <c r="G4" i="20"/>
  <c r="C6" i="20"/>
  <c r="G6" i="19"/>
  <c r="G7" i="19"/>
  <c r="G8" i="19"/>
  <c r="G9" i="19"/>
  <c r="G10" i="19"/>
  <c r="G11" i="19"/>
  <c r="G15" i="19"/>
  <c r="G16" i="19"/>
  <c r="G17" i="19"/>
  <c r="G6" i="18"/>
  <c r="G7" i="18"/>
  <c r="G9" i="18"/>
  <c r="G10" i="18"/>
  <c r="G14" i="18"/>
  <c r="G15" i="18"/>
  <c r="G4" i="18"/>
  <c r="G6" i="17"/>
  <c r="E7" i="17"/>
  <c r="G8" i="17"/>
  <c r="G9" i="17"/>
  <c r="G10" i="17"/>
  <c r="G14" i="17"/>
  <c r="G15" i="17"/>
  <c r="G16" i="17"/>
  <c r="G17" i="17"/>
  <c r="G19" i="17"/>
  <c r="G20" i="17"/>
  <c r="G21" i="17"/>
  <c r="G4" i="17"/>
  <c r="C7" i="17"/>
  <c r="G6" i="16"/>
  <c r="E7" i="16"/>
  <c r="G7" i="16"/>
  <c r="G8" i="16"/>
  <c r="G9" i="16"/>
  <c r="G10" i="16"/>
  <c r="G11" i="16"/>
  <c r="G15" i="16"/>
  <c r="G16" i="16"/>
  <c r="G17" i="16"/>
  <c r="G4" i="16"/>
  <c r="C7" i="16"/>
  <c r="G6" i="15"/>
  <c r="G7" i="15"/>
  <c r="G8" i="15"/>
  <c r="G9" i="15"/>
  <c r="G10" i="15"/>
  <c r="G11" i="15"/>
  <c r="G14" i="15"/>
  <c r="G15" i="15"/>
  <c r="G16" i="15"/>
  <c r="G4" i="15"/>
  <c r="G6" i="14"/>
  <c r="G7" i="14"/>
  <c r="G8" i="14"/>
  <c r="G9" i="14"/>
  <c r="G12" i="14"/>
  <c r="G13" i="14"/>
  <c r="G14" i="14"/>
  <c r="G4" i="14"/>
  <c r="G7" i="12"/>
  <c r="G4" i="12"/>
  <c r="D12" i="12"/>
  <c r="F12" i="12"/>
  <c r="G6" i="12"/>
  <c r="G8" i="12"/>
  <c r="G10" i="12"/>
  <c r="G14" i="12"/>
  <c r="G15" i="12"/>
  <c r="G16" i="12"/>
</calcChain>
</file>

<file path=xl/sharedStrings.xml><?xml version="1.0" encoding="utf-8"?>
<sst xmlns="http://schemas.openxmlformats.org/spreadsheetml/2006/main" count="951" uniqueCount="253">
  <si>
    <t>Universal Logistics Holdings</t>
  </si>
  <si>
    <t>ULH</t>
  </si>
  <si>
    <t>Ticker</t>
  </si>
  <si>
    <t>USX</t>
  </si>
  <si>
    <t>P.A.M. Transportation Services</t>
  </si>
  <si>
    <t>PTSI</t>
  </si>
  <si>
    <t>ARCB</t>
  </si>
  <si>
    <t>ArcBest Corporation</t>
  </si>
  <si>
    <t>U.S. Xpress Enterprises</t>
  </si>
  <si>
    <t>YRC Worldwide</t>
  </si>
  <si>
    <t>YRCW</t>
  </si>
  <si>
    <t>Share Price</t>
  </si>
  <si>
    <t>Basic Shares Outstanding</t>
  </si>
  <si>
    <t>Equity Value</t>
  </si>
  <si>
    <t>Preferred Stock</t>
  </si>
  <si>
    <t>Noncontrolling Interest</t>
  </si>
  <si>
    <t>Cash &amp; Cash Equivalents</t>
  </si>
  <si>
    <t>Enterprise Value (EV)</t>
  </si>
  <si>
    <t>Net Operating Losses</t>
  </si>
  <si>
    <t>Investments</t>
  </si>
  <si>
    <t>Pension Obligations</t>
  </si>
  <si>
    <t>Dilutive securities</t>
  </si>
  <si>
    <t>Dilutive securities value</t>
  </si>
  <si>
    <t>Bailout</t>
  </si>
  <si>
    <t>Marten Transport</t>
  </si>
  <si>
    <t>MRTN</t>
  </si>
  <si>
    <t>Current lease liabilities</t>
  </si>
  <si>
    <t>Noncurrent lease liabilities</t>
  </si>
  <si>
    <t>Heartland Express</t>
  </si>
  <si>
    <t>HTLD</t>
  </si>
  <si>
    <t>Total Debt</t>
  </si>
  <si>
    <t>Company</t>
  </si>
  <si>
    <t>2018FY</t>
  </si>
  <si>
    <t>2019FY</t>
  </si>
  <si>
    <t>LTM</t>
  </si>
  <si>
    <t>2020E</t>
  </si>
  <si>
    <t>2021E</t>
  </si>
  <si>
    <t>Revenue</t>
  </si>
  <si>
    <t>EBITDA</t>
  </si>
  <si>
    <t>Net Income</t>
  </si>
  <si>
    <t>Heartland Express (HTLD)</t>
  </si>
  <si>
    <t>Marten Transport (MRTN)</t>
  </si>
  <si>
    <t>ArcBest Corporation (ARCB)</t>
  </si>
  <si>
    <t>U.S. Xpress Enterprises (USX)</t>
  </si>
  <si>
    <t>Total Revenue</t>
  </si>
  <si>
    <t>Cost of Revenue, Total</t>
  </si>
  <si>
    <t>Gross Profit</t>
  </si>
  <si>
    <t>Selling/General/Admin. Expenses, Total</t>
  </si>
  <si>
    <t>Depreciation/Amortization</t>
  </si>
  <si>
    <t>Other Operating Expenses, Total</t>
  </si>
  <si>
    <t>Interest Inc.(Exp.),Net-Non-Op., Total</t>
  </si>
  <si>
    <t>Other, Net</t>
  </si>
  <si>
    <t>Provision for Income Taxes</t>
  </si>
  <si>
    <t>Net Income After Taxes</t>
  </si>
  <si>
    <t>Net Income Before Extra. Items</t>
  </si>
  <si>
    <t>Total Extraordinary Items</t>
  </si>
  <si>
    <t>In millions, except per share data</t>
  </si>
  <si>
    <t>2019 Q1</t>
  </si>
  <si>
    <t>2020 Q1</t>
  </si>
  <si>
    <t>Net Income Before Taxes (EBT)</t>
  </si>
  <si>
    <t>Unusual Expense (Income)</t>
  </si>
  <si>
    <t>Minority Interest</t>
  </si>
  <si>
    <t>Covenant Logistics Group (CVLG)</t>
  </si>
  <si>
    <t>CVLG</t>
  </si>
  <si>
    <t>Covenant Logistics Group</t>
  </si>
  <si>
    <t>P.A.M. Transportation Services (PTSI)</t>
  </si>
  <si>
    <t>YRC Worlwide (YRCW)</t>
  </si>
  <si>
    <t>Enterprise Value</t>
  </si>
  <si>
    <t>Market Valuation</t>
  </si>
  <si>
    <t>EBIT</t>
  </si>
  <si>
    <t>LTM Financial Statistics</t>
  </si>
  <si>
    <t>EBITDA (%)</t>
  </si>
  <si>
    <t>Net Income (%)</t>
  </si>
  <si>
    <t>LTM Profitability Margins</t>
  </si>
  <si>
    <t>Hist.
1-year</t>
  </si>
  <si>
    <t>Est.
1-year</t>
  </si>
  <si>
    <t>EPS</t>
  </si>
  <si>
    <t>Growth Rates 1 year</t>
  </si>
  <si>
    <t>EBIT
(%)</t>
  </si>
  <si>
    <t>YRC Worlwide</t>
  </si>
  <si>
    <t>Mean</t>
  </si>
  <si>
    <t>Median</t>
  </si>
  <si>
    <t>High</t>
  </si>
  <si>
    <t>Low</t>
  </si>
  <si>
    <t>Benchmarking Analysis - Financial Statistics and Ratios, Page 1</t>
  </si>
  <si>
    <t>($ in millions, except per share data)</t>
  </si>
  <si>
    <t>Note: Last twelve months based on March 31, 2020. Estimated annual financial data based on a calendar year.</t>
  </si>
  <si>
    <t>Source: Company filings, Thomson Reuters, Consensus Estimates</t>
  </si>
  <si>
    <t>EPS LTM</t>
  </si>
  <si>
    <t>EPS 2018</t>
  </si>
  <si>
    <t>Change</t>
  </si>
  <si>
    <t>EPS 2020E</t>
  </si>
  <si>
    <t>EPS 2019</t>
  </si>
  <si>
    <t>Balance Sheet</t>
  </si>
  <si>
    <t>Cash &amp; Equivalents</t>
  </si>
  <si>
    <t>Short Term Investments</t>
  </si>
  <si>
    <t>Cash and Short Term Investments</t>
  </si>
  <si>
    <t>Total Receivables, Net</t>
  </si>
  <si>
    <t>Prepaid Expenses</t>
  </si>
  <si>
    <t>Other Current Assets, Total</t>
  </si>
  <si>
    <t>Total Current Assets</t>
  </si>
  <si>
    <t>Property/Plant/Equipment, Total - Net</t>
  </si>
  <si>
    <t>Goodwill, Net</t>
  </si>
  <si>
    <t>Intangibles, Net</t>
  </si>
  <si>
    <t>Other Long Term Assets, Total</t>
  </si>
  <si>
    <t>Total Assets</t>
  </si>
  <si>
    <t>Accounts Payable</t>
  </si>
  <si>
    <t>Accrued Expenses</t>
  </si>
  <si>
    <t>Current Port. Of LT Debt/Capital Leases</t>
  </si>
  <si>
    <t>Other Current liabilities, Total</t>
  </si>
  <si>
    <t>Total Current Liabilities</t>
  </si>
  <si>
    <t>Total Long Term Debt</t>
  </si>
  <si>
    <t>Deferred Income Tax</t>
  </si>
  <si>
    <t>Other Liabilities, Total</t>
  </si>
  <si>
    <t>Total Liabilities</t>
  </si>
  <si>
    <t>Common Stock, Total</t>
  </si>
  <si>
    <t>Additional Paid-In Capital</t>
  </si>
  <si>
    <t>Retained Earnings (Accumulated Deficit)</t>
  </si>
  <si>
    <t>Treasury Stock - Common</t>
  </si>
  <si>
    <t>Unrealized Gain (Loss)</t>
  </si>
  <si>
    <t>Other Equity, Total</t>
  </si>
  <si>
    <t>Total Equity</t>
  </si>
  <si>
    <t>Total Liabilities &amp; Shareholders' Equity</t>
  </si>
  <si>
    <t>Total Common Shares Outstanding</t>
  </si>
  <si>
    <t>Tangible Book Value per Share, Common Eq</t>
  </si>
  <si>
    <t>Accounts Receivable - Trade, Net</t>
  </si>
  <si>
    <t>Property/Plant/Equipment, Total - Gross</t>
  </si>
  <si>
    <t>Accumulated Depreciation, Total</t>
  </si>
  <si>
    <t>Long Term Debt</t>
  </si>
  <si>
    <t>General</t>
  </si>
  <si>
    <t>Return on Investment</t>
  </si>
  <si>
    <t>LTM Leverage Ratios</t>
  </si>
  <si>
    <t>LTM Coverage Ratios</t>
  </si>
  <si>
    <t>FYE</t>
  </si>
  <si>
    <t>Beta</t>
  </si>
  <si>
    <t>ROIC
(%)</t>
  </si>
  <si>
    <t>ROE
(%)</t>
  </si>
  <si>
    <t>ROA
(%)</t>
  </si>
  <si>
    <t>Implied Div. Yield (%)</t>
  </si>
  <si>
    <t>Debt /
Tot. Cap.
(%)</t>
  </si>
  <si>
    <t>Debt /
EBITDA
(x)</t>
  </si>
  <si>
    <t>Net Debt /
EBITDA
(x)</t>
  </si>
  <si>
    <t>EBITDA /
Int. Exp.
(x)</t>
  </si>
  <si>
    <t>(EBITDA - Cpx) / Int.
(x)</t>
  </si>
  <si>
    <t>EBIT /
Int. Exp.
(x)</t>
  </si>
  <si>
    <t>Payable/Accrued</t>
  </si>
  <si>
    <t>Cash</t>
  </si>
  <si>
    <t>Propert/Plant/Equipment, Total - Net</t>
  </si>
  <si>
    <t>Total Inventory</t>
  </si>
  <si>
    <t>Notes Payable/Short Term Debt</t>
  </si>
  <si>
    <t>Long Term Investments</t>
  </si>
  <si>
    <t>Other Current Liabilities, Total</t>
  </si>
  <si>
    <t>Capital Lease Obligations</t>
  </si>
  <si>
    <t>Inventories</t>
  </si>
  <si>
    <t>Land</t>
  </si>
  <si>
    <t>Accounts Receivable, Net</t>
  </si>
  <si>
    <t>Prepaid Expenses and Deposits</t>
  </si>
  <si>
    <t>Marketable Equity Securities</t>
  </si>
  <si>
    <t>Income Taxes Refundable</t>
  </si>
  <si>
    <t>Structures and Improvements</t>
  </si>
  <si>
    <t>Revenue Equipment</t>
  </si>
  <si>
    <t>Office Furniture and Equipment</t>
  </si>
  <si>
    <t>Total Property and Equipment</t>
  </si>
  <si>
    <t>Accumulated Depreciation</t>
  </si>
  <si>
    <t>Net Property and Equipment</t>
  </si>
  <si>
    <t>Other Assets</t>
  </si>
  <si>
    <t>Accrued Expenses and Other Liabilities</t>
  </si>
  <si>
    <t>Current Maturities of LT Debt</t>
  </si>
  <si>
    <t>Long-term Debt less Current Portion</t>
  </si>
  <si>
    <t>Deferred Income Taxes</t>
  </si>
  <si>
    <t>Common Stock</t>
  </si>
  <si>
    <t>Treasury Stock</t>
  </si>
  <si>
    <t>Retained Earnings</t>
  </si>
  <si>
    <t>Total Shareholders' Equity</t>
  </si>
  <si>
    <t>Dec-31</t>
  </si>
  <si>
    <t>Avg.</t>
  </si>
  <si>
    <t>Net Debt</t>
  </si>
  <si>
    <t>Benchmarking Analysis - Financial Statistics and Ratios, Page 2</t>
  </si>
  <si>
    <t>Debt-to-Total Capitalization</t>
  </si>
  <si>
    <t>Cash Flow Statement</t>
  </si>
  <si>
    <t>2019Q1</t>
  </si>
  <si>
    <t>2020Q1</t>
  </si>
  <si>
    <t>Capex</t>
  </si>
  <si>
    <t>Current Share Price</t>
  </si>
  <si>
    <t>% of
52-wk
high</t>
  </si>
  <si>
    <t>LTM Revenue</t>
  </si>
  <si>
    <t>2020E Revenue</t>
  </si>
  <si>
    <t>2021E Revenue</t>
  </si>
  <si>
    <t>LTM EBITDA</t>
  </si>
  <si>
    <t>2020E EBITDA</t>
  </si>
  <si>
    <t>2021E EBITDA</t>
  </si>
  <si>
    <t>LTM EBIT</t>
  </si>
  <si>
    <t>2020E EBIT</t>
  </si>
  <si>
    <t>2021E EBIT</t>
  </si>
  <si>
    <t>LTM EBITDA Margin</t>
  </si>
  <si>
    <t>Enterprise Value /</t>
  </si>
  <si>
    <t>-</t>
  </si>
  <si>
    <t>Comparable Companies Analysis</t>
  </si>
  <si>
    <t>Price /</t>
  </si>
  <si>
    <t>LTM
EPS</t>
  </si>
  <si>
    <t>2020E
EPS</t>
  </si>
  <si>
    <t>2021E
EPS</t>
  </si>
  <si>
    <t>Total
Debt /
EBITDA</t>
  </si>
  <si>
    <t>52-week High</t>
  </si>
  <si>
    <t>EPS 2021E</t>
  </si>
  <si>
    <t>EV / EBITDA</t>
  </si>
  <si>
    <t>2020E
EBITDA
Margin</t>
  </si>
  <si>
    <t>LTM
Debt /
EBITDA</t>
  </si>
  <si>
    <t>LTM
Int. Exp /
EBITDA</t>
  </si>
  <si>
    <t>P/E</t>
  </si>
  <si>
    <t>LT
EPS
Growth</t>
  </si>
  <si>
    <t>Dividend
Yield</t>
  </si>
  <si>
    <t>FCF Yield</t>
  </si>
  <si>
    <t>Implied Enterprise Value</t>
  </si>
  <si>
    <t>1st Quartile</t>
  </si>
  <si>
    <t>3rd Quartile</t>
  </si>
  <si>
    <t>EV/LTM EBITDA</t>
  </si>
  <si>
    <t>EV/2020E EBITDA</t>
  </si>
  <si>
    <t>EV/2021E EBITDA</t>
  </si>
  <si>
    <t>EV/LTM Revenue</t>
  </si>
  <si>
    <t>EV/2020E Revenue</t>
  </si>
  <si>
    <t>EV/2021E Revenue</t>
  </si>
  <si>
    <t>EV/LTM EBIT</t>
  </si>
  <si>
    <t>EV/2020E EBIT</t>
  </si>
  <si>
    <t>EV/2021E EBIT</t>
  </si>
  <si>
    <t>Min</t>
  </si>
  <si>
    <t>Max</t>
  </si>
  <si>
    <t>Implied Equity Value</t>
  </si>
  <si>
    <t>Implied Share Price</t>
  </si>
  <si>
    <t>Shares Outstanding</t>
  </si>
  <si>
    <t>EV</t>
  </si>
  <si>
    <t xml:space="preserve">(1) The company did not record an interest expense, but an interest income. </t>
  </si>
  <si>
    <t>Page 1</t>
  </si>
  <si>
    <t>Page 2</t>
  </si>
  <si>
    <t>Financial Statistics &amp; Ratios</t>
  </si>
  <si>
    <t>Comps Analysis &amp; Valuation</t>
  </si>
  <si>
    <t>Page 3</t>
  </si>
  <si>
    <t>Page 4</t>
  </si>
  <si>
    <t>Final Valuation</t>
  </si>
  <si>
    <t>Data</t>
  </si>
  <si>
    <t>Target Co</t>
  </si>
  <si>
    <t>Comp1</t>
  </si>
  <si>
    <t>Comp2</t>
  </si>
  <si>
    <t>Comp3</t>
  </si>
  <si>
    <t>Comp4</t>
  </si>
  <si>
    <t>Comp5</t>
  </si>
  <si>
    <t>Comp6</t>
  </si>
  <si>
    <t>Comp7</t>
  </si>
  <si>
    <t>H</t>
  </si>
  <si>
    <t>Values in millions, except share price</t>
  </si>
  <si>
    <r>
      <t xml:space="preserve">NA </t>
    </r>
    <r>
      <rPr>
        <sz val="8"/>
        <color rgb="FF0000FF"/>
        <rFont val="Calibri"/>
        <family val="2"/>
        <scheme val="minor"/>
      </rPr>
      <t>(1)</t>
    </r>
  </si>
  <si>
    <t>Multiples</t>
  </si>
  <si>
    <t>Universal Logistics Holdings (ULH)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</si>
</sst>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(&quot;$&quot;* #,##0.00_);_(&quot;$&quot;* \(#,##0.00\);_(&quot;$&quot;* &quot;-&quot;??_);_(@_)"/>
    <numFmt numFmtId="164" formatCode="0.0"/>
    <numFmt numFmtId="165" formatCode="0.0%"/>
    <numFmt numFmtId="166" formatCode="#,##0.0"/>
    <numFmt numFmtId="167" formatCode="_(0_);_(\(0\);_(&quot;-&quot;_);@_)"/>
    <numFmt numFmtId="168" formatCode="#,##0.0_);\(#,##0.0\)"/>
    <numFmt numFmtId="169" formatCode="[$$-409]#,##0.0_)\ ;[$$-409]\(#,##0.0\);&quot;-&quot;;_-@_-"/>
    <numFmt numFmtId="170" formatCode="[$$-409]#,##0.00_);\([$$-409]#,##0.00\)"/>
    <numFmt numFmtId="171" formatCode="[$$-409]#,##0.00_)\ ;[$$-409]\(#,##0.00\);&quot;-&quot;;_-@_-"/>
    <numFmt numFmtId="172" formatCode="#,##0.0_)\ ;\(#,##0.0\);&quot;-&quot;;_-@_-"/>
    <numFmt numFmtId="173" formatCode="#,##0_)\ ;\(#,##0\);&quot;-&quot;;_-@_-"/>
    <numFmt numFmtId="174" formatCode="#,##0.00_)\ ;\(#,##0.00\);&quot;-&quot;;_-@_-"/>
    <numFmt numFmtId="175" formatCode="General\x"/>
    <numFmt numFmtId="176" formatCode="\ #,##0.0_)\ ;\(#,##0.0\);&quot;-&quot;;_-@_-"/>
    <numFmt numFmtId="177" formatCode="[$$-409]#,##0.0_);\([$$-409]#,##0.0\)"/>
    <numFmt numFmtId="178" formatCode="0.0\x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2599E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0"/>
      <name val="Calibri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2599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left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8" fillId="0" borderId="3" xfId="0" applyNumberFormat="1" applyFont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167" fontId="8" fillId="0" borderId="7" xfId="0" applyNumberFormat="1" applyFont="1" applyFill="1" applyBorder="1" applyAlignment="1">
      <alignment horizontal="center" vertical="center"/>
    </xf>
    <xf numFmtId="167" fontId="8" fillId="0" borderId="6" xfId="0" applyNumberFormat="1" applyFont="1" applyFill="1" applyBorder="1" applyAlignment="1">
      <alignment horizontal="center" vertical="center"/>
    </xf>
    <xf numFmtId="167" fontId="8" fillId="0" borderId="5" xfId="0" applyNumberFormat="1" applyFont="1" applyFill="1" applyBorder="1" applyAlignment="1">
      <alignment horizontal="center" vertical="center"/>
    </xf>
    <xf numFmtId="167" fontId="10" fillId="0" borderId="6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68" fontId="0" fillId="0" borderId="0" xfId="0" applyNumberFormat="1" applyAlignment="1">
      <alignment horizontal="center" vertical="center"/>
    </xf>
    <xf numFmtId="168" fontId="2" fillId="3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7" fontId="8" fillId="0" borderId="9" xfId="0" applyNumberFormat="1" applyFont="1" applyFill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168" fontId="2" fillId="3" borderId="10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9" fillId="0" borderId="5" xfId="0" applyNumberFormat="1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167" fontId="8" fillId="0" borderId="11" xfId="0" applyNumberFormat="1" applyFont="1" applyFill="1" applyBorder="1" applyAlignment="1">
      <alignment horizontal="center" vertical="center"/>
    </xf>
    <xf numFmtId="0" fontId="0" fillId="0" borderId="0" xfId="0" applyFont="1"/>
    <xf numFmtId="168" fontId="2" fillId="0" borderId="0" xfId="0" applyNumberFormat="1" applyFont="1" applyAlignment="1">
      <alignment horizontal="center" vertical="center"/>
    </xf>
    <xf numFmtId="168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9" fontId="2" fillId="0" borderId="0" xfId="1" applyFont="1" applyAlignment="1">
      <alignment horizontal="center" vertical="center"/>
    </xf>
    <xf numFmtId="169" fontId="2" fillId="0" borderId="0" xfId="3" applyNumberFormat="1" applyFont="1" applyAlignment="1">
      <alignment horizontal="center" vertical="center"/>
    </xf>
    <xf numFmtId="169" fontId="2" fillId="0" borderId="0" xfId="0" applyNumberFormat="1" applyFont="1" applyAlignment="1">
      <alignment vertical="center"/>
    </xf>
    <xf numFmtId="9" fontId="0" fillId="0" borderId="0" xfId="1" applyFont="1" applyAlignment="1">
      <alignment horizontal="center" vertical="center"/>
    </xf>
    <xf numFmtId="169" fontId="0" fillId="0" borderId="0" xfId="0" applyNumberFormat="1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vertical="center"/>
    </xf>
    <xf numFmtId="9" fontId="13" fillId="5" borderId="0" xfId="0" applyNumberFormat="1" applyFont="1" applyFill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9" fontId="2" fillId="0" borderId="0" xfId="3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39" fontId="0" fillId="0" borderId="0" xfId="0" applyNumberFormat="1"/>
    <xf numFmtId="2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3" fillId="5" borderId="0" xfId="0" applyFont="1" applyFill="1" applyAlignment="1">
      <alignment horizontal="center" vertical="center"/>
    </xf>
    <xf numFmtId="0" fontId="17" fillId="0" borderId="2" xfId="0" applyFont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173" fontId="2" fillId="0" borderId="0" xfId="0" applyNumberFormat="1" applyFont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vertical="center"/>
    </xf>
    <xf numFmtId="174" fontId="0" fillId="0" borderId="0" xfId="0" applyNumberFormat="1" applyFont="1" applyAlignment="1">
      <alignment horizontal="center" vertical="center"/>
    </xf>
    <xf numFmtId="172" fontId="0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0" fontId="0" fillId="0" borderId="0" xfId="0" applyNumberFormat="1"/>
    <xf numFmtId="49" fontId="2" fillId="0" borderId="0" xfId="3" applyNumberFormat="1" applyFont="1" applyAlignment="1">
      <alignment horizontal="center" vertical="center"/>
    </xf>
    <xf numFmtId="49" fontId="1" fillId="0" borderId="0" xfId="3" applyNumberFormat="1" applyFont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0" fontId="0" fillId="0" borderId="0" xfId="0" applyNumberForma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5" fontId="2" fillId="0" borderId="0" xfId="1" applyNumberFormat="1" applyFont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9" fontId="0" fillId="0" borderId="0" xfId="1" applyNumberFormat="1" applyFont="1" applyAlignment="1">
      <alignment horizontal="center" vertical="center"/>
    </xf>
    <xf numFmtId="178" fontId="0" fillId="0" borderId="0" xfId="1" applyNumberFormat="1" applyFont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178" fontId="13" fillId="5" borderId="0" xfId="0" applyNumberFormat="1" applyFont="1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" fillId="0" borderId="0" xfId="0" applyFont="1" applyBorder="1" applyAlignment="1"/>
    <xf numFmtId="0" fontId="18" fillId="5" borderId="0" xfId="0" applyFont="1" applyFill="1" applyAlignment="1">
      <alignment vertical="center"/>
    </xf>
    <xf numFmtId="178" fontId="2" fillId="0" borderId="0" xfId="3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78" fontId="0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1" fillId="0" borderId="0" xfId="3" applyNumberFormat="1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wrapText="1"/>
    </xf>
    <xf numFmtId="0" fontId="13" fillId="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13" fillId="5" borderId="0" xfId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2" quotePrefix="1" applyAlignment="1">
      <alignment horizontal="center"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3" fillId="0" borderId="0" xfId="2" quotePrefix="1" applyFont="1" applyAlignment="1">
      <alignment horizontal="center" vertical="center"/>
    </xf>
    <xf numFmtId="0" fontId="23" fillId="0" borderId="0" xfId="2" quotePrefix="1" applyFont="1" applyAlignment="1">
      <alignment horizontal="center" vertical="center"/>
    </xf>
    <xf numFmtId="0" fontId="24" fillId="0" borderId="0" xfId="2" quotePrefix="1" applyFont="1" applyAlignment="1">
      <alignment horizontal="center" vertical="center"/>
    </xf>
    <xf numFmtId="0" fontId="25" fillId="0" borderId="0" xfId="3" applyNumberFormat="1" applyFont="1" applyAlignment="1">
      <alignment horizontal="center" vertical="center"/>
    </xf>
    <xf numFmtId="175" fontId="26" fillId="0" borderId="0" xfId="0" applyNumberFormat="1" applyFont="1" applyAlignment="1">
      <alignment vertical="center"/>
    </xf>
    <xf numFmtId="0" fontId="2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9" fontId="26" fillId="0" borderId="0" xfId="1" applyFont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178" fontId="25" fillId="0" borderId="0" xfId="0" applyNumberFormat="1" applyFont="1" applyAlignment="1">
      <alignment horizontal="center" vertical="center"/>
    </xf>
    <xf numFmtId="171" fontId="26" fillId="0" borderId="0" xfId="0" applyNumberFormat="1" applyFont="1" applyAlignment="1">
      <alignment horizontal="center" vertical="center"/>
    </xf>
    <xf numFmtId="39" fontId="26" fillId="0" borderId="0" xfId="0" applyNumberFormat="1" applyFont="1" applyAlignment="1">
      <alignment horizontal="center" vertical="center"/>
    </xf>
    <xf numFmtId="170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">
    <cellStyle name="Lien hypertexte" xfId="2" builtinId="8"/>
    <cellStyle name="Monétaire" xfId="3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  <color rgb="FF325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Universal Logistics Holdings Valuation</a:t>
            </a:r>
            <a:endParaRPr lang="en-US" baseline="0"/>
          </a:p>
          <a:p>
            <a:pPr>
              <a:defRPr/>
            </a:pPr>
            <a:r>
              <a:rPr lang="en-US" baseline="0"/>
              <a:t>Range of Implied Share Prices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Min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Valuation!$Q$35:$Q$45</c:f>
              <c:strCache>
                <c:ptCount val="11"/>
                <c:pt idx="0">
                  <c:v>EV/2021E Revenue</c:v>
                </c:pt>
                <c:pt idx="1">
                  <c:v>EV/2020E Revenue</c:v>
                </c:pt>
                <c:pt idx="2">
                  <c:v>EV/LTM Revenue</c:v>
                </c:pt>
                <c:pt idx="4">
                  <c:v>EV/2021E EBIT</c:v>
                </c:pt>
                <c:pt idx="5">
                  <c:v>EV/2020E EBIT</c:v>
                </c:pt>
                <c:pt idx="6">
                  <c:v>EV/LTM EBIT</c:v>
                </c:pt>
                <c:pt idx="8">
                  <c:v>EV/2021E EBITDA</c:v>
                </c:pt>
                <c:pt idx="9">
                  <c:v>EV/2020E EBITDA</c:v>
                </c:pt>
                <c:pt idx="10">
                  <c:v>EV/LTM EBITDA</c:v>
                </c:pt>
              </c:strCache>
            </c:strRef>
          </c:cat>
          <c:val>
            <c:numRef>
              <c:f>Valuation!$R$35:$R$45</c:f>
              <c:numCache>
                <c:formatCode>#,##0.0</c:formatCode>
                <c:ptCount val="11"/>
                <c:pt idx="0">
                  <c:v>-5.2221045940700241</c:v>
                </c:pt>
                <c:pt idx="1">
                  <c:v>-6.6438980089697433</c:v>
                </c:pt>
                <c:pt idx="2">
                  <c:v>-6.6937983780836685</c:v>
                </c:pt>
                <c:pt idx="4">
                  <c:v>13.149101274708707</c:v>
                </c:pt>
                <c:pt idx="5">
                  <c:v>19.472123085219938</c:v>
                </c:pt>
                <c:pt idx="6">
                  <c:v>8.7437431791420348</c:v>
                </c:pt>
                <c:pt idx="8">
                  <c:v>8.5758814845494769</c:v>
                </c:pt>
                <c:pt idx="9">
                  <c:v>7.6473213048873223</c:v>
                </c:pt>
                <c:pt idx="10">
                  <c:v>4.3017382558086288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C6-4B96-B00A-1DA0168CD525}"/>
            </c:ext>
          </c:extLst>
        </c:ser>
        <c:ser>
          <c:idx val="1"/>
          <c:order val="1"/>
          <c:tx>
            <c:v>25th</c:v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Valuation!$Q$35:$Q$45</c:f>
              <c:strCache>
                <c:ptCount val="11"/>
                <c:pt idx="0">
                  <c:v>EV/2021E Revenue</c:v>
                </c:pt>
                <c:pt idx="1">
                  <c:v>EV/2020E Revenue</c:v>
                </c:pt>
                <c:pt idx="2">
                  <c:v>EV/LTM Revenue</c:v>
                </c:pt>
                <c:pt idx="4">
                  <c:v>EV/2021E EBIT</c:v>
                </c:pt>
                <c:pt idx="5">
                  <c:v>EV/2020E EBIT</c:v>
                </c:pt>
                <c:pt idx="6">
                  <c:v>EV/LTM EBIT</c:v>
                </c:pt>
                <c:pt idx="8">
                  <c:v>EV/2021E EBITDA</c:v>
                </c:pt>
                <c:pt idx="9">
                  <c:v>EV/2020E EBITDA</c:v>
                </c:pt>
                <c:pt idx="10">
                  <c:v>EV/LTM EBITDA</c:v>
                </c:pt>
              </c:strCache>
            </c:strRef>
          </c:cat>
          <c:val>
            <c:numRef>
              <c:f>Valuation!$S$35:$S$45</c:f>
              <c:numCache>
                <c:formatCode>#,##0.0</c:formatCode>
                <c:ptCount val="11"/>
                <c:pt idx="0">
                  <c:v>4.1043774173191405</c:v>
                </c:pt>
                <c:pt idx="1">
                  <c:v>1.64988761857502</c:v>
                </c:pt>
                <c:pt idx="2">
                  <c:v>3.767915207972226</c:v>
                </c:pt>
                <c:pt idx="4">
                  <c:v>23.418217645685381</c:v>
                </c:pt>
                <c:pt idx="5">
                  <c:v>29.119635538516235</c:v>
                </c:pt>
                <c:pt idx="6">
                  <c:v>21.794322852550984</c:v>
                </c:pt>
                <c:pt idx="8">
                  <c:v>15.316109396913795</c:v>
                </c:pt>
                <c:pt idx="9">
                  <c:v>16.480992611442993</c:v>
                </c:pt>
                <c:pt idx="10">
                  <c:v>10.327185068134796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DC6-4B96-B00A-1DA0168CD525}"/>
            </c:ext>
          </c:extLst>
        </c:ser>
        <c:ser>
          <c:idx val="2"/>
          <c:order val="2"/>
          <c:tx>
            <c:v>Median</c:v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Valuation!$Q$35:$Q$45</c:f>
              <c:strCache>
                <c:ptCount val="11"/>
                <c:pt idx="0">
                  <c:v>EV/2021E Revenue</c:v>
                </c:pt>
                <c:pt idx="1">
                  <c:v>EV/2020E Revenue</c:v>
                </c:pt>
                <c:pt idx="2">
                  <c:v>EV/LTM Revenue</c:v>
                </c:pt>
                <c:pt idx="4">
                  <c:v>EV/2021E EBIT</c:v>
                </c:pt>
                <c:pt idx="5">
                  <c:v>EV/2020E EBIT</c:v>
                </c:pt>
                <c:pt idx="6">
                  <c:v>EV/LTM EBIT</c:v>
                </c:pt>
                <c:pt idx="8">
                  <c:v>EV/2021E EBITDA</c:v>
                </c:pt>
                <c:pt idx="9">
                  <c:v>EV/2020E EBITDA</c:v>
                </c:pt>
                <c:pt idx="10">
                  <c:v>EV/LTM EBITDA</c:v>
                </c:pt>
              </c:strCache>
            </c:strRef>
          </c:cat>
          <c:val>
            <c:numRef>
              <c:f>Valuation!$T$35:$T$45</c:f>
              <c:numCache>
                <c:formatCode>#,##0.0</c:formatCode>
                <c:ptCount val="11"/>
                <c:pt idx="0">
                  <c:v>25.473936837753573</c:v>
                </c:pt>
                <c:pt idx="1">
                  <c:v>18.61689659555924</c:v>
                </c:pt>
                <c:pt idx="2">
                  <c:v>18.030372049448843</c:v>
                </c:pt>
                <c:pt idx="4">
                  <c:v>31.339184053400686</c:v>
                </c:pt>
                <c:pt idx="5">
                  <c:v>33.451840198239559</c:v>
                </c:pt>
                <c:pt idx="6">
                  <c:v>22.42504835230428</c:v>
                </c:pt>
                <c:pt idx="8">
                  <c:v>24.988626667515785</c:v>
                </c:pt>
                <c:pt idx="9">
                  <c:v>23.271229549362772</c:v>
                </c:pt>
                <c:pt idx="10">
                  <c:v>15.943871220718657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DC6-4B96-B00A-1DA0168CD525}"/>
            </c:ext>
          </c:extLst>
        </c:ser>
        <c:ser>
          <c:idx val="3"/>
          <c:order val="3"/>
          <c:tx>
            <c:v>75th</c:v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Valuation!$Q$35:$Q$45</c:f>
              <c:strCache>
                <c:ptCount val="11"/>
                <c:pt idx="0">
                  <c:v>EV/2021E Revenue</c:v>
                </c:pt>
                <c:pt idx="1">
                  <c:v>EV/2020E Revenue</c:v>
                </c:pt>
                <c:pt idx="2">
                  <c:v>EV/LTM Revenue</c:v>
                </c:pt>
                <c:pt idx="4">
                  <c:v>EV/2021E EBIT</c:v>
                </c:pt>
                <c:pt idx="5">
                  <c:v>EV/2020E EBIT</c:v>
                </c:pt>
                <c:pt idx="6">
                  <c:v>EV/LTM EBIT</c:v>
                </c:pt>
                <c:pt idx="8">
                  <c:v>EV/2021E EBITDA</c:v>
                </c:pt>
                <c:pt idx="9">
                  <c:v>EV/2020E EBITDA</c:v>
                </c:pt>
                <c:pt idx="10">
                  <c:v>EV/LTM EBITDA</c:v>
                </c:pt>
              </c:strCache>
            </c:strRef>
          </c:cat>
          <c:val>
            <c:numRef>
              <c:f>Valuation!$U$35:$U$45</c:f>
              <c:numCache>
                <c:formatCode>#,##0.0</c:formatCode>
                <c:ptCount val="11"/>
                <c:pt idx="0">
                  <c:v>51.776054819650035</c:v>
                </c:pt>
                <c:pt idx="1">
                  <c:v>44.201301436914605</c:v>
                </c:pt>
                <c:pt idx="2">
                  <c:v>48.704123661841173</c:v>
                </c:pt>
                <c:pt idx="4">
                  <c:v>50.567784226809266</c:v>
                </c:pt>
                <c:pt idx="5">
                  <c:v>62.423579489487473</c:v>
                </c:pt>
                <c:pt idx="6">
                  <c:v>82.801774109411511</c:v>
                </c:pt>
                <c:pt idx="8">
                  <c:v>30.338375040271032</c:v>
                </c:pt>
                <c:pt idx="9">
                  <c:v>28.510093719785221</c:v>
                </c:pt>
                <c:pt idx="10">
                  <c:v>22.165811858809985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DC6-4B96-B00A-1DA0168CD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205711"/>
        <c:axId val="265209039"/>
      </c:barChart>
      <c:catAx>
        <c:axId val="265205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09039"/>
        <c:crosses val="autoZero"/>
        <c:auto val="1"/>
        <c:lblAlgn val="ctr"/>
        <c:lblOffset val="100"/>
        <c:noMultiLvlLbl val="0"/>
      </c:catAx>
      <c:valAx>
        <c:axId val="265209039"/>
        <c:scaling>
          <c:orientation val="minMax"/>
          <c:max val="1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_);\([$$-409]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05711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662940</xdr:colOff>
      <xdr:row>0</xdr:row>
      <xdr:rowOff>106680</xdr:rowOff>
    </xdr:from>
    <xdr:to>
      <xdr:col>21</xdr:col>
      <xdr:colOff>15240</xdr:colOff>
      <xdr:row>19</xdr:row>
      <xdr:rowOff>106680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26</xdr:row>
      <xdr:rowOff>116996</xdr:rowOff>
    </xdr:from>
    <xdr:to>
      <xdr:col>3</xdr:col>
      <xdr:colOff>556260</xdr:colOff>
      <xdr:row>30</xdr:row>
      <xdr:rowOff>43687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04" r="2256"/>
        <a:stretch/>
      </xdr:blipFill>
      <xdr:spPr>
        <a:xfrm>
          <a:off x="457200" y="5016656"/>
          <a:ext cx="3901440" cy="658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L20"/>
  <sheetViews>
    <sheetView showGridLines="0" tabSelected="1" workbookViewId="0"/>
  </sheetViews>
  <sheetFormatPr baseColWidth="10" defaultRowHeight="14.4" x14ac:dyDescent="0.3"/>
  <cols>
    <col min="2" max="2" width="22.88671875" customWidth="1"/>
    <col min="3" max="3" width="4.33203125" customWidth="1"/>
    <col min="4" max="4" width="24.44140625" customWidth="1"/>
    <col min="5" max="5" width="8.5546875" customWidth="1"/>
    <col min="6" max="6" width="10.21875" customWidth="1"/>
  </cols>
  <sheetData>
    <row r="2" spans="2:12" ht="23.4" x14ac:dyDescent="0.3">
      <c r="B2" s="166" t="s">
        <v>0</v>
      </c>
      <c r="C2" s="166"/>
      <c r="D2" s="166"/>
      <c r="E2" s="166"/>
      <c r="F2" s="166"/>
    </row>
    <row r="5" spans="2:12" ht="15" thickBot="1" x14ac:dyDescent="0.35">
      <c r="B5" s="3" t="s">
        <v>234</v>
      </c>
      <c r="D5" s="3" t="s">
        <v>235</v>
      </c>
      <c r="F5" s="5" t="s">
        <v>239</v>
      </c>
    </row>
    <row r="6" spans="2:12" s="1" customFormat="1" ht="23.4" customHeight="1" x14ac:dyDescent="0.3">
      <c r="B6" s="152" t="s">
        <v>232</v>
      </c>
      <c r="D6" s="152" t="s">
        <v>236</v>
      </c>
      <c r="F6" s="152" t="s">
        <v>240</v>
      </c>
    </row>
    <row r="7" spans="2:12" s="1" customFormat="1" ht="23.4" customHeight="1" x14ac:dyDescent="0.3">
      <c r="B7" s="152" t="s">
        <v>233</v>
      </c>
      <c r="D7" s="152" t="s">
        <v>237</v>
      </c>
      <c r="F7" s="152" t="s">
        <v>241</v>
      </c>
    </row>
    <row r="8" spans="2:12" ht="23.4" customHeight="1" x14ac:dyDescent="0.3">
      <c r="D8" s="152" t="s">
        <v>238</v>
      </c>
      <c r="F8" s="152" t="s">
        <v>242</v>
      </c>
      <c r="L8" s="151"/>
    </row>
    <row r="9" spans="2:12" ht="23.4" customHeight="1" x14ac:dyDescent="0.3">
      <c r="F9" s="152" t="s">
        <v>243</v>
      </c>
    </row>
    <row r="10" spans="2:12" ht="23.4" customHeight="1" x14ac:dyDescent="0.3">
      <c r="F10" s="152" t="s">
        <v>244</v>
      </c>
    </row>
    <row r="11" spans="2:12" ht="23.4" customHeight="1" x14ac:dyDescent="0.3">
      <c r="F11" s="152" t="s">
        <v>245</v>
      </c>
    </row>
    <row r="12" spans="2:12" ht="23.4" customHeight="1" x14ac:dyDescent="0.3">
      <c r="F12" s="152" t="s">
        <v>246</v>
      </c>
    </row>
    <row r="13" spans="2:12" ht="23.4" customHeight="1" x14ac:dyDescent="0.3">
      <c r="F13" s="152" t="s">
        <v>247</v>
      </c>
    </row>
    <row r="14" spans="2:12" ht="23.4" customHeight="1" x14ac:dyDescent="0.3">
      <c r="F14" s="152" t="s">
        <v>230</v>
      </c>
    </row>
    <row r="15" spans="2:12" ht="23.4" customHeight="1" x14ac:dyDescent="0.3">
      <c r="F15" s="152" t="s">
        <v>76</v>
      </c>
    </row>
    <row r="16" spans="2:12" x14ac:dyDescent="0.3">
      <c r="F16" s="147"/>
    </row>
    <row r="20" spans="10:10" ht="18" x14ac:dyDescent="0.3">
      <c r="J20" s="153"/>
    </row>
  </sheetData>
  <mergeCells count="1">
    <mergeCell ref="B2:F2"/>
  </mergeCells>
  <hyperlinks>
    <hyperlink ref="B6" location="'Page 1'!A1" display="Page 1"/>
    <hyperlink ref="B7" location="'Page 2'!A1" display="Page 2"/>
    <hyperlink ref="D6" location="'Page 3'!A1" display="Page 3"/>
    <hyperlink ref="D7" location="'Page 4'!A1" display="Page 4"/>
    <hyperlink ref="D8" location="Valuation!P1" display="Final Valuation"/>
    <hyperlink ref="F6" location="'Target Co'!A1" display="Target Co"/>
    <hyperlink ref="F7" location="Comp1!A1" display="Comp1"/>
    <hyperlink ref="F8" location="Comp2!A1" display="Comp2"/>
    <hyperlink ref="F9" location="Comp3!A1" display="Comp3"/>
    <hyperlink ref="F10" location="Comp4!A1" display="Comp4"/>
    <hyperlink ref="F11" location="Comp5!A1" display="Comp5"/>
    <hyperlink ref="F12" location="Comp6!A1" display="Comp6"/>
    <hyperlink ref="F13" location="Comp7!A1" display="Comp7"/>
    <hyperlink ref="F14" location="EV!A1" display="EV"/>
    <hyperlink ref="F15" location="EPS!A1" display="EPS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66"/>
  <sheetViews>
    <sheetView showGridLines="0" workbookViewId="0">
      <selection activeCell="B13" sqref="B13"/>
    </sheetView>
  </sheetViews>
  <sheetFormatPr baseColWidth="10" defaultRowHeight="14.4" x14ac:dyDescent="0.3"/>
  <cols>
    <col min="1" max="1" width="6.21875" customWidth="1"/>
    <col min="2" max="2" width="38.109375" customWidth="1"/>
    <col min="3" max="6" width="18.33203125" customWidth="1"/>
    <col min="7" max="7" width="21.44140625" customWidth="1"/>
    <col min="8" max="9" width="18.33203125" customWidth="1"/>
  </cols>
  <sheetData>
    <row r="1" spans="1:10" ht="18" x14ac:dyDescent="0.3">
      <c r="A1" s="153" t="s">
        <v>248</v>
      </c>
      <c r="B1" s="23" t="s">
        <v>56</v>
      </c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24"/>
      <c r="C2" s="25"/>
      <c r="D2" s="25"/>
      <c r="E2" s="20"/>
      <c r="F2" s="20"/>
      <c r="G2" s="20"/>
      <c r="H2" s="20"/>
      <c r="I2" s="2"/>
    </row>
    <row r="3" spans="1:10" ht="18" x14ac:dyDescent="0.3">
      <c r="A3" s="1"/>
      <c r="B3" s="26" t="s">
        <v>42</v>
      </c>
      <c r="C3" s="30" t="s">
        <v>32</v>
      </c>
      <c r="D3" s="33" t="s">
        <v>57</v>
      </c>
      <c r="E3" s="31" t="s">
        <v>33</v>
      </c>
      <c r="F3" s="33" t="s">
        <v>58</v>
      </c>
      <c r="G3" s="38" t="s">
        <v>34</v>
      </c>
      <c r="H3" s="31" t="s">
        <v>35</v>
      </c>
      <c r="I3" s="32" t="s">
        <v>36</v>
      </c>
    </row>
    <row r="4" spans="1:10" x14ac:dyDescent="0.3">
      <c r="A4" s="28"/>
      <c r="B4" s="28" t="s">
        <v>37</v>
      </c>
      <c r="C4" s="35">
        <v>3093.8</v>
      </c>
      <c r="D4" s="35">
        <v>711.84</v>
      </c>
      <c r="E4" s="35">
        <v>2988.3</v>
      </c>
      <c r="F4" s="35">
        <v>701.4</v>
      </c>
      <c r="G4" s="39">
        <f>E4+F4-D4</f>
        <v>2977.86</v>
      </c>
      <c r="H4" s="35">
        <v>2754.4</v>
      </c>
      <c r="I4" s="35">
        <v>2938.6</v>
      </c>
    </row>
    <row r="5" spans="1:10" x14ac:dyDescent="0.3">
      <c r="A5" s="28"/>
      <c r="B5" s="34" t="s">
        <v>44</v>
      </c>
      <c r="C5" s="36">
        <v>3093.8</v>
      </c>
      <c r="D5" s="36">
        <v>711.84</v>
      </c>
      <c r="E5" s="36">
        <v>2988.3</v>
      </c>
      <c r="F5" s="36">
        <v>701.4</v>
      </c>
      <c r="G5" s="41">
        <f t="shared" ref="G5:G18" si="0">E5+F5-D5</f>
        <v>2977.86</v>
      </c>
      <c r="H5" s="36">
        <v>2754.4</v>
      </c>
      <c r="I5" s="36">
        <v>2938.6</v>
      </c>
    </row>
    <row r="6" spans="1:10" x14ac:dyDescent="0.3">
      <c r="A6" s="28"/>
      <c r="B6" s="28" t="s">
        <v>45</v>
      </c>
      <c r="C6" s="35">
        <v>694.02</v>
      </c>
      <c r="D6" s="35">
        <v>167.29</v>
      </c>
      <c r="E6" s="35">
        <v>698.03</v>
      </c>
      <c r="F6" s="35">
        <v>170.18</v>
      </c>
      <c r="G6" s="39">
        <f t="shared" si="0"/>
        <v>700.92000000000007</v>
      </c>
      <c r="H6" s="35"/>
      <c r="I6" s="35"/>
    </row>
    <row r="7" spans="1:10" x14ac:dyDescent="0.3">
      <c r="A7" s="28"/>
      <c r="B7" s="34" t="s">
        <v>46</v>
      </c>
      <c r="C7" s="36">
        <f>C5-C6</f>
        <v>2399.7800000000002</v>
      </c>
      <c r="D7" s="36">
        <v>544.54999999999995</v>
      </c>
      <c r="E7" s="36">
        <f>E5-E6</f>
        <v>2290.2700000000004</v>
      </c>
      <c r="F7" s="36">
        <v>531.22</v>
      </c>
      <c r="G7" s="41">
        <f t="shared" si="0"/>
        <v>2276.9400000000005</v>
      </c>
      <c r="H7" s="36"/>
      <c r="I7" s="36"/>
    </row>
    <row r="8" spans="1:10" x14ac:dyDescent="0.3">
      <c r="A8" s="28"/>
      <c r="B8" s="28" t="s">
        <v>47</v>
      </c>
      <c r="C8" s="35">
        <v>1860</v>
      </c>
      <c r="D8" s="35">
        <v>445.39</v>
      </c>
      <c r="E8" s="35">
        <v>1870</v>
      </c>
      <c r="F8" s="35">
        <v>450.88</v>
      </c>
      <c r="G8" s="39">
        <f t="shared" si="0"/>
        <v>1875.4900000000002</v>
      </c>
      <c r="H8" s="35"/>
      <c r="I8" s="35"/>
    </row>
    <row r="9" spans="1:10" x14ac:dyDescent="0.3">
      <c r="A9" s="28"/>
      <c r="B9" s="28" t="s">
        <v>48</v>
      </c>
      <c r="C9" s="35">
        <v>99.7</v>
      </c>
      <c r="D9" s="35">
        <v>24.13</v>
      </c>
      <c r="E9" s="35">
        <v>101.14</v>
      </c>
      <c r="F9" s="35">
        <v>25.74</v>
      </c>
      <c r="G9" s="39">
        <f t="shared" si="0"/>
        <v>102.75</v>
      </c>
      <c r="H9" s="35"/>
      <c r="I9" s="35"/>
    </row>
    <row r="10" spans="1:10" x14ac:dyDescent="0.3">
      <c r="A10" s="28"/>
      <c r="B10" s="28" t="s">
        <v>60</v>
      </c>
      <c r="C10" s="35">
        <v>36.06</v>
      </c>
      <c r="D10" s="35">
        <v>-3.4000000000000002E-2</v>
      </c>
      <c r="E10" s="35">
        <v>20.62</v>
      </c>
      <c r="F10" s="35">
        <v>-2.16</v>
      </c>
      <c r="G10" s="39">
        <f t="shared" si="0"/>
        <v>18.494</v>
      </c>
      <c r="H10" s="35"/>
      <c r="I10" s="35"/>
    </row>
    <row r="11" spans="1:10" x14ac:dyDescent="0.3">
      <c r="A11" s="28"/>
      <c r="B11" s="28" t="s">
        <v>49</v>
      </c>
      <c r="C11" s="35">
        <v>296.72000000000003</v>
      </c>
      <c r="D11" s="35">
        <v>66.47</v>
      </c>
      <c r="E11" s="35">
        <v>243.79</v>
      </c>
      <c r="F11" s="35">
        <v>48.94</v>
      </c>
      <c r="G11" s="39">
        <f t="shared" si="0"/>
        <v>226.26000000000002</v>
      </c>
      <c r="H11" s="35"/>
      <c r="I11" s="35"/>
    </row>
    <row r="12" spans="1:10" x14ac:dyDescent="0.3">
      <c r="A12" s="28"/>
      <c r="B12" s="34" t="s">
        <v>69</v>
      </c>
      <c r="C12" s="36">
        <v>109.1</v>
      </c>
      <c r="D12" s="36">
        <v>8.59</v>
      </c>
      <c r="E12" s="36">
        <v>63.77</v>
      </c>
      <c r="F12" s="36">
        <v>7.82</v>
      </c>
      <c r="G12" s="41">
        <f t="shared" si="0"/>
        <v>63</v>
      </c>
      <c r="H12" s="36">
        <v>39.380000000000003</v>
      </c>
      <c r="I12" s="36">
        <v>86.22</v>
      </c>
    </row>
    <row r="13" spans="1:10" x14ac:dyDescent="0.3">
      <c r="A13" s="28"/>
      <c r="B13" s="34" t="s">
        <v>38</v>
      </c>
      <c r="C13" s="36">
        <f>C12+C9</f>
        <v>208.8</v>
      </c>
      <c r="D13" s="36">
        <f>D12+D9</f>
        <v>32.72</v>
      </c>
      <c r="E13" s="36">
        <f>E12+E9</f>
        <v>164.91</v>
      </c>
      <c r="F13" s="36">
        <f>F12+F9</f>
        <v>33.56</v>
      </c>
      <c r="G13" s="41">
        <f t="shared" si="0"/>
        <v>165.75</v>
      </c>
      <c r="H13" s="36">
        <v>139.1</v>
      </c>
      <c r="I13" s="36">
        <v>196.81</v>
      </c>
    </row>
    <row r="14" spans="1:10" x14ac:dyDescent="0.3">
      <c r="A14" s="28"/>
      <c r="B14" s="28" t="s">
        <v>50</v>
      </c>
      <c r="C14" s="35">
        <v>-5.55</v>
      </c>
      <c r="D14" s="35">
        <v>-1.4</v>
      </c>
      <c r="E14" s="35">
        <v>-5.01</v>
      </c>
      <c r="F14" s="35">
        <v>-1.57</v>
      </c>
      <c r="G14" s="39">
        <f t="shared" si="0"/>
        <v>-5.18</v>
      </c>
      <c r="H14" s="35"/>
      <c r="I14" s="35"/>
    </row>
    <row r="15" spans="1:10" x14ac:dyDescent="0.3">
      <c r="A15" s="28"/>
      <c r="B15" s="28" t="s">
        <v>51</v>
      </c>
      <c r="C15" s="35">
        <v>-19.16</v>
      </c>
      <c r="D15" s="35">
        <v>-0.59099999999999997</v>
      </c>
      <c r="E15" s="35">
        <v>-7.29</v>
      </c>
      <c r="F15" s="35">
        <v>-3.86</v>
      </c>
      <c r="G15" s="39">
        <f t="shared" si="0"/>
        <v>-10.559000000000001</v>
      </c>
      <c r="H15" s="35"/>
      <c r="I15" s="35"/>
    </row>
    <row r="16" spans="1:10" x14ac:dyDescent="0.3">
      <c r="A16" s="28"/>
      <c r="B16" s="34" t="s">
        <v>59</v>
      </c>
      <c r="C16" s="36">
        <v>84.39</v>
      </c>
      <c r="D16" s="36">
        <v>6.6</v>
      </c>
      <c r="E16" s="36">
        <v>51.47</v>
      </c>
      <c r="F16" s="36">
        <v>2.39</v>
      </c>
      <c r="G16" s="41">
        <f t="shared" si="0"/>
        <v>47.26</v>
      </c>
      <c r="H16" s="36">
        <v>25.2</v>
      </c>
      <c r="I16" s="36">
        <v>79.099999999999994</v>
      </c>
    </row>
    <row r="17" spans="1:11" x14ac:dyDescent="0.3">
      <c r="A17" s="28"/>
      <c r="B17" s="28" t="s">
        <v>52</v>
      </c>
      <c r="C17" s="35">
        <v>20.95</v>
      </c>
      <c r="D17" s="35">
        <v>1.71</v>
      </c>
      <c r="E17" s="35">
        <v>11.49</v>
      </c>
      <c r="F17" s="35">
        <v>0.48299999999999998</v>
      </c>
      <c r="G17" s="39">
        <f t="shared" si="0"/>
        <v>10.263000000000002</v>
      </c>
      <c r="H17" s="45"/>
      <c r="I17" s="35"/>
    </row>
    <row r="18" spans="1:11" x14ac:dyDescent="0.3">
      <c r="A18" s="28"/>
      <c r="B18" s="34" t="s">
        <v>53</v>
      </c>
      <c r="C18" s="36">
        <v>63.44</v>
      </c>
      <c r="D18" s="36">
        <v>4.8899999999999997</v>
      </c>
      <c r="E18" s="36">
        <v>39.99</v>
      </c>
      <c r="F18" s="36">
        <v>1.9</v>
      </c>
      <c r="G18" s="41">
        <f t="shared" si="0"/>
        <v>37</v>
      </c>
      <c r="H18" s="36">
        <v>21.19</v>
      </c>
      <c r="I18" s="36">
        <v>57.67</v>
      </c>
    </row>
    <row r="19" spans="1:11" x14ac:dyDescent="0.3">
      <c r="A19" s="28"/>
      <c r="B19" s="71"/>
      <c r="C19" s="28"/>
      <c r="D19" s="28"/>
      <c r="E19" s="28"/>
      <c r="F19" s="28"/>
      <c r="G19" s="28"/>
      <c r="H19" s="28"/>
      <c r="I19" s="28"/>
    </row>
    <row r="20" spans="1:11" x14ac:dyDescent="0.3">
      <c r="B20" s="43" t="s">
        <v>87</v>
      </c>
      <c r="C20" s="28"/>
      <c r="D20" s="28"/>
      <c r="E20" s="28"/>
      <c r="F20" s="28"/>
      <c r="G20" s="28"/>
      <c r="H20" s="28"/>
      <c r="I20" s="28"/>
    </row>
    <row r="22" spans="1:11" ht="16.2" thickBot="1" x14ac:dyDescent="0.35">
      <c r="B22" s="89" t="s">
        <v>93</v>
      </c>
      <c r="C22" s="3" t="s">
        <v>57</v>
      </c>
      <c r="D22" s="3" t="s">
        <v>58</v>
      </c>
      <c r="E22" s="3" t="s">
        <v>175</v>
      </c>
      <c r="G22" s="128" t="s">
        <v>179</v>
      </c>
      <c r="H22" s="3" t="s">
        <v>180</v>
      </c>
      <c r="I22" s="3" t="s">
        <v>33</v>
      </c>
      <c r="J22" s="3" t="s">
        <v>181</v>
      </c>
      <c r="K22" s="3" t="s">
        <v>34</v>
      </c>
    </row>
    <row r="23" spans="1:11" x14ac:dyDescent="0.3">
      <c r="B23" t="s">
        <v>146</v>
      </c>
      <c r="C23" s="90">
        <v>104.9</v>
      </c>
      <c r="D23" s="90">
        <v>0</v>
      </c>
      <c r="E23" s="90">
        <f>(C23+D23)/2</f>
        <v>52.45</v>
      </c>
      <c r="G23" t="s">
        <v>182</v>
      </c>
      <c r="H23" s="6">
        <f>15543/1000</f>
        <v>15.542999999999999</v>
      </c>
      <c r="I23" s="6">
        <f>90955/1000</f>
        <v>90.954999999999998</v>
      </c>
      <c r="J23" s="6">
        <f>6738/1000</f>
        <v>6.7380000000000004</v>
      </c>
      <c r="K23" s="6">
        <f>I23+J23-H23</f>
        <v>82.15</v>
      </c>
    </row>
    <row r="24" spans="1:11" x14ac:dyDescent="0.3">
      <c r="B24" t="s">
        <v>94</v>
      </c>
      <c r="C24" s="91">
        <v>14.97</v>
      </c>
      <c r="D24" s="91">
        <v>352.17</v>
      </c>
      <c r="E24" s="91">
        <f t="shared" ref="E24:E62" si="1">(C24+D24)/2</f>
        <v>183.57000000000002</v>
      </c>
    </row>
    <row r="25" spans="1:11" x14ac:dyDescent="0.3">
      <c r="B25" t="s">
        <v>95</v>
      </c>
      <c r="C25" s="91">
        <v>134.76</v>
      </c>
      <c r="D25" s="91">
        <v>178.81</v>
      </c>
      <c r="E25" s="91">
        <f t="shared" si="1"/>
        <v>156.785</v>
      </c>
    </row>
    <row r="26" spans="1:11" x14ac:dyDescent="0.3">
      <c r="B26" s="107" t="s">
        <v>96</v>
      </c>
      <c r="C26" s="92">
        <v>254.62</v>
      </c>
      <c r="D26" s="92">
        <v>530.98</v>
      </c>
      <c r="E26" s="92">
        <f t="shared" si="1"/>
        <v>392.8</v>
      </c>
    </row>
    <row r="27" spans="1:11" x14ac:dyDescent="0.3">
      <c r="B27" t="s">
        <v>97</v>
      </c>
      <c r="C27" s="91">
        <v>311.77999999999997</v>
      </c>
      <c r="D27" s="91">
        <v>294.06</v>
      </c>
      <c r="E27" s="91">
        <f t="shared" si="1"/>
        <v>302.91999999999996</v>
      </c>
    </row>
    <row r="28" spans="1:11" x14ac:dyDescent="0.3">
      <c r="B28" t="s">
        <v>98</v>
      </c>
      <c r="C28" s="91">
        <v>35.67</v>
      </c>
      <c r="D28" s="91">
        <v>40.04</v>
      </c>
      <c r="E28" s="91">
        <f t="shared" si="1"/>
        <v>37.855000000000004</v>
      </c>
    </row>
    <row r="29" spans="1:11" x14ac:dyDescent="0.3">
      <c r="B29" t="s">
        <v>99</v>
      </c>
      <c r="C29" s="91">
        <v>4.47</v>
      </c>
      <c r="D29" s="91">
        <v>4.46</v>
      </c>
      <c r="E29" s="91">
        <f t="shared" si="1"/>
        <v>4.4649999999999999</v>
      </c>
    </row>
    <row r="30" spans="1:11" x14ac:dyDescent="0.3">
      <c r="B30" s="107" t="s">
        <v>100</v>
      </c>
      <c r="C30" s="92">
        <v>606.54</v>
      </c>
      <c r="D30" s="92">
        <v>869.53</v>
      </c>
      <c r="E30" s="92">
        <f t="shared" si="1"/>
        <v>738.03499999999997</v>
      </c>
      <c r="G30" s="78"/>
    </row>
    <row r="31" spans="1:11" x14ac:dyDescent="0.3">
      <c r="B31" t="s">
        <v>147</v>
      </c>
      <c r="C31" s="91">
        <v>691.71</v>
      </c>
      <c r="D31" s="91">
        <v>736.78</v>
      </c>
      <c r="E31" s="91">
        <f t="shared" si="1"/>
        <v>714.245</v>
      </c>
    </row>
    <row r="32" spans="1:11" x14ac:dyDescent="0.3">
      <c r="B32" t="s">
        <v>102</v>
      </c>
      <c r="C32" s="91">
        <v>108.32</v>
      </c>
      <c r="D32" s="91">
        <v>88.32</v>
      </c>
      <c r="E32" s="91">
        <f t="shared" si="1"/>
        <v>98.32</v>
      </c>
    </row>
    <row r="33" spans="2:5" x14ac:dyDescent="0.3">
      <c r="B33" t="s">
        <v>103</v>
      </c>
      <c r="C33" s="91">
        <v>67.819999999999993</v>
      </c>
      <c r="D33" s="91">
        <v>57.87</v>
      </c>
      <c r="E33" s="91">
        <f t="shared" si="1"/>
        <v>62.844999999999999</v>
      </c>
    </row>
    <row r="34" spans="2:5" x14ac:dyDescent="0.3">
      <c r="B34" t="s">
        <v>104</v>
      </c>
      <c r="C34" s="91">
        <v>85.26</v>
      </c>
      <c r="D34" s="91">
        <v>81.849999999999994</v>
      </c>
      <c r="E34" s="91">
        <f t="shared" si="1"/>
        <v>83.555000000000007</v>
      </c>
    </row>
    <row r="35" spans="2:5" x14ac:dyDescent="0.3">
      <c r="B35" s="107" t="s">
        <v>105</v>
      </c>
      <c r="C35" s="92">
        <v>1560</v>
      </c>
      <c r="D35" s="92">
        <v>1830</v>
      </c>
      <c r="E35" s="92">
        <f t="shared" si="1"/>
        <v>1695</v>
      </c>
    </row>
    <row r="36" spans="2:5" x14ac:dyDescent="0.3">
      <c r="C36" s="1"/>
      <c r="D36" s="1"/>
      <c r="E36" s="1"/>
    </row>
    <row r="37" spans="2:5" x14ac:dyDescent="0.3">
      <c r="B37" t="s">
        <v>106</v>
      </c>
      <c r="C37" s="90">
        <v>145.59</v>
      </c>
      <c r="D37" s="90">
        <v>127.63</v>
      </c>
      <c r="E37" s="90">
        <f t="shared" si="1"/>
        <v>136.61000000000001</v>
      </c>
    </row>
    <row r="38" spans="2:5" x14ac:dyDescent="0.3">
      <c r="B38" t="s">
        <v>107</v>
      </c>
      <c r="C38" s="91">
        <v>229.21</v>
      </c>
      <c r="D38" s="91">
        <v>238.22</v>
      </c>
      <c r="E38" s="91">
        <f t="shared" si="1"/>
        <v>233.715</v>
      </c>
    </row>
    <row r="39" spans="2:5" x14ac:dyDescent="0.3">
      <c r="B39" t="s">
        <v>108</v>
      </c>
      <c r="C39" s="91">
        <v>48.81</v>
      </c>
      <c r="D39" s="91">
        <v>56.98</v>
      </c>
      <c r="E39" s="91">
        <f t="shared" si="1"/>
        <v>52.894999999999996</v>
      </c>
    </row>
    <row r="40" spans="2:5" x14ac:dyDescent="0.3">
      <c r="B40" t="s">
        <v>109</v>
      </c>
      <c r="C40" s="91">
        <v>8.23</v>
      </c>
      <c r="D40" s="91">
        <v>3.1E-2</v>
      </c>
      <c r="E40" s="91">
        <f t="shared" si="1"/>
        <v>4.1305000000000005</v>
      </c>
    </row>
    <row r="41" spans="2:5" x14ac:dyDescent="0.3">
      <c r="B41" s="107" t="s">
        <v>110</v>
      </c>
      <c r="C41" s="92">
        <v>431.84</v>
      </c>
      <c r="D41" s="92">
        <v>422.85</v>
      </c>
      <c r="E41" s="92">
        <f t="shared" si="1"/>
        <v>427.34500000000003</v>
      </c>
    </row>
    <row r="42" spans="2:5" x14ac:dyDescent="0.3">
      <c r="B42" t="s">
        <v>111</v>
      </c>
      <c r="C42" s="91">
        <v>227.65</v>
      </c>
      <c r="D42" s="91">
        <v>476.95</v>
      </c>
      <c r="E42" s="91">
        <f t="shared" si="1"/>
        <v>352.3</v>
      </c>
    </row>
    <row r="43" spans="2:5" x14ac:dyDescent="0.3">
      <c r="B43" t="s">
        <v>112</v>
      </c>
      <c r="C43" s="91">
        <v>55.87</v>
      </c>
      <c r="D43" s="91">
        <v>63.17</v>
      </c>
      <c r="E43" s="91">
        <f t="shared" si="1"/>
        <v>59.519999999999996</v>
      </c>
    </row>
    <row r="44" spans="2:5" x14ac:dyDescent="0.3">
      <c r="B44" t="s">
        <v>113</v>
      </c>
      <c r="C44" s="91">
        <v>122.55</v>
      </c>
      <c r="D44" s="91">
        <v>112.19</v>
      </c>
      <c r="E44" s="91">
        <f t="shared" si="1"/>
        <v>117.37</v>
      </c>
    </row>
    <row r="45" spans="2:5" x14ac:dyDescent="0.3">
      <c r="B45" s="107" t="s">
        <v>114</v>
      </c>
      <c r="C45" s="92">
        <v>837.9</v>
      </c>
      <c r="D45" s="92">
        <v>1080</v>
      </c>
      <c r="E45" s="92">
        <f t="shared" si="1"/>
        <v>958.95</v>
      </c>
    </row>
    <row r="46" spans="2:5" x14ac:dyDescent="0.3">
      <c r="C46" s="1"/>
      <c r="D46" s="1"/>
      <c r="E46" s="1"/>
    </row>
    <row r="47" spans="2:5" x14ac:dyDescent="0.3">
      <c r="B47" t="s">
        <v>115</v>
      </c>
      <c r="C47" s="90">
        <v>0.28699999999999998</v>
      </c>
      <c r="D47" s="90">
        <v>0.28799999999999998</v>
      </c>
      <c r="E47" s="90">
        <f t="shared" si="1"/>
        <v>0.28749999999999998</v>
      </c>
    </row>
    <row r="48" spans="2:5" x14ac:dyDescent="0.3">
      <c r="B48" t="s">
        <v>116</v>
      </c>
      <c r="C48" s="91">
        <v>327.76</v>
      </c>
      <c r="D48" s="91">
        <v>336.06</v>
      </c>
      <c r="E48" s="91">
        <f t="shared" si="1"/>
        <v>331.90999999999997</v>
      </c>
    </row>
    <row r="49" spans="2:5" x14ac:dyDescent="0.3">
      <c r="B49" t="s">
        <v>117</v>
      </c>
      <c r="C49" s="91">
        <v>504.23</v>
      </c>
      <c r="D49" s="91">
        <v>532.86</v>
      </c>
      <c r="E49" s="91">
        <f t="shared" si="1"/>
        <v>518.54500000000007</v>
      </c>
    </row>
    <row r="50" spans="2:5" x14ac:dyDescent="0.3">
      <c r="B50" t="s">
        <v>118</v>
      </c>
      <c r="C50" s="91">
        <v>-98.13</v>
      </c>
      <c r="D50" s="91">
        <v>-107.74</v>
      </c>
      <c r="E50" s="91">
        <f t="shared" si="1"/>
        <v>-102.935</v>
      </c>
    </row>
    <row r="51" spans="2:5" x14ac:dyDescent="0.3">
      <c r="B51" t="s">
        <v>120</v>
      </c>
      <c r="C51" s="91">
        <v>-12.39</v>
      </c>
      <c r="D51" s="91">
        <v>-2.2599999999999998</v>
      </c>
      <c r="E51" s="91">
        <f t="shared" si="1"/>
        <v>-7.3250000000000002</v>
      </c>
    </row>
    <row r="52" spans="2:5" x14ac:dyDescent="0.3">
      <c r="B52" s="107" t="s">
        <v>121</v>
      </c>
      <c r="C52" s="92">
        <v>721.76</v>
      </c>
      <c r="D52" s="92">
        <v>759.21</v>
      </c>
      <c r="E52" s="92">
        <f t="shared" si="1"/>
        <v>740.48500000000001</v>
      </c>
    </row>
    <row r="53" spans="2:5" x14ac:dyDescent="0.3">
      <c r="B53" s="107" t="s">
        <v>122</v>
      </c>
      <c r="C53" s="92">
        <v>1560</v>
      </c>
      <c r="D53" s="92">
        <v>1830</v>
      </c>
      <c r="E53" s="92">
        <f t="shared" si="1"/>
        <v>1695</v>
      </c>
    </row>
    <row r="54" spans="2:5" x14ac:dyDescent="0.3">
      <c r="C54" s="1"/>
      <c r="D54" s="1"/>
      <c r="E54" s="91"/>
    </row>
    <row r="55" spans="2:5" x14ac:dyDescent="0.3">
      <c r="B55" t="s">
        <v>123</v>
      </c>
      <c r="C55" s="91">
        <v>25.51</v>
      </c>
      <c r="D55" s="91">
        <v>25.26</v>
      </c>
      <c r="E55" s="91">
        <f t="shared" si="1"/>
        <v>25.385000000000002</v>
      </c>
    </row>
    <row r="56" spans="2:5" x14ac:dyDescent="0.3">
      <c r="B56" t="s">
        <v>124</v>
      </c>
      <c r="C56" s="91">
        <v>21.39</v>
      </c>
      <c r="D56" s="91">
        <v>24.27</v>
      </c>
      <c r="E56" s="91">
        <f t="shared" si="1"/>
        <v>22.83</v>
      </c>
    </row>
    <row r="57" spans="2:5" x14ac:dyDescent="0.3">
      <c r="C57" s="91"/>
      <c r="D57" s="91"/>
      <c r="E57" s="91"/>
    </row>
    <row r="58" spans="2:5" x14ac:dyDescent="0.3">
      <c r="B58" t="s">
        <v>125</v>
      </c>
      <c r="C58" s="91">
        <v>294.85000000000002</v>
      </c>
      <c r="D58" s="91">
        <v>278.77999999999997</v>
      </c>
      <c r="E58" s="91">
        <f t="shared" si="1"/>
        <v>286.815</v>
      </c>
    </row>
    <row r="59" spans="2:5" x14ac:dyDescent="0.3">
      <c r="B59" t="s">
        <v>126</v>
      </c>
      <c r="C59" s="91">
        <v>1560</v>
      </c>
      <c r="D59" s="91">
        <v>1700</v>
      </c>
      <c r="E59" s="91">
        <f t="shared" si="1"/>
        <v>1630</v>
      </c>
    </row>
    <row r="60" spans="2:5" x14ac:dyDescent="0.3">
      <c r="B60" t="s">
        <v>127</v>
      </c>
      <c r="C60" s="91">
        <v>-932.95</v>
      </c>
      <c r="D60" s="91">
        <v>-961.95</v>
      </c>
      <c r="E60" s="91">
        <f t="shared" si="1"/>
        <v>-947.45</v>
      </c>
    </row>
    <row r="61" spans="2:5" x14ac:dyDescent="0.3">
      <c r="B61" t="s">
        <v>128</v>
      </c>
      <c r="C61" s="91">
        <v>227.65</v>
      </c>
      <c r="D61" s="91">
        <v>476.95</v>
      </c>
      <c r="E61" s="91">
        <f t="shared" si="1"/>
        <v>352.3</v>
      </c>
    </row>
    <row r="62" spans="2:5" x14ac:dyDescent="0.3">
      <c r="B62" t="s">
        <v>30</v>
      </c>
      <c r="C62" s="91">
        <v>276.45999999999998</v>
      </c>
      <c r="D62" s="91">
        <v>533.91999999999996</v>
      </c>
      <c r="E62" s="91">
        <f t="shared" si="1"/>
        <v>405.18999999999994</v>
      </c>
    </row>
    <row r="64" spans="2:5" x14ac:dyDescent="0.3">
      <c r="B64" s="107" t="s">
        <v>176</v>
      </c>
      <c r="C64" s="119">
        <f>C45-C26</f>
        <v>583.28</v>
      </c>
      <c r="D64" s="119">
        <f t="shared" ref="D64:E64" si="2">D45-D26</f>
        <v>549.02</v>
      </c>
      <c r="E64" s="119">
        <f t="shared" si="2"/>
        <v>566.15000000000009</v>
      </c>
    </row>
    <row r="66" spans="2:5" x14ac:dyDescent="0.3">
      <c r="B66" s="107" t="s">
        <v>178</v>
      </c>
      <c r="C66" s="60">
        <f>C45/(C45+C52)</f>
        <v>0.53723247374427763</v>
      </c>
      <c r="D66" s="60">
        <f t="shared" ref="D66:E66" si="3">D45/(D45+D52)</f>
        <v>0.58720863849152627</v>
      </c>
      <c r="E66" s="60">
        <f t="shared" si="3"/>
        <v>0.5642757740072436</v>
      </c>
    </row>
  </sheetData>
  <hyperlinks>
    <hyperlink ref="A1" location="Homepage!A1" display="H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68"/>
  <sheetViews>
    <sheetView showGridLines="0" workbookViewId="0">
      <selection activeCell="B11" sqref="B11"/>
    </sheetView>
  </sheetViews>
  <sheetFormatPr baseColWidth="10" defaultRowHeight="14.4" x14ac:dyDescent="0.3"/>
  <cols>
    <col min="1" max="1" width="6.77734375" customWidth="1"/>
    <col min="2" max="2" width="35.77734375" customWidth="1"/>
    <col min="3" max="6" width="15.77734375" customWidth="1"/>
    <col min="7" max="7" width="20.44140625" customWidth="1"/>
    <col min="8" max="9" width="15.77734375" customWidth="1"/>
  </cols>
  <sheetData>
    <row r="1" spans="1:10" ht="18" x14ac:dyDescent="0.3">
      <c r="A1" s="153" t="s">
        <v>248</v>
      </c>
      <c r="B1" s="23" t="s">
        <v>56</v>
      </c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27"/>
      <c r="C2" s="25"/>
      <c r="D2" s="25"/>
      <c r="E2" s="20"/>
      <c r="F2" s="20"/>
      <c r="G2" s="20"/>
      <c r="H2" s="20"/>
      <c r="I2" s="2"/>
    </row>
    <row r="3" spans="1:10" ht="18" x14ac:dyDescent="0.3">
      <c r="A3" s="21"/>
      <c r="B3" s="29" t="s">
        <v>43</v>
      </c>
      <c r="C3" s="31" t="s">
        <v>32</v>
      </c>
      <c r="D3" s="33" t="s">
        <v>57</v>
      </c>
      <c r="E3" s="31" t="s">
        <v>33</v>
      </c>
      <c r="F3" s="33" t="s">
        <v>58</v>
      </c>
      <c r="G3" s="38" t="s">
        <v>34</v>
      </c>
      <c r="H3" s="31" t="s">
        <v>35</v>
      </c>
      <c r="I3" s="32" t="s">
        <v>36</v>
      </c>
    </row>
    <row r="4" spans="1:10" x14ac:dyDescent="0.3">
      <c r="A4" s="28"/>
      <c r="B4" s="28" t="s">
        <v>37</v>
      </c>
      <c r="C4" s="35">
        <v>1804.9</v>
      </c>
      <c r="D4" s="35">
        <v>415.36</v>
      </c>
      <c r="E4" s="35">
        <v>1707.4</v>
      </c>
      <c r="F4" s="35">
        <v>432.57</v>
      </c>
      <c r="G4" s="39">
        <f>E4+F4-D4</f>
        <v>1724.6100000000001</v>
      </c>
      <c r="H4" s="35">
        <v>1754.9</v>
      </c>
      <c r="I4" s="35">
        <v>1864.6</v>
      </c>
    </row>
    <row r="5" spans="1:10" x14ac:dyDescent="0.3">
      <c r="A5" s="28"/>
      <c r="B5" s="34" t="s">
        <v>44</v>
      </c>
      <c r="C5" s="36">
        <v>1804.9</v>
      </c>
      <c r="D5" s="36">
        <v>415.36</v>
      </c>
      <c r="E5" s="36">
        <v>1707.4</v>
      </c>
      <c r="F5" s="36">
        <v>432.57</v>
      </c>
      <c r="G5" s="41">
        <f t="shared" ref="G5:G22" si="0">E5+F5-D5</f>
        <v>1724.6100000000001</v>
      </c>
      <c r="H5" s="36">
        <v>1754.9</v>
      </c>
      <c r="I5" s="36">
        <v>1864.6</v>
      </c>
    </row>
    <row r="6" spans="1:10" x14ac:dyDescent="0.3">
      <c r="A6" s="28"/>
      <c r="B6" s="28" t="s">
        <v>45</v>
      </c>
      <c r="C6" s="35">
        <v>709.47</v>
      </c>
      <c r="D6" s="35">
        <v>160.91</v>
      </c>
      <c r="E6" s="35">
        <v>671.39</v>
      </c>
      <c r="F6" s="35">
        <v>170.08</v>
      </c>
      <c r="G6" s="39">
        <f t="shared" si="0"/>
        <v>680.56000000000006</v>
      </c>
      <c r="H6" s="35"/>
      <c r="I6" s="35"/>
    </row>
    <row r="7" spans="1:10" x14ac:dyDescent="0.3">
      <c r="A7" s="28"/>
      <c r="B7" s="34" t="s">
        <v>46</v>
      </c>
      <c r="C7" s="36">
        <f>C5-C6</f>
        <v>1095.43</v>
      </c>
      <c r="D7" s="36">
        <v>254.45</v>
      </c>
      <c r="E7" s="36">
        <f>E5-E6</f>
        <v>1036.0100000000002</v>
      </c>
      <c r="F7" s="36">
        <v>262.49</v>
      </c>
      <c r="G7" s="41">
        <f>E7+F7-D7</f>
        <v>1044.0500000000002</v>
      </c>
      <c r="H7" s="36"/>
      <c r="I7" s="36"/>
    </row>
    <row r="8" spans="1:10" x14ac:dyDescent="0.3">
      <c r="A8" s="28"/>
      <c r="B8" s="28" t="s">
        <v>47</v>
      </c>
      <c r="C8" s="35">
        <v>907.89</v>
      </c>
      <c r="D8" s="35">
        <v>218.75</v>
      </c>
      <c r="E8" s="35">
        <v>916.4</v>
      </c>
      <c r="F8" s="35">
        <v>240.36</v>
      </c>
      <c r="G8" s="39">
        <f t="shared" si="0"/>
        <v>938.01</v>
      </c>
      <c r="H8" s="35"/>
      <c r="I8" s="35"/>
    </row>
    <row r="9" spans="1:10" x14ac:dyDescent="0.3">
      <c r="A9" s="28"/>
      <c r="B9" s="28" t="s">
        <v>48</v>
      </c>
      <c r="C9" s="35">
        <v>90.85</v>
      </c>
      <c r="D9" s="35">
        <v>23.06</v>
      </c>
      <c r="E9" s="35">
        <v>94.34</v>
      </c>
      <c r="F9" s="35">
        <v>25.8</v>
      </c>
      <c r="G9" s="39">
        <f t="shared" si="0"/>
        <v>97.08</v>
      </c>
      <c r="H9" s="35"/>
      <c r="I9" s="49"/>
    </row>
    <row r="10" spans="1:10" x14ac:dyDescent="0.3">
      <c r="A10" s="28"/>
      <c r="B10" s="28" t="s">
        <v>60</v>
      </c>
      <c r="C10" s="35">
        <v>27.35</v>
      </c>
      <c r="D10" s="35">
        <v>0</v>
      </c>
      <c r="E10" s="35">
        <v>-0.83099999999999996</v>
      </c>
      <c r="F10" s="35">
        <v>0</v>
      </c>
      <c r="G10" s="39">
        <f t="shared" si="0"/>
        <v>-0.83099999999999996</v>
      </c>
      <c r="H10" s="35"/>
      <c r="I10" s="35"/>
    </row>
    <row r="11" spans="1:10" x14ac:dyDescent="0.3">
      <c r="A11" s="28"/>
      <c r="B11" s="34" t="s">
        <v>69</v>
      </c>
      <c r="C11" s="36">
        <v>69.349999999999994</v>
      </c>
      <c r="D11" s="36">
        <v>12.64</v>
      </c>
      <c r="E11" s="36">
        <v>26.07</v>
      </c>
      <c r="F11" s="36">
        <v>-3.67</v>
      </c>
      <c r="G11" s="41">
        <f t="shared" si="0"/>
        <v>9.759999999999998</v>
      </c>
      <c r="H11" s="36">
        <v>12.38</v>
      </c>
      <c r="I11" s="36">
        <v>52.33</v>
      </c>
    </row>
    <row r="12" spans="1:10" x14ac:dyDescent="0.3">
      <c r="A12" s="28"/>
      <c r="B12" s="34" t="s">
        <v>38</v>
      </c>
      <c r="C12" s="36">
        <f>C11+C9</f>
        <v>160.19999999999999</v>
      </c>
      <c r="D12" s="36">
        <f>D11+D9</f>
        <v>35.700000000000003</v>
      </c>
      <c r="E12" s="36">
        <f>E11+E9</f>
        <v>120.41</v>
      </c>
      <c r="F12" s="36">
        <f>F11+F9</f>
        <v>22.130000000000003</v>
      </c>
      <c r="G12" s="41">
        <f t="shared" si="0"/>
        <v>106.83999999999999</v>
      </c>
      <c r="H12" s="36">
        <v>113.49</v>
      </c>
      <c r="I12" s="36">
        <v>153.76</v>
      </c>
    </row>
    <row r="13" spans="1:10" x14ac:dyDescent="0.3">
      <c r="A13" s="28"/>
      <c r="B13" s="28" t="s">
        <v>50</v>
      </c>
      <c r="C13" s="35">
        <v>-35.25</v>
      </c>
      <c r="D13" s="35">
        <v>-5.69</v>
      </c>
      <c r="E13" s="35">
        <v>-28.7</v>
      </c>
      <c r="F13" s="35">
        <v>-5.42</v>
      </c>
      <c r="G13" s="39">
        <f t="shared" si="0"/>
        <v>-28.429999999999996</v>
      </c>
      <c r="H13" s="35"/>
      <c r="I13" s="35"/>
    </row>
    <row r="14" spans="1:10" x14ac:dyDescent="0.3">
      <c r="A14" s="28"/>
      <c r="B14" s="28" t="s">
        <v>51</v>
      </c>
      <c r="C14" s="35">
        <v>-0.13600000000000001</v>
      </c>
      <c r="D14" s="35">
        <v>-2.5999999999999999E-2</v>
      </c>
      <c r="E14" s="35">
        <v>-2.5999999999999999E-2</v>
      </c>
      <c r="F14" s="35">
        <v>-2</v>
      </c>
      <c r="G14" s="39">
        <f t="shared" si="0"/>
        <v>-1.9999999999999998</v>
      </c>
      <c r="H14" s="35"/>
      <c r="I14" s="35"/>
    </row>
    <row r="15" spans="1:10" x14ac:dyDescent="0.3">
      <c r="A15" s="28"/>
      <c r="B15" s="34" t="s">
        <v>59</v>
      </c>
      <c r="C15" s="36">
        <v>33.97</v>
      </c>
      <c r="D15" s="36">
        <v>6.92</v>
      </c>
      <c r="E15" s="36">
        <v>-2.65</v>
      </c>
      <c r="F15" s="36">
        <v>-11.09</v>
      </c>
      <c r="G15" s="41">
        <f t="shared" si="0"/>
        <v>-20.66</v>
      </c>
      <c r="H15" s="36">
        <v>-8.5</v>
      </c>
      <c r="I15" s="36">
        <v>30.9</v>
      </c>
    </row>
    <row r="16" spans="1:10" x14ac:dyDescent="0.3">
      <c r="A16" s="28"/>
      <c r="B16" s="28" t="s">
        <v>52</v>
      </c>
      <c r="C16" s="35">
        <v>7.86</v>
      </c>
      <c r="D16" s="35">
        <v>1.9</v>
      </c>
      <c r="E16" s="35">
        <v>0.38900000000000001</v>
      </c>
      <c r="F16" s="35">
        <v>-1.86</v>
      </c>
      <c r="G16" s="39">
        <f t="shared" si="0"/>
        <v>-3.371</v>
      </c>
      <c r="H16" s="45"/>
      <c r="I16" s="35"/>
    </row>
    <row r="17" spans="1:11" x14ac:dyDescent="0.3">
      <c r="A17" s="28"/>
      <c r="B17" s="34" t="s">
        <v>53</v>
      </c>
      <c r="C17" s="36">
        <v>26.11</v>
      </c>
      <c r="D17" s="36">
        <v>5.0199999999999996</v>
      </c>
      <c r="E17" s="36">
        <v>-3.04</v>
      </c>
      <c r="F17" s="36">
        <v>-9.23</v>
      </c>
      <c r="G17" s="41">
        <f t="shared" si="0"/>
        <v>-17.29</v>
      </c>
      <c r="H17" s="36"/>
      <c r="I17" s="36"/>
    </row>
    <row r="18" spans="1:11" x14ac:dyDescent="0.3">
      <c r="A18" s="28"/>
      <c r="B18" s="48"/>
      <c r="G18" s="39"/>
    </row>
    <row r="19" spans="1:11" x14ac:dyDescent="0.3">
      <c r="B19" s="28" t="s">
        <v>61</v>
      </c>
      <c r="C19" s="35">
        <v>-1.21</v>
      </c>
      <c r="D19" s="35">
        <v>-0.29799999999999999</v>
      </c>
      <c r="E19" s="35">
        <v>-0.60399999999999998</v>
      </c>
      <c r="F19" s="35">
        <v>1.6E-2</v>
      </c>
      <c r="G19" s="39">
        <f t="shared" si="0"/>
        <v>-0.28999999999999998</v>
      </c>
      <c r="H19" s="35"/>
      <c r="I19" s="35"/>
    </row>
    <row r="20" spans="1:11" x14ac:dyDescent="0.3">
      <c r="B20" s="34" t="s">
        <v>54</v>
      </c>
      <c r="C20" s="36">
        <v>24.9</v>
      </c>
      <c r="D20" s="36">
        <v>4.72</v>
      </c>
      <c r="E20" s="36">
        <v>-3.65</v>
      </c>
      <c r="F20" s="36">
        <v>-9.2200000000000006</v>
      </c>
      <c r="G20" s="41">
        <f t="shared" si="0"/>
        <v>-17.59</v>
      </c>
      <c r="H20" s="36"/>
      <c r="I20" s="36"/>
    </row>
    <row r="21" spans="1:11" x14ac:dyDescent="0.3">
      <c r="B21" s="28" t="s">
        <v>55</v>
      </c>
      <c r="C21" s="35">
        <v>0</v>
      </c>
      <c r="D21" s="35">
        <v>0</v>
      </c>
      <c r="E21" s="35">
        <v>0</v>
      </c>
      <c r="F21" s="35">
        <v>0</v>
      </c>
      <c r="G21" s="39">
        <f t="shared" si="0"/>
        <v>0</v>
      </c>
      <c r="H21" s="35"/>
      <c r="I21" s="35"/>
    </row>
    <row r="22" spans="1:11" x14ac:dyDescent="0.3">
      <c r="B22" s="34" t="s">
        <v>39</v>
      </c>
      <c r="C22" s="36">
        <v>24.9</v>
      </c>
      <c r="D22" s="36">
        <v>4.72</v>
      </c>
      <c r="E22" s="36">
        <v>-3.65</v>
      </c>
      <c r="F22" s="36">
        <v>-9.2200000000000006</v>
      </c>
      <c r="G22" s="41">
        <f t="shared" si="0"/>
        <v>-17.59</v>
      </c>
      <c r="H22" s="36">
        <v>-3.84</v>
      </c>
      <c r="I22" s="36">
        <v>23.04</v>
      </c>
    </row>
    <row r="23" spans="1:11" x14ac:dyDescent="0.3">
      <c r="B23" s="71"/>
    </row>
    <row r="24" spans="1:11" x14ac:dyDescent="0.3">
      <c r="B24" s="43" t="s">
        <v>87</v>
      </c>
    </row>
    <row r="26" spans="1:11" ht="16.2" thickBot="1" x14ac:dyDescent="0.35">
      <c r="B26" s="89" t="s">
        <v>93</v>
      </c>
      <c r="C26" s="3" t="s">
        <v>57</v>
      </c>
      <c r="D26" s="3" t="s">
        <v>58</v>
      </c>
      <c r="E26" s="3" t="s">
        <v>175</v>
      </c>
      <c r="G26" s="128" t="s">
        <v>179</v>
      </c>
      <c r="H26" s="3" t="s">
        <v>180</v>
      </c>
      <c r="I26" s="3" t="s">
        <v>33</v>
      </c>
      <c r="J26" s="3" t="s">
        <v>181</v>
      </c>
      <c r="K26" s="3" t="s">
        <v>34</v>
      </c>
    </row>
    <row r="27" spans="1:11" x14ac:dyDescent="0.3">
      <c r="B27" t="s">
        <v>94</v>
      </c>
      <c r="C27" s="90">
        <v>2.1</v>
      </c>
      <c r="D27" s="90">
        <v>5.63</v>
      </c>
      <c r="E27" s="90">
        <f>(C27+D27)/2</f>
        <v>3.8650000000000002</v>
      </c>
      <c r="G27" t="s">
        <v>182</v>
      </c>
      <c r="H27" s="6">
        <f>36604/1000</f>
        <v>36.603999999999999</v>
      </c>
      <c r="I27" s="6">
        <f>151751/1000</f>
        <v>151.751</v>
      </c>
      <c r="J27" s="6">
        <f>76761/1000</f>
        <v>76.760999999999996</v>
      </c>
      <c r="K27" s="6">
        <f>I27+J27-H27</f>
        <v>191.90800000000002</v>
      </c>
    </row>
    <row r="28" spans="1:11" x14ac:dyDescent="0.3">
      <c r="B28" s="107" t="s">
        <v>96</v>
      </c>
      <c r="C28" s="92">
        <v>2.1</v>
      </c>
      <c r="D28" s="92">
        <v>5.63</v>
      </c>
      <c r="E28" s="92">
        <f t="shared" ref="E28:E64" si="1">(C28+D28)/2</f>
        <v>3.8650000000000002</v>
      </c>
    </row>
    <row r="29" spans="1:11" x14ac:dyDescent="0.3">
      <c r="B29" t="s">
        <v>97</v>
      </c>
      <c r="C29" s="91">
        <v>205.18</v>
      </c>
      <c r="D29" s="91">
        <v>202.05</v>
      </c>
      <c r="E29" s="91">
        <f t="shared" si="1"/>
        <v>203.61500000000001</v>
      </c>
    </row>
    <row r="30" spans="1:11" x14ac:dyDescent="0.3">
      <c r="B30" t="s">
        <v>148</v>
      </c>
      <c r="C30" s="91">
        <v>7.55</v>
      </c>
      <c r="D30" s="91">
        <v>7.34</v>
      </c>
      <c r="E30" s="91">
        <f t="shared" si="1"/>
        <v>7.4450000000000003</v>
      </c>
    </row>
    <row r="31" spans="1:11" x14ac:dyDescent="0.3">
      <c r="B31" t="s">
        <v>98</v>
      </c>
      <c r="C31" s="91">
        <v>15.79</v>
      </c>
      <c r="D31" s="91">
        <v>17.11</v>
      </c>
      <c r="E31" s="91">
        <f t="shared" si="1"/>
        <v>16.45</v>
      </c>
    </row>
    <row r="32" spans="1:11" x14ac:dyDescent="0.3">
      <c r="B32" t="s">
        <v>99</v>
      </c>
      <c r="C32" s="91">
        <v>23.95</v>
      </c>
      <c r="D32" s="91">
        <v>31.52</v>
      </c>
      <c r="E32" s="91">
        <f t="shared" si="1"/>
        <v>27.734999999999999</v>
      </c>
    </row>
    <row r="33" spans="2:5" x14ac:dyDescent="0.3">
      <c r="B33" s="107" t="s">
        <v>100</v>
      </c>
      <c r="C33" s="92">
        <v>254.57</v>
      </c>
      <c r="D33" s="92">
        <v>263.64</v>
      </c>
      <c r="E33" s="92">
        <f t="shared" si="1"/>
        <v>259.10500000000002</v>
      </c>
    </row>
    <row r="34" spans="2:5" x14ac:dyDescent="0.3">
      <c r="B34" t="s">
        <v>101</v>
      </c>
      <c r="C34" s="91">
        <v>705.87</v>
      </c>
      <c r="D34" s="91">
        <v>814.53</v>
      </c>
      <c r="E34" s="91">
        <f t="shared" si="1"/>
        <v>760.2</v>
      </c>
    </row>
    <row r="35" spans="2:5" x14ac:dyDescent="0.3">
      <c r="B35" t="s">
        <v>102</v>
      </c>
      <c r="C35" s="91">
        <v>57.71</v>
      </c>
      <c r="D35" s="91">
        <v>57.71</v>
      </c>
      <c r="E35" s="91">
        <f t="shared" si="1"/>
        <v>57.71</v>
      </c>
    </row>
    <row r="36" spans="2:5" x14ac:dyDescent="0.3">
      <c r="B36" t="s">
        <v>103</v>
      </c>
      <c r="C36" s="91">
        <v>28.49</v>
      </c>
      <c r="D36" s="91">
        <v>26.79</v>
      </c>
      <c r="E36" s="91">
        <f t="shared" si="1"/>
        <v>27.64</v>
      </c>
    </row>
    <row r="37" spans="2:5" x14ac:dyDescent="0.3">
      <c r="B37" t="s">
        <v>104</v>
      </c>
      <c r="C37" s="91">
        <v>24.86</v>
      </c>
      <c r="D37" s="91">
        <v>30.87</v>
      </c>
      <c r="E37" s="91">
        <f t="shared" si="1"/>
        <v>27.865000000000002</v>
      </c>
    </row>
    <row r="38" spans="2:5" x14ac:dyDescent="0.3">
      <c r="B38" s="107" t="s">
        <v>105</v>
      </c>
      <c r="C38" s="92">
        <v>1070</v>
      </c>
      <c r="D38" s="92">
        <v>1190</v>
      </c>
      <c r="E38" s="92">
        <f t="shared" si="1"/>
        <v>1130</v>
      </c>
    </row>
    <row r="39" spans="2:5" x14ac:dyDescent="0.3">
      <c r="C39" s="1"/>
      <c r="D39" s="1"/>
      <c r="E39" s="1"/>
    </row>
    <row r="40" spans="2:5" x14ac:dyDescent="0.3">
      <c r="B40" t="s">
        <v>106</v>
      </c>
      <c r="C40" s="90">
        <v>63.37</v>
      </c>
      <c r="D40" s="90">
        <v>79.010000000000005</v>
      </c>
      <c r="E40" s="90">
        <f t="shared" si="1"/>
        <v>71.19</v>
      </c>
    </row>
    <row r="41" spans="2:5" x14ac:dyDescent="0.3">
      <c r="B41" t="s">
        <v>107</v>
      </c>
      <c r="C41" s="91">
        <v>132.44999999999999</v>
      </c>
      <c r="D41" s="91">
        <v>149.13999999999999</v>
      </c>
      <c r="E41" s="91">
        <f t="shared" si="1"/>
        <v>140.79499999999999</v>
      </c>
    </row>
    <row r="42" spans="2:5" x14ac:dyDescent="0.3">
      <c r="B42" t="s">
        <v>149</v>
      </c>
      <c r="C42" s="91">
        <v>5.23</v>
      </c>
      <c r="D42" s="91">
        <v>3.69</v>
      </c>
      <c r="E42" s="91">
        <f t="shared" si="1"/>
        <v>4.46</v>
      </c>
    </row>
    <row r="43" spans="2:5" x14ac:dyDescent="0.3">
      <c r="B43" t="s">
        <v>108</v>
      </c>
      <c r="C43" s="91">
        <v>95.12</v>
      </c>
      <c r="D43" s="91">
        <v>81.7</v>
      </c>
      <c r="E43" s="91">
        <f t="shared" si="1"/>
        <v>88.41</v>
      </c>
    </row>
    <row r="44" spans="2:5" x14ac:dyDescent="0.3">
      <c r="B44" s="107" t="s">
        <v>110</v>
      </c>
      <c r="C44" s="92">
        <v>296.17</v>
      </c>
      <c r="D44" s="92">
        <v>313.54000000000002</v>
      </c>
      <c r="E44" s="92">
        <f t="shared" si="1"/>
        <v>304.85500000000002</v>
      </c>
    </row>
    <row r="45" spans="2:5" x14ac:dyDescent="0.3">
      <c r="B45" t="s">
        <v>111</v>
      </c>
      <c r="C45" s="91">
        <v>312.79000000000002</v>
      </c>
      <c r="D45" s="91">
        <v>362.4</v>
      </c>
      <c r="E45" s="91">
        <f t="shared" si="1"/>
        <v>337.59500000000003</v>
      </c>
    </row>
    <row r="46" spans="2:5" x14ac:dyDescent="0.3">
      <c r="B46" t="s">
        <v>112</v>
      </c>
      <c r="C46" s="91">
        <v>21.39</v>
      </c>
      <c r="D46" s="91">
        <v>18.809999999999999</v>
      </c>
      <c r="E46" s="91">
        <f t="shared" si="1"/>
        <v>20.100000000000001</v>
      </c>
    </row>
    <row r="47" spans="2:5" x14ac:dyDescent="0.3">
      <c r="B47" t="s">
        <v>61</v>
      </c>
      <c r="C47" s="91">
        <v>3.79</v>
      </c>
      <c r="D47" s="91">
        <v>0.61199999999999999</v>
      </c>
      <c r="E47" s="91">
        <f t="shared" si="1"/>
        <v>2.2010000000000001</v>
      </c>
    </row>
    <row r="48" spans="2:5" x14ac:dyDescent="0.3">
      <c r="B48" t="s">
        <v>113</v>
      </c>
      <c r="C48" s="91">
        <v>196.93</v>
      </c>
      <c r="D48" s="91">
        <v>276.01</v>
      </c>
      <c r="E48" s="91">
        <f t="shared" si="1"/>
        <v>236.47</v>
      </c>
    </row>
    <row r="49" spans="2:5" x14ac:dyDescent="0.3">
      <c r="B49" s="107" t="s">
        <v>114</v>
      </c>
      <c r="C49" s="92">
        <v>831.06</v>
      </c>
      <c r="D49" s="92">
        <v>971.37</v>
      </c>
      <c r="E49" s="92">
        <f t="shared" si="1"/>
        <v>901.21499999999992</v>
      </c>
    </row>
    <row r="50" spans="2:5" x14ac:dyDescent="0.3">
      <c r="C50" s="1"/>
      <c r="D50" s="1"/>
      <c r="E50" s="1"/>
    </row>
    <row r="51" spans="2:5" x14ac:dyDescent="0.3">
      <c r="B51" t="s">
        <v>115</v>
      </c>
      <c r="C51" s="90">
        <v>0.48499999999999999</v>
      </c>
      <c r="D51" s="90">
        <v>0.49299999999999999</v>
      </c>
      <c r="E51" s="90">
        <f t="shared" si="1"/>
        <v>0.48899999999999999</v>
      </c>
    </row>
    <row r="52" spans="2:5" x14ac:dyDescent="0.3">
      <c r="B52" t="s">
        <v>116</v>
      </c>
      <c r="C52" s="91">
        <v>252.56</v>
      </c>
      <c r="D52" s="91">
        <v>251.86</v>
      </c>
      <c r="E52" s="91">
        <f t="shared" si="1"/>
        <v>252.21</v>
      </c>
    </row>
    <row r="53" spans="2:5" x14ac:dyDescent="0.3">
      <c r="B53" t="s">
        <v>117</v>
      </c>
      <c r="C53" s="91">
        <v>-12.61</v>
      </c>
      <c r="D53" s="91">
        <v>-30.2</v>
      </c>
      <c r="E53" s="91">
        <f t="shared" si="1"/>
        <v>-21.405000000000001</v>
      </c>
    </row>
    <row r="54" spans="2:5" x14ac:dyDescent="0.3">
      <c r="B54" s="107" t="s">
        <v>121</v>
      </c>
      <c r="C54" s="92">
        <v>240.43</v>
      </c>
      <c r="D54" s="92">
        <v>222.16</v>
      </c>
      <c r="E54" s="92">
        <f t="shared" si="1"/>
        <v>231.29500000000002</v>
      </c>
    </row>
    <row r="55" spans="2:5" x14ac:dyDescent="0.3">
      <c r="B55" s="107" t="s">
        <v>122</v>
      </c>
      <c r="C55" s="92">
        <v>1070</v>
      </c>
      <c r="D55" s="92">
        <v>1190</v>
      </c>
      <c r="E55" s="92">
        <f t="shared" si="1"/>
        <v>1130</v>
      </c>
    </row>
    <row r="56" spans="2:5" x14ac:dyDescent="0.3">
      <c r="C56" s="1"/>
      <c r="D56" s="1"/>
      <c r="E56" s="91"/>
    </row>
    <row r="57" spans="2:5" x14ac:dyDescent="0.3">
      <c r="B57" t="s">
        <v>123</v>
      </c>
      <c r="C57" s="91">
        <v>48.35</v>
      </c>
      <c r="D57" s="91">
        <v>49</v>
      </c>
      <c r="E57" s="91">
        <f t="shared" si="1"/>
        <v>48.674999999999997</v>
      </c>
    </row>
    <row r="58" spans="2:5" x14ac:dyDescent="0.3">
      <c r="B58" t="s">
        <v>124</v>
      </c>
      <c r="C58" s="91">
        <v>3.19</v>
      </c>
      <c r="D58" s="91">
        <v>2.81</v>
      </c>
      <c r="E58" s="91">
        <f t="shared" si="1"/>
        <v>3</v>
      </c>
    </row>
    <row r="59" spans="2:5" x14ac:dyDescent="0.3">
      <c r="C59" s="91"/>
      <c r="D59" s="91"/>
      <c r="E59" s="91"/>
    </row>
    <row r="60" spans="2:5" x14ac:dyDescent="0.3">
      <c r="B60" t="s">
        <v>125</v>
      </c>
      <c r="C60" s="91">
        <v>185.71</v>
      </c>
      <c r="D60" s="91">
        <v>186.01</v>
      </c>
      <c r="E60" s="91">
        <f t="shared" si="1"/>
        <v>185.86</v>
      </c>
    </row>
    <row r="61" spans="2:5" x14ac:dyDescent="0.3">
      <c r="B61" t="s">
        <v>126</v>
      </c>
      <c r="C61" s="91">
        <v>904.21</v>
      </c>
      <c r="D61" s="91">
        <v>934.87</v>
      </c>
      <c r="E61" s="91">
        <f t="shared" si="1"/>
        <v>919.54</v>
      </c>
    </row>
    <row r="62" spans="2:5" x14ac:dyDescent="0.3">
      <c r="B62" t="s">
        <v>127</v>
      </c>
      <c r="C62" s="91">
        <v>-385.28</v>
      </c>
      <c r="D62" s="91">
        <v>-400.45</v>
      </c>
      <c r="E62" s="91">
        <f t="shared" si="1"/>
        <v>-392.86500000000001</v>
      </c>
    </row>
    <row r="63" spans="2:5" x14ac:dyDescent="0.3">
      <c r="B63" t="s">
        <v>128</v>
      </c>
      <c r="C63" s="91">
        <v>312.79000000000002</v>
      </c>
      <c r="D63" s="91">
        <v>362.4</v>
      </c>
      <c r="E63" s="91">
        <f t="shared" si="1"/>
        <v>337.59500000000003</v>
      </c>
    </row>
    <row r="64" spans="2:5" x14ac:dyDescent="0.3">
      <c r="B64" t="s">
        <v>30</v>
      </c>
      <c r="C64" s="91">
        <v>413.14</v>
      </c>
      <c r="D64" s="91">
        <v>447.79</v>
      </c>
      <c r="E64" s="91">
        <f t="shared" si="1"/>
        <v>430.46500000000003</v>
      </c>
    </row>
    <row r="66" spans="2:5" x14ac:dyDescent="0.3">
      <c r="B66" s="107" t="s">
        <v>176</v>
      </c>
      <c r="C66" s="119">
        <f>C49-C28</f>
        <v>828.95999999999992</v>
      </c>
      <c r="D66" s="119">
        <f t="shared" ref="D66:E66" si="2">D49-D28</f>
        <v>965.74</v>
      </c>
      <c r="E66" s="119">
        <f t="shared" si="2"/>
        <v>897.34999999999991</v>
      </c>
    </row>
    <row r="68" spans="2:5" x14ac:dyDescent="0.3">
      <c r="B68" s="107" t="s">
        <v>178</v>
      </c>
      <c r="C68" s="60">
        <f>C49/(C49+C54)</f>
        <v>0.77561153160552121</v>
      </c>
      <c r="D68" s="60">
        <f t="shared" ref="D68:E68" si="3">D49/(D49+D54)</f>
        <v>0.81386307843120831</v>
      </c>
      <c r="E68" s="60">
        <f t="shared" si="3"/>
        <v>0.79576780778977663</v>
      </c>
    </row>
  </sheetData>
  <hyperlinks>
    <hyperlink ref="A1" location="Homepage!A1" display="H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66"/>
  <sheetViews>
    <sheetView showGridLines="0" workbookViewId="0">
      <selection activeCell="B12" sqref="B12"/>
    </sheetView>
  </sheetViews>
  <sheetFormatPr baseColWidth="10" defaultRowHeight="14.4" x14ac:dyDescent="0.3"/>
  <cols>
    <col min="1" max="1" width="6" customWidth="1"/>
    <col min="2" max="2" width="37.6640625" customWidth="1"/>
    <col min="3" max="6" width="16.44140625" customWidth="1"/>
    <col min="7" max="7" width="20.33203125" customWidth="1"/>
    <col min="8" max="9" width="16.44140625" customWidth="1"/>
  </cols>
  <sheetData>
    <row r="1" spans="1:10" ht="18" x14ac:dyDescent="0.3">
      <c r="A1" s="153" t="s">
        <v>248</v>
      </c>
      <c r="B1" s="23" t="s">
        <v>56</v>
      </c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24"/>
      <c r="C2" s="25"/>
      <c r="D2" s="25"/>
      <c r="E2" s="20"/>
      <c r="F2" s="20"/>
      <c r="G2" s="20"/>
      <c r="H2" s="20"/>
      <c r="I2" s="2"/>
    </row>
    <row r="3" spans="1:10" ht="18" x14ac:dyDescent="0.3">
      <c r="A3" s="1"/>
      <c r="B3" s="26" t="s">
        <v>62</v>
      </c>
      <c r="C3" s="30" t="s">
        <v>32</v>
      </c>
      <c r="D3" s="33" t="s">
        <v>57</v>
      </c>
      <c r="E3" s="31" t="s">
        <v>33</v>
      </c>
      <c r="F3" s="33" t="s">
        <v>58</v>
      </c>
      <c r="G3" s="38" t="s">
        <v>34</v>
      </c>
      <c r="H3" s="31" t="s">
        <v>35</v>
      </c>
      <c r="I3" s="32" t="s">
        <v>36</v>
      </c>
    </row>
    <row r="4" spans="1:10" x14ac:dyDescent="0.3">
      <c r="A4" s="28"/>
      <c r="B4" s="28" t="s">
        <v>37</v>
      </c>
      <c r="C4" s="35">
        <v>885.46</v>
      </c>
      <c r="D4" s="35">
        <v>219.18</v>
      </c>
      <c r="E4" s="35">
        <v>894.53</v>
      </c>
      <c r="F4" s="35">
        <v>213.55</v>
      </c>
      <c r="G4" s="39">
        <f>E4+F4-D4</f>
        <v>888.89999999999986</v>
      </c>
      <c r="H4" s="35">
        <v>789.15</v>
      </c>
      <c r="I4" s="35">
        <v>793.5</v>
      </c>
    </row>
    <row r="5" spans="1:10" x14ac:dyDescent="0.3">
      <c r="A5" s="28"/>
      <c r="B5" s="34" t="s">
        <v>44</v>
      </c>
      <c r="C5" s="36">
        <v>885.46</v>
      </c>
      <c r="D5" s="36">
        <v>219.18</v>
      </c>
      <c r="E5" s="36">
        <v>894.53</v>
      </c>
      <c r="F5" s="36">
        <v>213.55</v>
      </c>
      <c r="G5" s="41">
        <f t="shared" ref="G5:G16" si="0">E5+F5-D5</f>
        <v>888.89999999999986</v>
      </c>
      <c r="H5" s="36">
        <v>789.15</v>
      </c>
      <c r="I5" s="36">
        <v>793.5</v>
      </c>
    </row>
    <row r="6" spans="1:10" x14ac:dyDescent="0.3">
      <c r="A6" s="28"/>
      <c r="B6" s="28" t="s">
        <v>45</v>
      </c>
      <c r="C6" s="35">
        <v>304.91000000000003</v>
      </c>
      <c r="D6" s="35">
        <v>76.5</v>
      </c>
      <c r="E6" s="35">
        <v>319.95999999999998</v>
      </c>
      <c r="F6" s="35">
        <v>71.33</v>
      </c>
      <c r="G6" s="39">
        <f t="shared" si="0"/>
        <v>314.78999999999996</v>
      </c>
      <c r="H6" s="35"/>
      <c r="I6" s="35"/>
    </row>
    <row r="7" spans="1:10" x14ac:dyDescent="0.3">
      <c r="A7" s="28"/>
      <c r="B7" s="34" t="s">
        <v>46</v>
      </c>
      <c r="C7" s="36">
        <v>580.54999999999995</v>
      </c>
      <c r="D7" s="36">
        <v>142.68</v>
      </c>
      <c r="E7" s="36">
        <v>574.57000000000005</v>
      </c>
      <c r="F7" s="36">
        <v>142.22999999999999</v>
      </c>
      <c r="G7" s="41">
        <f t="shared" si="0"/>
        <v>574.12000000000012</v>
      </c>
      <c r="H7" s="36"/>
      <c r="I7" s="36"/>
    </row>
    <row r="8" spans="1:10" x14ac:dyDescent="0.3">
      <c r="A8" s="28"/>
      <c r="B8" s="28" t="s">
        <v>47</v>
      </c>
      <c r="C8" s="35">
        <v>445.4</v>
      </c>
      <c r="D8" s="35">
        <v>117.54</v>
      </c>
      <c r="E8" s="35">
        <v>479.65</v>
      </c>
      <c r="F8" s="35">
        <v>124.86</v>
      </c>
      <c r="G8" s="39">
        <f>E8+F8-D8</f>
        <v>486.96999999999997</v>
      </c>
      <c r="H8" s="35"/>
      <c r="I8" s="35"/>
    </row>
    <row r="9" spans="1:10" x14ac:dyDescent="0.3">
      <c r="A9" s="28"/>
      <c r="B9" s="28" t="s">
        <v>48</v>
      </c>
      <c r="C9" s="35">
        <v>75.86</v>
      </c>
      <c r="D9" s="35">
        <v>19.850000000000001</v>
      </c>
      <c r="E9" s="35">
        <v>77.180000000000007</v>
      </c>
      <c r="F9" s="35">
        <v>18.190000000000001</v>
      </c>
      <c r="G9" s="39">
        <f t="shared" si="0"/>
        <v>75.52000000000001</v>
      </c>
      <c r="H9" s="35"/>
      <c r="I9" s="35"/>
    </row>
    <row r="10" spans="1:10" x14ac:dyDescent="0.3">
      <c r="A10" s="28"/>
      <c r="B10" s="28" t="s">
        <v>60</v>
      </c>
      <c r="C10" s="35">
        <v>0.29699999999999999</v>
      </c>
      <c r="D10" s="35">
        <v>-0.14299999999999999</v>
      </c>
      <c r="E10" s="35">
        <v>1.7</v>
      </c>
      <c r="F10" s="35">
        <v>-1.52</v>
      </c>
      <c r="G10" s="39">
        <f t="shared" si="0"/>
        <v>0.32299999999999995</v>
      </c>
      <c r="H10" s="35"/>
      <c r="I10" s="35"/>
    </row>
    <row r="11" spans="1:10" x14ac:dyDescent="0.3">
      <c r="A11" s="28"/>
      <c r="B11" s="34" t="s">
        <v>69</v>
      </c>
      <c r="C11" s="36">
        <v>58.99</v>
      </c>
      <c r="D11" s="36">
        <v>5.43</v>
      </c>
      <c r="E11" s="36">
        <v>16.03</v>
      </c>
      <c r="F11" s="36">
        <v>0.70799999999999996</v>
      </c>
      <c r="G11" s="41">
        <f t="shared" si="0"/>
        <v>11.308</v>
      </c>
      <c r="H11" s="36">
        <v>16.8</v>
      </c>
      <c r="I11" s="36">
        <v>33</v>
      </c>
    </row>
    <row r="12" spans="1:10" x14ac:dyDescent="0.3">
      <c r="A12" s="28"/>
      <c r="B12" s="34" t="s">
        <v>38</v>
      </c>
      <c r="C12" s="36">
        <f>C11+C9</f>
        <v>134.85</v>
      </c>
      <c r="D12" s="36">
        <f>D11+D9</f>
        <v>25.28</v>
      </c>
      <c r="E12" s="36">
        <f>E11+E9</f>
        <v>93.210000000000008</v>
      </c>
      <c r="F12" s="36">
        <f>F11+F9</f>
        <v>18.898</v>
      </c>
      <c r="G12" s="41">
        <f t="shared" si="0"/>
        <v>86.828000000000003</v>
      </c>
      <c r="H12" s="36">
        <v>76.95</v>
      </c>
      <c r="I12" s="36">
        <v>96.83</v>
      </c>
    </row>
    <row r="13" spans="1:10" x14ac:dyDescent="0.3">
      <c r="A13" s="28"/>
      <c r="B13" s="28" t="s">
        <v>50</v>
      </c>
      <c r="C13" s="50">
        <v>-0.97599999999999998</v>
      </c>
      <c r="D13" s="50">
        <v>0.58899999999999997</v>
      </c>
      <c r="E13" s="50">
        <v>-4.09</v>
      </c>
      <c r="F13" s="50">
        <v>-3.63</v>
      </c>
      <c r="G13" s="39">
        <f t="shared" si="0"/>
        <v>-8.3089999999999993</v>
      </c>
      <c r="H13" s="50"/>
      <c r="I13" s="50"/>
    </row>
    <row r="14" spans="1:10" x14ac:dyDescent="0.3">
      <c r="A14" s="28"/>
      <c r="B14" s="34" t="s">
        <v>59</v>
      </c>
      <c r="C14" s="36">
        <v>58.01</v>
      </c>
      <c r="D14" s="36">
        <v>6.02</v>
      </c>
      <c r="E14" s="36">
        <v>11.94</v>
      </c>
      <c r="F14" s="36">
        <v>-2.92</v>
      </c>
      <c r="G14" s="41">
        <f t="shared" si="0"/>
        <v>3</v>
      </c>
      <c r="H14" s="36"/>
      <c r="I14" s="36"/>
    </row>
    <row r="15" spans="1:10" x14ac:dyDescent="0.3">
      <c r="A15" s="28"/>
      <c r="B15" s="28" t="s">
        <v>52</v>
      </c>
      <c r="C15" s="35">
        <v>15.51</v>
      </c>
      <c r="D15" s="35">
        <v>1.58</v>
      </c>
      <c r="E15" s="35">
        <v>3.46</v>
      </c>
      <c r="F15" s="35">
        <v>-0.70599999999999996</v>
      </c>
      <c r="G15" s="39">
        <f t="shared" si="0"/>
        <v>1.1739999999999999</v>
      </c>
      <c r="H15" s="45"/>
      <c r="I15" s="35"/>
    </row>
    <row r="16" spans="1:10" x14ac:dyDescent="0.3">
      <c r="A16" s="28"/>
      <c r="B16" s="34" t="s">
        <v>53</v>
      </c>
      <c r="C16" s="36">
        <v>42.5</v>
      </c>
      <c r="D16" s="36">
        <v>4.43</v>
      </c>
      <c r="E16" s="36">
        <v>8.48</v>
      </c>
      <c r="F16" s="36">
        <v>-2.21</v>
      </c>
      <c r="G16" s="41">
        <f t="shared" si="0"/>
        <v>1.8400000000000007</v>
      </c>
      <c r="H16" s="36">
        <v>5.85</v>
      </c>
      <c r="I16" s="36">
        <v>21</v>
      </c>
    </row>
    <row r="17" spans="1:11" x14ac:dyDescent="0.3">
      <c r="A17" s="28"/>
      <c r="B17" s="71"/>
      <c r="C17" s="28"/>
      <c r="D17" s="28"/>
      <c r="E17" s="28"/>
      <c r="F17" s="28"/>
      <c r="G17" s="28"/>
      <c r="H17" s="28"/>
      <c r="I17" s="28"/>
    </row>
    <row r="18" spans="1:11" x14ac:dyDescent="0.3">
      <c r="A18" s="28"/>
      <c r="B18" s="43" t="s">
        <v>87</v>
      </c>
      <c r="C18" s="28"/>
      <c r="D18" s="28"/>
      <c r="E18" s="28"/>
      <c r="F18" s="28"/>
      <c r="G18" s="28"/>
      <c r="H18" s="28"/>
      <c r="I18" s="28"/>
    </row>
    <row r="20" spans="1:11" ht="16.2" thickBot="1" x14ac:dyDescent="0.35">
      <c r="B20" s="89" t="s">
        <v>93</v>
      </c>
      <c r="C20" s="3" t="s">
        <v>57</v>
      </c>
      <c r="D20" s="3" t="s">
        <v>58</v>
      </c>
      <c r="E20" s="3" t="s">
        <v>175</v>
      </c>
      <c r="G20" s="128" t="s">
        <v>179</v>
      </c>
      <c r="H20" s="3" t="s">
        <v>180</v>
      </c>
      <c r="I20" s="3" t="s">
        <v>33</v>
      </c>
      <c r="J20" s="3" t="s">
        <v>181</v>
      </c>
      <c r="K20" s="3" t="s">
        <v>34</v>
      </c>
    </row>
    <row r="21" spans="1:11" x14ac:dyDescent="0.3">
      <c r="B21" t="s">
        <v>94</v>
      </c>
      <c r="C21" s="90">
        <v>31</v>
      </c>
      <c r="D21" s="90">
        <v>39.659999999999997</v>
      </c>
      <c r="E21" s="90">
        <f>(C21+D21)/2</f>
        <v>35.33</v>
      </c>
      <c r="G21" t="s">
        <v>182</v>
      </c>
      <c r="H21" s="6">
        <f>37926/1000</f>
        <v>37.926000000000002</v>
      </c>
      <c r="I21" s="6">
        <f>138273/1000</f>
        <v>138.273</v>
      </c>
      <c r="J21" s="6">
        <f>35240/1000</f>
        <v>35.24</v>
      </c>
      <c r="K21" s="6">
        <f>I21+J21-H21</f>
        <v>135.58699999999999</v>
      </c>
    </row>
    <row r="22" spans="1:11" x14ac:dyDescent="0.3">
      <c r="B22" s="107" t="s">
        <v>96</v>
      </c>
      <c r="C22" s="92">
        <v>31</v>
      </c>
      <c r="D22" s="92">
        <v>39.659999999999997</v>
      </c>
      <c r="E22" s="92">
        <f t="shared" ref="E22:E62" si="1">(C22+D22)/2</f>
        <v>35.33</v>
      </c>
    </row>
    <row r="23" spans="1:11" x14ac:dyDescent="0.3">
      <c r="B23" t="s">
        <v>97</v>
      </c>
      <c r="C23" s="91">
        <v>173.93</v>
      </c>
      <c r="D23" s="91">
        <v>207.21</v>
      </c>
      <c r="E23" s="91">
        <f t="shared" si="1"/>
        <v>190.57</v>
      </c>
    </row>
    <row r="24" spans="1:11" x14ac:dyDescent="0.3">
      <c r="B24" t="s">
        <v>148</v>
      </c>
      <c r="C24" s="91">
        <v>4.13</v>
      </c>
      <c r="D24" s="91">
        <v>3.81</v>
      </c>
      <c r="E24" s="91">
        <f t="shared" si="1"/>
        <v>3.9699999999999998</v>
      </c>
    </row>
    <row r="25" spans="1:11" x14ac:dyDescent="0.3">
      <c r="B25" t="s">
        <v>98</v>
      </c>
      <c r="C25" s="91">
        <v>9.01</v>
      </c>
      <c r="D25" s="91">
        <v>7.95</v>
      </c>
      <c r="E25" s="91">
        <f t="shared" si="1"/>
        <v>8.48</v>
      </c>
    </row>
    <row r="26" spans="1:11" x14ac:dyDescent="0.3">
      <c r="B26" t="s">
        <v>99</v>
      </c>
      <c r="C26" s="91">
        <v>7.98</v>
      </c>
      <c r="D26" s="91">
        <v>23.92</v>
      </c>
      <c r="E26" s="91">
        <f t="shared" si="1"/>
        <v>15.950000000000001</v>
      </c>
    </row>
    <row r="27" spans="1:11" x14ac:dyDescent="0.3">
      <c r="B27" s="107" t="s">
        <v>100</v>
      </c>
      <c r="C27" s="92">
        <v>226.05</v>
      </c>
      <c r="D27" s="92">
        <v>282.54000000000002</v>
      </c>
      <c r="E27" s="92">
        <f t="shared" si="1"/>
        <v>254.29500000000002</v>
      </c>
    </row>
    <row r="28" spans="1:11" x14ac:dyDescent="0.3">
      <c r="B28" t="s">
        <v>101</v>
      </c>
      <c r="C28" s="91">
        <v>500.01</v>
      </c>
      <c r="D28" s="91">
        <v>499.52</v>
      </c>
      <c r="E28" s="91">
        <f t="shared" si="1"/>
        <v>499.76499999999999</v>
      </c>
    </row>
    <row r="29" spans="1:11" x14ac:dyDescent="0.3">
      <c r="B29" t="s">
        <v>102</v>
      </c>
      <c r="C29" s="91">
        <v>40.729999999999997</v>
      </c>
      <c r="D29" s="91">
        <v>42.52</v>
      </c>
      <c r="E29" s="91">
        <f t="shared" si="1"/>
        <v>41.625</v>
      </c>
    </row>
    <row r="30" spans="1:11" x14ac:dyDescent="0.3">
      <c r="B30" t="s">
        <v>103</v>
      </c>
      <c r="C30" s="91">
        <v>31.81</v>
      </c>
      <c r="D30" s="91">
        <v>28.88</v>
      </c>
      <c r="E30" s="91">
        <f t="shared" si="1"/>
        <v>30.344999999999999</v>
      </c>
    </row>
    <row r="31" spans="1:11" x14ac:dyDescent="0.3">
      <c r="B31" t="s">
        <v>150</v>
      </c>
      <c r="C31" s="91">
        <v>29.1</v>
      </c>
      <c r="D31" s="91">
        <v>31.2</v>
      </c>
      <c r="E31" s="91">
        <f t="shared" si="1"/>
        <v>30.15</v>
      </c>
    </row>
    <row r="32" spans="1:11" x14ac:dyDescent="0.3">
      <c r="B32" t="s">
        <v>104</v>
      </c>
      <c r="C32" s="91">
        <v>8.39</v>
      </c>
      <c r="D32" s="91">
        <v>28.02</v>
      </c>
      <c r="E32" s="91">
        <f t="shared" si="1"/>
        <v>18.204999999999998</v>
      </c>
    </row>
    <row r="33" spans="2:5" x14ac:dyDescent="0.3">
      <c r="B33" s="107" t="s">
        <v>105</v>
      </c>
      <c r="C33" s="92">
        <v>836.07</v>
      </c>
      <c r="D33" s="92">
        <v>912.68</v>
      </c>
      <c r="E33" s="92">
        <f t="shared" si="1"/>
        <v>874.375</v>
      </c>
    </row>
    <row r="34" spans="2:5" x14ac:dyDescent="0.3">
      <c r="C34" s="1"/>
      <c r="D34" s="1"/>
      <c r="E34" s="1"/>
    </row>
    <row r="35" spans="2:5" x14ac:dyDescent="0.3">
      <c r="B35" t="s">
        <v>106</v>
      </c>
      <c r="C35" s="90">
        <v>26.82</v>
      </c>
      <c r="D35" s="90">
        <v>23.74</v>
      </c>
      <c r="E35" s="90">
        <f t="shared" si="1"/>
        <v>25.28</v>
      </c>
    </row>
    <row r="36" spans="2:5" x14ac:dyDescent="0.3">
      <c r="B36" t="s">
        <v>107</v>
      </c>
      <c r="C36" s="91">
        <v>66.099999999999994</v>
      </c>
      <c r="D36" s="91">
        <v>74.63</v>
      </c>
      <c r="E36" s="91">
        <f t="shared" si="1"/>
        <v>70.364999999999995</v>
      </c>
    </row>
    <row r="37" spans="2:5" x14ac:dyDescent="0.3">
      <c r="B37" t="s">
        <v>149</v>
      </c>
      <c r="C37" s="91">
        <v>1.63</v>
      </c>
      <c r="D37" s="91">
        <v>0.48099999999999998</v>
      </c>
      <c r="E37" s="91">
        <f t="shared" si="1"/>
        <v>1.0554999999999999</v>
      </c>
    </row>
    <row r="38" spans="2:5" x14ac:dyDescent="0.3">
      <c r="B38" t="s">
        <v>108</v>
      </c>
      <c r="C38" s="91">
        <v>38.69</v>
      </c>
      <c r="D38" s="91">
        <v>68.47</v>
      </c>
      <c r="E38" s="91">
        <f t="shared" si="1"/>
        <v>53.58</v>
      </c>
    </row>
    <row r="39" spans="2:5" x14ac:dyDescent="0.3">
      <c r="B39" t="s">
        <v>151</v>
      </c>
      <c r="C39" s="91">
        <v>0</v>
      </c>
      <c r="D39" s="91">
        <v>1.0900000000000001</v>
      </c>
      <c r="E39" s="91">
        <f t="shared" si="1"/>
        <v>0.54500000000000004</v>
      </c>
    </row>
    <row r="40" spans="2:5" x14ac:dyDescent="0.3">
      <c r="B40" s="107" t="s">
        <v>110</v>
      </c>
      <c r="C40" s="92">
        <v>133.24</v>
      </c>
      <c r="D40" s="92">
        <v>168.4</v>
      </c>
      <c r="E40" s="92">
        <f t="shared" si="1"/>
        <v>150.82</v>
      </c>
    </row>
    <row r="41" spans="2:5" x14ac:dyDescent="0.3">
      <c r="B41" t="s">
        <v>152</v>
      </c>
      <c r="C41" s="91">
        <v>32.22</v>
      </c>
      <c r="D41" s="91">
        <v>24.9</v>
      </c>
      <c r="E41" s="91">
        <f t="shared" si="1"/>
        <v>28.56</v>
      </c>
    </row>
    <row r="42" spans="2:5" x14ac:dyDescent="0.3">
      <c r="B42" s="107" t="s">
        <v>111</v>
      </c>
      <c r="C42" s="92">
        <v>230.28</v>
      </c>
      <c r="D42" s="92">
        <v>253.1</v>
      </c>
      <c r="E42" s="92">
        <f t="shared" si="1"/>
        <v>241.69</v>
      </c>
    </row>
    <row r="43" spans="2:5" x14ac:dyDescent="0.3">
      <c r="B43" t="s">
        <v>112</v>
      </c>
      <c r="C43" s="91">
        <v>78.41</v>
      </c>
      <c r="D43" s="91">
        <v>78.67</v>
      </c>
      <c r="E43" s="91">
        <f t="shared" si="1"/>
        <v>78.539999999999992</v>
      </c>
    </row>
    <row r="44" spans="2:5" x14ac:dyDescent="0.3">
      <c r="B44" t="s">
        <v>113</v>
      </c>
      <c r="C44" s="91">
        <v>46.1</v>
      </c>
      <c r="D44" s="91">
        <v>84.01</v>
      </c>
      <c r="E44" s="91">
        <f t="shared" si="1"/>
        <v>65.055000000000007</v>
      </c>
    </row>
    <row r="45" spans="2:5" x14ac:dyDescent="0.3">
      <c r="B45" s="107" t="s">
        <v>114</v>
      </c>
      <c r="C45" s="92">
        <v>488.34</v>
      </c>
      <c r="D45" s="92">
        <v>584.19000000000005</v>
      </c>
      <c r="E45" s="92">
        <f t="shared" si="1"/>
        <v>536.26499999999999</v>
      </c>
    </row>
    <row r="46" spans="2:5" x14ac:dyDescent="0.3">
      <c r="C46" s="1"/>
      <c r="D46" s="1"/>
      <c r="E46" s="1"/>
    </row>
    <row r="47" spans="2:5" x14ac:dyDescent="0.3">
      <c r="B47" t="s">
        <v>115</v>
      </c>
      <c r="C47" s="90">
        <v>0.19600000000000001</v>
      </c>
      <c r="D47" s="90">
        <v>0.19700000000000001</v>
      </c>
      <c r="E47" s="90">
        <f t="shared" si="1"/>
        <v>0.19650000000000001</v>
      </c>
    </row>
    <row r="48" spans="2:5" x14ac:dyDescent="0.3">
      <c r="B48" t="s">
        <v>116</v>
      </c>
      <c r="C48" s="91">
        <v>142.77000000000001</v>
      </c>
      <c r="D48" s="91">
        <v>142.35</v>
      </c>
      <c r="E48" s="91">
        <f t="shared" si="1"/>
        <v>142.56</v>
      </c>
    </row>
    <row r="49" spans="2:5" x14ac:dyDescent="0.3">
      <c r="B49" t="s">
        <v>117</v>
      </c>
      <c r="C49" s="91">
        <v>205</v>
      </c>
      <c r="D49" s="91">
        <v>206.83</v>
      </c>
      <c r="E49" s="91">
        <f t="shared" si="1"/>
        <v>205.91500000000002</v>
      </c>
    </row>
    <row r="50" spans="2:5" x14ac:dyDescent="0.3">
      <c r="B50" t="s">
        <v>118</v>
      </c>
      <c r="C50" s="91">
        <v>0</v>
      </c>
      <c r="D50" s="91">
        <v>-17.52</v>
      </c>
      <c r="E50" s="91">
        <f t="shared" si="1"/>
        <v>-8.76</v>
      </c>
    </row>
    <row r="51" spans="2:5" x14ac:dyDescent="0.3">
      <c r="B51" t="s">
        <v>120</v>
      </c>
      <c r="C51" s="91">
        <v>-0.22800000000000001</v>
      </c>
      <c r="D51" s="91">
        <v>-3.36</v>
      </c>
      <c r="E51" s="91">
        <f t="shared" si="1"/>
        <v>-1.794</v>
      </c>
    </row>
    <row r="52" spans="2:5" x14ac:dyDescent="0.3">
      <c r="B52" s="107" t="s">
        <v>121</v>
      </c>
      <c r="C52" s="92">
        <v>347.74</v>
      </c>
      <c r="D52" s="92">
        <v>328.49</v>
      </c>
      <c r="E52" s="92">
        <f t="shared" si="1"/>
        <v>338.11500000000001</v>
      </c>
    </row>
    <row r="53" spans="2:5" x14ac:dyDescent="0.3">
      <c r="B53" s="107" t="s">
        <v>122</v>
      </c>
      <c r="C53" s="92">
        <v>836.07</v>
      </c>
      <c r="D53" s="92">
        <v>912.68</v>
      </c>
      <c r="E53" s="92">
        <f t="shared" si="1"/>
        <v>874.375</v>
      </c>
    </row>
    <row r="54" spans="2:5" x14ac:dyDescent="0.3">
      <c r="C54" s="91"/>
      <c r="D54" s="91"/>
      <c r="E54" s="91"/>
    </row>
    <row r="55" spans="2:5" x14ac:dyDescent="0.3">
      <c r="B55" t="s">
        <v>123</v>
      </c>
      <c r="C55" s="91">
        <v>18.43</v>
      </c>
      <c r="D55" s="91">
        <v>17.09</v>
      </c>
      <c r="E55" s="91">
        <f t="shared" si="1"/>
        <v>17.759999999999998</v>
      </c>
    </row>
    <row r="56" spans="2:5" x14ac:dyDescent="0.3">
      <c r="B56" t="s">
        <v>124</v>
      </c>
      <c r="C56" s="91">
        <v>14.94</v>
      </c>
      <c r="D56" s="91">
        <v>15.05</v>
      </c>
      <c r="E56" s="91">
        <f t="shared" si="1"/>
        <v>14.995000000000001</v>
      </c>
    </row>
    <row r="57" spans="2:5" x14ac:dyDescent="0.3">
      <c r="C57" s="91"/>
      <c r="D57" s="91"/>
      <c r="E57" s="91"/>
    </row>
    <row r="58" spans="2:5" x14ac:dyDescent="0.3">
      <c r="B58" t="s">
        <v>125</v>
      </c>
      <c r="C58" s="91">
        <v>155.96</v>
      </c>
      <c r="D58" s="91">
        <v>192.63</v>
      </c>
      <c r="E58" s="91">
        <f t="shared" si="1"/>
        <v>174.29500000000002</v>
      </c>
    </row>
    <row r="59" spans="2:5" x14ac:dyDescent="0.3">
      <c r="B59" t="s">
        <v>126</v>
      </c>
      <c r="C59" s="91">
        <v>699.72</v>
      </c>
      <c r="D59" s="91">
        <v>687.67</v>
      </c>
      <c r="E59" s="91">
        <f t="shared" si="1"/>
        <v>693.69499999999994</v>
      </c>
    </row>
    <row r="60" spans="2:5" x14ac:dyDescent="0.3">
      <c r="B60" t="s">
        <v>127</v>
      </c>
      <c r="C60" s="91">
        <v>-199.72</v>
      </c>
      <c r="D60" s="91">
        <v>-188.15</v>
      </c>
      <c r="E60" s="91">
        <f t="shared" si="1"/>
        <v>-193.935</v>
      </c>
    </row>
    <row r="61" spans="2:5" x14ac:dyDescent="0.3">
      <c r="B61" t="s">
        <v>128</v>
      </c>
      <c r="C61" s="91">
        <v>198.05</v>
      </c>
      <c r="D61" s="91">
        <v>228.2</v>
      </c>
      <c r="E61" s="91">
        <f t="shared" si="1"/>
        <v>213.125</v>
      </c>
    </row>
    <row r="62" spans="2:5" x14ac:dyDescent="0.3">
      <c r="B62" t="s">
        <v>30</v>
      </c>
      <c r="C62" s="91">
        <v>270.60000000000002</v>
      </c>
      <c r="D62" s="91">
        <v>322.05</v>
      </c>
      <c r="E62" s="91">
        <f t="shared" si="1"/>
        <v>296.32500000000005</v>
      </c>
    </row>
    <row r="64" spans="2:5" x14ac:dyDescent="0.3">
      <c r="B64" s="107" t="s">
        <v>176</v>
      </c>
      <c r="C64" s="119">
        <f>C45-C22</f>
        <v>457.34</v>
      </c>
      <c r="D64" s="119">
        <f t="shared" ref="D64:E64" si="2">D45-D22</f>
        <v>544.53000000000009</v>
      </c>
      <c r="E64" s="119">
        <f t="shared" si="2"/>
        <v>500.935</v>
      </c>
    </row>
    <row r="66" spans="2:5" x14ac:dyDescent="0.3">
      <c r="B66" s="107" t="s">
        <v>178</v>
      </c>
      <c r="C66" s="60">
        <f>C45/(C45+C52)</f>
        <v>0.58408286288393452</v>
      </c>
      <c r="D66" s="60">
        <f t="shared" ref="D66:E66" si="3">D45/(D45+D52)</f>
        <v>0.64008195643599075</v>
      </c>
      <c r="E66" s="60">
        <f t="shared" si="3"/>
        <v>0.61330885884855557</v>
      </c>
    </row>
  </sheetData>
  <hyperlinks>
    <hyperlink ref="A1" location="Homepage!A1" display="H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64"/>
  <sheetViews>
    <sheetView showGridLines="0" workbookViewId="0">
      <selection activeCell="B13" sqref="B13"/>
    </sheetView>
  </sheetViews>
  <sheetFormatPr baseColWidth="10" defaultRowHeight="14.4" x14ac:dyDescent="0.3"/>
  <cols>
    <col min="1" max="1" width="7.88671875" customWidth="1"/>
    <col min="2" max="2" width="46.5546875" customWidth="1"/>
    <col min="3" max="6" width="16.21875" customWidth="1"/>
    <col min="7" max="7" width="20.5546875" customWidth="1"/>
    <col min="8" max="9" width="16.21875" customWidth="1"/>
  </cols>
  <sheetData>
    <row r="1" spans="1:10" ht="18" x14ac:dyDescent="0.3">
      <c r="A1" s="153" t="s">
        <v>248</v>
      </c>
      <c r="B1" s="23" t="s">
        <v>56</v>
      </c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27"/>
      <c r="C2" s="25"/>
      <c r="D2" s="25"/>
      <c r="E2" s="20"/>
      <c r="F2" s="20"/>
      <c r="G2" s="20"/>
      <c r="H2" s="20"/>
      <c r="I2" s="2"/>
    </row>
    <row r="3" spans="1:10" ht="18" x14ac:dyDescent="0.3">
      <c r="A3" s="1"/>
      <c r="B3" s="29" t="s">
        <v>65</v>
      </c>
      <c r="C3" s="31" t="s">
        <v>32</v>
      </c>
      <c r="D3" s="33" t="s">
        <v>57</v>
      </c>
      <c r="E3" s="31" t="s">
        <v>33</v>
      </c>
      <c r="F3" s="33" t="s">
        <v>58</v>
      </c>
      <c r="G3" s="38" t="s">
        <v>34</v>
      </c>
      <c r="H3" s="31" t="s">
        <v>35</v>
      </c>
      <c r="I3" s="32" t="s">
        <v>36</v>
      </c>
    </row>
    <row r="4" spans="1:10" x14ac:dyDescent="0.3">
      <c r="A4" s="28"/>
      <c r="B4" s="28" t="s">
        <v>37</v>
      </c>
      <c r="C4" s="35">
        <v>533.26</v>
      </c>
      <c r="D4" s="35">
        <v>128.69</v>
      </c>
      <c r="E4" s="35">
        <v>514.17999999999995</v>
      </c>
      <c r="F4" s="35">
        <v>129.16</v>
      </c>
      <c r="G4" s="39">
        <f>E4+F4-D4</f>
        <v>514.64999999999986</v>
      </c>
      <c r="H4" s="35">
        <v>470</v>
      </c>
      <c r="I4" s="35">
        <v>497.2</v>
      </c>
    </row>
    <row r="5" spans="1:10" x14ac:dyDescent="0.3">
      <c r="A5" s="28"/>
      <c r="B5" s="34" t="s">
        <v>44</v>
      </c>
      <c r="C5" s="36">
        <v>533.26</v>
      </c>
      <c r="D5" s="36">
        <v>128.69</v>
      </c>
      <c r="E5" s="36">
        <v>514.17999999999995</v>
      </c>
      <c r="F5" s="36">
        <v>129.16</v>
      </c>
      <c r="G5" s="41">
        <f t="shared" ref="G5:G18" si="0">E5+F5-D5</f>
        <v>514.64999999999986</v>
      </c>
      <c r="H5" s="36">
        <v>470</v>
      </c>
      <c r="I5" s="36">
        <v>497.2</v>
      </c>
    </row>
    <row r="6" spans="1:10" x14ac:dyDescent="0.3">
      <c r="A6" s="28"/>
      <c r="B6" s="28" t="s">
        <v>45</v>
      </c>
      <c r="C6" s="35">
        <v>119.82</v>
      </c>
      <c r="D6" s="35">
        <v>31.06</v>
      </c>
      <c r="E6" s="35">
        <v>129.74</v>
      </c>
      <c r="F6" s="35">
        <v>32.799999999999997</v>
      </c>
      <c r="G6" s="39">
        <f t="shared" si="0"/>
        <v>131.48000000000002</v>
      </c>
      <c r="H6" s="35"/>
      <c r="I6" s="35"/>
    </row>
    <row r="7" spans="1:10" x14ac:dyDescent="0.3">
      <c r="A7" s="28"/>
      <c r="B7" s="34" t="s">
        <v>46</v>
      </c>
      <c r="C7" s="36">
        <v>413.44</v>
      </c>
      <c r="D7" s="36">
        <v>97.62</v>
      </c>
      <c r="E7" s="36">
        <v>384.44</v>
      </c>
      <c r="F7" s="36">
        <v>96.36</v>
      </c>
      <c r="G7" s="41">
        <f t="shared" si="0"/>
        <v>383.18</v>
      </c>
      <c r="H7" s="36"/>
      <c r="I7" s="36"/>
    </row>
    <row r="8" spans="1:10" x14ac:dyDescent="0.3">
      <c r="A8" s="28"/>
      <c r="B8" s="28" t="s">
        <v>47</v>
      </c>
      <c r="C8" s="35">
        <v>311.77999999999997</v>
      </c>
      <c r="D8" s="35">
        <v>72.180000000000007</v>
      </c>
      <c r="E8" s="35">
        <v>302.44</v>
      </c>
      <c r="F8" s="35">
        <v>66.680000000000007</v>
      </c>
      <c r="G8" s="39">
        <f t="shared" si="0"/>
        <v>296.94</v>
      </c>
      <c r="H8" s="35"/>
      <c r="I8" s="35"/>
    </row>
    <row r="9" spans="1:10" x14ac:dyDescent="0.3">
      <c r="A9" s="28"/>
      <c r="B9" s="28" t="s">
        <v>48</v>
      </c>
      <c r="C9" s="35">
        <v>49.39</v>
      </c>
      <c r="D9" s="35">
        <v>13.19</v>
      </c>
      <c r="E9" s="35">
        <v>55.11</v>
      </c>
      <c r="F9" s="35">
        <v>14.3</v>
      </c>
      <c r="G9" s="39">
        <f t="shared" si="0"/>
        <v>56.22</v>
      </c>
      <c r="H9" s="35"/>
      <c r="I9" s="35"/>
    </row>
    <row r="10" spans="1:10" x14ac:dyDescent="0.3">
      <c r="A10" s="28"/>
      <c r="B10" s="28" t="s">
        <v>60</v>
      </c>
      <c r="C10" s="35">
        <v>-1.31</v>
      </c>
      <c r="D10" s="35">
        <v>-0.42499999999999999</v>
      </c>
      <c r="E10" s="35">
        <v>0.58299999999999996</v>
      </c>
      <c r="F10" s="35">
        <v>4.8000000000000001E-2</v>
      </c>
      <c r="G10" s="39">
        <f t="shared" si="0"/>
        <v>1.056</v>
      </c>
      <c r="H10" s="35"/>
      <c r="I10" s="35"/>
    </row>
    <row r="11" spans="1:10" x14ac:dyDescent="0.3">
      <c r="A11" s="28"/>
      <c r="B11" s="28" t="s">
        <v>49</v>
      </c>
      <c r="C11" s="35">
        <v>11.98</v>
      </c>
      <c r="D11" s="35">
        <v>2.99</v>
      </c>
      <c r="E11" s="35">
        <v>13.76</v>
      </c>
      <c r="F11" s="35">
        <v>5.84</v>
      </c>
      <c r="G11" s="39">
        <f t="shared" si="0"/>
        <v>16.61</v>
      </c>
      <c r="H11" s="35"/>
      <c r="I11" s="35"/>
    </row>
    <row r="12" spans="1:10" x14ac:dyDescent="0.3">
      <c r="A12" s="28"/>
      <c r="B12" s="34" t="s">
        <v>69</v>
      </c>
      <c r="C12" s="36">
        <v>41.6</v>
      </c>
      <c r="D12" s="36">
        <v>9.69</v>
      </c>
      <c r="E12" s="36">
        <v>12.55</v>
      </c>
      <c r="F12" s="36">
        <v>9.49</v>
      </c>
      <c r="G12" s="41">
        <f t="shared" si="0"/>
        <v>12.35</v>
      </c>
      <c r="H12" s="36">
        <v>27.1</v>
      </c>
      <c r="I12" s="36">
        <v>34.799999999999997</v>
      </c>
    </row>
    <row r="13" spans="1:10" x14ac:dyDescent="0.3">
      <c r="A13" s="28"/>
      <c r="B13" s="34" t="s">
        <v>38</v>
      </c>
      <c r="C13" s="36">
        <f>C12+C9</f>
        <v>90.990000000000009</v>
      </c>
      <c r="D13" s="36">
        <f>D12+D9</f>
        <v>22.88</v>
      </c>
      <c r="E13" s="36">
        <f>E12+E9</f>
        <v>67.66</v>
      </c>
      <c r="F13" s="36">
        <f>F12+F9</f>
        <v>23.79</v>
      </c>
      <c r="G13" s="41">
        <f t="shared" si="0"/>
        <v>68.569999999999993</v>
      </c>
      <c r="H13" s="36">
        <v>82.9</v>
      </c>
      <c r="I13" s="36">
        <v>89.7</v>
      </c>
    </row>
    <row r="14" spans="1:10" x14ac:dyDescent="0.3">
      <c r="A14" s="28"/>
      <c r="B14" s="28" t="s">
        <v>50</v>
      </c>
      <c r="C14" s="35">
        <v>-6.25</v>
      </c>
      <c r="D14" s="35">
        <v>-2.04</v>
      </c>
      <c r="E14" s="35">
        <v>-8.65</v>
      </c>
      <c r="F14" s="35">
        <v>-2.21</v>
      </c>
      <c r="G14" s="39">
        <f t="shared" si="0"/>
        <v>-8.82</v>
      </c>
      <c r="H14" s="35"/>
      <c r="I14" s="35"/>
    </row>
    <row r="15" spans="1:10" x14ac:dyDescent="0.3">
      <c r="A15" s="28"/>
      <c r="B15" s="28" t="s">
        <v>51</v>
      </c>
      <c r="C15" s="35">
        <v>-4.0199999999999996</v>
      </c>
      <c r="D15" s="35">
        <v>3.47</v>
      </c>
      <c r="E15" s="35">
        <v>6.22</v>
      </c>
      <c r="F15" s="35">
        <v>-9.08</v>
      </c>
      <c r="G15" s="39">
        <f t="shared" si="0"/>
        <v>-6.33</v>
      </c>
      <c r="H15" s="35"/>
      <c r="I15" s="35"/>
    </row>
    <row r="16" spans="1:10" x14ac:dyDescent="0.3">
      <c r="A16" s="28"/>
      <c r="B16" s="34" t="s">
        <v>59</v>
      </c>
      <c r="C16" s="36">
        <v>31.34</v>
      </c>
      <c r="D16" s="36">
        <v>11.12</v>
      </c>
      <c r="E16" s="36">
        <v>10.119999999999999</v>
      </c>
      <c r="F16" s="36">
        <v>-1.8</v>
      </c>
      <c r="G16" s="41">
        <f t="shared" si="0"/>
        <v>-2.8000000000000007</v>
      </c>
      <c r="H16" s="36">
        <v>17</v>
      </c>
      <c r="I16" s="36">
        <v>24.6</v>
      </c>
    </row>
    <row r="17" spans="1:11" x14ac:dyDescent="0.3">
      <c r="A17" s="28"/>
      <c r="B17" s="28" t="s">
        <v>52</v>
      </c>
      <c r="C17" s="35">
        <v>7.35</v>
      </c>
      <c r="D17" s="35">
        <v>2.82</v>
      </c>
      <c r="E17" s="35">
        <v>2.2200000000000002</v>
      </c>
      <c r="F17" s="35">
        <v>-0.498</v>
      </c>
      <c r="G17" s="39">
        <f t="shared" si="0"/>
        <v>-1.0979999999999996</v>
      </c>
      <c r="H17" s="45"/>
      <c r="I17" s="35"/>
    </row>
    <row r="18" spans="1:11" x14ac:dyDescent="0.3">
      <c r="A18" s="28"/>
      <c r="B18" s="34" t="s">
        <v>53</v>
      </c>
      <c r="C18" s="36">
        <v>23.99</v>
      </c>
      <c r="D18" s="36">
        <v>8.3000000000000007</v>
      </c>
      <c r="E18" s="36">
        <v>7.9</v>
      </c>
      <c r="F18" s="36">
        <v>-1.3</v>
      </c>
      <c r="G18" s="41">
        <f t="shared" si="0"/>
        <v>-1.7000000000000002</v>
      </c>
      <c r="H18" s="36">
        <v>12.7</v>
      </c>
      <c r="I18" s="36">
        <v>18.7</v>
      </c>
    </row>
    <row r="19" spans="1:11" x14ac:dyDescent="0.3">
      <c r="A19" s="28"/>
      <c r="B19" s="71"/>
      <c r="C19" s="28"/>
      <c r="D19" s="28"/>
      <c r="E19" s="28"/>
      <c r="F19" s="28"/>
      <c r="G19" s="28"/>
      <c r="H19" s="28"/>
      <c r="I19" s="28"/>
    </row>
    <row r="20" spans="1:11" x14ac:dyDescent="0.3">
      <c r="B20" s="43" t="s">
        <v>87</v>
      </c>
      <c r="C20" s="28"/>
      <c r="D20" s="28"/>
      <c r="E20" s="28"/>
      <c r="F20" s="28"/>
      <c r="G20" s="28"/>
      <c r="H20" s="28"/>
      <c r="I20" s="28"/>
    </row>
    <row r="22" spans="1:11" ht="16.2" thickBot="1" x14ac:dyDescent="0.35">
      <c r="B22" s="89" t="s">
        <v>93</v>
      </c>
      <c r="C22" s="3" t="s">
        <v>57</v>
      </c>
      <c r="D22" s="3" t="s">
        <v>58</v>
      </c>
      <c r="E22" s="3" t="s">
        <v>175</v>
      </c>
      <c r="G22" s="128" t="s">
        <v>179</v>
      </c>
      <c r="H22" s="3" t="s">
        <v>180</v>
      </c>
      <c r="I22" s="3" t="s">
        <v>33</v>
      </c>
      <c r="J22" s="3" t="s">
        <v>181</v>
      </c>
      <c r="K22" s="3" t="s">
        <v>34</v>
      </c>
    </row>
    <row r="23" spans="1:11" x14ac:dyDescent="0.3">
      <c r="B23" s="24" t="s">
        <v>16</v>
      </c>
      <c r="C23" s="90">
        <v>0.28599999999999998</v>
      </c>
      <c r="D23" s="90">
        <v>0.28199999999999997</v>
      </c>
      <c r="E23" s="90">
        <f>(C23+D23)/2</f>
        <v>0.28399999999999997</v>
      </c>
      <c r="F23" s="112"/>
      <c r="G23" s="112" t="s">
        <v>182</v>
      </c>
      <c r="H23" s="6">
        <v>7.9260000000000002</v>
      </c>
      <c r="I23" s="6">
        <f>79354/1000</f>
        <v>79.353999999999999</v>
      </c>
      <c r="J23" s="6">
        <f>23158/1000</f>
        <v>23.158000000000001</v>
      </c>
      <c r="K23" s="6">
        <f>I23+J23-H23</f>
        <v>94.585999999999999</v>
      </c>
    </row>
    <row r="24" spans="1:11" x14ac:dyDescent="0.3">
      <c r="B24" s="24" t="s">
        <v>155</v>
      </c>
      <c r="C24" s="91">
        <v>72.451999999999998</v>
      </c>
      <c r="D24" s="91">
        <v>67.164000000000001</v>
      </c>
      <c r="E24" s="91">
        <f t="shared" ref="E24:E55" si="1">(C24+D24)/2</f>
        <v>69.807999999999993</v>
      </c>
      <c r="F24" s="112"/>
      <c r="G24" s="112"/>
    </row>
    <row r="25" spans="1:11" x14ac:dyDescent="0.3">
      <c r="B25" s="24" t="s">
        <v>153</v>
      </c>
      <c r="C25" s="91">
        <v>1.4710000000000001</v>
      </c>
      <c r="D25" s="91">
        <v>1.4610000000000001</v>
      </c>
      <c r="E25" s="91">
        <f t="shared" si="1"/>
        <v>1.4660000000000002</v>
      </c>
      <c r="F25" s="112"/>
      <c r="G25" s="112"/>
    </row>
    <row r="26" spans="1:11" x14ac:dyDescent="0.3">
      <c r="B26" s="24" t="s">
        <v>156</v>
      </c>
      <c r="C26" s="91">
        <v>9.1140000000000008</v>
      </c>
      <c r="D26" s="91">
        <v>10.393000000000001</v>
      </c>
      <c r="E26" s="91">
        <f t="shared" si="1"/>
        <v>9.7535000000000007</v>
      </c>
      <c r="F26" s="112"/>
      <c r="G26" s="112"/>
    </row>
    <row r="27" spans="1:11" x14ac:dyDescent="0.3">
      <c r="B27" s="24" t="s">
        <v>157</v>
      </c>
      <c r="C27" s="91">
        <v>30.805</v>
      </c>
      <c r="D27" s="91">
        <v>27.548999999999999</v>
      </c>
      <c r="E27" s="91">
        <f t="shared" si="1"/>
        <v>29.177</v>
      </c>
      <c r="F27" s="112"/>
      <c r="G27" s="112"/>
    </row>
    <row r="28" spans="1:11" x14ac:dyDescent="0.3">
      <c r="B28" s="24" t="s">
        <v>158</v>
      </c>
      <c r="C28" s="91">
        <v>1.804</v>
      </c>
      <c r="D28" s="91">
        <v>1.8759999999999999</v>
      </c>
      <c r="E28" s="91">
        <f t="shared" si="1"/>
        <v>1.8399999999999999</v>
      </c>
      <c r="F28" s="112"/>
      <c r="G28" s="112"/>
    </row>
    <row r="29" spans="1:11" x14ac:dyDescent="0.3">
      <c r="B29" s="110" t="s">
        <v>100</v>
      </c>
      <c r="C29" s="92">
        <v>115.932</v>
      </c>
      <c r="D29" s="92">
        <v>108.72499999999999</v>
      </c>
      <c r="E29" s="92">
        <f t="shared" si="1"/>
        <v>112.32849999999999</v>
      </c>
      <c r="F29" s="112"/>
      <c r="G29" s="112"/>
    </row>
    <row r="30" spans="1:11" x14ac:dyDescent="0.3">
      <c r="B30" s="24"/>
      <c r="C30" s="1"/>
      <c r="D30" s="1"/>
      <c r="E30" s="1"/>
      <c r="F30" s="112"/>
      <c r="G30" s="112"/>
    </row>
    <row r="31" spans="1:11" x14ac:dyDescent="0.3">
      <c r="B31" s="24" t="s">
        <v>154</v>
      </c>
      <c r="C31" s="90">
        <v>5.5960000000000001</v>
      </c>
      <c r="D31" s="90">
        <v>5.5960000000000001</v>
      </c>
      <c r="E31" s="90">
        <f t="shared" si="1"/>
        <v>5.5960000000000001</v>
      </c>
      <c r="F31" s="112"/>
      <c r="G31" s="112"/>
    </row>
    <row r="32" spans="1:11" x14ac:dyDescent="0.3">
      <c r="B32" s="24" t="s">
        <v>159</v>
      </c>
      <c r="C32" s="91">
        <v>19.611000000000001</v>
      </c>
      <c r="D32" s="91">
        <v>19.547000000000001</v>
      </c>
      <c r="E32" s="91">
        <f t="shared" si="1"/>
        <v>19.579000000000001</v>
      </c>
      <c r="F32" s="112"/>
      <c r="G32" s="112"/>
    </row>
    <row r="33" spans="2:7" x14ac:dyDescent="0.3">
      <c r="B33" s="24" t="s">
        <v>160</v>
      </c>
      <c r="C33" s="91">
        <v>455.45400000000001</v>
      </c>
      <c r="D33" s="91">
        <v>457.142</v>
      </c>
      <c r="E33" s="91">
        <f t="shared" si="1"/>
        <v>456.298</v>
      </c>
      <c r="F33" s="112"/>
      <c r="G33" s="112"/>
    </row>
    <row r="34" spans="2:7" x14ac:dyDescent="0.3">
      <c r="B34" s="24" t="s">
        <v>161</v>
      </c>
      <c r="C34" s="91">
        <v>10.221</v>
      </c>
      <c r="D34" s="91">
        <v>10.039999999999999</v>
      </c>
      <c r="E34" s="91">
        <f t="shared" si="1"/>
        <v>10.1305</v>
      </c>
      <c r="F34" s="112"/>
      <c r="G34" s="112"/>
    </row>
    <row r="35" spans="2:7" x14ac:dyDescent="0.3">
      <c r="B35" s="110" t="s">
        <v>162</v>
      </c>
      <c r="C35" s="92">
        <v>490.88200000000001</v>
      </c>
      <c r="D35" s="92">
        <v>492.32499999999999</v>
      </c>
      <c r="E35" s="92">
        <f t="shared" si="1"/>
        <v>491.6035</v>
      </c>
      <c r="F35" s="112"/>
      <c r="G35" s="112"/>
    </row>
    <row r="36" spans="2:7" x14ac:dyDescent="0.3">
      <c r="B36" s="24" t="s">
        <v>163</v>
      </c>
      <c r="C36" s="91">
        <v>-144.494</v>
      </c>
      <c r="D36" s="91">
        <v>-137.738</v>
      </c>
      <c r="E36" s="91">
        <f t="shared" si="1"/>
        <v>-141.11599999999999</v>
      </c>
      <c r="F36" s="112"/>
      <c r="G36" s="112"/>
    </row>
    <row r="37" spans="2:7" x14ac:dyDescent="0.3">
      <c r="B37" s="110" t="s">
        <v>164</v>
      </c>
      <c r="C37" s="92">
        <v>346.38799999999998</v>
      </c>
      <c r="D37" s="92">
        <v>354.58699999999999</v>
      </c>
      <c r="E37" s="92">
        <f t="shared" si="1"/>
        <v>350.48749999999995</v>
      </c>
      <c r="F37" s="112"/>
      <c r="G37" s="112"/>
    </row>
    <row r="38" spans="2:7" x14ac:dyDescent="0.3">
      <c r="B38" s="24" t="s">
        <v>165</v>
      </c>
      <c r="C38" s="91">
        <v>2.7519999999999998</v>
      </c>
      <c r="D38" s="91">
        <v>2.754</v>
      </c>
      <c r="E38" s="91">
        <f t="shared" si="1"/>
        <v>2.7530000000000001</v>
      </c>
      <c r="F38" s="112"/>
      <c r="G38" s="112"/>
    </row>
    <row r="39" spans="2:7" x14ac:dyDescent="0.3">
      <c r="B39" s="110" t="s">
        <v>105</v>
      </c>
      <c r="C39" s="92">
        <v>465.072</v>
      </c>
      <c r="D39" s="92">
        <v>466.06599999999997</v>
      </c>
      <c r="E39" s="92">
        <f t="shared" si="1"/>
        <v>465.56899999999996</v>
      </c>
      <c r="F39" s="112"/>
      <c r="G39" s="112"/>
    </row>
    <row r="40" spans="2:7" x14ac:dyDescent="0.3">
      <c r="B40" s="24"/>
      <c r="C40" s="1"/>
      <c r="D40" s="1"/>
      <c r="E40" s="1"/>
      <c r="F40" s="112"/>
      <c r="G40" s="112"/>
    </row>
    <row r="41" spans="2:7" x14ac:dyDescent="0.3">
      <c r="B41" s="111" t="s">
        <v>106</v>
      </c>
      <c r="C41" s="90">
        <v>22.716000000000001</v>
      </c>
      <c r="D41" s="90">
        <v>20.001999999999999</v>
      </c>
      <c r="E41" s="90">
        <f t="shared" si="1"/>
        <v>21.359000000000002</v>
      </c>
      <c r="F41" s="112"/>
      <c r="G41" s="112"/>
    </row>
    <row r="42" spans="2:7" x14ac:dyDescent="0.3">
      <c r="B42" s="24" t="s">
        <v>166</v>
      </c>
      <c r="C42" s="91">
        <v>25.907</v>
      </c>
      <c r="D42" s="91">
        <v>23.497</v>
      </c>
      <c r="E42" s="91">
        <f t="shared" si="1"/>
        <v>24.701999999999998</v>
      </c>
      <c r="F42" s="112"/>
      <c r="G42" s="112"/>
    </row>
    <row r="43" spans="2:7" x14ac:dyDescent="0.3">
      <c r="B43" s="111" t="s">
        <v>167</v>
      </c>
      <c r="C43" s="91">
        <v>58.508000000000003</v>
      </c>
      <c r="D43" s="91">
        <v>63.908000000000001</v>
      </c>
      <c r="E43" s="91">
        <f t="shared" si="1"/>
        <v>61.207999999999998</v>
      </c>
      <c r="F43" s="112"/>
      <c r="G43" s="112"/>
    </row>
    <row r="44" spans="2:7" x14ac:dyDescent="0.3">
      <c r="B44" s="110" t="s">
        <v>110</v>
      </c>
      <c r="C44" s="92">
        <v>107.131</v>
      </c>
      <c r="D44" s="92">
        <v>107.407</v>
      </c>
      <c r="E44" s="92">
        <f t="shared" si="1"/>
        <v>107.26900000000001</v>
      </c>
      <c r="F44" s="112"/>
      <c r="G44" s="112"/>
    </row>
    <row r="45" spans="2:7" x14ac:dyDescent="0.3">
      <c r="B45" s="111" t="s">
        <v>168</v>
      </c>
      <c r="C45" s="91">
        <v>146.96899999999999</v>
      </c>
      <c r="D45" s="91">
        <v>157.315</v>
      </c>
      <c r="E45" s="91">
        <f t="shared" si="1"/>
        <v>152.142</v>
      </c>
      <c r="F45" s="112"/>
      <c r="G45" s="112"/>
    </row>
    <row r="46" spans="2:7" x14ac:dyDescent="0.3">
      <c r="B46" s="111" t="s">
        <v>169</v>
      </c>
      <c r="C46" s="91">
        <v>64.626000000000005</v>
      </c>
      <c r="D46" s="91">
        <v>61.896999999999998</v>
      </c>
      <c r="E46" s="91">
        <f t="shared" si="1"/>
        <v>63.261499999999998</v>
      </c>
      <c r="F46" s="112"/>
      <c r="G46" s="112"/>
    </row>
    <row r="47" spans="2:7" x14ac:dyDescent="0.3">
      <c r="B47" s="110" t="s">
        <v>114</v>
      </c>
      <c r="C47" s="92">
        <v>318.726</v>
      </c>
      <c r="D47" s="92">
        <v>326.61900000000003</v>
      </c>
      <c r="E47" s="92">
        <f t="shared" si="1"/>
        <v>322.67250000000001</v>
      </c>
      <c r="F47" s="112"/>
      <c r="G47" s="112"/>
    </row>
    <row r="48" spans="2:7" x14ac:dyDescent="0.3">
      <c r="B48" s="24"/>
      <c r="C48" s="1"/>
      <c r="D48" s="1"/>
      <c r="E48" s="1"/>
      <c r="F48" s="112"/>
      <c r="G48" s="112"/>
    </row>
    <row r="49" spans="2:7" x14ac:dyDescent="0.3">
      <c r="B49" s="24" t="s">
        <v>14</v>
      </c>
      <c r="C49" s="90">
        <v>0</v>
      </c>
      <c r="D49" s="90">
        <v>0</v>
      </c>
      <c r="E49" s="90">
        <f t="shared" si="1"/>
        <v>0</v>
      </c>
      <c r="F49" s="112"/>
      <c r="G49" s="112"/>
    </row>
    <row r="50" spans="2:7" x14ac:dyDescent="0.3">
      <c r="B50" s="24" t="s">
        <v>170</v>
      </c>
      <c r="C50" s="91">
        <v>0.11600000000000001</v>
      </c>
      <c r="D50" s="91">
        <v>0.11600000000000001</v>
      </c>
      <c r="E50" s="91">
        <f t="shared" si="1"/>
        <v>0.11600000000000001</v>
      </c>
      <c r="F50" s="112"/>
      <c r="G50" s="112"/>
    </row>
    <row r="51" spans="2:7" x14ac:dyDescent="0.3">
      <c r="B51" s="24" t="s">
        <v>116</v>
      </c>
      <c r="C51" s="91">
        <v>82.992000000000004</v>
      </c>
      <c r="D51" s="91">
        <v>82.775999999999996</v>
      </c>
      <c r="E51" s="91">
        <f t="shared" si="1"/>
        <v>82.884</v>
      </c>
      <c r="F51" s="112"/>
      <c r="G51" s="112"/>
    </row>
    <row r="52" spans="2:7" x14ac:dyDescent="0.3">
      <c r="B52" s="24" t="s">
        <v>171</v>
      </c>
      <c r="C52" s="91">
        <v>-144.16999999999999</v>
      </c>
      <c r="D52" s="91">
        <v>-142.55199999999999</v>
      </c>
      <c r="E52" s="91">
        <f t="shared" si="1"/>
        <v>-143.36099999999999</v>
      </c>
      <c r="F52" s="112"/>
      <c r="G52" s="112"/>
    </row>
    <row r="53" spans="2:7" x14ac:dyDescent="0.3">
      <c r="B53" s="24" t="s">
        <v>172</v>
      </c>
      <c r="C53" s="91">
        <v>207.40799999999999</v>
      </c>
      <c r="D53" s="91">
        <v>199.107</v>
      </c>
      <c r="E53" s="91">
        <f t="shared" si="1"/>
        <v>203.25749999999999</v>
      </c>
      <c r="F53" s="112"/>
      <c r="G53" s="112"/>
    </row>
    <row r="54" spans="2:7" x14ac:dyDescent="0.3">
      <c r="B54" s="110" t="s">
        <v>173</v>
      </c>
      <c r="C54" s="92">
        <v>146.346</v>
      </c>
      <c r="D54" s="92">
        <v>139.447</v>
      </c>
      <c r="E54" s="92">
        <f t="shared" si="1"/>
        <v>142.8965</v>
      </c>
      <c r="F54" s="112"/>
      <c r="G54" s="112"/>
    </row>
    <row r="55" spans="2:7" x14ac:dyDescent="0.3">
      <c r="B55" s="110" t="s">
        <v>122</v>
      </c>
      <c r="C55" s="92">
        <v>465.072</v>
      </c>
      <c r="D55" s="92">
        <v>466.06599999999997</v>
      </c>
      <c r="E55" s="92">
        <f t="shared" si="1"/>
        <v>465.56899999999996</v>
      </c>
      <c r="F55" s="112"/>
      <c r="G55" s="112"/>
    </row>
    <row r="56" spans="2:7" x14ac:dyDescent="0.3">
      <c r="B56" s="109"/>
    </row>
    <row r="57" spans="2:7" x14ac:dyDescent="0.3">
      <c r="B57" s="108"/>
    </row>
    <row r="58" spans="2:7" x14ac:dyDescent="0.3">
      <c r="B58" s="121" t="s">
        <v>176</v>
      </c>
      <c r="C58" s="119">
        <f>C47-C23-C27</f>
        <v>287.63499999999999</v>
      </c>
      <c r="D58" s="119">
        <f t="shared" ref="D58:E58" si="2">D47-D23-D27</f>
        <v>298.78800000000007</v>
      </c>
      <c r="E58" s="119">
        <f t="shared" si="2"/>
        <v>293.2115</v>
      </c>
    </row>
    <row r="59" spans="2:7" x14ac:dyDescent="0.3">
      <c r="B59" s="108"/>
    </row>
    <row r="60" spans="2:7" x14ac:dyDescent="0.3">
      <c r="B60" s="121" t="s">
        <v>178</v>
      </c>
      <c r="C60" s="60">
        <f>C47/(C47+C54)</f>
        <v>0.68532614304881823</v>
      </c>
      <c r="D60" s="60">
        <f t="shared" ref="D60:E60" si="3">D47/(D47+D54)</f>
        <v>0.7007998867113242</v>
      </c>
      <c r="E60" s="60">
        <f t="shared" si="3"/>
        <v>0.69307127407537872</v>
      </c>
    </row>
    <row r="61" spans="2:7" x14ac:dyDescent="0.3">
      <c r="B61" s="108"/>
    </row>
    <row r="62" spans="2:7" x14ac:dyDescent="0.3">
      <c r="B62" s="108"/>
    </row>
    <row r="63" spans="2:7" x14ac:dyDescent="0.3">
      <c r="B63" s="108"/>
    </row>
    <row r="64" spans="2:7" x14ac:dyDescent="0.3">
      <c r="B64" s="109"/>
    </row>
  </sheetData>
  <hyperlinks>
    <hyperlink ref="A1" location="Homepage!A1" display="H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63"/>
  <sheetViews>
    <sheetView showGridLines="0" workbookViewId="0">
      <selection activeCell="B13" sqref="B13"/>
    </sheetView>
  </sheetViews>
  <sheetFormatPr baseColWidth="10" defaultRowHeight="14.4" x14ac:dyDescent="0.3"/>
  <cols>
    <col min="1" max="1" width="6.33203125" customWidth="1"/>
    <col min="2" max="2" width="36.5546875" customWidth="1"/>
    <col min="3" max="6" width="16.88671875" customWidth="1"/>
    <col min="7" max="7" width="20.109375" customWidth="1"/>
    <col min="8" max="9" width="16.88671875" customWidth="1"/>
  </cols>
  <sheetData>
    <row r="1" spans="1:10" ht="18" x14ac:dyDescent="0.3">
      <c r="A1" s="153" t="s">
        <v>248</v>
      </c>
      <c r="B1" s="23" t="s">
        <v>56</v>
      </c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27"/>
      <c r="C2" s="25"/>
      <c r="D2" s="25"/>
      <c r="E2" s="20"/>
      <c r="F2" s="20"/>
      <c r="G2" s="20"/>
      <c r="H2" s="20"/>
      <c r="I2" s="2"/>
    </row>
    <row r="3" spans="1:10" ht="18" x14ac:dyDescent="0.3">
      <c r="A3" s="1"/>
      <c r="B3" s="29" t="s">
        <v>66</v>
      </c>
      <c r="C3" s="31" t="s">
        <v>32</v>
      </c>
      <c r="D3" s="33" t="s">
        <v>57</v>
      </c>
      <c r="E3" s="31" t="s">
        <v>33</v>
      </c>
      <c r="F3" s="33" t="s">
        <v>58</v>
      </c>
      <c r="G3" s="38" t="s">
        <v>34</v>
      </c>
      <c r="H3" s="31" t="s">
        <v>35</v>
      </c>
      <c r="I3" s="32" t="s">
        <v>36</v>
      </c>
    </row>
    <row r="4" spans="1:10" x14ac:dyDescent="0.3">
      <c r="A4" s="28"/>
      <c r="B4" s="28" t="s">
        <v>37</v>
      </c>
      <c r="C4" s="35">
        <v>5092</v>
      </c>
      <c r="D4" s="35">
        <v>1180</v>
      </c>
      <c r="E4" s="35">
        <v>4871.2</v>
      </c>
      <c r="F4" s="35">
        <v>1150</v>
      </c>
      <c r="G4" s="39">
        <f>E4+F4-D4</f>
        <v>4841.2</v>
      </c>
      <c r="H4" s="35">
        <v>4347.6000000000004</v>
      </c>
      <c r="I4" s="35">
        <v>4660.8</v>
      </c>
    </row>
    <row r="5" spans="1:10" x14ac:dyDescent="0.3">
      <c r="A5" s="28"/>
      <c r="B5" s="34" t="s">
        <v>44</v>
      </c>
      <c r="C5" s="36">
        <v>5092</v>
      </c>
      <c r="D5" s="36">
        <v>1180</v>
      </c>
      <c r="E5" s="36">
        <v>4871.2</v>
      </c>
      <c r="F5" s="36">
        <v>1150</v>
      </c>
      <c r="G5" s="41">
        <f t="shared" ref="G5:G18" si="0">E5+F5-D5</f>
        <v>4841.2</v>
      </c>
      <c r="H5" s="36">
        <v>4347.6000000000004</v>
      </c>
      <c r="I5" s="36">
        <v>4660.8</v>
      </c>
    </row>
    <row r="6" spans="1:10" x14ac:dyDescent="0.3">
      <c r="A6" s="28"/>
      <c r="B6" s="28" t="s">
        <v>45</v>
      </c>
      <c r="C6" s="35">
        <f>C5-C7</f>
        <v>4573.3999999999996</v>
      </c>
      <c r="D6" s="35">
        <f>D5-D7</f>
        <v>1051.9000000000001</v>
      </c>
      <c r="E6" s="35">
        <f>E5-E7</f>
        <v>4466.8999999999996</v>
      </c>
      <c r="F6" s="35">
        <f>F5-F7</f>
        <v>1016.5</v>
      </c>
      <c r="G6" s="39">
        <f t="shared" si="0"/>
        <v>4431.5</v>
      </c>
      <c r="H6" s="35"/>
      <c r="I6" s="35"/>
    </row>
    <row r="7" spans="1:10" x14ac:dyDescent="0.3">
      <c r="A7" s="28"/>
      <c r="B7" s="34" t="s">
        <v>46</v>
      </c>
      <c r="C7" s="36">
        <v>518.6</v>
      </c>
      <c r="D7" s="36">
        <v>128.1</v>
      </c>
      <c r="E7" s="36">
        <v>404.3</v>
      </c>
      <c r="F7" s="36">
        <v>133.5</v>
      </c>
      <c r="G7" s="41">
        <f t="shared" si="0"/>
        <v>409.69999999999993</v>
      </c>
      <c r="H7" s="36"/>
      <c r="I7" s="36"/>
    </row>
    <row r="8" spans="1:10" x14ac:dyDescent="0.3">
      <c r="A8" s="28"/>
      <c r="B8" s="28" t="s">
        <v>47</v>
      </c>
      <c r="C8" s="50">
        <v>0</v>
      </c>
      <c r="D8" s="50">
        <v>46.2</v>
      </c>
      <c r="E8" s="50">
        <v>0</v>
      </c>
      <c r="F8" s="50">
        <v>47.5</v>
      </c>
      <c r="G8" s="39">
        <f t="shared" si="0"/>
        <v>1.2999999999999972</v>
      </c>
      <c r="H8" s="50"/>
      <c r="I8" s="50"/>
    </row>
    <row r="9" spans="1:10" x14ac:dyDescent="0.3">
      <c r="A9" s="28"/>
      <c r="B9" s="28" t="s">
        <v>48</v>
      </c>
      <c r="C9" s="35">
        <v>147.69999999999999</v>
      </c>
      <c r="D9" s="35">
        <v>40</v>
      </c>
      <c r="E9" s="35">
        <v>152.4</v>
      </c>
      <c r="F9" s="35">
        <v>35.700000000000003</v>
      </c>
      <c r="G9" s="39">
        <f t="shared" si="0"/>
        <v>148.10000000000002</v>
      </c>
      <c r="H9" s="35"/>
      <c r="I9" s="35"/>
    </row>
    <row r="10" spans="1:10" x14ac:dyDescent="0.3">
      <c r="A10" s="28"/>
      <c r="B10" s="28" t="s">
        <v>60</v>
      </c>
      <c r="C10" s="35">
        <v>-20.8</v>
      </c>
      <c r="D10" s="35">
        <v>9.8000000000000007</v>
      </c>
      <c r="E10" s="35">
        <v>5.7</v>
      </c>
      <c r="F10" s="35">
        <v>-39.299999999999997</v>
      </c>
      <c r="G10" s="39">
        <f t="shared" si="0"/>
        <v>-43.399999999999991</v>
      </c>
      <c r="H10" s="35"/>
      <c r="I10" s="35"/>
    </row>
    <row r="11" spans="1:10" x14ac:dyDescent="0.3">
      <c r="A11" s="28"/>
      <c r="B11" s="28" t="s">
        <v>49</v>
      </c>
      <c r="C11" s="35">
        <v>248.8</v>
      </c>
      <c r="D11" s="35">
        <v>63.8</v>
      </c>
      <c r="E11" s="35">
        <v>241.2</v>
      </c>
      <c r="F11" s="35">
        <v>61.6</v>
      </c>
      <c r="G11" s="39">
        <f t="shared" si="0"/>
        <v>239</v>
      </c>
      <c r="H11" s="35"/>
      <c r="I11" s="35"/>
    </row>
    <row r="12" spans="1:10" x14ac:dyDescent="0.3">
      <c r="A12" s="28"/>
      <c r="B12" s="34" t="s">
        <v>69</v>
      </c>
      <c r="C12" s="36">
        <v>142.9</v>
      </c>
      <c r="D12" s="36">
        <v>-31.7</v>
      </c>
      <c r="E12" s="36">
        <v>5</v>
      </c>
      <c r="F12" s="36">
        <v>28</v>
      </c>
      <c r="G12" s="41">
        <f t="shared" si="0"/>
        <v>64.7</v>
      </c>
      <c r="H12" s="36">
        <v>-27.6</v>
      </c>
      <c r="I12" s="36">
        <v>93.9</v>
      </c>
    </row>
    <row r="13" spans="1:10" x14ac:dyDescent="0.3">
      <c r="A13" s="28"/>
      <c r="B13" s="34" t="s">
        <v>38</v>
      </c>
      <c r="C13" s="36">
        <f>C12+C9</f>
        <v>290.60000000000002</v>
      </c>
      <c r="D13" s="36">
        <f>D12+D9</f>
        <v>8.3000000000000007</v>
      </c>
      <c r="E13" s="36">
        <f>E12+E9</f>
        <v>157.4</v>
      </c>
      <c r="F13" s="36">
        <f>F12+F9</f>
        <v>63.7</v>
      </c>
      <c r="G13" s="41">
        <f t="shared" si="0"/>
        <v>212.8</v>
      </c>
      <c r="H13" s="36">
        <v>76.099999999999994</v>
      </c>
      <c r="I13" s="36">
        <v>233</v>
      </c>
    </row>
    <row r="14" spans="1:10" x14ac:dyDescent="0.3">
      <c r="A14" s="28"/>
      <c r="B14" s="28" t="s">
        <v>50</v>
      </c>
      <c r="C14" s="35">
        <v>-105.8</v>
      </c>
      <c r="D14" s="35">
        <v>-27</v>
      </c>
      <c r="E14" s="35">
        <v>-111.2</v>
      </c>
      <c r="F14" s="35">
        <v>-28.3</v>
      </c>
      <c r="G14" s="39">
        <f t="shared" si="0"/>
        <v>-112.5</v>
      </c>
      <c r="H14" s="35"/>
      <c r="I14" s="35"/>
    </row>
    <row r="15" spans="1:10" x14ac:dyDescent="0.3">
      <c r="A15" s="28"/>
      <c r="B15" s="28" t="s">
        <v>51</v>
      </c>
      <c r="C15" s="35">
        <v>-5.8</v>
      </c>
      <c r="D15" s="35">
        <v>-0.1</v>
      </c>
      <c r="E15" s="35">
        <v>-2.1</v>
      </c>
      <c r="F15" s="35">
        <v>4.2</v>
      </c>
      <c r="G15" s="39">
        <f t="shared" si="0"/>
        <v>2.2000000000000002</v>
      </c>
      <c r="H15" s="35"/>
      <c r="I15" s="35"/>
    </row>
    <row r="16" spans="1:10" x14ac:dyDescent="0.3">
      <c r="A16" s="28"/>
      <c r="B16" s="34" t="s">
        <v>59</v>
      </c>
      <c r="C16" s="36">
        <v>31.3</v>
      </c>
      <c r="D16" s="36">
        <v>-58.8</v>
      </c>
      <c r="E16" s="36">
        <v>-108.3</v>
      </c>
      <c r="F16" s="36">
        <v>3.9</v>
      </c>
      <c r="G16" s="41">
        <f t="shared" si="0"/>
        <v>-45.599999999999994</v>
      </c>
      <c r="H16" s="36">
        <v>-145.9</v>
      </c>
      <c r="I16" s="36">
        <v>-31.7</v>
      </c>
    </row>
    <row r="17" spans="1:11" x14ac:dyDescent="0.3">
      <c r="A17" s="28"/>
      <c r="B17" s="28" t="s">
        <v>52</v>
      </c>
      <c r="C17" s="35">
        <v>11.1</v>
      </c>
      <c r="D17" s="35">
        <v>-9.6999999999999993</v>
      </c>
      <c r="E17" s="35">
        <v>-4.3</v>
      </c>
      <c r="F17" s="35">
        <v>-0.4</v>
      </c>
      <c r="G17" s="39">
        <f t="shared" si="0"/>
        <v>4.9999999999999991</v>
      </c>
      <c r="H17" s="45"/>
      <c r="I17" s="35"/>
    </row>
    <row r="18" spans="1:11" x14ac:dyDescent="0.3">
      <c r="A18" s="28"/>
      <c r="B18" s="34" t="s">
        <v>53</v>
      </c>
      <c r="C18" s="36">
        <v>20.2</v>
      </c>
      <c r="D18" s="36">
        <v>-49.1</v>
      </c>
      <c r="E18" s="36">
        <v>-104</v>
      </c>
      <c r="F18" s="36">
        <v>4.3</v>
      </c>
      <c r="G18" s="41">
        <f t="shared" si="0"/>
        <v>-50.6</v>
      </c>
      <c r="H18" s="36">
        <v>-105.1</v>
      </c>
      <c r="I18" s="36">
        <v>-5.15</v>
      </c>
    </row>
    <row r="19" spans="1:11" x14ac:dyDescent="0.3">
      <c r="A19" s="28"/>
      <c r="B19" s="71"/>
      <c r="C19" s="28"/>
      <c r="D19" s="28"/>
      <c r="E19" s="28"/>
      <c r="F19" s="28"/>
      <c r="G19" s="28"/>
      <c r="H19" s="28"/>
      <c r="I19" s="28"/>
    </row>
    <row r="20" spans="1:11" x14ac:dyDescent="0.3">
      <c r="B20" s="43" t="s">
        <v>87</v>
      </c>
      <c r="C20" s="28"/>
      <c r="D20" s="28"/>
      <c r="E20" s="28"/>
      <c r="F20" s="28"/>
      <c r="G20" s="28"/>
      <c r="H20" s="28"/>
      <c r="I20" s="28"/>
    </row>
    <row r="22" spans="1:11" ht="16.2" thickBot="1" x14ac:dyDescent="0.35">
      <c r="B22" s="89" t="s">
        <v>93</v>
      </c>
      <c r="C22" s="3" t="s">
        <v>57</v>
      </c>
      <c r="D22" s="3" t="s">
        <v>58</v>
      </c>
      <c r="E22" s="3" t="s">
        <v>175</v>
      </c>
      <c r="G22" s="128" t="s">
        <v>179</v>
      </c>
      <c r="H22" s="3" t="s">
        <v>180</v>
      </c>
      <c r="I22" s="3" t="s">
        <v>33</v>
      </c>
      <c r="J22" s="3" t="s">
        <v>181</v>
      </c>
      <c r="K22" s="3" t="s">
        <v>34</v>
      </c>
    </row>
    <row r="23" spans="1:11" x14ac:dyDescent="0.3">
      <c r="B23" t="s">
        <v>94</v>
      </c>
      <c r="C23" s="90">
        <v>126.6</v>
      </c>
      <c r="D23" s="90">
        <v>103.9</v>
      </c>
      <c r="E23" s="90">
        <f>(C23+D23)/2</f>
        <v>115.25</v>
      </c>
      <c r="G23" t="s">
        <v>182</v>
      </c>
      <c r="H23" s="6">
        <v>32.6</v>
      </c>
      <c r="I23" s="6">
        <v>143.19999999999999</v>
      </c>
      <c r="J23" s="6">
        <v>12.4</v>
      </c>
      <c r="K23" s="6">
        <f>I23+J23-H23</f>
        <v>123</v>
      </c>
    </row>
    <row r="24" spans="1:11" x14ac:dyDescent="0.3">
      <c r="B24" s="107" t="s">
        <v>96</v>
      </c>
      <c r="C24" s="92">
        <v>126.6</v>
      </c>
      <c r="D24" s="92">
        <v>103.9</v>
      </c>
      <c r="E24" s="117">
        <f t="shared" ref="E24:E59" si="1">(C24+D24)/2</f>
        <v>115.25</v>
      </c>
    </row>
    <row r="25" spans="1:11" x14ac:dyDescent="0.3">
      <c r="B25" s="28" t="s">
        <v>97</v>
      </c>
      <c r="C25" s="91">
        <v>513.6</v>
      </c>
      <c r="D25" s="91">
        <v>525.20000000000005</v>
      </c>
      <c r="E25" s="116">
        <f t="shared" si="1"/>
        <v>519.40000000000009</v>
      </c>
    </row>
    <row r="26" spans="1:11" x14ac:dyDescent="0.3">
      <c r="B26" t="s">
        <v>98</v>
      </c>
      <c r="C26" s="91">
        <v>65.900000000000006</v>
      </c>
      <c r="D26" s="91">
        <v>60</v>
      </c>
      <c r="E26" s="116">
        <f t="shared" si="1"/>
        <v>62.95</v>
      </c>
    </row>
    <row r="27" spans="1:11" x14ac:dyDescent="0.3">
      <c r="B27" t="s">
        <v>99</v>
      </c>
      <c r="C27" s="91">
        <v>25</v>
      </c>
      <c r="D27" s="91">
        <v>2</v>
      </c>
      <c r="E27" s="116">
        <f t="shared" si="1"/>
        <v>13.5</v>
      </c>
    </row>
    <row r="28" spans="1:11" x14ac:dyDescent="0.3">
      <c r="B28" s="107" t="s">
        <v>100</v>
      </c>
      <c r="C28" s="92">
        <v>731.1</v>
      </c>
      <c r="D28" s="92">
        <v>691.1</v>
      </c>
      <c r="E28" s="117">
        <f t="shared" si="1"/>
        <v>711.1</v>
      </c>
    </row>
    <row r="29" spans="1:11" x14ac:dyDescent="0.3">
      <c r="B29" t="s">
        <v>101</v>
      </c>
      <c r="C29" s="91">
        <v>1150</v>
      </c>
      <c r="D29" s="91">
        <v>1090</v>
      </c>
      <c r="E29" s="116">
        <f t="shared" si="1"/>
        <v>1120</v>
      </c>
    </row>
    <row r="30" spans="1:11" x14ac:dyDescent="0.3">
      <c r="B30" t="s">
        <v>104</v>
      </c>
      <c r="C30" s="91">
        <v>43.7</v>
      </c>
      <c r="D30" s="91">
        <v>67.5</v>
      </c>
      <c r="E30" s="116">
        <f t="shared" si="1"/>
        <v>55.6</v>
      </c>
    </row>
    <row r="31" spans="1:11" x14ac:dyDescent="0.3">
      <c r="B31" s="107" t="s">
        <v>105</v>
      </c>
      <c r="C31" s="92">
        <v>1930</v>
      </c>
      <c r="D31" s="92">
        <v>1850</v>
      </c>
      <c r="E31" s="117">
        <f t="shared" si="1"/>
        <v>1890</v>
      </c>
    </row>
    <row r="32" spans="1:11" x14ac:dyDescent="0.3">
      <c r="C32" s="1"/>
      <c r="D32" s="1"/>
      <c r="E32" s="1"/>
    </row>
    <row r="33" spans="2:5" x14ac:dyDescent="0.3">
      <c r="B33" t="s">
        <v>106</v>
      </c>
      <c r="C33" s="90">
        <v>198.5</v>
      </c>
      <c r="D33" s="90">
        <v>194.7</v>
      </c>
      <c r="E33" s="90">
        <f t="shared" si="1"/>
        <v>196.6</v>
      </c>
    </row>
    <row r="34" spans="2:5" x14ac:dyDescent="0.3">
      <c r="B34" t="s">
        <v>107</v>
      </c>
      <c r="C34" s="91">
        <v>427.2</v>
      </c>
      <c r="D34" s="91">
        <v>360.6</v>
      </c>
      <c r="E34" s="116">
        <f t="shared" si="1"/>
        <v>393.9</v>
      </c>
    </row>
    <row r="35" spans="2:5" x14ac:dyDescent="0.3">
      <c r="B35" t="s">
        <v>108</v>
      </c>
      <c r="C35" s="91">
        <v>23.6</v>
      </c>
      <c r="D35" s="91">
        <v>4.3</v>
      </c>
      <c r="E35" s="116">
        <f t="shared" si="1"/>
        <v>13.950000000000001</v>
      </c>
    </row>
    <row r="36" spans="2:5" x14ac:dyDescent="0.3">
      <c r="B36" t="s">
        <v>109</v>
      </c>
      <c r="C36" s="91">
        <v>66.900000000000006</v>
      </c>
      <c r="D36" s="91">
        <v>144.9</v>
      </c>
      <c r="E36" s="116">
        <f t="shared" si="1"/>
        <v>105.9</v>
      </c>
    </row>
    <row r="37" spans="2:5" x14ac:dyDescent="0.3">
      <c r="B37" s="107" t="s">
        <v>110</v>
      </c>
      <c r="C37" s="92">
        <v>716.2</v>
      </c>
      <c r="D37" s="92">
        <v>704.5</v>
      </c>
      <c r="E37" s="117">
        <f t="shared" si="1"/>
        <v>710.35</v>
      </c>
    </row>
    <row r="38" spans="2:5" x14ac:dyDescent="0.3">
      <c r="B38" t="s">
        <v>152</v>
      </c>
      <c r="C38" s="91">
        <v>0</v>
      </c>
      <c r="D38" s="91">
        <v>3.3</v>
      </c>
      <c r="E38" s="116">
        <f t="shared" si="1"/>
        <v>1.65</v>
      </c>
    </row>
    <row r="39" spans="2:5" x14ac:dyDescent="0.3">
      <c r="B39" t="s">
        <v>111</v>
      </c>
      <c r="C39" s="91">
        <v>846.9</v>
      </c>
      <c r="D39" s="91">
        <v>841.6</v>
      </c>
      <c r="E39" s="116">
        <f t="shared" si="1"/>
        <v>844.25</v>
      </c>
    </row>
    <row r="40" spans="2:5" x14ac:dyDescent="0.3">
      <c r="B40" t="s">
        <v>112</v>
      </c>
      <c r="C40" s="91">
        <v>0</v>
      </c>
      <c r="D40" s="91">
        <v>0</v>
      </c>
      <c r="E40" s="116">
        <f t="shared" si="1"/>
        <v>0</v>
      </c>
    </row>
    <row r="41" spans="2:5" x14ac:dyDescent="0.3">
      <c r="B41" t="s">
        <v>113</v>
      </c>
      <c r="C41" s="91">
        <v>715.2</v>
      </c>
      <c r="D41" s="91">
        <v>740.7</v>
      </c>
      <c r="E41" s="116">
        <f t="shared" si="1"/>
        <v>727.95</v>
      </c>
    </row>
    <row r="42" spans="2:5" x14ac:dyDescent="0.3">
      <c r="B42" s="107" t="s">
        <v>114</v>
      </c>
      <c r="C42" s="92">
        <v>2280</v>
      </c>
      <c r="D42" s="92">
        <v>2290</v>
      </c>
      <c r="E42" s="117">
        <f t="shared" si="1"/>
        <v>2285</v>
      </c>
    </row>
    <row r="43" spans="2:5" x14ac:dyDescent="0.3">
      <c r="C43" s="1"/>
      <c r="D43" s="1"/>
      <c r="E43" s="1"/>
    </row>
    <row r="44" spans="2:5" x14ac:dyDescent="0.3">
      <c r="B44" t="s">
        <v>115</v>
      </c>
      <c r="C44" s="90">
        <v>0.3</v>
      </c>
      <c r="D44" s="90">
        <v>0.3</v>
      </c>
      <c r="E44" s="90">
        <f t="shared" si="1"/>
        <v>0.3</v>
      </c>
    </row>
    <row r="45" spans="2:5" x14ac:dyDescent="0.3">
      <c r="B45" t="s">
        <v>116</v>
      </c>
      <c r="C45" s="91">
        <v>2330</v>
      </c>
      <c r="D45" s="91">
        <v>2330</v>
      </c>
      <c r="E45" s="116">
        <f t="shared" si="1"/>
        <v>2330</v>
      </c>
    </row>
    <row r="46" spans="2:5" x14ac:dyDescent="0.3">
      <c r="B46" t="s">
        <v>117</v>
      </c>
      <c r="C46" s="91">
        <v>-2260</v>
      </c>
      <c r="D46" s="91">
        <v>-2310</v>
      </c>
      <c r="E46" s="116">
        <f t="shared" si="1"/>
        <v>-2285</v>
      </c>
    </row>
    <row r="47" spans="2:5" x14ac:dyDescent="0.3">
      <c r="B47" t="s">
        <v>118</v>
      </c>
      <c r="C47" s="91">
        <v>-92.7</v>
      </c>
      <c r="D47" s="91">
        <v>-92.7</v>
      </c>
      <c r="E47" s="116">
        <f t="shared" si="1"/>
        <v>-92.7</v>
      </c>
    </row>
    <row r="48" spans="2:5" x14ac:dyDescent="0.3">
      <c r="B48" t="s">
        <v>120</v>
      </c>
      <c r="C48" s="91">
        <v>328.8</v>
      </c>
      <c r="D48" s="91">
        <v>-368</v>
      </c>
      <c r="E48" s="116">
        <f t="shared" si="1"/>
        <v>-19.599999999999994</v>
      </c>
    </row>
    <row r="49" spans="2:5" x14ac:dyDescent="0.3">
      <c r="B49" s="107" t="s">
        <v>121</v>
      </c>
      <c r="C49" s="92">
        <v>-349.5</v>
      </c>
      <c r="D49" s="92">
        <v>-433.8</v>
      </c>
      <c r="E49" s="117">
        <f t="shared" si="1"/>
        <v>-391.65</v>
      </c>
    </row>
    <row r="50" spans="2:5" x14ac:dyDescent="0.3">
      <c r="B50" s="107" t="s">
        <v>122</v>
      </c>
      <c r="C50" s="92">
        <v>1930</v>
      </c>
      <c r="D50" s="92">
        <v>1850</v>
      </c>
      <c r="E50" s="117">
        <f t="shared" si="1"/>
        <v>1890</v>
      </c>
    </row>
    <row r="51" spans="2:5" x14ac:dyDescent="0.3">
      <c r="C51" s="91"/>
      <c r="D51" s="91"/>
      <c r="E51" s="116"/>
    </row>
    <row r="52" spans="2:5" x14ac:dyDescent="0.3">
      <c r="B52" t="s">
        <v>123</v>
      </c>
      <c r="C52" s="91">
        <v>34.6</v>
      </c>
      <c r="D52" s="91">
        <v>37.15</v>
      </c>
      <c r="E52" s="116">
        <f t="shared" si="1"/>
        <v>35.875</v>
      </c>
    </row>
    <row r="53" spans="2:5" x14ac:dyDescent="0.3">
      <c r="B53" t="s">
        <v>124</v>
      </c>
      <c r="C53" s="91">
        <v>-10.1</v>
      </c>
      <c r="D53" s="91">
        <v>-11.68</v>
      </c>
      <c r="E53" s="116">
        <f t="shared" si="1"/>
        <v>-10.89</v>
      </c>
    </row>
    <row r="54" spans="2:5" x14ac:dyDescent="0.3">
      <c r="C54" s="91"/>
      <c r="D54" s="91"/>
      <c r="E54" s="116"/>
    </row>
    <row r="55" spans="2:5" x14ac:dyDescent="0.3">
      <c r="B55" t="s">
        <v>125</v>
      </c>
      <c r="C55" s="91">
        <v>513.6</v>
      </c>
      <c r="D55" s="91">
        <v>525.20000000000005</v>
      </c>
      <c r="E55" s="116">
        <f t="shared" si="1"/>
        <v>519.40000000000009</v>
      </c>
    </row>
    <row r="56" spans="2:5" x14ac:dyDescent="0.3">
      <c r="B56" t="s">
        <v>126</v>
      </c>
      <c r="C56" s="91">
        <v>2760</v>
      </c>
      <c r="D56" s="91">
        <v>2730</v>
      </c>
      <c r="E56" s="116">
        <f t="shared" si="1"/>
        <v>2745</v>
      </c>
    </row>
    <row r="57" spans="2:5" x14ac:dyDescent="0.3">
      <c r="B57" t="s">
        <v>127</v>
      </c>
      <c r="C57" s="91">
        <v>-1980</v>
      </c>
      <c r="D57" s="91">
        <v>-1.99</v>
      </c>
      <c r="E57" s="116">
        <f t="shared" si="1"/>
        <v>-990.995</v>
      </c>
    </row>
    <row r="58" spans="2:5" x14ac:dyDescent="0.3">
      <c r="B58" t="s">
        <v>128</v>
      </c>
      <c r="C58" s="91">
        <v>846.9</v>
      </c>
      <c r="D58" s="91">
        <v>838.3</v>
      </c>
      <c r="E58" s="116">
        <f t="shared" si="1"/>
        <v>842.59999999999991</v>
      </c>
    </row>
    <row r="59" spans="2:5" x14ac:dyDescent="0.3">
      <c r="B59" t="s">
        <v>30</v>
      </c>
      <c r="C59" s="91">
        <v>870.5</v>
      </c>
      <c r="D59" s="91">
        <v>845.9</v>
      </c>
      <c r="E59" s="116">
        <f t="shared" si="1"/>
        <v>858.2</v>
      </c>
    </row>
    <row r="60" spans="2:5" x14ac:dyDescent="0.3">
      <c r="D60" s="91"/>
    </row>
    <row r="61" spans="2:5" x14ac:dyDescent="0.3">
      <c r="B61" s="110" t="s">
        <v>176</v>
      </c>
      <c r="C61" s="61">
        <f>C42-C24</f>
        <v>2153.4</v>
      </c>
      <c r="D61" s="61">
        <f t="shared" ref="D61:E61" si="2">D42-D24</f>
        <v>2186.1</v>
      </c>
      <c r="E61" s="61">
        <f t="shared" si="2"/>
        <v>2169.75</v>
      </c>
    </row>
    <row r="63" spans="2:5" x14ac:dyDescent="0.3">
      <c r="B63" s="107" t="s">
        <v>178</v>
      </c>
      <c r="C63" s="60">
        <f>C42/(C42+C49)</f>
        <v>1.1810411810411809</v>
      </c>
      <c r="D63" s="60">
        <f t="shared" ref="D63:E63" si="3">D42/(D42+D49)</f>
        <v>1.2337032647344035</v>
      </c>
      <c r="E63" s="60">
        <f t="shared" si="3"/>
        <v>1.206855573454459</v>
      </c>
    </row>
  </sheetData>
  <hyperlinks>
    <hyperlink ref="A1" location="Homepage!A1" display="H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14"/>
  <sheetViews>
    <sheetView showGridLines="0" workbookViewId="0">
      <selection activeCell="E15" sqref="E15"/>
    </sheetView>
  </sheetViews>
  <sheetFormatPr baseColWidth="10" defaultRowHeight="14.4" x14ac:dyDescent="0.3"/>
  <cols>
    <col min="1" max="1" width="9.88671875" customWidth="1"/>
    <col min="2" max="2" width="27.21875" customWidth="1"/>
    <col min="3" max="3" width="12.5546875" customWidth="1"/>
  </cols>
  <sheetData>
    <row r="1" spans="1:12" ht="18" x14ac:dyDescent="0.3">
      <c r="A1" s="153" t="s">
        <v>248</v>
      </c>
    </row>
    <row r="3" spans="1:12" ht="15" thickBot="1" x14ac:dyDescent="0.35">
      <c r="B3" s="72" t="s">
        <v>31</v>
      </c>
      <c r="C3" s="72" t="s">
        <v>2</v>
      </c>
      <c r="D3" s="72" t="s">
        <v>88</v>
      </c>
      <c r="E3" s="72" t="s">
        <v>89</v>
      </c>
      <c r="F3" s="73" t="s">
        <v>90</v>
      </c>
      <c r="H3" s="73" t="s">
        <v>91</v>
      </c>
      <c r="I3" s="73" t="s">
        <v>92</v>
      </c>
      <c r="J3" s="73" t="s">
        <v>90</v>
      </c>
      <c r="L3" s="73" t="s">
        <v>204</v>
      </c>
    </row>
    <row r="4" spans="1:12" x14ac:dyDescent="0.3">
      <c r="B4" s="24" t="s">
        <v>0</v>
      </c>
      <c r="C4" s="1" t="s">
        <v>1</v>
      </c>
      <c r="D4" s="74">
        <f>'Target Co'!G17/EV!C6</f>
        <v>1.205475869493585</v>
      </c>
      <c r="E4" s="161">
        <v>1.84</v>
      </c>
      <c r="F4" s="63">
        <f>(D4-E4)/E4</f>
        <v>-0.3448500709273995</v>
      </c>
      <c r="H4" s="161">
        <v>1.1599999999999999</v>
      </c>
      <c r="I4" s="163">
        <v>1.34</v>
      </c>
      <c r="J4" s="63">
        <f>(H4-I4)/I4</f>
        <v>-0.13432835820895533</v>
      </c>
      <c r="L4" s="163">
        <v>2.27</v>
      </c>
    </row>
    <row r="5" spans="1:12" x14ac:dyDescent="0.3">
      <c r="B5" s="24" t="s">
        <v>28</v>
      </c>
      <c r="C5" s="1" t="s">
        <v>29</v>
      </c>
      <c r="D5" s="77">
        <f>Comp1!G15/EV!D6</f>
        <v>0.84682287092424369</v>
      </c>
      <c r="E5" s="162">
        <v>0.88</v>
      </c>
      <c r="F5" s="63">
        <f t="shared" ref="F5:F10" si="0">(D5-E5)/E5</f>
        <v>-3.770128304063218E-2</v>
      </c>
      <c r="H5" s="157">
        <v>0.66</v>
      </c>
      <c r="I5" s="164">
        <v>0.89</v>
      </c>
      <c r="J5" s="63">
        <f t="shared" ref="J5:J11" si="1">(H5-I5)/I5</f>
        <v>-0.2584269662921348</v>
      </c>
      <c r="L5" s="164">
        <v>0.85</v>
      </c>
    </row>
    <row r="6" spans="1:12" x14ac:dyDescent="0.3">
      <c r="B6" s="24" t="s">
        <v>24</v>
      </c>
      <c r="C6" s="1" t="s">
        <v>25</v>
      </c>
      <c r="D6" s="77">
        <f>Comp2!G17/EV!E6</f>
        <v>1.116292017689984</v>
      </c>
      <c r="E6" s="162">
        <v>1</v>
      </c>
      <c r="F6" s="63">
        <f t="shared" si="0"/>
        <v>0.11629201768998398</v>
      </c>
      <c r="H6" s="157">
        <v>0.99</v>
      </c>
      <c r="I6" s="164">
        <v>1.1100000000000001</v>
      </c>
      <c r="J6" s="63">
        <f t="shared" si="1"/>
        <v>-0.1081081081081082</v>
      </c>
      <c r="L6" s="164">
        <v>1.18</v>
      </c>
    </row>
    <row r="7" spans="1:12" x14ac:dyDescent="0.3">
      <c r="B7" s="24" t="s">
        <v>7</v>
      </c>
      <c r="C7" s="1" t="s">
        <v>6</v>
      </c>
      <c r="D7" s="77">
        <f>Comp3!G18/EV!F6</f>
        <v>1.4646232138029258</v>
      </c>
      <c r="E7" s="162">
        <v>2.37</v>
      </c>
      <c r="F7" s="63">
        <f t="shared" si="0"/>
        <v>-0.38201552160214103</v>
      </c>
      <c r="H7" s="157">
        <v>1.04</v>
      </c>
      <c r="I7" s="164">
        <v>1.51</v>
      </c>
      <c r="J7" s="63">
        <f t="shared" si="1"/>
        <v>-0.31125827814569534</v>
      </c>
      <c r="L7" s="164">
        <v>2.25</v>
      </c>
    </row>
    <row r="8" spans="1:12" x14ac:dyDescent="0.3">
      <c r="B8" s="24" t="s">
        <v>8</v>
      </c>
      <c r="C8" s="1" t="s">
        <v>3</v>
      </c>
      <c r="D8" s="77">
        <f>Comp4!G22/EV!G6</f>
        <v>-0.35587296609697994</v>
      </c>
      <c r="E8" s="162">
        <v>0.52</v>
      </c>
      <c r="F8" s="63">
        <f t="shared" si="0"/>
        <v>-1.6843710886480383</v>
      </c>
      <c r="H8" s="162">
        <v>-0.1</v>
      </c>
      <c r="I8" s="162">
        <v>-7.0000000000000007E-2</v>
      </c>
      <c r="J8" s="63">
        <f t="shared" si="1"/>
        <v>0.42857142857142849</v>
      </c>
      <c r="L8" s="164">
        <v>0.51</v>
      </c>
    </row>
    <row r="9" spans="1:12" x14ac:dyDescent="0.3">
      <c r="B9" s="24" t="s">
        <v>64</v>
      </c>
      <c r="C9" s="1" t="s">
        <v>63</v>
      </c>
      <c r="D9" s="77">
        <f>Comp5!G16/EV!H6</f>
        <v>0.10768027199100358</v>
      </c>
      <c r="E9" s="162">
        <v>2.2999999999999998</v>
      </c>
      <c r="F9" s="63">
        <f t="shared" si="0"/>
        <v>-0.95318249043869407</v>
      </c>
      <c r="H9" s="157">
        <v>0.32</v>
      </c>
      <c r="I9" s="164">
        <v>0.45</v>
      </c>
      <c r="J9" s="63">
        <f t="shared" si="1"/>
        <v>-0.28888888888888892</v>
      </c>
      <c r="L9" s="164">
        <v>1.21</v>
      </c>
    </row>
    <row r="10" spans="1:12" x14ac:dyDescent="0.3">
      <c r="B10" s="24" t="s">
        <v>4</v>
      </c>
      <c r="C10" s="1" t="s">
        <v>5</v>
      </c>
      <c r="D10" s="77">
        <f>Comp6!G18/EV!I6</f>
        <v>-0.29604707496782667</v>
      </c>
      <c r="E10" s="162">
        <v>3.9</v>
      </c>
      <c r="F10" s="63">
        <f t="shared" si="0"/>
        <v>-1.0759095064020068</v>
      </c>
      <c r="H10" s="157">
        <v>2.13</v>
      </c>
      <c r="I10" s="164">
        <v>1.34</v>
      </c>
      <c r="J10" s="63">
        <f t="shared" si="1"/>
        <v>0.58955223880596996</v>
      </c>
      <c r="L10" s="164">
        <v>3.1</v>
      </c>
    </row>
    <row r="11" spans="1:12" x14ac:dyDescent="0.3">
      <c r="B11" s="24" t="s">
        <v>79</v>
      </c>
      <c r="C11" s="1" t="s">
        <v>10</v>
      </c>
      <c r="D11" s="77">
        <f>Comp7!G18/EV!J6</f>
        <v>-1.3621959869975433</v>
      </c>
      <c r="E11" s="162">
        <v>0.6</v>
      </c>
      <c r="F11" s="63">
        <f>(D11-E11)/E11</f>
        <v>-3.2703266449959054</v>
      </c>
      <c r="H11" s="162">
        <v>-3.1</v>
      </c>
      <c r="I11" s="162">
        <v>-3.13</v>
      </c>
      <c r="J11" s="63">
        <f t="shared" si="1"/>
        <v>-9.5846645367411512E-3</v>
      </c>
      <c r="L11" s="164">
        <v>-0.23</v>
      </c>
    </row>
    <row r="13" spans="1:12" x14ac:dyDescent="0.3">
      <c r="B13" s="71"/>
    </row>
    <row r="14" spans="1:12" x14ac:dyDescent="0.3">
      <c r="B14" s="43" t="s">
        <v>87</v>
      </c>
      <c r="D14" s="78"/>
    </row>
  </sheetData>
  <hyperlinks>
    <hyperlink ref="A1" location="Homepage!A1" display="H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4"/>
  <sheetViews>
    <sheetView showGridLines="0" workbookViewId="0">
      <selection activeCell="B6" sqref="B6"/>
    </sheetView>
  </sheetViews>
  <sheetFormatPr baseColWidth="10" defaultRowHeight="14.4" x14ac:dyDescent="0.3"/>
  <cols>
    <col min="1" max="1" width="8" style="6" customWidth="1"/>
    <col min="2" max="2" width="23.33203125" style="6" customWidth="1"/>
    <col min="3" max="4" width="24.109375" style="7" customWidth="1"/>
    <col min="5" max="5" width="19.109375" style="6" customWidth="1"/>
    <col min="6" max="6" width="18.77734375" style="6" customWidth="1"/>
    <col min="7" max="7" width="22.109375" style="6" customWidth="1"/>
    <col min="8" max="8" width="28.109375" style="6" customWidth="1"/>
    <col min="9" max="9" width="27.33203125" style="6" customWidth="1"/>
    <col min="10" max="10" width="14.77734375" style="6" customWidth="1"/>
    <col min="11" max="11" width="20.44140625" style="6" customWidth="1"/>
    <col min="12" max="12" width="19.44140625" style="6" customWidth="1"/>
    <col min="13" max="16384" width="11.5546875" style="6"/>
  </cols>
  <sheetData>
    <row r="1" spans="1:10" ht="18" x14ac:dyDescent="0.3">
      <c r="A1" s="153" t="s">
        <v>248</v>
      </c>
      <c r="B1" s="176" t="s">
        <v>249</v>
      </c>
      <c r="H1" s="19"/>
      <c r="J1" s="19" t="s">
        <v>23</v>
      </c>
    </row>
    <row r="2" spans="1:10" x14ac:dyDescent="0.3">
      <c r="A2" s="7"/>
      <c r="B2" s="176"/>
      <c r="C2" s="12" t="s">
        <v>1</v>
      </c>
      <c r="D2" s="12" t="s">
        <v>29</v>
      </c>
      <c r="E2" s="12" t="s">
        <v>25</v>
      </c>
      <c r="F2" s="12" t="s">
        <v>6</v>
      </c>
      <c r="G2" s="12" t="s">
        <v>3</v>
      </c>
      <c r="H2" s="12" t="s">
        <v>63</v>
      </c>
      <c r="I2" s="12" t="s">
        <v>5</v>
      </c>
      <c r="J2" s="12" t="s">
        <v>10</v>
      </c>
    </row>
    <row r="3" spans="1:10" ht="15" thickBot="1" x14ac:dyDescent="0.35">
      <c r="B3" s="7"/>
      <c r="C3" s="8" t="s">
        <v>0</v>
      </c>
      <c r="D3" s="18" t="s">
        <v>28</v>
      </c>
      <c r="E3" s="18" t="s">
        <v>24</v>
      </c>
      <c r="F3" s="9" t="s">
        <v>7</v>
      </c>
      <c r="G3" s="10" t="s">
        <v>8</v>
      </c>
      <c r="H3" s="9" t="s">
        <v>64</v>
      </c>
      <c r="I3" s="9" t="s">
        <v>4</v>
      </c>
      <c r="J3" s="9" t="s">
        <v>9</v>
      </c>
    </row>
    <row r="4" spans="1:10" x14ac:dyDescent="0.3">
      <c r="B4" s="11" t="s">
        <v>11</v>
      </c>
      <c r="C4" s="14">
        <v>17.45</v>
      </c>
      <c r="D4" s="14">
        <v>20.97</v>
      </c>
      <c r="E4" s="14">
        <v>26.19</v>
      </c>
      <c r="F4" s="14">
        <v>28.18</v>
      </c>
      <c r="G4" s="14">
        <v>6.33</v>
      </c>
      <c r="H4" s="14">
        <v>15.94</v>
      </c>
      <c r="I4" s="14">
        <v>33.4</v>
      </c>
      <c r="J4" s="14">
        <v>3.04</v>
      </c>
    </row>
    <row r="5" spans="1:10" x14ac:dyDescent="0.3">
      <c r="B5" s="11" t="s">
        <v>203</v>
      </c>
      <c r="C5" s="14">
        <v>27.49</v>
      </c>
      <c r="D5" s="14">
        <v>22.71</v>
      </c>
      <c r="E5" s="14">
        <v>26.97</v>
      </c>
      <c r="F5" s="14">
        <v>32.46</v>
      </c>
      <c r="G5" s="14">
        <v>6.61</v>
      </c>
      <c r="H5" s="14">
        <v>16.96</v>
      </c>
      <c r="I5" s="14">
        <v>71.56</v>
      </c>
      <c r="J5" s="14">
        <v>4.79</v>
      </c>
    </row>
    <row r="6" spans="1:10" x14ac:dyDescent="0.3">
      <c r="B6" s="11" t="s">
        <v>12</v>
      </c>
      <c r="C6" s="14">
        <f>26918830/1000000</f>
        <v>26.91883</v>
      </c>
      <c r="D6" s="14">
        <f>81351133/1000000</f>
        <v>81.351133000000004</v>
      </c>
      <c r="E6" s="14">
        <f>54860197/1000000</f>
        <v>54.860196999999999</v>
      </c>
      <c r="F6" s="14">
        <f>(25262470/1000000)</f>
        <v>25.26247</v>
      </c>
      <c r="G6" s="14">
        <f>(49427750/1000000)</f>
        <v>49.427750000000003</v>
      </c>
      <c r="H6" s="14">
        <f>(14737624+2350000)/1000000</f>
        <v>17.087624000000002</v>
      </c>
      <c r="I6" s="14">
        <f>(5742330/1000000)</f>
        <v>5.7423299999999999</v>
      </c>
      <c r="J6" s="14">
        <f>(37145903)/1000000</f>
        <v>37.145902999999997</v>
      </c>
    </row>
    <row r="7" spans="1:10" x14ac:dyDescent="0.3">
      <c r="B7" s="11" t="s">
        <v>21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6">
        <v>0</v>
      </c>
    </row>
    <row r="8" spans="1:10" x14ac:dyDescent="0.3">
      <c r="B8" s="11" t="s">
        <v>22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6">
        <v>0</v>
      </c>
    </row>
    <row r="9" spans="1:10" x14ac:dyDescent="0.3">
      <c r="B9" s="16" t="s">
        <v>13</v>
      </c>
      <c r="C9" s="12">
        <f t="shared" ref="C9:J9" si="0">C4*C6+C7*C8</f>
        <v>469.73358349999995</v>
      </c>
      <c r="D9" s="12">
        <f t="shared" si="0"/>
        <v>1705.93325901</v>
      </c>
      <c r="E9" s="12">
        <f t="shared" si="0"/>
        <v>1436.7885594300001</v>
      </c>
      <c r="F9" s="12">
        <f t="shared" si="0"/>
        <v>711.89640459999998</v>
      </c>
      <c r="G9" s="12">
        <f t="shared" si="0"/>
        <v>312.8776575</v>
      </c>
      <c r="H9" s="12">
        <f t="shared" si="0"/>
        <v>272.37672656000001</v>
      </c>
      <c r="I9" s="12">
        <f t="shared" si="0"/>
        <v>191.79382199999998</v>
      </c>
      <c r="J9" s="12">
        <f t="shared" si="0"/>
        <v>112.92354511999999</v>
      </c>
    </row>
    <row r="10" spans="1:10" x14ac:dyDescent="0.3">
      <c r="B10" s="11"/>
      <c r="C10" s="6"/>
      <c r="D10" s="6"/>
    </row>
    <row r="11" spans="1:10" x14ac:dyDescent="0.3">
      <c r="B11" s="11" t="s">
        <v>16</v>
      </c>
      <c r="C11" s="14">
        <f>(7995+6320)/1000</f>
        <v>14.315</v>
      </c>
      <c r="D11" s="14">
        <f>(64183)/1000</f>
        <v>64.183000000000007</v>
      </c>
      <c r="E11" s="14">
        <f>36136/1000</f>
        <v>36.136000000000003</v>
      </c>
      <c r="F11" s="14">
        <f>(352165+178810)/1000</f>
        <v>530.97500000000002</v>
      </c>
      <c r="G11" s="14">
        <f>(5626)/1000</f>
        <v>5.6260000000000003</v>
      </c>
      <c r="H11" s="14">
        <f>39655/1000</f>
        <v>39.655000000000001</v>
      </c>
      <c r="I11" s="14">
        <f>(325+23207)/1000</f>
        <v>23.532</v>
      </c>
      <c r="J11" s="14">
        <f>103.9</f>
        <v>103.9</v>
      </c>
    </row>
    <row r="12" spans="1:10" x14ac:dyDescent="0.3">
      <c r="B12" s="11" t="s">
        <v>30</v>
      </c>
      <c r="C12" s="14">
        <f>(57904+420877)/1000</f>
        <v>478.78100000000001</v>
      </c>
      <c r="D12" s="14">
        <v>0</v>
      </c>
      <c r="E12" s="14">
        <v>0</v>
      </c>
      <c r="F12" s="14">
        <f>(56977+476945)/1000</f>
        <v>533.92200000000003</v>
      </c>
      <c r="G12" s="14">
        <f>(81700+362398)/1000</f>
        <v>444.09800000000001</v>
      </c>
      <c r="H12" s="14">
        <f>(61403+228203)/1000</f>
        <v>289.60599999999999</v>
      </c>
      <c r="I12" s="14">
        <f>(59731+189469+10242)/1000</f>
        <v>259.44200000000001</v>
      </c>
      <c r="J12" s="14">
        <f>(4.1+838.3)</f>
        <v>842.4</v>
      </c>
    </row>
    <row r="13" spans="1:10" x14ac:dyDescent="0.3">
      <c r="B13" s="11" t="s">
        <v>14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3">
      <c r="B14" s="11" t="s">
        <v>15</v>
      </c>
      <c r="C14" s="14">
        <v>0</v>
      </c>
      <c r="D14" s="14">
        <v>0</v>
      </c>
      <c r="E14" s="14">
        <v>0</v>
      </c>
      <c r="F14" s="14">
        <v>0</v>
      </c>
      <c r="G14" s="14">
        <f>612/1000</f>
        <v>0.61199999999999999</v>
      </c>
      <c r="H14" s="14">
        <v>0</v>
      </c>
      <c r="I14" s="14">
        <v>0</v>
      </c>
      <c r="J14" s="14">
        <v>0</v>
      </c>
    </row>
    <row r="15" spans="1:10" x14ac:dyDescent="0.3">
      <c r="B15" s="11" t="s">
        <v>18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3">
      <c r="B16" s="11" t="s">
        <v>19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2:11" x14ac:dyDescent="0.3">
      <c r="B17" s="13" t="s">
        <v>26</v>
      </c>
      <c r="C17" s="14">
        <f>25638/1000</f>
        <v>25.638000000000002</v>
      </c>
      <c r="D17" s="14">
        <v>0</v>
      </c>
      <c r="E17" s="14">
        <f>388/1000</f>
        <v>0.38800000000000001</v>
      </c>
      <c r="F17" s="14">
        <f>20542/1000</f>
        <v>20.542000000000002</v>
      </c>
      <c r="G17" s="14">
        <f>68021/1000</f>
        <v>68.021000000000001</v>
      </c>
      <c r="H17" s="14">
        <f>(7062+18452)/1000</f>
        <v>25.513999999999999</v>
      </c>
      <c r="I17" s="14">
        <f>619/1000</f>
        <v>0.61899999999999999</v>
      </c>
      <c r="J17" s="14">
        <v>118.6</v>
      </c>
    </row>
    <row r="18" spans="2:11" x14ac:dyDescent="0.3">
      <c r="B18" s="13" t="s">
        <v>27</v>
      </c>
      <c r="C18" s="14">
        <f>(63860)/1000</f>
        <v>63.86</v>
      </c>
      <c r="D18" s="14">
        <v>0</v>
      </c>
      <c r="E18" s="14">
        <f>(622)/1000</f>
        <v>0.622</v>
      </c>
      <c r="F18" s="14">
        <f>(56716)/1000</f>
        <v>56.716000000000001</v>
      </c>
      <c r="G18" s="14">
        <f>(211694)/1000</f>
        <v>211.69399999999999</v>
      </c>
      <c r="H18" s="14">
        <f>(24901+36357)/1000</f>
        <v>61.258000000000003</v>
      </c>
      <c r="I18" s="14">
        <f>(1344)/1000</f>
        <v>1.3440000000000001</v>
      </c>
      <c r="J18" s="14">
        <f>(223)</f>
        <v>223</v>
      </c>
    </row>
    <row r="19" spans="2:11" ht="16.8" customHeight="1" x14ac:dyDescent="0.3">
      <c r="B19" s="11" t="s">
        <v>20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230.5</v>
      </c>
      <c r="K19" s="17"/>
    </row>
    <row r="20" spans="2:11" x14ac:dyDescent="0.3">
      <c r="B20" s="7"/>
      <c r="C20" s="6"/>
      <c r="D20" s="6"/>
    </row>
    <row r="21" spans="2:11" x14ac:dyDescent="0.3">
      <c r="B21" s="15" t="s">
        <v>17</v>
      </c>
      <c r="C21" s="12">
        <f t="shared" ref="C21:J21" si="1">(C9-C11+C12+C13+C14-C15-C16+C17+C18+C19)</f>
        <v>1023.6975835000001</v>
      </c>
      <c r="D21" s="12">
        <f t="shared" si="1"/>
        <v>1641.75025901</v>
      </c>
      <c r="E21" s="12">
        <f t="shared" si="1"/>
        <v>1401.6625594300001</v>
      </c>
      <c r="F21" s="12">
        <f t="shared" si="1"/>
        <v>792.10140460000002</v>
      </c>
      <c r="G21" s="12">
        <f t="shared" si="1"/>
        <v>1031.6766574999999</v>
      </c>
      <c r="H21" s="12">
        <f t="shared" si="1"/>
        <v>609.09972656000002</v>
      </c>
      <c r="I21" s="12">
        <f t="shared" si="1"/>
        <v>429.66682199999997</v>
      </c>
      <c r="J21" s="12">
        <f t="shared" si="1"/>
        <v>1423.5235451200001</v>
      </c>
    </row>
    <row r="23" spans="2:11" x14ac:dyDescent="0.3">
      <c r="B23" s="71"/>
    </row>
    <row r="24" spans="2:11" x14ac:dyDescent="0.3">
      <c r="B24" s="43" t="s">
        <v>87</v>
      </c>
    </row>
  </sheetData>
  <mergeCells count="1">
    <mergeCell ref="B1:B2"/>
  </mergeCells>
  <hyperlinks>
    <hyperlink ref="A1" location="Homepage!A1" display="H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Y25"/>
  <sheetViews>
    <sheetView showGridLines="0" workbookViewId="0"/>
  </sheetViews>
  <sheetFormatPr baseColWidth="10" defaultRowHeight="14.4" x14ac:dyDescent="0.3"/>
  <cols>
    <col min="1" max="1" width="2.77734375" style="28" customWidth="1"/>
    <col min="2" max="2" width="26.77734375" style="28" customWidth="1"/>
    <col min="3" max="3" width="10.33203125" style="28" customWidth="1"/>
    <col min="4" max="5" width="9.6640625" style="28" customWidth="1"/>
    <col min="6" max="6" width="1.33203125" style="28" customWidth="1"/>
    <col min="7" max="10" width="9.5546875" style="28" customWidth="1"/>
    <col min="11" max="11" width="1.88671875" style="28" customWidth="1"/>
    <col min="12" max="14" width="9.109375" style="28" customWidth="1"/>
    <col min="15" max="15" width="1.77734375" style="28" customWidth="1"/>
    <col min="16" max="21" width="7.109375" style="28" customWidth="1"/>
    <col min="22" max="22" width="8.77734375" style="95" customWidth="1"/>
    <col min="23" max="16384" width="11.5546875" style="28"/>
  </cols>
  <sheetData>
    <row r="1" spans="1:25" ht="23.4" x14ac:dyDescent="0.3">
      <c r="A1" s="153" t="s">
        <v>248</v>
      </c>
      <c r="B1" s="69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5" ht="15.6" x14ac:dyDescent="0.3">
      <c r="B2" s="68" t="s">
        <v>84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5" x14ac:dyDescent="0.3">
      <c r="B3" s="70" t="s">
        <v>85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5" spans="1:25" x14ac:dyDescent="0.3">
      <c r="D5" s="168" t="s">
        <v>68</v>
      </c>
      <c r="E5" s="168"/>
      <c r="G5" s="168" t="s">
        <v>70</v>
      </c>
      <c r="H5" s="168"/>
      <c r="I5" s="168"/>
      <c r="J5" s="168"/>
      <c r="K5" s="53"/>
      <c r="L5" s="171" t="s">
        <v>73</v>
      </c>
      <c r="M5" s="171"/>
      <c r="N5" s="171"/>
      <c r="P5" s="171" t="s">
        <v>77</v>
      </c>
      <c r="Q5" s="171"/>
      <c r="R5" s="171"/>
      <c r="S5" s="171"/>
      <c r="T5" s="171"/>
      <c r="U5" s="171"/>
      <c r="V5" s="53"/>
    </row>
    <row r="6" spans="1:25" ht="14.4" customHeight="1" thickBot="1" x14ac:dyDescent="0.35">
      <c r="C6" s="1"/>
      <c r="D6" s="1"/>
      <c r="E6" s="1"/>
      <c r="F6" s="1"/>
      <c r="G6" s="1"/>
      <c r="H6" s="1"/>
      <c r="I6" s="1"/>
      <c r="J6" s="1"/>
      <c r="K6" s="1"/>
      <c r="L6" s="56"/>
      <c r="M6" s="56"/>
      <c r="N6" s="169" t="s">
        <v>72</v>
      </c>
      <c r="O6" s="1"/>
      <c r="P6" s="167" t="s">
        <v>37</v>
      </c>
      <c r="Q6" s="167"/>
      <c r="R6" s="167" t="s">
        <v>38</v>
      </c>
      <c r="S6" s="167"/>
      <c r="T6" s="167" t="s">
        <v>76</v>
      </c>
      <c r="U6" s="167"/>
      <c r="V6" s="96"/>
    </row>
    <row r="7" spans="1:25" s="51" customFormat="1" ht="33" customHeight="1" thickBot="1" x14ac:dyDescent="0.35">
      <c r="B7" s="101" t="s">
        <v>31</v>
      </c>
      <c r="C7" s="57" t="s">
        <v>2</v>
      </c>
      <c r="D7" s="57" t="s">
        <v>13</v>
      </c>
      <c r="E7" s="57" t="s">
        <v>67</v>
      </c>
      <c r="F7" s="52"/>
      <c r="G7" s="57" t="s">
        <v>37</v>
      </c>
      <c r="H7" s="57" t="s">
        <v>38</v>
      </c>
      <c r="I7" s="57" t="s">
        <v>69</v>
      </c>
      <c r="J7" s="57" t="s">
        <v>39</v>
      </c>
      <c r="K7" s="52"/>
      <c r="L7" s="57" t="s">
        <v>71</v>
      </c>
      <c r="M7" s="57" t="s">
        <v>78</v>
      </c>
      <c r="N7" s="170"/>
      <c r="O7" s="4"/>
      <c r="P7" s="58" t="s">
        <v>74</v>
      </c>
      <c r="Q7" s="58" t="s">
        <v>75</v>
      </c>
      <c r="R7" s="58" t="s">
        <v>74</v>
      </c>
      <c r="S7" s="58" t="s">
        <v>75</v>
      </c>
      <c r="T7" s="58" t="s">
        <v>74</v>
      </c>
      <c r="U7" s="58" t="s">
        <v>75</v>
      </c>
      <c r="V7" s="97"/>
    </row>
    <row r="8" spans="1:25" s="55" customFormat="1" x14ac:dyDescent="0.3">
      <c r="B8" s="55" t="s">
        <v>0</v>
      </c>
      <c r="C8" s="22" t="s">
        <v>1</v>
      </c>
      <c r="D8" s="61">
        <f>EV!C9</f>
        <v>469.73358349999995</v>
      </c>
      <c r="E8" s="61">
        <f>EV!C21</f>
        <v>1023.6975835000001</v>
      </c>
      <c r="F8" s="120"/>
      <c r="G8" s="61">
        <f>'Target Co'!G5</f>
        <v>1516.75</v>
      </c>
      <c r="H8" s="61">
        <f>'Target Co'!G12</f>
        <v>140.14999999999998</v>
      </c>
      <c r="I8" s="61">
        <f>'Target Co'!G11</f>
        <v>62.779999999999987</v>
      </c>
      <c r="J8" s="61">
        <f>'Target Co'!G17</f>
        <v>32.450000000000003</v>
      </c>
      <c r="K8" s="22"/>
      <c r="L8" s="60">
        <f>H8/G8</f>
        <v>9.2401516400197781E-2</v>
      </c>
      <c r="M8" s="60">
        <f>I8/G8</f>
        <v>4.1391132355365082E-2</v>
      </c>
      <c r="N8" s="60">
        <f>J8/G8</f>
        <v>2.1394428877534202E-2</v>
      </c>
      <c r="O8" s="22"/>
      <c r="P8" s="60">
        <f>('Target Co'!G5-'Target Co'!C5)/'Target Co'!C5</f>
        <v>3.7661626872819286E-2</v>
      </c>
      <c r="Q8" s="60">
        <f>('Target Co'!H5-'Target Co'!E5)/'Target Co'!E5</f>
        <v>-9.5899470899470901E-2</v>
      </c>
      <c r="R8" s="60">
        <f>('Target Co'!G12-'Target Co'!C12)/'Target Co'!C12</f>
        <v>1.3963246997539997E-2</v>
      </c>
      <c r="S8" s="60">
        <f>('Target Co'!H12-'Target Co'!E12)/'Target Co'!E12</f>
        <v>4.6022119158045084E-2</v>
      </c>
      <c r="T8" s="75">
        <f>EPS!F4</f>
        <v>-0.3448500709273995</v>
      </c>
      <c r="U8" s="81">
        <f>EPS!J4</f>
        <v>-0.13432835820895533</v>
      </c>
      <c r="V8" s="98"/>
    </row>
    <row r="9" spans="1:25" x14ac:dyDescent="0.3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5" ht="19.8" customHeight="1" x14ac:dyDescent="0.3">
      <c r="B10" s="28" t="s">
        <v>28</v>
      </c>
      <c r="C10" s="1" t="s">
        <v>29</v>
      </c>
      <c r="D10" s="64">
        <f>EV!D9</f>
        <v>1705.93325901</v>
      </c>
      <c r="E10" s="64">
        <f>EV!D21</f>
        <v>1641.75025901</v>
      </c>
      <c r="F10" s="1"/>
      <c r="G10" s="64">
        <f>Comp1!G5</f>
        <v>623.57999999999993</v>
      </c>
      <c r="H10" s="64">
        <f>Comp1!G11</f>
        <v>195.38</v>
      </c>
      <c r="I10" s="64">
        <f>Comp1!G10</f>
        <v>90.77</v>
      </c>
      <c r="J10" s="64">
        <f>Comp1!G15</f>
        <v>68.889999999999986</v>
      </c>
      <c r="K10" s="1"/>
      <c r="L10" s="63">
        <f>H10/G10</f>
        <v>0.31331986272811829</v>
      </c>
      <c r="M10" s="63">
        <f>I10/G10</f>
        <v>0.14556271849642388</v>
      </c>
      <c r="N10" s="63">
        <f>J10/G10</f>
        <v>0.11047499919817826</v>
      </c>
      <c r="O10" s="1"/>
      <c r="P10" s="63">
        <f>(Comp1!G5-Comp1!C5)/Comp1!C5</f>
        <v>2.092337917485261E-2</v>
      </c>
      <c r="Q10" s="63">
        <f>(Comp2!H5-Comp2!E5)/Comp2!E5</f>
        <v>1.5309450116807153E-2</v>
      </c>
      <c r="R10" s="63">
        <f>(Comp1!G11-Comp1!C11)/Comp1!C11</f>
        <v>2.6640744049182877E-2</v>
      </c>
      <c r="S10" s="63">
        <f>(Comp1!H11-Comp1!E11)/Comp1!E11</f>
        <v>-5.5478430767648822E-2</v>
      </c>
      <c r="T10" s="76">
        <f>EPS!F5</f>
        <v>-3.770128304063218E-2</v>
      </c>
      <c r="U10" s="76">
        <f>EPS!J5</f>
        <v>-0.2584269662921348</v>
      </c>
      <c r="V10" s="99"/>
      <c r="W10" s="85"/>
      <c r="X10" s="85"/>
      <c r="Y10" s="84"/>
    </row>
    <row r="11" spans="1:25" ht="19.8" customHeight="1" x14ac:dyDescent="0.3">
      <c r="B11" s="28" t="s">
        <v>24</v>
      </c>
      <c r="C11" s="1" t="s">
        <v>25</v>
      </c>
      <c r="D11" s="82">
        <f>EV!E9</f>
        <v>1436.7885594300001</v>
      </c>
      <c r="E11" s="82">
        <f>EV!E21</f>
        <v>1401.6625594300001</v>
      </c>
      <c r="F11" s="1"/>
      <c r="G11" s="65">
        <f>Comp2!G5</f>
        <v>862.90000000000009</v>
      </c>
      <c r="H11" s="65">
        <f>Comp2!G13</f>
        <v>174.82999999999998</v>
      </c>
      <c r="I11" s="65">
        <f>Comp2!G12</f>
        <v>76.8</v>
      </c>
      <c r="J11" s="65">
        <f>Comp2!G17</f>
        <v>61.240000000000009</v>
      </c>
      <c r="K11" s="1"/>
      <c r="L11" s="63">
        <f t="shared" ref="L11:L15" si="0">H11/G11</f>
        <v>0.20260748638312662</v>
      </c>
      <c r="M11" s="63">
        <f t="shared" ref="M11:M16" si="1">I11/G11</f>
        <v>8.9002201877390177E-2</v>
      </c>
      <c r="N11" s="63">
        <f t="shared" ref="N11:N16" si="2">J11/G11</f>
        <v>7.0969984934523125E-2</v>
      </c>
      <c r="O11" s="1"/>
      <c r="P11" s="63">
        <f>(Comp2!G5-Comp2!C5)/Comp2!C5</f>
        <v>9.5620817938267447E-2</v>
      </c>
      <c r="Q11" s="63">
        <f>(Comp2!H5-Comp2!E5)/Comp2!E5</f>
        <v>1.5309450116807153E-2</v>
      </c>
      <c r="R11" s="63">
        <f>(Comp2!G13-Comp2!C13)/Comp2!C13</f>
        <v>9.9974833270416424E-2</v>
      </c>
      <c r="S11" s="63">
        <f>(Comp2!H13-Comp2!E13)/Comp2!E13</f>
        <v>1.4215800512701155E-2</v>
      </c>
      <c r="T11" s="76">
        <f>EPS!F6</f>
        <v>0.11629201768998398</v>
      </c>
      <c r="U11" s="76">
        <f>EPS!J6</f>
        <v>-0.1081081081081082</v>
      </c>
      <c r="V11" s="99"/>
      <c r="W11" s="85"/>
      <c r="X11" s="85"/>
      <c r="Y11" s="84"/>
    </row>
    <row r="12" spans="1:25" ht="19.8" customHeight="1" x14ac:dyDescent="0.3">
      <c r="B12" s="28" t="s">
        <v>7</v>
      </c>
      <c r="C12" s="1" t="s">
        <v>6</v>
      </c>
      <c r="D12" s="82">
        <f>EV!F9</f>
        <v>711.89640459999998</v>
      </c>
      <c r="E12" s="82">
        <f>EV!F21</f>
        <v>792.10140460000002</v>
      </c>
      <c r="F12" s="1"/>
      <c r="G12" s="65">
        <f>Comp3!G5</f>
        <v>2977.86</v>
      </c>
      <c r="H12" s="65">
        <f>Comp3!G13</f>
        <v>165.75</v>
      </c>
      <c r="I12" s="65">
        <f>Comp3!G12</f>
        <v>63</v>
      </c>
      <c r="J12" s="65">
        <f>Comp3!G18</f>
        <v>37</v>
      </c>
      <c r="K12" s="1"/>
      <c r="L12" s="63">
        <f t="shared" si="0"/>
        <v>5.5660776530797283E-2</v>
      </c>
      <c r="M12" s="63">
        <f t="shared" si="1"/>
        <v>2.1156132256049644E-2</v>
      </c>
      <c r="N12" s="63">
        <f t="shared" si="2"/>
        <v>1.2425030055140267E-2</v>
      </c>
      <c r="O12" s="1"/>
      <c r="P12" s="63">
        <f>(Comp3!G5-Comp3!C5)/Comp3!C5</f>
        <v>-3.7474949899799617E-2</v>
      </c>
      <c r="Q12" s="63">
        <f>(Comp3!H5-Comp3!E5)/Comp3!E5</f>
        <v>-7.8271927182679141E-2</v>
      </c>
      <c r="R12" s="63">
        <f>(Comp3!G13-Comp3!C13)/Comp3!C13</f>
        <v>-0.20617816091954028</v>
      </c>
      <c r="S12" s="63">
        <f>(Comp3!H13-Comp3!E13)/Comp3!E13</f>
        <v>-0.15650961130313507</v>
      </c>
      <c r="T12" s="76">
        <f>EPS!F7</f>
        <v>-0.38201552160214103</v>
      </c>
      <c r="U12" s="76">
        <f>EPS!J7</f>
        <v>-0.31125827814569534</v>
      </c>
      <c r="V12" s="99"/>
      <c r="W12" s="85"/>
      <c r="X12" s="85"/>
      <c r="Y12" s="84"/>
    </row>
    <row r="13" spans="1:25" ht="19.8" customHeight="1" x14ac:dyDescent="0.3">
      <c r="B13" s="28" t="s">
        <v>8</v>
      </c>
      <c r="C13" s="1" t="s">
        <v>3</v>
      </c>
      <c r="D13" s="82">
        <f>EV!G9</f>
        <v>312.8776575</v>
      </c>
      <c r="E13" s="82">
        <f>EV!G21</f>
        <v>1031.6766574999999</v>
      </c>
      <c r="F13" s="1"/>
      <c r="G13" s="65">
        <f>Comp4!G5</f>
        <v>1724.6100000000001</v>
      </c>
      <c r="H13" s="65">
        <f>Comp4!G12</f>
        <v>106.83999999999999</v>
      </c>
      <c r="I13" s="65">
        <f>Comp4!G11</f>
        <v>9.759999999999998</v>
      </c>
      <c r="J13" s="65">
        <f>Comp4!G22</f>
        <v>-17.59</v>
      </c>
      <c r="K13" s="1"/>
      <c r="L13" s="63">
        <f t="shared" si="0"/>
        <v>6.195023802482879E-2</v>
      </c>
      <c r="M13" s="63">
        <f t="shared" si="1"/>
        <v>5.6592504972138614E-3</v>
      </c>
      <c r="N13" s="63">
        <f t="shared" si="2"/>
        <v>-1.0199407402253263E-2</v>
      </c>
      <c r="O13" s="1"/>
      <c r="P13" s="63">
        <f>(Comp4!G5-Comp4!C5)/Comp4!C5</f>
        <v>-4.4484458972796258E-2</v>
      </c>
      <c r="Q13" s="63">
        <f>(Comp4!H5-Comp4!E5)/Comp4!E5</f>
        <v>2.7820077310530631E-2</v>
      </c>
      <c r="R13" s="63">
        <f>(Comp4!G12-Comp4!C12)/Comp4!C12</f>
        <v>-0.33308364544319602</v>
      </c>
      <c r="S13" s="63">
        <f>(Comp4!H12-Comp4!E12)/Comp4!E12</f>
        <v>-5.7470309774935655E-2</v>
      </c>
      <c r="T13" s="76">
        <f>EPS!F8</f>
        <v>-1.6843710886480383</v>
      </c>
      <c r="U13" s="76">
        <f>EPS!J8</f>
        <v>0.42857142857142849</v>
      </c>
      <c r="V13" s="99"/>
      <c r="W13" s="85"/>
      <c r="X13" s="85"/>
      <c r="Y13" s="84"/>
    </row>
    <row r="14" spans="1:25" ht="19.8" customHeight="1" x14ac:dyDescent="0.3">
      <c r="B14" s="28" t="s">
        <v>64</v>
      </c>
      <c r="C14" s="1" t="s">
        <v>63</v>
      </c>
      <c r="D14" s="82">
        <f>EV!H9</f>
        <v>272.37672656000001</v>
      </c>
      <c r="E14" s="82">
        <f>EV!H21</f>
        <v>609.09972656000002</v>
      </c>
      <c r="F14" s="1"/>
      <c r="G14" s="65">
        <f>Comp5!G5</f>
        <v>888.89999999999986</v>
      </c>
      <c r="H14" s="65">
        <f>Comp5!G12</f>
        <v>86.828000000000003</v>
      </c>
      <c r="I14" s="65">
        <f>Comp5!G11</f>
        <v>11.308</v>
      </c>
      <c r="J14" s="65">
        <f>Comp5!G16</f>
        <v>1.8400000000000007</v>
      </c>
      <c r="K14" s="1"/>
      <c r="L14" s="63">
        <f t="shared" si="0"/>
        <v>9.7680278996512562E-2</v>
      </c>
      <c r="M14" s="63">
        <f t="shared" si="1"/>
        <v>1.2721340983237711E-2</v>
      </c>
      <c r="N14" s="63">
        <f>J14/G14</f>
        <v>2.0699741253234348E-3</v>
      </c>
      <c r="O14" s="1"/>
      <c r="P14" s="63">
        <f>(Comp5!G5-Comp5!C5)/Comp5!C5</f>
        <v>3.8849863347862434E-3</v>
      </c>
      <c r="Q14" s="63">
        <f>(Comp5!H5-Comp5!E5)/Comp5!E5</f>
        <v>-0.11780488077537925</v>
      </c>
      <c r="R14" s="63">
        <f>(Comp5!G12-Comp5!C12)/Comp5!C12</f>
        <v>-0.35611420096403407</v>
      </c>
      <c r="S14" s="63">
        <f>(Comp5!H12-Comp5!E12)/Comp5!E12</f>
        <v>-0.17444480205986487</v>
      </c>
      <c r="T14" s="76">
        <f>EPS!F9</f>
        <v>-0.95318249043869407</v>
      </c>
      <c r="U14" s="76">
        <f>EPS!J9</f>
        <v>-0.28888888888888892</v>
      </c>
      <c r="V14" s="99"/>
      <c r="W14" s="85"/>
      <c r="X14" s="85"/>
      <c r="Y14" s="84"/>
    </row>
    <row r="15" spans="1:25" ht="19.8" customHeight="1" x14ac:dyDescent="0.3">
      <c r="B15" s="28" t="s">
        <v>4</v>
      </c>
      <c r="C15" s="1" t="s">
        <v>5</v>
      </c>
      <c r="D15" s="82">
        <f>EV!I9</f>
        <v>191.79382199999998</v>
      </c>
      <c r="E15" s="82">
        <f>EV!I21</f>
        <v>429.66682199999997</v>
      </c>
      <c r="F15" s="1"/>
      <c r="G15" s="65">
        <f>Comp6!G5</f>
        <v>514.64999999999986</v>
      </c>
      <c r="H15" s="65">
        <f>Comp6!G13</f>
        <v>68.569999999999993</v>
      </c>
      <c r="I15" s="65">
        <f>Comp6!G12</f>
        <v>12.35</v>
      </c>
      <c r="J15" s="65">
        <f>Comp6!G18</f>
        <v>-1.7000000000000002</v>
      </c>
      <c r="K15" s="1"/>
      <c r="L15" s="63">
        <f t="shared" si="0"/>
        <v>0.13323617992810649</v>
      </c>
      <c r="M15" s="63">
        <f t="shared" si="1"/>
        <v>2.3996891091032747E-2</v>
      </c>
      <c r="N15" s="63">
        <f>J15/G15</f>
        <v>-3.3032157777130098E-3</v>
      </c>
      <c r="O15" s="1"/>
      <c r="P15" s="63">
        <f>(Comp6!G5-Comp6!C5)/Comp6!C5</f>
        <v>-3.4898548550425922E-2</v>
      </c>
      <c r="Q15" s="63">
        <f>(Comp6!H5-Comp6!E5)/Comp6!E5</f>
        <v>-8.5923217550274128E-2</v>
      </c>
      <c r="R15" s="63">
        <f>(Comp6!G13-Comp6!C13)/Comp6!C13</f>
        <v>-0.2464007033739973</v>
      </c>
      <c r="S15" s="63">
        <f>(Comp6!H13-Comp6!E13)/Comp6!E13</f>
        <v>0.22524386639077756</v>
      </c>
      <c r="T15" s="76">
        <f>EPS!F10</f>
        <v>-1.0759095064020068</v>
      </c>
      <c r="U15" s="76">
        <f>EPS!J10</f>
        <v>0.58955223880596996</v>
      </c>
      <c r="V15" s="99"/>
      <c r="W15" s="85"/>
      <c r="X15" s="85"/>
      <c r="Y15" s="84"/>
    </row>
    <row r="16" spans="1:25" ht="19.8" customHeight="1" x14ac:dyDescent="0.3">
      <c r="B16" s="28" t="s">
        <v>79</v>
      </c>
      <c r="C16" s="1" t="s">
        <v>10</v>
      </c>
      <c r="D16" s="82">
        <f>EV!J9</f>
        <v>112.92354511999999</v>
      </c>
      <c r="E16" s="82">
        <f>EV!J21</f>
        <v>1423.5235451200001</v>
      </c>
      <c r="F16" s="1"/>
      <c r="G16" s="65">
        <f>Comp7!G5</f>
        <v>4841.2</v>
      </c>
      <c r="H16" s="65">
        <f>Comp7!G13</f>
        <v>212.8</v>
      </c>
      <c r="I16" s="65">
        <f>Comp7!G12</f>
        <v>64.7</v>
      </c>
      <c r="J16" s="65">
        <f>Comp7!G18</f>
        <v>-50.6</v>
      </c>
      <c r="K16" s="1"/>
      <c r="L16" s="63">
        <f>H16/G16</f>
        <v>4.3956043956043959E-2</v>
      </c>
      <c r="M16" s="63">
        <f t="shared" si="1"/>
        <v>1.3364455093778402E-2</v>
      </c>
      <c r="N16" s="63">
        <f t="shared" si="2"/>
        <v>-1.0451954060976617E-2</v>
      </c>
      <c r="O16" s="1"/>
      <c r="P16" s="63">
        <f>(Comp7!G5-Comp7!C5)/Comp7!C5</f>
        <v>-4.9253731343283619E-2</v>
      </c>
      <c r="Q16" s="63">
        <f>(Comp7!H5-Comp7!E5)/Comp7!E5</f>
        <v>-0.10748891443586785</v>
      </c>
      <c r="R16" s="63">
        <f>(Comp7!G13-Comp7!C13)/Comp7!C13</f>
        <v>-0.26772195457673781</v>
      </c>
      <c r="S16" s="63">
        <f>(Comp7!H13-Comp7!E13)/Comp7!E13</f>
        <v>-0.51651842439644224</v>
      </c>
      <c r="T16" s="76">
        <f>EPS!F11</f>
        <v>-3.2703266449959054</v>
      </c>
      <c r="U16" s="76">
        <f>EPS!J11</f>
        <v>-9.5846645367411512E-3</v>
      </c>
      <c r="V16" s="99"/>
      <c r="W16" s="85"/>
      <c r="X16" s="85"/>
      <c r="Y16" s="84"/>
    </row>
    <row r="18" spans="2:22" x14ac:dyDescent="0.3">
      <c r="B18" s="66" t="s">
        <v>80</v>
      </c>
      <c r="C18" s="66"/>
      <c r="D18" s="66"/>
      <c r="E18" s="66"/>
      <c r="F18" s="66"/>
      <c r="G18" s="66"/>
      <c r="H18" s="66"/>
      <c r="I18" s="66"/>
      <c r="J18" s="66"/>
      <c r="K18" s="66"/>
      <c r="L18" s="67">
        <f>AVERAGE(L10:L16)</f>
        <v>0.12977298093536199</v>
      </c>
      <c r="M18" s="67">
        <f>AVERAGE(M10:M16)</f>
        <v>4.4494712899303776E-2</v>
      </c>
      <c r="N18" s="67">
        <f>AVERAGE(N10:N16)</f>
        <v>2.4569344438888887E-2</v>
      </c>
      <c r="O18" s="67"/>
      <c r="P18" s="67">
        <f t="shared" ref="P18:U18" si="3">AVERAGE(P10:P16)</f>
        <v>-6.5260721883427311E-3</v>
      </c>
      <c r="Q18" s="67">
        <f t="shared" si="3"/>
        <v>-4.7292851771436488E-2</v>
      </c>
      <c r="R18" s="67">
        <f t="shared" si="3"/>
        <v>-0.18326901256541514</v>
      </c>
      <c r="S18" s="67">
        <f t="shared" si="3"/>
        <v>-0.10299455877122113</v>
      </c>
      <c r="T18" s="67">
        <f t="shared" si="3"/>
        <v>-1.0410306453482048</v>
      </c>
      <c r="U18" s="67">
        <f t="shared" si="3"/>
        <v>5.9795373436900192E-3</v>
      </c>
      <c r="V18" s="100"/>
    </row>
    <row r="19" spans="2:22" x14ac:dyDescent="0.3">
      <c r="B19" s="66" t="s">
        <v>81</v>
      </c>
      <c r="C19" s="66"/>
      <c r="D19" s="66"/>
      <c r="E19" s="66"/>
      <c r="F19" s="66"/>
      <c r="G19" s="66"/>
      <c r="H19" s="66"/>
      <c r="I19" s="66"/>
      <c r="J19" s="66"/>
      <c r="K19" s="66"/>
      <c r="L19" s="67">
        <f>MEDIAN(L10:L16)</f>
        <v>9.7680278996512562E-2</v>
      </c>
      <c r="M19" s="67">
        <f t="shared" ref="M19:U19" si="4">MEDIAN(M10:M16)</f>
        <v>2.1156132256049644E-2</v>
      </c>
      <c r="N19" s="67">
        <f t="shared" si="4"/>
        <v>2.0699741253234348E-3</v>
      </c>
      <c r="O19" s="67"/>
      <c r="P19" s="67">
        <f t="shared" si="4"/>
        <v>-3.4898548550425922E-2</v>
      </c>
      <c r="Q19" s="67">
        <f t="shared" si="4"/>
        <v>-7.8271927182679141E-2</v>
      </c>
      <c r="R19" s="67">
        <f t="shared" si="4"/>
        <v>-0.2464007033739973</v>
      </c>
      <c r="S19" s="67">
        <f t="shared" si="4"/>
        <v>-5.7470309774935655E-2</v>
      </c>
      <c r="T19" s="67">
        <f t="shared" si="4"/>
        <v>-0.95318249043869407</v>
      </c>
      <c r="U19" s="67">
        <f t="shared" si="4"/>
        <v>-0.1081081081081082</v>
      </c>
      <c r="V19" s="100"/>
    </row>
    <row r="21" spans="2:22" x14ac:dyDescent="0.3">
      <c r="B21" s="66" t="s">
        <v>82</v>
      </c>
      <c r="C21" s="66"/>
      <c r="D21" s="66"/>
      <c r="E21" s="66"/>
      <c r="F21" s="66"/>
      <c r="G21" s="66"/>
      <c r="H21" s="66"/>
      <c r="I21" s="66"/>
      <c r="J21" s="66"/>
      <c r="K21" s="66"/>
      <c r="L21" s="67">
        <f>MAX(L10:L16)</f>
        <v>0.31331986272811829</v>
      </c>
      <c r="M21" s="67">
        <f t="shared" ref="M21:U21" si="5">MAX(M10:M16)</f>
        <v>0.14556271849642388</v>
      </c>
      <c r="N21" s="67">
        <f t="shared" si="5"/>
        <v>0.11047499919817826</v>
      </c>
      <c r="O21" s="67"/>
      <c r="P21" s="67">
        <f t="shared" si="5"/>
        <v>9.5620817938267447E-2</v>
      </c>
      <c r="Q21" s="67">
        <f t="shared" si="5"/>
        <v>2.7820077310530631E-2</v>
      </c>
      <c r="R21" s="67">
        <f t="shared" si="5"/>
        <v>9.9974833270416424E-2</v>
      </c>
      <c r="S21" s="67">
        <f t="shared" si="5"/>
        <v>0.22524386639077756</v>
      </c>
      <c r="T21" s="67">
        <f t="shared" si="5"/>
        <v>0.11629201768998398</v>
      </c>
      <c r="U21" s="67">
        <f t="shared" si="5"/>
        <v>0.58955223880596996</v>
      </c>
      <c r="V21" s="100"/>
    </row>
    <row r="22" spans="2:22" x14ac:dyDescent="0.3">
      <c r="B22" s="66" t="s">
        <v>83</v>
      </c>
      <c r="C22" s="66"/>
      <c r="D22" s="66"/>
      <c r="E22" s="66"/>
      <c r="F22" s="66"/>
      <c r="G22" s="66"/>
      <c r="H22" s="66"/>
      <c r="I22" s="66"/>
      <c r="J22" s="66"/>
      <c r="K22" s="66"/>
      <c r="L22" s="67">
        <f>MIN(L10:L16)</f>
        <v>4.3956043956043959E-2</v>
      </c>
      <c r="M22" s="67">
        <f t="shared" ref="M22:U22" si="6">MIN(M10:M16)</f>
        <v>5.6592504972138614E-3</v>
      </c>
      <c r="N22" s="67">
        <f t="shared" si="6"/>
        <v>-1.0451954060976617E-2</v>
      </c>
      <c r="O22" s="67"/>
      <c r="P22" s="67">
        <f t="shared" si="6"/>
        <v>-4.9253731343283619E-2</v>
      </c>
      <c r="Q22" s="67">
        <f t="shared" si="6"/>
        <v>-0.11780488077537925</v>
      </c>
      <c r="R22" s="67">
        <f t="shared" si="6"/>
        <v>-0.35611420096403407</v>
      </c>
      <c r="S22" s="67">
        <f t="shared" si="6"/>
        <v>-0.51651842439644224</v>
      </c>
      <c r="T22" s="67">
        <f t="shared" si="6"/>
        <v>-3.2703266449959054</v>
      </c>
      <c r="U22" s="67">
        <f t="shared" si="6"/>
        <v>-0.31125827814569534</v>
      </c>
      <c r="V22" s="100"/>
    </row>
    <row r="23" spans="2:22" x14ac:dyDescent="0.3">
      <c r="B23" s="71"/>
    </row>
    <row r="24" spans="2:22" x14ac:dyDescent="0.3">
      <c r="B24" s="43" t="s">
        <v>87</v>
      </c>
    </row>
    <row r="25" spans="2:22" x14ac:dyDescent="0.3">
      <c r="B25" s="37" t="s">
        <v>86</v>
      </c>
    </row>
  </sheetData>
  <mergeCells count="8">
    <mergeCell ref="P6:Q6"/>
    <mergeCell ref="R6:S6"/>
    <mergeCell ref="T6:U6"/>
    <mergeCell ref="D5:E5"/>
    <mergeCell ref="G5:J5"/>
    <mergeCell ref="N6:N7"/>
    <mergeCell ref="L5:N5"/>
    <mergeCell ref="P5:U5"/>
  </mergeCells>
  <hyperlinks>
    <hyperlink ref="A1" location="Homepage!A1" display="H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26"/>
  <sheetViews>
    <sheetView showGridLines="0" workbookViewId="0">
      <selection activeCell="B4" sqref="B4"/>
    </sheetView>
  </sheetViews>
  <sheetFormatPr baseColWidth="10" defaultRowHeight="14.4" x14ac:dyDescent="0.3"/>
  <cols>
    <col min="1" max="1" width="2.77734375" style="28" customWidth="1"/>
    <col min="2" max="2" width="26.77734375" style="28" customWidth="1"/>
    <col min="3" max="3" width="10.33203125" style="28" customWidth="1"/>
    <col min="4" max="5" width="9.6640625" style="28" customWidth="1"/>
    <col min="6" max="6" width="1.33203125" style="28" customWidth="1"/>
    <col min="7" max="10" width="8.6640625" style="28" customWidth="1"/>
    <col min="11" max="11" width="1.88671875" style="28" customWidth="1"/>
    <col min="12" max="14" width="9.88671875" style="28" customWidth="1"/>
    <col min="15" max="15" width="1.77734375" style="28" customWidth="1"/>
    <col min="16" max="18" width="9.44140625" style="28" customWidth="1"/>
    <col min="19" max="19" width="8.77734375" style="95" customWidth="1"/>
    <col min="20" max="16384" width="11.5546875" style="28"/>
  </cols>
  <sheetData>
    <row r="1" spans="1:22" ht="23.4" x14ac:dyDescent="0.3">
      <c r="A1" s="153" t="s">
        <v>248</v>
      </c>
      <c r="B1" s="69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22" ht="15.6" x14ac:dyDescent="0.3">
      <c r="B2" s="68" t="s">
        <v>177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2" x14ac:dyDescent="0.3">
      <c r="B3" s="70" t="s">
        <v>85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5" spans="1:22" x14ac:dyDescent="0.3">
      <c r="D5" s="168" t="s">
        <v>129</v>
      </c>
      <c r="E5" s="168"/>
      <c r="G5" s="168" t="s">
        <v>130</v>
      </c>
      <c r="H5" s="168"/>
      <c r="I5" s="168"/>
      <c r="J5" s="168"/>
      <c r="K5" s="53"/>
      <c r="L5" s="171" t="s">
        <v>131</v>
      </c>
      <c r="M5" s="171"/>
      <c r="N5" s="171"/>
      <c r="P5" s="172" t="s">
        <v>132</v>
      </c>
      <c r="Q5" s="172"/>
      <c r="R5" s="172"/>
      <c r="S5" s="53"/>
    </row>
    <row r="6" spans="1:22" s="51" customFormat="1" ht="48.6" customHeight="1" thickBot="1" x14ac:dyDescent="0.35">
      <c r="B6" s="101" t="s">
        <v>31</v>
      </c>
      <c r="C6" s="83" t="s">
        <v>2</v>
      </c>
      <c r="D6" s="83" t="s">
        <v>133</v>
      </c>
      <c r="E6" s="83" t="s">
        <v>134</v>
      </c>
      <c r="F6" s="102"/>
      <c r="G6" s="83" t="s">
        <v>135</v>
      </c>
      <c r="H6" s="83" t="s">
        <v>136</v>
      </c>
      <c r="I6" s="83" t="s">
        <v>137</v>
      </c>
      <c r="J6" s="83" t="s">
        <v>138</v>
      </c>
      <c r="K6" s="102"/>
      <c r="L6" s="83" t="s">
        <v>139</v>
      </c>
      <c r="M6" s="83" t="s">
        <v>140</v>
      </c>
      <c r="N6" s="83" t="s">
        <v>141</v>
      </c>
      <c r="O6" s="103"/>
      <c r="P6" s="138" t="s">
        <v>142</v>
      </c>
      <c r="Q6" s="138" t="s">
        <v>143</v>
      </c>
      <c r="R6" s="138" t="s">
        <v>144</v>
      </c>
      <c r="S6" s="97"/>
    </row>
    <row r="7" spans="1:22" s="55" customFormat="1" x14ac:dyDescent="0.3">
      <c r="B7" s="55" t="s">
        <v>0</v>
      </c>
      <c r="C7" s="22" t="s">
        <v>1</v>
      </c>
      <c r="D7" s="113" t="s">
        <v>174</v>
      </c>
      <c r="E7" s="154">
        <v>1.64</v>
      </c>
      <c r="F7" s="62"/>
      <c r="G7" s="123">
        <f>'Page 1'!I8/('Target Co'!E64+'Target Co'!E52)</f>
        <v>6.576645470830407E-2</v>
      </c>
      <c r="H7" s="60">
        <f>'Page 1'!J8/'Target Co'!E52</f>
        <v>0.15117281218699774</v>
      </c>
      <c r="I7" s="60">
        <f>'Page 1'!J8/'Target Co'!E34</f>
        <v>3.3426212537147393E-2</v>
      </c>
      <c r="J7" s="61">
        <v>0</v>
      </c>
      <c r="L7" s="60">
        <f>'Target Co'!D65</f>
        <v>0.79308840299469485</v>
      </c>
      <c r="M7" s="126">
        <f>'Target Co'!D44/'Page 1'!H8</f>
        <v>5.706671423474849</v>
      </c>
      <c r="N7" s="126">
        <f>'Target Co'!D64/'Page 1'!H8</f>
        <v>5.6044951837317161</v>
      </c>
      <c r="P7" s="126">
        <f>'Page 1'!H8/('Target Co'!G13*-1)</f>
        <v>8.3175074183976232</v>
      </c>
      <c r="Q7" s="126">
        <f>('Page 1'!H8-'Target Co'!K23)/('Target Co'!G13*-1)</f>
        <v>2.2796439169139449</v>
      </c>
      <c r="R7" s="126">
        <f>'Page 1'!I8/('Target Co'!G13*-1)</f>
        <v>3.7258160237388713</v>
      </c>
      <c r="S7" s="98"/>
    </row>
    <row r="8" spans="1:22" x14ac:dyDescent="0.3">
      <c r="E8" s="155"/>
      <c r="H8" s="63"/>
      <c r="I8" s="63"/>
    </row>
    <row r="9" spans="1:22" ht="19.8" customHeight="1" x14ac:dyDescent="0.3">
      <c r="B9" s="28" t="s">
        <v>28</v>
      </c>
      <c r="C9" s="1" t="s">
        <v>29</v>
      </c>
      <c r="D9" s="114" t="s">
        <v>174</v>
      </c>
      <c r="E9" s="156">
        <v>0.56000000000000005</v>
      </c>
      <c r="G9" s="63">
        <f>'Page 1'!I10/(Comp1!E59+Comp1!E48)</f>
        <v>0.12056450273949858</v>
      </c>
      <c r="H9" s="124">
        <f>'Page 1'!J10/Comp1!E48</f>
        <v>0.10465469571294016</v>
      </c>
      <c r="I9" s="124">
        <f>'Page 1'!J10/Comp1!E30</f>
        <v>7.8901404740498088E-2</v>
      </c>
      <c r="J9" s="64">
        <v>0</v>
      </c>
      <c r="L9" s="63">
        <f>Comp1!D61</f>
        <v>0.25030384653286469</v>
      </c>
      <c r="M9" s="125">
        <f>Comp1!D40/'Page 1'!H10</f>
        <v>1.1700276384481523</v>
      </c>
      <c r="N9" s="125">
        <f>Comp1!D59/'Page 1'!H10</f>
        <v>0.84153956392670692</v>
      </c>
      <c r="P9" s="158" t="s">
        <v>250</v>
      </c>
      <c r="Q9" s="158" t="s">
        <v>250</v>
      </c>
      <c r="R9" s="158" t="s">
        <v>250</v>
      </c>
      <c r="S9" s="99"/>
      <c r="T9" s="85"/>
      <c r="U9" s="85"/>
      <c r="V9" s="84"/>
    </row>
    <row r="10" spans="1:22" ht="19.8" customHeight="1" x14ac:dyDescent="0.3">
      <c r="B10" s="28" t="s">
        <v>24</v>
      </c>
      <c r="C10" s="1" t="s">
        <v>25</v>
      </c>
      <c r="D10" s="114" t="s">
        <v>174</v>
      </c>
      <c r="E10" s="157">
        <v>1</v>
      </c>
      <c r="G10" s="63">
        <f>'Page 1'!I11/(Comp2!E54+Comp2!E43)</f>
        <v>0.10393969332376946</v>
      </c>
      <c r="H10" s="124">
        <f>'Page 1'!J11/Comp2!E43</f>
        <v>0.10231221598503076</v>
      </c>
      <c r="I10" s="124">
        <f>'Page 1'!J11/Comp2!E30</f>
        <v>7.6576323111069447E-2</v>
      </c>
      <c r="J10" s="64">
        <v>0</v>
      </c>
      <c r="L10" s="63">
        <f>Comp2!D56</f>
        <v>0.26128594287930951</v>
      </c>
      <c r="M10" s="125">
        <f>Comp2!D38/'Page 1'!H11</f>
        <v>1.2328547732082595</v>
      </c>
      <c r="N10" s="125">
        <f>Comp2!D54/'Page 1'!H11</f>
        <v>1.0261396785448722</v>
      </c>
      <c r="P10" s="158" t="s">
        <v>250</v>
      </c>
      <c r="Q10" s="158" t="s">
        <v>250</v>
      </c>
      <c r="R10" s="158" t="s">
        <v>250</v>
      </c>
      <c r="S10" s="99"/>
      <c r="T10" s="85"/>
      <c r="U10" s="85"/>
      <c r="V10" s="84"/>
    </row>
    <row r="11" spans="1:22" ht="19.8" customHeight="1" x14ac:dyDescent="0.3">
      <c r="B11" s="28" t="s">
        <v>7</v>
      </c>
      <c r="C11" s="1" t="s">
        <v>6</v>
      </c>
      <c r="D11" s="114" t="s">
        <v>174</v>
      </c>
      <c r="E11" s="157">
        <v>1.59</v>
      </c>
      <c r="G11" s="63">
        <f>'Page 1'!I12/(Comp3!E64+Comp3!E52)</f>
        <v>4.8215454201058439E-2</v>
      </c>
      <c r="H11" s="124">
        <f>'Page 1'!J12/Comp3!E52</f>
        <v>4.9967251193474546E-2</v>
      </c>
      <c r="I11" s="63">
        <f>'Page 1'!J12/Comp3!E35</f>
        <v>2.1828908554572271E-2</v>
      </c>
      <c r="J11" s="64">
        <v>0</v>
      </c>
      <c r="L11" s="63">
        <f>Comp3!D66</f>
        <v>0.58720863849152627</v>
      </c>
      <c r="M11" s="125">
        <f>Comp3!D45/'Page 1'!H12</f>
        <v>6.5158371040723981</v>
      </c>
      <c r="N11" s="125">
        <f>Comp3!D64/'Page 1'!H12</f>
        <v>3.3123378582202112</v>
      </c>
      <c r="P11" s="125">
        <f>'Page 1'!H12/(Comp3!G14*-1)</f>
        <v>31.998069498069501</v>
      </c>
      <c r="Q11" s="125">
        <f>('Page 1'!H12-Comp3!K23)/(Comp3!G14*-1)</f>
        <v>16.138996138996138</v>
      </c>
      <c r="R11" s="125">
        <f>'Page 1'!I12/(Comp3!G14*-1)</f>
        <v>12.162162162162163</v>
      </c>
      <c r="S11" s="99"/>
      <c r="T11" s="85"/>
      <c r="U11" s="85"/>
      <c r="V11" s="84"/>
    </row>
    <row r="12" spans="1:22" ht="19.8" customHeight="1" x14ac:dyDescent="0.3">
      <c r="B12" s="28" t="s">
        <v>8</v>
      </c>
      <c r="C12" s="1" t="s">
        <v>3</v>
      </c>
      <c r="D12" s="114" t="s">
        <v>174</v>
      </c>
      <c r="E12" s="156">
        <v>2.4300000000000002</v>
      </c>
      <c r="G12" s="124">
        <f>'Page 1'!I13/(Comp4!E66+Comp4!E54)</f>
        <v>8.6475375339455703E-3</v>
      </c>
      <c r="H12" s="124">
        <f>'Page 1'!J13/Comp4!E54</f>
        <v>-7.605006593311571E-2</v>
      </c>
      <c r="I12" s="63">
        <f>'Page 1'!J13/Comp4!E38</f>
        <v>-1.556637168141593E-2</v>
      </c>
      <c r="J12" s="64">
        <v>0</v>
      </c>
      <c r="L12" s="63">
        <f>Comp4!D68</f>
        <v>0.81386307843120831</v>
      </c>
      <c r="M12" s="125">
        <f>Comp4!D49/'Page 1'!H13</f>
        <v>9.0918195432422326</v>
      </c>
      <c r="N12" s="125">
        <f>Comp4!D66/'Page 1'!H13</f>
        <v>9.0391239236241123</v>
      </c>
      <c r="P12" s="125">
        <f>'Page 1'!H13/(Comp4!G13*-1)</f>
        <v>3.7580021104467112</v>
      </c>
      <c r="Q12" s="125">
        <f>('Page 1'!H13-Comp4!K27)/(Comp4!G13*-1)</f>
        <v>-2.9921913471684851</v>
      </c>
      <c r="R12" s="125">
        <f>'Page 1'!I13/(Comp4!G13*-1)</f>
        <v>0.34329933169187477</v>
      </c>
      <c r="S12" s="99"/>
      <c r="T12" s="85"/>
      <c r="U12" s="85"/>
      <c r="V12" s="84"/>
    </row>
    <row r="13" spans="1:22" ht="19.8" customHeight="1" x14ac:dyDescent="0.3">
      <c r="B13" s="28" t="s">
        <v>64</v>
      </c>
      <c r="C13" s="1" t="s">
        <v>63</v>
      </c>
      <c r="D13" s="114" t="s">
        <v>174</v>
      </c>
      <c r="E13" s="156">
        <v>1.5</v>
      </c>
      <c r="G13" s="124">
        <f>'Page 1'!I14/(Comp5!E64+Comp5!E52)</f>
        <v>1.3477146773136285E-2</v>
      </c>
      <c r="H13" s="124">
        <f>'Page 1'!J14/Comp5!E52</f>
        <v>5.4419354361681695E-3</v>
      </c>
      <c r="I13" s="124">
        <f>'Page 1'!J14/Comp5!E33</f>
        <v>2.1043602573266626E-3</v>
      </c>
      <c r="J13" s="64">
        <v>0</v>
      </c>
      <c r="L13" s="63">
        <f>Comp5!D66</f>
        <v>0.64008195643599075</v>
      </c>
      <c r="M13" s="125">
        <f>Comp5!D45/'Page 1'!H14</f>
        <v>6.7281291749205332</v>
      </c>
      <c r="N13" s="125">
        <f>Comp5!D64/'Page 1'!H14</f>
        <v>6.2713640761044829</v>
      </c>
      <c r="P13" s="125">
        <f>'Page 1'!H14/(Comp5!G13*-1)</f>
        <v>10.449873631002529</v>
      </c>
      <c r="Q13" s="125">
        <f>('Page 1'!H14-Comp5!K21)/(Comp5!G13*-1)</f>
        <v>-5.8682151883499811</v>
      </c>
      <c r="R13" s="125">
        <f>'Page 1'!I14/(Comp5!G13*-1)</f>
        <v>1.3609339270670358</v>
      </c>
      <c r="S13" s="99"/>
      <c r="T13" s="85"/>
      <c r="U13" s="85"/>
      <c r="V13" s="84"/>
    </row>
    <row r="14" spans="1:22" ht="19.8" customHeight="1" x14ac:dyDescent="0.3">
      <c r="B14" s="28" t="s">
        <v>4</v>
      </c>
      <c r="C14" s="1" t="s">
        <v>5</v>
      </c>
      <c r="D14" s="114" t="s">
        <v>174</v>
      </c>
      <c r="E14" s="156">
        <v>1.83</v>
      </c>
      <c r="G14" s="63">
        <f>'Page 1'!I15/(Comp6!E58+Comp6!E54)</f>
        <v>2.831867335614114E-2</v>
      </c>
      <c r="H14" s="124">
        <f>'Page 1'!J15/Comp6!E54</f>
        <v>-1.189672245296421E-2</v>
      </c>
      <c r="I14" s="124">
        <f>'Page 1'!J15/Comp6!E39</f>
        <v>-3.6514458651671403E-3</v>
      </c>
      <c r="J14" s="64">
        <v>0</v>
      </c>
      <c r="L14" s="63">
        <f>Comp6!D60</f>
        <v>0.7007998867113242</v>
      </c>
      <c r="M14" s="125">
        <f>Comp6!D47/'Page 1'!H15</f>
        <v>4.7632929852705272</v>
      </c>
      <c r="N14" s="125">
        <f>Comp6!D58/'Page 1'!H15</f>
        <v>4.3574157794954074</v>
      </c>
      <c r="P14" s="125">
        <f>'Page 1'!H15/(Comp6!G14*-1)</f>
        <v>7.774376417233559</v>
      </c>
      <c r="Q14" s="125">
        <f>('Page 1'!H15-Comp6!K23)/(Comp6!G14*-1)</f>
        <v>-2.9496598639455787</v>
      </c>
      <c r="R14" s="125">
        <f>'Page 1'!I15/(Comp6!G14*-1)</f>
        <v>1.4002267573696143</v>
      </c>
      <c r="S14" s="99"/>
      <c r="T14" s="85"/>
      <c r="U14" s="85"/>
      <c r="V14" s="84"/>
    </row>
    <row r="15" spans="1:22" ht="19.8" customHeight="1" x14ac:dyDescent="0.3">
      <c r="B15" s="28" t="s">
        <v>79</v>
      </c>
      <c r="C15" s="1" t="s">
        <v>10</v>
      </c>
      <c r="D15" s="114" t="s">
        <v>174</v>
      </c>
      <c r="E15" s="156">
        <v>3.06</v>
      </c>
      <c r="G15" s="63">
        <f>'Page 1'!I16/(Comp7!E61+Comp7!E49)</f>
        <v>3.6387154828187392E-2</v>
      </c>
      <c r="H15" s="124">
        <f>'Page 1'!J16/Comp7!E49</f>
        <v>0.1291969871058343</v>
      </c>
      <c r="I15" s="63">
        <f>'Page 1'!J16/Comp7!E31</f>
        <v>-2.6772486772486774E-2</v>
      </c>
      <c r="J15" s="64">
        <v>0</v>
      </c>
      <c r="L15" s="63">
        <f>Comp7!D63</f>
        <v>1.2337032647344035</v>
      </c>
      <c r="M15" s="125">
        <f>Comp7!D42/'Page 1'!H16</f>
        <v>10.761278195488721</v>
      </c>
      <c r="N15" s="125">
        <f>Comp7!D61/'Page 1'!H16</f>
        <v>10.273026315789473</v>
      </c>
      <c r="P15" s="125">
        <f>'Page 1'!H16/(Comp7!G14*-1)</f>
        <v>1.8915555555555557</v>
      </c>
      <c r="Q15" s="125">
        <f>('Page 1'!H16-Comp7!K23)/(Comp7!G14*-1)</f>
        <v>0.79822222222222228</v>
      </c>
      <c r="R15" s="125">
        <f>'Page 1'!I16/(Comp7!G14*-1)</f>
        <v>0.57511111111111113</v>
      </c>
      <c r="S15" s="99"/>
      <c r="T15" s="85"/>
      <c r="U15" s="85"/>
      <c r="V15" s="84"/>
    </row>
    <row r="17" spans="2:19" x14ac:dyDescent="0.3">
      <c r="B17" s="66" t="s">
        <v>80</v>
      </c>
      <c r="C17" s="66"/>
      <c r="D17" s="66"/>
      <c r="E17" s="66"/>
      <c r="F17" s="66"/>
      <c r="G17" s="67">
        <f>AVERAGE(G9:G15)</f>
        <v>5.1364308965105264E-2</v>
      </c>
      <c r="H17" s="67">
        <f t="shared" ref="H17:I17" si="0">AVERAGE(H9:H15)</f>
        <v>4.3375185292481147E-2</v>
      </c>
      <c r="I17" s="67">
        <f t="shared" si="0"/>
        <v>1.9060098906342377E-2</v>
      </c>
      <c r="J17" s="67" t="s">
        <v>196</v>
      </c>
      <c r="K17" s="66"/>
      <c r="L17" s="67">
        <f>AVERAGE(L9:L15)</f>
        <v>0.64103523060237522</v>
      </c>
      <c r="M17" s="127">
        <f>AVERAGE(M9:M15)</f>
        <v>5.7518913449501179</v>
      </c>
      <c r="N17" s="127">
        <f>AVERAGE(N9:N15)</f>
        <v>5.0172781708150387</v>
      </c>
      <c r="O17" s="67"/>
      <c r="P17" s="127">
        <f t="shared" ref="P17:R17" si="1">AVERAGE(P9:P15)</f>
        <v>11.174375442461571</v>
      </c>
      <c r="Q17" s="127">
        <f t="shared" si="1"/>
        <v>1.0254303923508628</v>
      </c>
      <c r="R17" s="127">
        <f t="shared" si="1"/>
        <v>3.1683466578803596</v>
      </c>
      <c r="S17" s="100"/>
    </row>
    <row r="18" spans="2:19" x14ac:dyDescent="0.3">
      <c r="B18" s="66" t="s">
        <v>81</v>
      </c>
      <c r="C18" s="66"/>
      <c r="D18" s="66"/>
      <c r="E18" s="66"/>
      <c r="F18" s="66"/>
      <c r="G18" s="67">
        <f>MEDIAN(G9:G15)</f>
        <v>3.6387154828187392E-2</v>
      </c>
      <c r="H18" s="67">
        <f t="shared" ref="H18:I18" si="2">MEDIAN(H9:H15)</f>
        <v>4.9967251193474546E-2</v>
      </c>
      <c r="I18" s="67">
        <f t="shared" si="2"/>
        <v>2.1043602573266626E-3</v>
      </c>
      <c r="J18" s="88" t="s">
        <v>196</v>
      </c>
      <c r="K18" s="66"/>
      <c r="L18" s="67">
        <f>MEDIAN(L9:L15)</f>
        <v>0.64008195643599075</v>
      </c>
      <c r="M18" s="127">
        <f t="shared" ref="M18:R18" si="3">MEDIAN(M9:M15)</f>
        <v>6.5158371040723981</v>
      </c>
      <c r="N18" s="127">
        <f t="shared" si="3"/>
        <v>4.3574157794954074</v>
      </c>
      <c r="O18" s="67"/>
      <c r="P18" s="127">
        <f t="shared" si="3"/>
        <v>7.774376417233559</v>
      </c>
      <c r="Q18" s="127">
        <f t="shared" si="3"/>
        <v>-2.9496598639455787</v>
      </c>
      <c r="R18" s="127">
        <f t="shared" si="3"/>
        <v>1.3609339270670358</v>
      </c>
      <c r="S18" s="100"/>
    </row>
    <row r="20" spans="2:19" x14ac:dyDescent="0.3">
      <c r="B20" s="66" t="s">
        <v>82</v>
      </c>
      <c r="C20" s="66"/>
      <c r="D20" s="66"/>
      <c r="E20" s="66"/>
      <c r="F20" s="66"/>
      <c r="G20" s="67">
        <f>MAX(G9:G15)</f>
        <v>0.12056450273949858</v>
      </c>
      <c r="H20" s="67">
        <f t="shared" ref="H20:I20" si="4">MAX(H9:H15)</f>
        <v>0.1291969871058343</v>
      </c>
      <c r="I20" s="67">
        <f t="shared" si="4"/>
        <v>7.8901404740498088E-2</v>
      </c>
      <c r="J20" s="88" t="s">
        <v>196</v>
      </c>
      <c r="K20" s="66"/>
      <c r="L20" s="67">
        <f>MAX(L9:L15)</f>
        <v>1.2337032647344035</v>
      </c>
      <c r="M20" s="127">
        <f t="shared" ref="M20:R20" si="5">MAX(M9:M15)</f>
        <v>10.761278195488721</v>
      </c>
      <c r="N20" s="127">
        <f t="shared" si="5"/>
        <v>10.273026315789473</v>
      </c>
      <c r="O20" s="67"/>
      <c r="P20" s="127">
        <f t="shared" si="5"/>
        <v>31.998069498069501</v>
      </c>
      <c r="Q20" s="127">
        <f t="shared" si="5"/>
        <v>16.138996138996138</v>
      </c>
      <c r="R20" s="127">
        <f t="shared" si="5"/>
        <v>12.162162162162163</v>
      </c>
      <c r="S20" s="100"/>
    </row>
    <row r="21" spans="2:19" x14ac:dyDescent="0.3">
      <c r="B21" s="66" t="s">
        <v>83</v>
      </c>
      <c r="C21" s="66"/>
      <c r="D21" s="66"/>
      <c r="E21" s="66"/>
      <c r="F21" s="66"/>
      <c r="G21" s="67">
        <f>MIN(G9:G15)</f>
        <v>8.6475375339455703E-3</v>
      </c>
      <c r="H21" s="67">
        <f t="shared" ref="H21:I21" si="6">MIN(H9:H15)</f>
        <v>-7.605006593311571E-2</v>
      </c>
      <c r="I21" s="67">
        <f t="shared" si="6"/>
        <v>-2.6772486772486774E-2</v>
      </c>
      <c r="J21" s="88" t="s">
        <v>196</v>
      </c>
      <c r="K21" s="66"/>
      <c r="L21" s="67">
        <f>MIN(L9:L15)</f>
        <v>0.25030384653286469</v>
      </c>
      <c r="M21" s="127">
        <f t="shared" ref="M21:R21" si="7">MIN(M9:M15)</f>
        <v>1.1700276384481523</v>
      </c>
      <c r="N21" s="127">
        <f t="shared" si="7"/>
        <v>0.84153956392670692</v>
      </c>
      <c r="O21" s="67"/>
      <c r="P21" s="127">
        <f t="shared" si="7"/>
        <v>1.8915555555555557</v>
      </c>
      <c r="Q21" s="127">
        <f t="shared" si="7"/>
        <v>-5.8682151883499811</v>
      </c>
      <c r="R21" s="127">
        <f t="shared" si="7"/>
        <v>0.34329933169187477</v>
      </c>
      <c r="S21" s="100"/>
    </row>
    <row r="22" spans="2:19" x14ac:dyDescent="0.3">
      <c r="B22" s="71"/>
    </row>
    <row r="23" spans="2:19" x14ac:dyDescent="0.3">
      <c r="B23" s="43" t="s">
        <v>87</v>
      </c>
    </row>
    <row r="24" spans="2:19" x14ac:dyDescent="0.3">
      <c r="B24" s="37" t="s">
        <v>86</v>
      </c>
    </row>
    <row r="25" spans="2:19" x14ac:dyDescent="0.3">
      <c r="B25" s="37"/>
    </row>
    <row r="26" spans="2:19" x14ac:dyDescent="0.3">
      <c r="B26" s="146" t="s">
        <v>231</v>
      </c>
    </row>
  </sheetData>
  <mergeCells count="4">
    <mergeCell ref="D5:E5"/>
    <mergeCell ref="G5:J5"/>
    <mergeCell ref="L5:N5"/>
    <mergeCell ref="P5:R5"/>
  </mergeCells>
  <hyperlinks>
    <hyperlink ref="A1" location="Homepage!A1" display="H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Z27"/>
  <sheetViews>
    <sheetView showGridLines="0" workbookViewId="0">
      <selection activeCell="E20" sqref="E20"/>
    </sheetView>
  </sheetViews>
  <sheetFormatPr baseColWidth="10" defaultRowHeight="14.4" x14ac:dyDescent="0.3"/>
  <cols>
    <col min="1" max="1" width="2.77734375" style="28" customWidth="1"/>
    <col min="2" max="2" width="26.77734375" style="28" customWidth="1"/>
    <col min="3" max="3" width="10.33203125" style="28" customWidth="1"/>
    <col min="4" max="4" width="9.6640625" style="28" customWidth="1"/>
    <col min="5" max="5" width="10.109375" style="28" customWidth="1"/>
    <col min="6" max="7" width="9.5546875" style="28" customWidth="1"/>
    <col min="8" max="8" width="2.5546875" style="28" customWidth="1"/>
    <col min="9" max="11" width="9.5546875" style="28" customWidth="1"/>
    <col min="12" max="12" width="1.88671875" style="28" customWidth="1"/>
    <col min="13" max="15" width="9.109375" style="28" customWidth="1"/>
    <col min="16" max="16" width="1.77734375" style="28" customWidth="1"/>
    <col min="17" max="18" width="7.109375" style="28" customWidth="1"/>
    <col min="19" max="19" width="7.6640625" style="28" customWidth="1"/>
    <col min="20" max="20" width="2.88671875" style="28" customWidth="1"/>
    <col min="21" max="22" width="9.77734375" style="28" customWidth="1"/>
    <col min="23" max="23" width="2.5546875" style="95" customWidth="1"/>
    <col min="24" max="26" width="10.21875" style="28" customWidth="1"/>
    <col min="27" max="27" width="3.5546875" style="28" customWidth="1"/>
    <col min="28" max="16384" width="11.5546875" style="28"/>
  </cols>
  <sheetData>
    <row r="1" spans="1:26" ht="23.4" x14ac:dyDescent="0.3">
      <c r="A1" s="153" t="s">
        <v>248</v>
      </c>
      <c r="B1" s="69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8" x14ac:dyDescent="0.3">
      <c r="B2" s="130" t="s">
        <v>197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x14ac:dyDescent="0.3">
      <c r="B3" s="70" t="s">
        <v>85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5" spans="1:26" ht="10.8" customHeight="1" x14ac:dyDescent="0.3">
      <c r="D5" s="173"/>
      <c r="E5" s="173"/>
      <c r="F5" s="173"/>
      <c r="G5" s="173"/>
      <c r="H5" s="173"/>
      <c r="I5" s="173"/>
      <c r="J5" s="173"/>
      <c r="K5" s="53"/>
      <c r="L5" s="53"/>
      <c r="M5" s="173"/>
      <c r="N5" s="173"/>
      <c r="O5" s="173"/>
      <c r="P5" s="95"/>
      <c r="Q5" s="173"/>
      <c r="R5" s="173"/>
      <c r="S5" s="173"/>
      <c r="T5" s="173"/>
      <c r="U5" s="173"/>
      <c r="V5" s="173"/>
      <c r="W5" s="53"/>
    </row>
    <row r="6" spans="1:26" ht="18" customHeight="1" x14ac:dyDescent="0.3">
      <c r="C6" s="1"/>
      <c r="D6" s="169" t="s">
        <v>183</v>
      </c>
      <c r="E6" s="169" t="s">
        <v>184</v>
      </c>
      <c r="F6" s="1"/>
      <c r="G6" s="1"/>
      <c r="H6" s="1"/>
      <c r="I6" s="171" t="s">
        <v>195</v>
      </c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29"/>
      <c r="U6" s="169" t="s">
        <v>194</v>
      </c>
      <c r="V6" s="169" t="s">
        <v>202</v>
      </c>
      <c r="W6" s="96"/>
      <c r="X6" s="171" t="s">
        <v>198</v>
      </c>
      <c r="Y6" s="171"/>
      <c r="Z6" s="171"/>
    </row>
    <row r="7" spans="1:26" s="51" customFormat="1" ht="33" customHeight="1" thickBot="1" x14ac:dyDescent="0.35">
      <c r="B7" s="59" t="s">
        <v>31</v>
      </c>
      <c r="C7" s="87" t="s">
        <v>2</v>
      </c>
      <c r="D7" s="170"/>
      <c r="E7" s="170"/>
      <c r="F7" s="87" t="s">
        <v>13</v>
      </c>
      <c r="G7" s="87" t="s">
        <v>67</v>
      </c>
      <c r="H7" s="86"/>
      <c r="I7" s="87" t="s">
        <v>185</v>
      </c>
      <c r="J7" s="87" t="s">
        <v>186</v>
      </c>
      <c r="K7" s="87" t="s">
        <v>187</v>
      </c>
      <c r="L7" s="52"/>
      <c r="M7" s="87" t="s">
        <v>188</v>
      </c>
      <c r="N7" s="87" t="s">
        <v>189</v>
      </c>
      <c r="O7" s="87" t="s">
        <v>190</v>
      </c>
      <c r="P7" s="4"/>
      <c r="Q7" s="87" t="s">
        <v>191</v>
      </c>
      <c r="R7" s="87" t="s">
        <v>192</v>
      </c>
      <c r="S7" s="87" t="s">
        <v>193</v>
      </c>
      <c r="T7" s="86"/>
      <c r="U7" s="170"/>
      <c r="V7" s="170"/>
      <c r="W7" s="97"/>
      <c r="X7" s="87" t="s">
        <v>199</v>
      </c>
      <c r="Y7" s="87" t="s">
        <v>200</v>
      </c>
      <c r="Z7" s="87" t="s">
        <v>201</v>
      </c>
    </row>
    <row r="8" spans="1:26" s="55" customFormat="1" x14ac:dyDescent="0.3">
      <c r="B8" s="55" t="s">
        <v>0</v>
      </c>
      <c r="C8" s="22" t="s">
        <v>1</v>
      </c>
      <c r="D8" s="61">
        <f>EV!C4</f>
        <v>17.45</v>
      </c>
      <c r="E8" s="60">
        <f>EV!C4/EV!C5</f>
        <v>0.63477628228446714</v>
      </c>
      <c r="F8" s="61">
        <f>EV!C9</f>
        <v>469.73358349999995</v>
      </c>
      <c r="G8" s="61">
        <f>EV!C21</f>
        <v>1023.6975835000001</v>
      </c>
      <c r="H8" s="61"/>
      <c r="I8" s="131">
        <f>G8/'Target Co'!G5</f>
        <v>0.67492835569474208</v>
      </c>
      <c r="J8" s="131">
        <f>G8/'Target Co'!H5</f>
        <v>0.74886436247256771</v>
      </c>
      <c r="K8" s="131">
        <f>G8/'Target Co'!I5</f>
        <v>0.63386847275541802</v>
      </c>
      <c r="L8" s="132"/>
      <c r="M8" s="131">
        <f>G8/'Target Co'!G12</f>
        <v>7.3042995611844468</v>
      </c>
      <c r="N8" s="131">
        <f>G8/'Target Co'!H12</f>
        <v>6.9829303103683502</v>
      </c>
      <c r="O8" s="131">
        <f>G8/'Target Co'!I12</f>
        <v>5.2497311974358976</v>
      </c>
      <c r="P8" s="133"/>
      <c r="Q8" s="131">
        <f>G8/'Target Co'!G11</f>
        <v>16.306109963364133</v>
      </c>
      <c r="R8" s="131">
        <f>G8/'Target Co'!H11</f>
        <v>15.054376227941177</v>
      </c>
      <c r="S8" s="131">
        <f>G8/'Target Co'!I11</f>
        <v>9.306341668181819</v>
      </c>
      <c r="T8" s="60"/>
      <c r="U8" s="60">
        <f>'Page 1'!L8</f>
        <v>9.2401516400197781E-2</v>
      </c>
      <c r="V8" s="131">
        <f>'Page 2'!M7</f>
        <v>5.706671423474849</v>
      </c>
      <c r="W8" s="98"/>
      <c r="X8" s="132">
        <f>D8/EPS!D4</f>
        <v>14.475611201848999</v>
      </c>
      <c r="Y8" s="132">
        <f>D8/EPS!H4</f>
        <v>15.043103448275863</v>
      </c>
      <c r="Z8" s="132">
        <f>D8/EPS!L4</f>
        <v>7.6872246696035242</v>
      </c>
    </row>
    <row r="9" spans="1:26" x14ac:dyDescent="0.3">
      <c r="C9" s="1"/>
      <c r="D9" s="1"/>
      <c r="E9" s="1"/>
      <c r="F9" s="1"/>
      <c r="G9" s="1"/>
      <c r="H9" s="1"/>
      <c r="I9" s="1"/>
      <c r="J9" s="1"/>
      <c r="K9" s="1"/>
      <c r="L9" s="1"/>
      <c r="M9" s="61"/>
    </row>
    <row r="10" spans="1:26" ht="19.8" customHeight="1" x14ac:dyDescent="0.3">
      <c r="B10" s="28" t="s">
        <v>28</v>
      </c>
      <c r="C10" s="1" t="s">
        <v>29</v>
      </c>
      <c r="D10" s="64">
        <f>EV!D4</f>
        <v>20.97</v>
      </c>
      <c r="E10" s="63">
        <f>EV!D4/EV!D5</f>
        <v>0.92338177014531031</v>
      </c>
      <c r="F10" s="64">
        <f>EV!D9</f>
        <v>1705.93325901</v>
      </c>
      <c r="G10" s="64">
        <f>EV!D21</f>
        <v>1641.75025901</v>
      </c>
      <c r="H10" s="64"/>
      <c r="I10" s="134">
        <f>G10/Comp1!G5</f>
        <v>2.632782095336605</v>
      </c>
      <c r="J10" s="134">
        <f>G10/Comp1!H5</f>
        <v>2.5704157739975888</v>
      </c>
      <c r="K10" s="134">
        <f>G10/Comp1!I5</f>
        <v>2.4739312543473675</v>
      </c>
      <c r="L10" s="135"/>
      <c r="M10" s="136">
        <f>G10/Comp1!G11</f>
        <v>8.4028572986487866</v>
      </c>
      <c r="N10" s="136">
        <f>G10/Comp1!H11</f>
        <v>8.9371271584648895</v>
      </c>
      <c r="O10" s="136">
        <f>G10/Comp1!I11</f>
        <v>7.9696614515048543</v>
      </c>
      <c r="P10" s="137"/>
      <c r="Q10" s="136">
        <f>G10/Comp1!G10</f>
        <v>18.086925845653852</v>
      </c>
      <c r="R10" s="136">
        <f>G10/Comp1!H10</f>
        <v>22.663587230949751</v>
      </c>
      <c r="S10" s="136">
        <f>G10/Comp1!I10</f>
        <v>18.160954192588495</v>
      </c>
      <c r="T10" s="63"/>
      <c r="U10" s="63">
        <f>'Page 1'!L10</f>
        <v>0.31331986272811829</v>
      </c>
      <c r="V10" s="135">
        <f>'Page 2'!M9</f>
        <v>1.1700276384481523</v>
      </c>
      <c r="W10" s="99"/>
      <c r="X10" s="135">
        <f>D10/EPS!D5</f>
        <v>24.763147902598352</v>
      </c>
      <c r="Y10" s="135">
        <f>D10/EPS!H5</f>
        <v>31.77272727272727</v>
      </c>
      <c r="Z10" s="135">
        <f>D10/EPS!L5</f>
        <v>24.670588235294115</v>
      </c>
    </row>
    <row r="11" spans="1:26" ht="19.8" customHeight="1" x14ac:dyDescent="0.3">
      <c r="B11" s="28" t="s">
        <v>24</v>
      </c>
      <c r="C11" s="1" t="s">
        <v>25</v>
      </c>
      <c r="D11" s="82">
        <f>EV!E4</f>
        <v>26.19</v>
      </c>
      <c r="E11" s="63">
        <f>EV!E4/EV!E5</f>
        <v>0.97107897664071197</v>
      </c>
      <c r="F11" s="65">
        <f>EV!E9</f>
        <v>1436.7885594300001</v>
      </c>
      <c r="G11" s="65">
        <f>EV!E21</f>
        <v>1401.6625594300001</v>
      </c>
      <c r="H11" s="65"/>
      <c r="I11" s="134">
        <f>G11/Comp2!G5</f>
        <v>1.624362683312087</v>
      </c>
      <c r="J11" s="134">
        <f>G11/Comp2!H5</f>
        <v>1.6371120084912054</v>
      </c>
      <c r="K11" s="134">
        <f>G11/Comp2!I5</f>
        <v>1.5478577211970628</v>
      </c>
      <c r="L11" s="135"/>
      <c r="M11" s="136">
        <f>G11/Comp2!G13</f>
        <v>8.0172885627752688</v>
      </c>
      <c r="N11" s="136">
        <f>G11/Comp2!H13</f>
        <v>8.0518299599609371</v>
      </c>
      <c r="O11" s="136">
        <f>G11/Comp2!I13</f>
        <v>7.3481654491743127</v>
      </c>
      <c r="P11" s="136"/>
      <c r="Q11" s="136">
        <f>G11/Comp2!G12</f>
        <v>18.250814575911459</v>
      </c>
      <c r="R11" s="136">
        <f>G11/Comp2!H12</f>
        <v>19.527201998188911</v>
      </c>
      <c r="S11" s="136">
        <f>G11/Comp2!I12</f>
        <v>16.660674663378106</v>
      </c>
      <c r="T11" s="63"/>
      <c r="U11" s="63">
        <f>'Page 1'!L11</f>
        <v>0.20260748638312662</v>
      </c>
      <c r="V11" s="135">
        <f>'Page 2'!M10</f>
        <v>1.2328547732082595</v>
      </c>
      <c r="W11" s="99"/>
      <c r="X11" s="135">
        <f>D11/EPS!D6</f>
        <v>23.461602864630958</v>
      </c>
      <c r="Y11" s="135">
        <f>D11/EPS!H6</f>
        <v>26.454545454545457</v>
      </c>
      <c r="Z11" s="135">
        <f>D11/EPS!L6</f>
        <v>22.194915254237291</v>
      </c>
    </row>
    <row r="12" spans="1:26" ht="19.8" customHeight="1" x14ac:dyDescent="0.3">
      <c r="B12" s="28" t="s">
        <v>7</v>
      </c>
      <c r="C12" s="1" t="s">
        <v>6</v>
      </c>
      <c r="D12" s="82">
        <f>EV!F4</f>
        <v>28.18</v>
      </c>
      <c r="E12" s="63">
        <f>EV!F4/EV!F5</f>
        <v>0.86814540973505849</v>
      </c>
      <c r="F12" s="65">
        <f>EV!F9</f>
        <v>711.89640459999998</v>
      </c>
      <c r="G12" s="65">
        <f>EV!F21</f>
        <v>792.10140460000002</v>
      </c>
      <c r="H12" s="65"/>
      <c r="I12" s="134">
        <f>G12/Comp3!G5</f>
        <v>0.26599685834794112</v>
      </c>
      <c r="J12" s="134">
        <f>G12/Comp3!H5</f>
        <v>0.28757675159744411</v>
      </c>
      <c r="K12" s="134">
        <f>G12/Comp3!I5</f>
        <v>0.26955060389301028</v>
      </c>
      <c r="L12" s="135"/>
      <c r="M12" s="136">
        <f>G12/Comp3!G13</f>
        <v>4.7788923354449473</v>
      </c>
      <c r="N12" s="136">
        <f>G12/Comp3!H13</f>
        <v>5.6944745118619702</v>
      </c>
      <c r="O12" s="136">
        <f>G12/Comp3!I13</f>
        <v>4.0247010040140241</v>
      </c>
      <c r="P12" s="137"/>
      <c r="Q12" s="136">
        <f>G12/Comp3!G12</f>
        <v>12.573038168253969</v>
      </c>
      <c r="R12" s="136">
        <f>G12/Comp3!H12</f>
        <v>20.114306871508379</v>
      </c>
      <c r="S12" s="136">
        <f>G12/Comp3!I12</f>
        <v>9.1869798724193927</v>
      </c>
      <c r="T12" s="63"/>
      <c r="U12" s="63">
        <f>'Page 1'!L12</f>
        <v>5.5660776530797283E-2</v>
      </c>
      <c r="V12" s="135">
        <f>'Page 2'!M11</f>
        <v>6.5158371040723981</v>
      </c>
      <c r="W12" s="99"/>
      <c r="X12" s="135">
        <f>D12/EPS!D7</f>
        <v>19.240443367567568</v>
      </c>
      <c r="Y12" s="135">
        <f>D12/EPS!H7</f>
        <v>27.096153846153847</v>
      </c>
      <c r="Z12" s="135">
        <f>D12/EPS!L7</f>
        <v>12.524444444444445</v>
      </c>
    </row>
    <row r="13" spans="1:26" ht="19.8" customHeight="1" x14ac:dyDescent="0.3">
      <c r="B13" s="28" t="s">
        <v>8</v>
      </c>
      <c r="C13" s="1" t="s">
        <v>3</v>
      </c>
      <c r="D13" s="82">
        <f>EV!G4</f>
        <v>6.33</v>
      </c>
      <c r="E13" s="63">
        <f>EV!G4/EV!G5</f>
        <v>0.95763993948562776</v>
      </c>
      <c r="F13" s="65">
        <f>EV!G9</f>
        <v>312.8776575</v>
      </c>
      <c r="G13" s="65">
        <f>EV!G21</f>
        <v>1031.6766574999999</v>
      </c>
      <c r="H13" s="65"/>
      <c r="I13" s="134">
        <f>G13/Comp4!G5</f>
        <v>0.59820867181565673</v>
      </c>
      <c r="J13" s="134">
        <f>G13/Comp4!H5</f>
        <v>0.58788344492563671</v>
      </c>
      <c r="K13" s="134">
        <f>G13/Comp4!I5</f>
        <v>0.55329650193070901</v>
      </c>
      <c r="L13" s="135"/>
      <c r="M13" s="136">
        <f>G13/Comp4!G12</f>
        <v>9.6562772135904158</v>
      </c>
      <c r="N13" s="136">
        <f>G13/Comp4!H12</f>
        <v>9.0904631024759883</v>
      </c>
      <c r="O13" s="136">
        <f>G13/Comp4!I12</f>
        <v>6.7096556809313217</v>
      </c>
      <c r="P13" s="137"/>
      <c r="Q13" s="136">
        <f>G13/Comp4!G11</f>
        <v>105.7045755635246</v>
      </c>
      <c r="R13" s="136">
        <f>G13/Comp4!H11</f>
        <v>83.334140347334397</v>
      </c>
      <c r="S13" s="136">
        <f>G13/Comp4!I11</f>
        <v>19.714822424995223</v>
      </c>
      <c r="T13" s="63"/>
      <c r="U13" s="63">
        <f>'Page 1'!L13</f>
        <v>6.195023802482879E-2</v>
      </c>
      <c r="V13" s="135">
        <f>'Page 2'!M12</f>
        <v>9.0918195432422326</v>
      </c>
      <c r="W13" s="99"/>
      <c r="X13" s="135">
        <f>D13/EPS!D8</f>
        <v>-17.787246020466174</v>
      </c>
      <c r="Y13" s="135">
        <f>D13/EPS!H8</f>
        <v>-63.3</v>
      </c>
      <c r="Z13" s="135">
        <f>D13/EPS!L8</f>
        <v>12.411764705882353</v>
      </c>
    </row>
    <row r="14" spans="1:26" ht="19.8" customHeight="1" x14ac:dyDescent="0.3">
      <c r="B14" s="28" t="s">
        <v>64</v>
      </c>
      <c r="C14" s="1" t="s">
        <v>63</v>
      </c>
      <c r="D14" s="82">
        <f>EV!H4</f>
        <v>15.94</v>
      </c>
      <c r="E14" s="63">
        <f>EV!H4/EV!H5</f>
        <v>0.93985849056603765</v>
      </c>
      <c r="F14" s="65">
        <f>EV!H9</f>
        <v>272.37672656000001</v>
      </c>
      <c r="G14" s="65">
        <f>EV!H21</f>
        <v>609.09972656000002</v>
      </c>
      <c r="H14" s="65"/>
      <c r="I14" s="134">
        <f>G14/Comp5!G5</f>
        <v>0.68522862702216236</v>
      </c>
      <c r="J14" s="134">
        <f>G14/Comp5!H5</f>
        <v>0.77184277584743088</v>
      </c>
      <c r="K14" s="134">
        <f>G14/Comp5!I5</f>
        <v>0.76761150165091374</v>
      </c>
      <c r="L14" s="135"/>
      <c r="M14" s="136">
        <f>G14/Comp5!G12</f>
        <v>7.015015047680472</v>
      </c>
      <c r="N14" s="136">
        <f>G14/Comp5!H12</f>
        <v>7.9155260111760883</v>
      </c>
      <c r="O14" s="136">
        <f>G14/Comp5!I12</f>
        <v>6.2904030420324286</v>
      </c>
      <c r="P14" s="137"/>
      <c r="Q14" s="136">
        <f>G14/Comp5!G11</f>
        <v>53.86449651220375</v>
      </c>
      <c r="R14" s="136">
        <f>G14/Comp5!H11</f>
        <v>36.255936104761908</v>
      </c>
      <c r="S14" s="136">
        <f>F14/Comp5!I11</f>
        <v>8.2538401987878789</v>
      </c>
      <c r="T14" s="63"/>
      <c r="U14" s="63">
        <f>'Page 1'!L14</f>
        <v>9.7680278996512562E-2</v>
      </c>
      <c r="V14" s="135">
        <f>'Page 2'!M13</f>
        <v>6.7281291749205332</v>
      </c>
      <c r="W14" s="99"/>
      <c r="X14" s="135">
        <f>D14/EPS!D9</f>
        <v>148.03082965217388</v>
      </c>
      <c r="Y14" s="135">
        <f>D14/EPS!H9</f>
        <v>49.8125</v>
      </c>
      <c r="Z14" s="135">
        <f>D14/EPS!L9</f>
        <v>13.173553719008265</v>
      </c>
    </row>
    <row r="15" spans="1:26" ht="19.8" customHeight="1" x14ac:dyDescent="0.3">
      <c r="B15" s="28" t="s">
        <v>4</v>
      </c>
      <c r="C15" s="1" t="s">
        <v>5</v>
      </c>
      <c r="D15" s="82">
        <f>EV!I4</f>
        <v>33.4</v>
      </c>
      <c r="E15" s="63">
        <f>EV!I4/EV!I5</f>
        <v>0.46674119619899379</v>
      </c>
      <c r="F15" s="65">
        <f>EV!I9</f>
        <v>191.79382199999998</v>
      </c>
      <c r="G15" s="65">
        <f>EV!I21</f>
        <v>429.66682199999997</v>
      </c>
      <c r="H15" s="65"/>
      <c r="I15" s="134">
        <f>G15/Comp6!G5</f>
        <v>0.8348718974060042</v>
      </c>
      <c r="J15" s="134">
        <f>G15/Comp6!H5</f>
        <v>0.91418472765957437</v>
      </c>
      <c r="K15" s="134">
        <f>G15/Comp6!I5</f>
        <v>0.86417301287208359</v>
      </c>
      <c r="L15" s="135"/>
      <c r="M15" s="136">
        <f>G15/Comp6!G13</f>
        <v>6.2661050313548197</v>
      </c>
      <c r="N15" s="136">
        <f>G15/Comp6!H13</f>
        <v>5.1829532207478879</v>
      </c>
      <c r="O15" s="136">
        <f>G15/Comp6!I13</f>
        <v>4.7900426086956518</v>
      </c>
      <c r="P15" s="137"/>
      <c r="Q15" s="136">
        <f>G15/Comp6!G12</f>
        <v>34.790835789473682</v>
      </c>
      <c r="R15" s="136">
        <f>G15/Comp6!H12</f>
        <v>15.854864280442802</v>
      </c>
      <c r="S15" s="136">
        <f>G15/Comp6!I12</f>
        <v>12.34674775862069</v>
      </c>
      <c r="T15" s="63"/>
      <c r="U15" s="63">
        <f>'Page 1'!L15</f>
        <v>0.13323617992810649</v>
      </c>
      <c r="V15" s="135">
        <f>'Page 2'!M14</f>
        <v>4.7632929852705272</v>
      </c>
      <c r="W15" s="99"/>
      <c r="X15" s="135">
        <f>D15/EPS!D10</f>
        <v>-112.81989529411763</v>
      </c>
      <c r="Y15" s="135">
        <f>D15/EPS!H10</f>
        <v>15.68075117370892</v>
      </c>
      <c r="Z15" s="135">
        <f>D15/EPS!L10</f>
        <v>10.774193548387096</v>
      </c>
    </row>
    <row r="16" spans="1:26" ht="19.8" customHeight="1" x14ac:dyDescent="0.3">
      <c r="B16" s="28" t="s">
        <v>79</v>
      </c>
      <c r="C16" s="1" t="s">
        <v>10</v>
      </c>
      <c r="D16" s="82">
        <f>EV!J4</f>
        <v>3.04</v>
      </c>
      <c r="E16" s="63">
        <f>EV!J4/EV!J5</f>
        <v>0.63465553235908145</v>
      </c>
      <c r="F16" s="65">
        <f>EV!J9</f>
        <v>112.92354511999999</v>
      </c>
      <c r="G16" s="65">
        <f>EV!J21</f>
        <v>1423.5235451200001</v>
      </c>
      <c r="H16" s="65"/>
      <c r="I16" s="134">
        <f>G16/Comp7!G5</f>
        <v>0.29404353158720981</v>
      </c>
      <c r="J16" s="134">
        <f>G16/Comp7!H5</f>
        <v>0.32742744160456344</v>
      </c>
      <c r="K16" s="134">
        <f>G16/Comp7!I5</f>
        <v>0.30542472217645039</v>
      </c>
      <c r="L16" s="135"/>
      <c r="M16" s="136">
        <f>G16/Comp7!G13</f>
        <v>6.6894903436090223</v>
      </c>
      <c r="N16" s="136">
        <f>G16/Comp7!H13</f>
        <v>18.705959857030226</v>
      </c>
      <c r="O16" s="136">
        <f>G16/Comp7!I13</f>
        <v>6.1095431121030046</v>
      </c>
      <c r="P16" s="137"/>
      <c r="Q16" s="136">
        <f>$G$16/Comp7!G12</f>
        <v>22.001909507264298</v>
      </c>
      <c r="R16" s="136">
        <f>$G$16/Comp7!H12</f>
        <v>-51.576940040579714</v>
      </c>
      <c r="S16" s="136">
        <f>G16/Comp7!I12</f>
        <v>15.159995155697551</v>
      </c>
      <c r="T16" s="63"/>
      <c r="U16" s="63">
        <f>'Page 1'!L16</f>
        <v>4.3956043956043959E-2</v>
      </c>
      <c r="V16" s="135">
        <f>'Page 2'!M15</f>
        <v>10.761278195488721</v>
      </c>
      <c r="W16" s="99"/>
      <c r="X16" s="135">
        <f>D16/EPS!D11</f>
        <v>-2.2316906150197626</v>
      </c>
      <c r="Y16" s="135">
        <f>D16/EPS!H11</f>
        <v>-0.98064516129032253</v>
      </c>
      <c r="Z16" s="135">
        <f>D16/EPS!L11</f>
        <v>-13.217391304347826</v>
      </c>
    </row>
    <row r="18" spans="2:26" x14ac:dyDescent="0.3">
      <c r="B18" s="66" t="s">
        <v>80</v>
      </c>
      <c r="C18" s="66"/>
      <c r="D18" s="66"/>
      <c r="E18" s="66"/>
      <c r="F18" s="66"/>
      <c r="G18" s="66"/>
      <c r="H18" s="66"/>
      <c r="I18" s="127">
        <f>AVERAGE(I10:I16)</f>
        <v>0.99078490926109541</v>
      </c>
      <c r="J18" s="127">
        <f t="shared" ref="J18:Z18" si="0">AVERAGE(J10:J16)</f>
        <v>1.0137775605890635</v>
      </c>
      <c r="K18" s="127">
        <f t="shared" si="0"/>
        <v>0.96883504543822807</v>
      </c>
      <c r="L18" s="127"/>
      <c r="M18" s="127">
        <f t="shared" si="0"/>
        <v>7.2608465475862474</v>
      </c>
      <c r="N18" s="127">
        <f t="shared" si="0"/>
        <v>9.0826191173882851</v>
      </c>
      <c r="O18" s="127">
        <f t="shared" si="0"/>
        <v>6.1774531926365137</v>
      </c>
      <c r="P18" s="127"/>
      <c r="Q18" s="127">
        <f t="shared" si="0"/>
        <v>37.89608513746937</v>
      </c>
      <c r="R18" s="127">
        <f t="shared" si="0"/>
        <v>20.881870970372347</v>
      </c>
      <c r="S18" s="127">
        <f t="shared" si="0"/>
        <v>14.212002038069622</v>
      </c>
      <c r="T18" s="127"/>
      <c r="U18" s="141">
        <f t="shared" si="0"/>
        <v>0.12977298093536199</v>
      </c>
      <c r="V18" s="127">
        <f t="shared" si="0"/>
        <v>5.7518913449501179</v>
      </c>
      <c r="W18" s="127"/>
      <c r="X18" s="127">
        <f t="shared" si="0"/>
        <v>11.808170265338168</v>
      </c>
      <c r="Y18" s="127">
        <f t="shared" si="0"/>
        <v>12.362290369406454</v>
      </c>
      <c r="Z18" s="127">
        <f t="shared" si="0"/>
        <v>11.790295514700819</v>
      </c>
    </row>
    <row r="19" spans="2:26" x14ac:dyDescent="0.3">
      <c r="B19" s="66" t="s">
        <v>214</v>
      </c>
      <c r="C19" s="66"/>
      <c r="D19" s="66"/>
      <c r="E19" s="66"/>
      <c r="F19" s="66"/>
      <c r="G19" s="66"/>
      <c r="H19" s="66"/>
      <c r="I19" s="127">
        <f>_xlfn.QUARTILE.INC(I10:I16,1)</f>
        <v>0.4461261017014333</v>
      </c>
      <c r="J19" s="127">
        <f t="shared" ref="J19:Z19" si="1">_xlfn.QUARTILE.INC(J10:J16,1)</f>
        <v>0.4576554432651001</v>
      </c>
      <c r="K19" s="127">
        <f t="shared" si="1"/>
        <v>0.42936061205357967</v>
      </c>
      <c r="L19" s="127"/>
      <c r="M19" s="127">
        <f t="shared" si="1"/>
        <v>6.477797687481921</v>
      </c>
      <c r="N19" s="127">
        <f t="shared" si="1"/>
        <v>6.8050002615190293</v>
      </c>
      <c r="O19" s="127">
        <f t="shared" si="1"/>
        <v>5.4497928603993282</v>
      </c>
      <c r="P19" s="127"/>
      <c r="Q19" s="127">
        <f t="shared" si="1"/>
        <v>18.168870210782657</v>
      </c>
      <c r="R19" s="127">
        <f t="shared" si="1"/>
        <v>17.691033139315856</v>
      </c>
      <c r="S19" s="127">
        <f t="shared" si="1"/>
        <v>10.766863815520042</v>
      </c>
      <c r="T19" s="127"/>
      <c r="U19" s="141">
        <f t="shared" si="1"/>
        <v>5.8805507277813036E-2</v>
      </c>
      <c r="V19" s="127">
        <f t="shared" si="1"/>
        <v>2.9980738792393931</v>
      </c>
      <c r="W19" s="127"/>
      <c r="X19" s="127">
        <f t="shared" si="1"/>
        <v>-10.009468317742968</v>
      </c>
      <c r="Y19" s="127">
        <f t="shared" si="1"/>
        <v>7.3500530062092988</v>
      </c>
      <c r="Z19" s="127">
        <f t="shared" si="1"/>
        <v>11.592979127134726</v>
      </c>
    </row>
    <row r="20" spans="2:26" x14ac:dyDescent="0.3">
      <c r="B20" s="66" t="s">
        <v>81</v>
      </c>
      <c r="C20" s="66"/>
      <c r="D20" s="66"/>
      <c r="E20" s="66"/>
      <c r="F20" s="66"/>
      <c r="G20" s="66"/>
      <c r="H20" s="66"/>
      <c r="I20" s="127">
        <f>MEDIAN(I10:I16)</f>
        <v>0.68522862702216236</v>
      </c>
      <c r="J20" s="127">
        <f t="shared" ref="J20:Z20" si="2">MEDIAN(J10:J16)</f>
        <v>0.77184277584743088</v>
      </c>
      <c r="K20" s="127">
        <f t="shared" si="2"/>
        <v>0.76761150165091374</v>
      </c>
      <c r="L20" s="127"/>
      <c r="M20" s="127">
        <f t="shared" si="2"/>
        <v>7.015015047680472</v>
      </c>
      <c r="N20" s="127">
        <f t="shared" si="2"/>
        <v>8.0518299599609371</v>
      </c>
      <c r="O20" s="127">
        <f t="shared" si="2"/>
        <v>6.2904030420324286</v>
      </c>
      <c r="P20" s="127"/>
      <c r="Q20" s="127">
        <f t="shared" si="2"/>
        <v>22.001909507264298</v>
      </c>
      <c r="R20" s="127">
        <f t="shared" si="2"/>
        <v>20.114306871508379</v>
      </c>
      <c r="S20" s="127">
        <f t="shared" si="2"/>
        <v>15.159995155697551</v>
      </c>
      <c r="T20" s="127"/>
      <c r="U20" s="141">
        <f t="shared" si="2"/>
        <v>9.7680278996512562E-2</v>
      </c>
      <c r="V20" s="127">
        <f t="shared" si="2"/>
        <v>6.5158371040723981</v>
      </c>
      <c r="W20" s="127"/>
      <c r="X20" s="127">
        <f t="shared" si="2"/>
        <v>19.240443367567568</v>
      </c>
      <c r="Y20" s="127">
        <f t="shared" si="2"/>
        <v>26.454545454545457</v>
      </c>
      <c r="Z20" s="127">
        <f t="shared" si="2"/>
        <v>12.524444444444445</v>
      </c>
    </row>
    <row r="21" spans="2:26" x14ac:dyDescent="0.3">
      <c r="B21" s="66" t="s">
        <v>215</v>
      </c>
      <c r="C21" s="66"/>
      <c r="D21" s="66"/>
      <c r="E21" s="66"/>
      <c r="F21" s="66"/>
      <c r="G21" s="66"/>
      <c r="H21" s="66"/>
      <c r="I21" s="127">
        <f>_xlfn.QUARTILE.INC(I10:I16,3)</f>
        <v>1.2296172903590457</v>
      </c>
      <c r="J21" s="127">
        <f t="shared" ref="J21:Z21" si="3">_xlfn.QUARTILE.INC(J10:J16,3)</f>
        <v>1.2756483680753898</v>
      </c>
      <c r="K21" s="127">
        <f t="shared" si="3"/>
        <v>1.2060153670345732</v>
      </c>
      <c r="L21" s="127"/>
      <c r="M21" s="127">
        <f t="shared" si="3"/>
        <v>8.2100729307120268</v>
      </c>
      <c r="N21" s="127">
        <f t="shared" si="3"/>
        <v>9.013795130470438</v>
      </c>
      <c r="O21" s="127">
        <f t="shared" si="3"/>
        <v>7.0289105650528168</v>
      </c>
      <c r="P21" s="127"/>
      <c r="Q21" s="127">
        <f t="shared" si="3"/>
        <v>44.327666150838716</v>
      </c>
      <c r="R21" s="127">
        <f t="shared" si="3"/>
        <v>29.45976166785583</v>
      </c>
      <c r="S21" s="127">
        <f t="shared" si="3"/>
        <v>17.410814427983301</v>
      </c>
      <c r="T21" s="127"/>
      <c r="U21" s="141">
        <f t="shared" si="3"/>
        <v>0.16792183315561654</v>
      </c>
      <c r="V21" s="127">
        <f t="shared" si="3"/>
        <v>7.9099743590813834</v>
      </c>
      <c r="W21" s="127"/>
      <c r="X21" s="127">
        <f t="shared" si="3"/>
        <v>24.112375383614655</v>
      </c>
      <c r="Y21" s="127">
        <f t="shared" si="3"/>
        <v>29.43444055944056</v>
      </c>
      <c r="Z21" s="127">
        <f t="shared" si="3"/>
        <v>17.684234486622778</v>
      </c>
    </row>
    <row r="23" spans="2:26" x14ac:dyDescent="0.3">
      <c r="B23" s="66" t="s">
        <v>82</v>
      </c>
      <c r="C23" s="66"/>
      <c r="D23" s="66"/>
      <c r="E23" s="66"/>
      <c r="F23" s="66"/>
      <c r="G23" s="66"/>
      <c r="H23" s="66"/>
      <c r="I23" s="127">
        <f>MAX(I10:I16)</f>
        <v>2.632782095336605</v>
      </c>
      <c r="J23" s="127">
        <f t="shared" ref="J23:Z23" si="4">MAX(J10:J16)</f>
        <v>2.5704157739975888</v>
      </c>
      <c r="K23" s="127">
        <f t="shared" si="4"/>
        <v>2.4739312543473675</v>
      </c>
      <c r="L23" s="127"/>
      <c r="M23" s="127">
        <f t="shared" si="4"/>
        <v>9.6562772135904158</v>
      </c>
      <c r="N23" s="127">
        <f t="shared" si="4"/>
        <v>18.705959857030226</v>
      </c>
      <c r="O23" s="127">
        <f t="shared" si="4"/>
        <v>7.9696614515048543</v>
      </c>
      <c r="P23" s="127"/>
      <c r="Q23" s="127">
        <f t="shared" si="4"/>
        <v>105.7045755635246</v>
      </c>
      <c r="R23" s="127">
        <f t="shared" si="4"/>
        <v>83.334140347334397</v>
      </c>
      <c r="S23" s="127">
        <f t="shared" si="4"/>
        <v>19.714822424995223</v>
      </c>
      <c r="T23" s="127"/>
      <c r="U23" s="141">
        <f t="shared" si="4"/>
        <v>0.31331986272811829</v>
      </c>
      <c r="V23" s="127">
        <f t="shared" si="4"/>
        <v>10.761278195488721</v>
      </c>
      <c r="W23" s="127"/>
      <c r="X23" s="127">
        <f t="shared" si="4"/>
        <v>148.03082965217388</v>
      </c>
      <c r="Y23" s="127">
        <f t="shared" si="4"/>
        <v>49.8125</v>
      </c>
      <c r="Z23" s="127">
        <f t="shared" si="4"/>
        <v>24.670588235294115</v>
      </c>
    </row>
    <row r="24" spans="2:26" x14ac:dyDescent="0.3">
      <c r="B24" s="66" t="s">
        <v>83</v>
      </c>
      <c r="C24" s="66"/>
      <c r="D24" s="66"/>
      <c r="E24" s="66"/>
      <c r="F24" s="66"/>
      <c r="G24" s="66"/>
      <c r="H24" s="66"/>
      <c r="I24" s="127">
        <f>MIN(I10:I16)</f>
        <v>0.26599685834794112</v>
      </c>
      <c r="J24" s="127">
        <f t="shared" ref="J24:Z24" si="5">MIN(J10:J16)</f>
        <v>0.28757675159744411</v>
      </c>
      <c r="K24" s="127">
        <f t="shared" si="5"/>
        <v>0.26955060389301028</v>
      </c>
      <c r="L24" s="127"/>
      <c r="M24" s="127">
        <f t="shared" si="5"/>
        <v>4.7788923354449473</v>
      </c>
      <c r="N24" s="127">
        <f t="shared" si="5"/>
        <v>5.1829532207478879</v>
      </c>
      <c r="O24" s="127">
        <f t="shared" si="5"/>
        <v>4.0247010040140241</v>
      </c>
      <c r="P24" s="127"/>
      <c r="Q24" s="127">
        <f t="shared" si="5"/>
        <v>12.573038168253969</v>
      </c>
      <c r="R24" s="127">
        <f t="shared" si="5"/>
        <v>-51.576940040579714</v>
      </c>
      <c r="S24" s="127">
        <f t="shared" si="5"/>
        <v>8.2538401987878789</v>
      </c>
      <c r="T24" s="127"/>
      <c r="U24" s="141">
        <f t="shared" si="5"/>
        <v>4.3956043956043959E-2</v>
      </c>
      <c r="V24" s="127">
        <f t="shared" si="5"/>
        <v>1.1700276384481523</v>
      </c>
      <c r="W24" s="127"/>
      <c r="X24" s="127">
        <f t="shared" si="5"/>
        <v>-112.81989529411763</v>
      </c>
      <c r="Y24" s="127">
        <f t="shared" si="5"/>
        <v>-63.3</v>
      </c>
      <c r="Z24" s="127">
        <f t="shared" si="5"/>
        <v>-13.217391304347826</v>
      </c>
    </row>
    <row r="25" spans="2:26" x14ac:dyDescent="0.3">
      <c r="B25" s="71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</row>
    <row r="26" spans="2:26" x14ac:dyDescent="0.3">
      <c r="B26" s="43" t="s">
        <v>87</v>
      </c>
    </row>
    <row r="27" spans="2:26" x14ac:dyDescent="0.3">
      <c r="B27" s="37" t="s">
        <v>86</v>
      </c>
    </row>
  </sheetData>
  <mergeCells count="10">
    <mergeCell ref="U6:U7"/>
    <mergeCell ref="V6:V7"/>
    <mergeCell ref="I6:S6"/>
    <mergeCell ref="X6:Z6"/>
    <mergeCell ref="D5:E5"/>
    <mergeCell ref="F5:J5"/>
    <mergeCell ref="M5:O5"/>
    <mergeCell ref="Q5:V5"/>
    <mergeCell ref="D6:D7"/>
    <mergeCell ref="E6:E7"/>
  </mergeCells>
  <hyperlinks>
    <hyperlink ref="A1" location="Homepage!A1" display="H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W27"/>
  <sheetViews>
    <sheetView showGridLines="0" workbookViewId="0">
      <selection activeCell="E16" sqref="E16"/>
    </sheetView>
  </sheetViews>
  <sheetFormatPr baseColWidth="10" defaultRowHeight="14.4" x14ac:dyDescent="0.3"/>
  <cols>
    <col min="1" max="1" width="2.77734375" style="28" customWidth="1"/>
    <col min="2" max="2" width="26.77734375" style="28" customWidth="1"/>
    <col min="3" max="3" width="10.33203125" style="28" customWidth="1"/>
    <col min="4" max="4" width="9.6640625" style="28" customWidth="1"/>
    <col min="5" max="5" width="10.109375" style="28" customWidth="1"/>
    <col min="6" max="7" width="9.5546875" style="28" customWidth="1"/>
    <col min="8" max="8" width="2.33203125" style="28" customWidth="1"/>
    <col min="9" max="10" width="11.5546875" style="28"/>
    <col min="11" max="11" width="2.109375" style="28" customWidth="1"/>
    <col min="12" max="14" width="11.5546875" style="28"/>
    <col min="15" max="15" width="2" style="28" customWidth="1"/>
    <col min="16" max="17" width="11.5546875" style="28"/>
    <col min="18" max="18" width="2.44140625" style="28" customWidth="1"/>
    <col min="19" max="20" width="11.5546875" style="28"/>
    <col min="21" max="21" width="2.44140625" style="28" customWidth="1"/>
    <col min="22" max="16384" width="11.5546875" style="28"/>
  </cols>
  <sheetData>
    <row r="1" spans="1:23" ht="23.4" x14ac:dyDescent="0.3">
      <c r="A1" s="153" t="s">
        <v>248</v>
      </c>
      <c r="B1" s="69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8" x14ac:dyDescent="0.3">
      <c r="B2" s="130" t="s">
        <v>197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3">
      <c r="B3" s="70" t="s">
        <v>85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6.2" customHeight="1" x14ac:dyDescent="0.3"/>
    <row r="5" spans="1:23" ht="13.2" customHeight="1" x14ac:dyDescent="0.3">
      <c r="D5" s="169" t="s">
        <v>183</v>
      </c>
      <c r="E5" s="169" t="s">
        <v>184</v>
      </c>
      <c r="F5" s="173"/>
      <c r="G5" s="173"/>
      <c r="L5" s="169" t="s">
        <v>206</v>
      </c>
      <c r="M5" s="169" t="s">
        <v>207</v>
      </c>
      <c r="N5" s="169" t="s">
        <v>208</v>
      </c>
      <c r="S5" s="169" t="s">
        <v>210</v>
      </c>
      <c r="T5" s="169" t="s">
        <v>211</v>
      </c>
    </row>
    <row r="6" spans="1:23" ht="16.8" customHeight="1" x14ac:dyDescent="0.3">
      <c r="C6" s="1"/>
      <c r="D6" s="169"/>
      <c r="E6" s="169"/>
      <c r="F6" s="169" t="s">
        <v>13</v>
      </c>
      <c r="G6" s="169" t="s">
        <v>67</v>
      </c>
      <c r="I6" s="171" t="s">
        <v>205</v>
      </c>
      <c r="J6" s="171"/>
      <c r="L6" s="174"/>
      <c r="M6" s="174"/>
      <c r="N6" s="174"/>
      <c r="P6" s="171" t="s">
        <v>209</v>
      </c>
      <c r="Q6" s="171"/>
      <c r="S6" s="174"/>
      <c r="T6" s="174"/>
      <c r="V6" s="171" t="s">
        <v>212</v>
      </c>
      <c r="W6" s="171"/>
    </row>
    <row r="7" spans="1:23" s="51" customFormat="1" ht="18" customHeight="1" thickBot="1" x14ac:dyDescent="0.35">
      <c r="B7" s="59" t="s">
        <v>31</v>
      </c>
      <c r="C7" s="115" t="s">
        <v>2</v>
      </c>
      <c r="D7" s="170"/>
      <c r="E7" s="170"/>
      <c r="F7" s="170"/>
      <c r="G7" s="170"/>
      <c r="I7" s="115" t="s">
        <v>35</v>
      </c>
      <c r="J7" s="115" t="s">
        <v>36</v>
      </c>
      <c r="L7" s="167"/>
      <c r="M7" s="167"/>
      <c r="N7" s="167"/>
      <c r="P7" s="115" t="s">
        <v>35</v>
      </c>
      <c r="Q7" s="115" t="s">
        <v>36</v>
      </c>
      <c r="S7" s="167"/>
      <c r="T7" s="167"/>
      <c r="V7" s="115" t="s">
        <v>35</v>
      </c>
      <c r="W7" s="115" t="s">
        <v>36</v>
      </c>
    </row>
    <row r="8" spans="1:23" s="55" customFormat="1" x14ac:dyDescent="0.3">
      <c r="B8" s="55" t="s">
        <v>0</v>
      </c>
      <c r="C8" s="22" t="s">
        <v>1</v>
      </c>
      <c r="D8" s="61">
        <f>EV!C4</f>
        <v>17.45</v>
      </c>
      <c r="E8" s="60">
        <f>EV!C4/EV!C5</f>
        <v>0.63477628228446714</v>
      </c>
      <c r="F8" s="61">
        <f>EV!C9</f>
        <v>469.73358349999995</v>
      </c>
      <c r="G8" s="61">
        <f>EV!C21</f>
        <v>1023.6975835000001</v>
      </c>
      <c r="I8" s="132">
        <f>G8/'Target Co'!H12</f>
        <v>6.9829303103683502</v>
      </c>
      <c r="J8" s="132">
        <f>G8/'Target Co'!I12</f>
        <v>5.2497311974358976</v>
      </c>
      <c r="L8" s="60">
        <f>'Target Co'!H12/'Target Co'!H5</f>
        <v>0.10724213606437454</v>
      </c>
      <c r="M8" s="132">
        <f>'Page 3'!V8</f>
        <v>5.706671423474849</v>
      </c>
      <c r="N8" s="132">
        <f>('Target Co'!G13*-1)/'Target Co'!G12</f>
        <v>0.12022832679272211</v>
      </c>
      <c r="P8" s="160">
        <v>15</v>
      </c>
      <c r="Q8" s="160">
        <v>7.6</v>
      </c>
      <c r="S8" s="60">
        <v>0.14099999999999999</v>
      </c>
      <c r="T8" s="22" t="s">
        <v>196</v>
      </c>
      <c r="V8" s="22" t="s">
        <v>196</v>
      </c>
      <c r="W8" s="22" t="s">
        <v>196</v>
      </c>
    </row>
    <row r="9" spans="1:23" x14ac:dyDescent="0.3">
      <c r="C9" s="1"/>
      <c r="D9" s="1"/>
      <c r="E9" s="1"/>
      <c r="F9" s="1"/>
      <c r="G9" s="1"/>
      <c r="S9" s="1"/>
      <c r="T9" s="1"/>
    </row>
    <row r="10" spans="1:23" ht="19.8" customHeight="1" x14ac:dyDescent="0.3">
      <c r="B10" s="28" t="s">
        <v>28</v>
      </c>
      <c r="C10" s="1" t="s">
        <v>29</v>
      </c>
      <c r="D10" s="64">
        <f>EV!D4</f>
        <v>20.97</v>
      </c>
      <c r="E10" s="63">
        <f>EV!D4/EV!D5</f>
        <v>0.92338177014531031</v>
      </c>
      <c r="F10" s="64">
        <f>EV!D9</f>
        <v>1705.93325901</v>
      </c>
      <c r="G10" s="64">
        <f>EV!D21</f>
        <v>1641.75025901</v>
      </c>
      <c r="I10" s="135">
        <f>G10/Comp1!H11</f>
        <v>8.9371271584648895</v>
      </c>
      <c r="J10" s="135">
        <f>G10/Comp1!I11</f>
        <v>7.9696614515048543</v>
      </c>
      <c r="L10" s="63">
        <f>Comp1!H11/Comp1!H5</f>
        <v>0.28761096585304752</v>
      </c>
      <c r="M10" s="135">
        <f>'Page 3'!V10</f>
        <v>1.1700276384481523</v>
      </c>
      <c r="N10" s="159" t="s">
        <v>250</v>
      </c>
      <c r="P10" s="159">
        <v>32.5</v>
      </c>
      <c r="Q10" s="159">
        <v>25</v>
      </c>
      <c r="S10" s="63">
        <v>0.114</v>
      </c>
      <c r="T10" s="1" t="s">
        <v>196</v>
      </c>
      <c r="V10" s="1" t="s">
        <v>196</v>
      </c>
      <c r="W10" s="1" t="s">
        <v>196</v>
      </c>
    </row>
    <row r="11" spans="1:23" ht="19.8" customHeight="1" x14ac:dyDescent="0.3">
      <c r="B11" s="28" t="s">
        <v>24</v>
      </c>
      <c r="C11" s="1" t="s">
        <v>25</v>
      </c>
      <c r="D11" s="82">
        <f>EV!E4</f>
        <v>26.19</v>
      </c>
      <c r="E11" s="63">
        <f>EV!E4/EV!E5</f>
        <v>0.97107897664071197</v>
      </c>
      <c r="F11" s="65">
        <f>EV!E9</f>
        <v>1436.7885594300001</v>
      </c>
      <c r="G11" s="65">
        <f>EV!E21</f>
        <v>1401.6625594300001</v>
      </c>
      <c r="I11" s="135">
        <f>G11/Comp2!H13</f>
        <v>8.0518299599609371</v>
      </c>
      <c r="J11" s="135">
        <f>G11/Comp2!I13</f>
        <v>7.3481654491743127</v>
      </c>
      <c r="L11" s="63">
        <f>Comp2!H13/Comp2!H5</f>
        <v>0.20332173141161908</v>
      </c>
      <c r="M11" s="135">
        <f>'Page 3'!V11</f>
        <v>1.2328547732082595</v>
      </c>
      <c r="N11" s="159" t="s">
        <v>250</v>
      </c>
      <c r="P11" s="159">
        <v>27.1</v>
      </c>
      <c r="Q11" s="159">
        <v>22.9</v>
      </c>
      <c r="S11" s="63">
        <v>2.4E-2</v>
      </c>
      <c r="T11" s="1" t="s">
        <v>196</v>
      </c>
      <c r="V11" s="1" t="s">
        <v>196</v>
      </c>
      <c r="W11" s="1" t="s">
        <v>196</v>
      </c>
    </row>
    <row r="12" spans="1:23" ht="19.8" customHeight="1" x14ac:dyDescent="0.3">
      <c r="B12" s="28" t="s">
        <v>7</v>
      </c>
      <c r="C12" s="1" t="s">
        <v>6</v>
      </c>
      <c r="D12" s="82">
        <f>EV!F4</f>
        <v>28.18</v>
      </c>
      <c r="E12" s="63">
        <f>EV!F4/EV!F5</f>
        <v>0.86814540973505849</v>
      </c>
      <c r="F12" s="65">
        <f>EV!F9</f>
        <v>711.89640459999998</v>
      </c>
      <c r="G12" s="65">
        <f>EV!F21</f>
        <v>792.10140460000002</v>
      </c>
      <c r="I12" s="135">
        <f>G12/Comp3!H13</f>
        <v>5.6944745118619702</v>
      </c>
      <c r="J12" s="135">
        <f>G12/Comp3!I13</f>
        <v>4.0247010040140241</v>
      </c>
      <c r="L12" s="63">
        <f>Comp3!H13/Comp3!H5</f>
        <v>5.0501016555329653E-2</v>
      </c>
      <c r="M12" s="135">
        <f>'Page 3'!V12</f>
        <v>6.5158371040723981</v>
      </c>
      <c r="N12" s="135">
        <f>(Comp3!G14*-1)/Comp3!G13</f>
        <v>3.1251885369532426E-2</v>
      </c>
      <c r="P12" s="159">
        <v>29.3</v>
      </c>
      <c r="Q12" s="159">
        <v>13.5</v>
      </c>
      <c r="S12" s="63">
        <v>0.17399999999999999</v>
      </c>
      <c r="T12" s="1" t="s">
        <v>196</v>
      </c>
      <c r="V12" s="1" t="s">
        <v>196</v>
      </c>
      <c r="W12" s="1" t="s">
        <v>196</v>
      </c>
    </row>
    <row r="13" spans="1:23" ht="19.8" customHeight="1" x14ac:dyDescent="0.3">
      <c r="B13" s="28" t="s">
        <v>8</v>
      </c>
      <c r="C13" s="1" t="s">
        <v>3</v>
      </c>
      <c r="D13" s="82">
        <f>EV!G4</f>
        <v>6.33</v>
      </c>
      <c r="E13" s="63">
        <f>EV!G4/EV!G5</f>
        <v>0.95763993948562776</v>
      </c>
      <c r="F13" s="65">
        <f>EV!G9</f>
        <v>312.8776575</v>
      </c>
      <c r="G13" s="65">
        <f>EV!G21</f>
        <v>1031.6766574999999</v>
      </c>
      <c r="I13" s="135">
        <f>G13/Comp4!H12</f>
        <v>9.0904631024759883</v>
      </c>
      <c r="J13" s="135">
        <f>G13/Comp4!I12</f>
        <v>6.7096556809313217</v>
      </c>
      <c r="L13" s="63">
        <f>Comp4!H12/Comp4!H5</f>
        <v>6.4670351586985003E-2</v>
      </c>
      <c r="M13" s="135">
        <f>'Page 3'!V13</f>
        <v>9.0918195432422326</v>
      </c>
      <c r="N13" s="135">
        <f>(Comp4!G13*-1)/Comp4!G12</f>
        <v>0.26609883938599777</v>
      </c>
      <c r="P13" s="159">
        <v>-55.1</v>
      </c>
      <c r="Q13" s="159">
        <v>13.5</v>
      </c>
      <c r="S13" s="140" t="s">
        <v>196</v>
      </c>
      <c r="T13" s="1" t="s">
        <v>196</v>
      </c>
      <c r="V13" s="1" t="s">
        <v>196</v>
      </c>
      <c r="W13" s="1" t="s">
        <v>196</v>
      </c>
    </row>
    <row r="14" spans="1:23" ht="19.8" customHeight="1" x14ac:dyDescent="0.3">
      <c r="B14" s="28" t="s">
        <v>64</v>
      </c>
      <c r="C14" s="1" t="s">
        <v>63</v>
      </c>
      <c r="D14" s="82">
        <f>EV!H4</f>
        <v>15.94</v>
      </c>
      <c r="E14" s="63">
        <f>EV!H4/EV!H5</f>
        <v>0.93985849056603765</v>
      </c>
      <c r="F14" s="65">
        <f>EV!H9</f>
        <v>272.37672656000001</v>
      </c>
      <c r="G14" s="65">
        <f>EV!H21</f>
        <v>609.09972656000002</v>
      </c>
      <c r="I14" s="135">
        <f>G14/Comp5!H12</f>
        <v>7.9155260111760883</v>
      </c>
      <c r="J14" s="135">
        <f>G14/Comp5!I12</f>
        <v>6.2904030420324286</v>
      </c>
      <c r="L14" s="63">
        <f>Comp5!H12/Comp5!H5</f>
        <v>9.7509979091427487E-2</v>
      </c>
      <c r="M14" s="135">
        <f>'Page 3'!V14</f>
        <v>6.7281291749205332</v>
      </c>
      <c r="N14" s="135">
        <f>(Comp5!G13*-1)/Comp5!G12</f>
        <v>9.5694937117058995E-2</v>
      </c>
      <c r="P14" s="159">
        <v>54.3</v>
      </c>
      <c r="Q14" s="159">
        <v>12.4</v>
      </c>
      <c r="S14" s="63">
        <v>8.7999999999999995E-2</v>
      </c>
      <c r="T14" s="1" t="s">
        <v>196</v>
      </c>
      <c r="V14" s="1" t="s">
        <v>196</v>
      </c>
      <c r="W14" s="1" t="s">
        <v>196</v>
      </c>
    </row>
    <row r="15" spans="1:23" ht="19.8" customHeight="1" x14ac:dyDescent="0.3">
      <c r="B15" s="28" t="s">
        <v>4</v>
      </c>
      <c r="C15" s="1" t="s">
        <v>5</v>
      </c>
      <c r="D15" s="82">
        <f>EV!I4</f>
        <v>33.4</v>
      </c>
      <c r="E15" s="63">
        <f>EV!I4/EV!I5</f>
        <v>0.46674119619899379</v>
      </c>
      <c r="F15" s="65">
        <f>EV!I9</f>
        <v>191.79382199999998</v>
      </c>
      <c r="G15" s="65">
        <f>EV!I21</f>
        <v>429.66682199999997</v>
      </c>
      <c r="I15" s="135">
        <f>G15/Comp6!H13</f>
        <v>5.1829532207478879</v>
      </c>
      <c r="J15" s="135">
        <f>G15/Comp6!I13</f>
        <v>4.7900426086956518</v>
      </c>
      <c r="L15" s="63">
        <f>Comp6!H13/Comp6!H5</f>
        <v>0.17638297872340428</v>
      </c>
      <c r="M15" s="135">
        <f>'Page 3'!V15</f>
        <v>4.7632929852705272</v>
      </c>
      <c r="N15" s="135">
        <f>(Comp6!G14*-1)/Comp6!G13</f>
        <v>0.12862767974332801</v>
      </c>
      <c r="P15" s="159">
        <v>15.3</v>
      </c>
      <c r="Q15" s="159">
        <v>10.5</v>
      </c>
      <c r="S15" s="63">
        <v>0.109</v>
      </c>
      <c r="T15" s="1" t="s">
        <v>196</v>
      </c>
      <c r="V15" s="1" t="s">
        <v>196</v>
      </c>
      <c r="W15" s="1" t="s">
        <v>196</v>
      </c>
    </row>
    <row r="16" spans="1:23" ht="19.8" customHeight="1" x14ac:dyDescent="0.3">
      <c r="B16" s="28" t="s">
        <v>79</v>
      </c>
      <c r="C16" s="1" t="s">
        <v>10</v>
      </c>
      <c r="D16" s="82">
        <f>EV!J4</f>
        <v>3.04</v>
      </c>
      <c r="E16" s="63">
        <f>EV!J4/EV!J5</f>
        <v>0.63465553235908145</v>
      </c>
      <c r="F16" s="65">
        <f>EV!J9</f>
        <v>112.92354511999999</v>
      </c>
      <c r="G16" s="65">
        <f>EV!J21</f>
        <v>1423.5235451200001</v>
      </c>
      <c r="I16" s="135">
        <f>G16/Comp7!H13</f>
        <v>18.705959857030226</v>
      </c>
      <c r="J16" s="135">
        <f>G16/Comp7!I13</f>
        <v>6.1095431121030046</v>
      </c>
      <c r="L16" s="63">
        <f>Comp7!H13/Comp7!H5</f>
        <v>1.7503910203330572E-2</v>
      </c>
      <c r="M16" s="135">
        <f>'Page 3'!V16</f>
        <v>10.761278195488721</v>
      </c>
      <c r="N16" s="135">
        <f>(Comp7!G14*-1)/Comp7!G13</f>
        <v>0.52866541353383456</v>
      </c>
      <c r="P16" s="159">
        <v>-1</v>
      </c>
      <c r="Q16" s="159">
        <v>8.8000000000000007</v>
      </c>
      <c r="S16" s="140" t="s">
        <v>196</v>
      </c>
      <c r="T16" s="1" t="s">
        <v>196</v>
      </c>
      <c r="V16" s="1" t="s">
        <v>196</v>
      </c>
      <c r="W16" s="1" t="s">
        <v>196</v>
      </c>
    </row>
    <row r="18" spans="2:23" x14ac:dyDescent="0.3">
      <c r="B18" s="66" t="s">
        <v>80</v>
      </c>
      <c r="C18" s="66"/>
      <c r="D18" s="66"/>
      <c r="E18" s="66"/>
      <c r="F18" s="66"/>
      <c r="G18" s="66"/>
      <c r="H18" s="54"/>
      <c r="I18" s="127">
        <f>AVERAGE(I10:I16)</f>
        <v>9.0826191173882851</v>
      </c>
      <c r="J18" s="127">
        <f t="shared" ref="J18:S18" si="0">AVERAGE(J10:J16)</f>
        <v>6.1774531926365137</v>
      </c>
      <c r="K18" s="127"/>
      <c r="L18" s="141">
        <f t="shared" si="0"/>
        <v>0.12821441906073477</v>
      </c>
      <c r="M18" s="127">
        <f t="shared" si="0"/>
        <v>5.7518913449501179</v>
      </c>
      <c r="N18" s="127">
        <f t="shared" si="0"/>
        <v>0.21006775102995032</v>
      </c>
      <c r="O18" s="127"/>
      <c r="P18" s="127">
        <f t="shared" si="0"/>
        <v>14.628571428571428</v>
      </c>
      <c r="Q18" s="127">
        <f t="shared" si="0"/>
        <v>15.22857142857143</v>
      </c>
      <c r="R18" s="127"/>
      <c r="S18" s="141">
        <f t="shared" si="0"/>
        <v>0.1018</v>
      </c>
      <c r="T18" s="54"/>
      <c r="U18" s="54"/>
      <c r="V18" s="54"/>
      <c r="W18" s="54"/>
    </row>
    <row r="19" spans="2:23" x14ac:dyDescent="0.3">
      <c r="B19" s="66" t="s">
        <v>81</v>
      </c>
      <c r="C19" s="66"/>
      <c r="D19" s="66"/>
      <c r="E19" s="66"/>
      <c r="F19" s="66"/>
      <c r="G19" s="66"/>
      <c r="H19" s="54"/>
      <c r="I19" s="127">
        <f>MEDIAN(I10:I16)</f>
        <v>8.0518299599609371</v>
      </c>
      <c r="J19" s="127">
        <f t="shared" ref="J19:S19" si="1">MEDIAN(J10:J16)</f>
        <v>6.2904030420324286</v>
      </c>
      <c r="K19" s="127"/>
      <c r="L19" s="141">
        <f t="shared" si="1"/>
        <v>9.7509979091427487E-2</v>
      </c>
      <c r="M19" s="127">
        <f t="shared" si="1"/>
        <v>6.5158371040723981</v>
      </c>
      <c r="N19" s="127">
        <f t="shared" si="1"/>
        <v>0.12862767974332801</v>
      </c>
      <c r="O19" s="127"/>
      <c r="P19" s="127">
        <f t="shared" si="1"/>
        <v>27.1</v>
      </c>
      <c r="Q19" s="127">
        <f t="shared" si="1"/>
        <v>13.5</v>
      </c>
      <c r="R19" s="127"/>
      <c r="S19" s="141">
        <f t="shared" si="1"/>
        <v>0.109</v>
      </c>
      <c r="T19" s="54"/>
      <c r="U19" s="54"/>
      <c r="V19" s="54"/>
      <c r="W19" s="54"/>
    </row>
    <row r="21" spans="2:23" x14ac:dyDescent="0.3">
      <c r="B21" s="66" t="s">
        <v>82</v>
      </c>
      <c r="C21" s="66"/>
      <c r="D21" s="66"/>
      <c r="E21" s="66"/>
      <c r="F21" s="66"/>
      <c r="G21" s="66"/>
      <c r="H21" s="54"/>
      <c r="I21" s="127">
        <f>MAX(I10:I16)</f>
        <v>18.705959857030226</v>
      </c>
      <c r="J21" s="127">
        <f>MAX(J10:J16)</f>
        <v>7.9696614515048543</v>
      </c>
      <c r="K21" s="127"/>
      <c r="L21" s="141">
        <f t="shared" ref="L21:S21" si="2">MAX(L10:L16)</f>
        <v>0.28761096585304752</v>
      </c>
      <c r="M21" s="127">
        <f t="shared" si="2"/>
        <v>10.761278195488721</v>
      </c>
      <c r="N21" s="127">
        <f t="shared" si="2"/>
        <v>0.52866541353383456</v>
      </c>
      <c r="O21" s="127"/>
      <c r="P21" s="127">
        <f t="shared" si="2"/>
        <v>54.3</v>
      </c>
      <c r="Q21" s="127">
        <f t="shared" si="2"/>
        <v>25</v>
      </c>
      <c r="R21" s="127"/>
      <c r="S21" s="141">
        <f t="shared" si="2"/>
        <v>0.17399999999999999</v>
      </c>
      <c r="T21" s="54"/>
      <c r="U21" s="54"/>
      <c r="V21" s="54"/>
      <c r="W21" s="54"/>
    </row>
    <row r="22" spans="2:23" x14ac:dyDescent="0.3">
      <c r="B22" s="66" t="s">
        <v>83</v>
      </c>
      <c r="C22" s="66"/>
      <c r="D22" s="66"/>
      <c r="E22" s="66"/>
      <c r="F22" s="66"/>
      <c r="G22" s="66"/>
      <c r="H22" s="54"/>
      <c r="I22" s="127">
        <f>MIN(I10:I16)</f>
        <v>5.1829532207478879</v>
      </c>
      <c r="J22" s="127">
        <f t="shared" ref="J22:S22" si="3">MIN(J10:J16)</f>
        <v>4.0247010040140241</v>
      </c>
      <c r="K22" s="127"/>
      <c r="L22" s="141">
        <f t="shared" si="3"/>
        <v>1.7503910203330572E-2</v>
      </c>
      <c r="M22" s="127">
        <f t="shared" si="3"/>
        <v>1.1700276384481523</v>
      </c>
      <c r="N22" s="127">
        <f t="shared" si="3"/>
        <v>3.1251885369532426E-2</v>
      </c>
      <c r="O22" s="127"/>
      <c r="P22" s="127">
        <f t="shared" si="3"/>
        <v>-55.1</v>
      </c>
      <c r="Q22" s="127">
        <f t="shared" si="3"/>
        <v>8.8000000000000007</v>
      </c>
      <c r="R22" s="127"/>
      <c r="S22" s="141">
        <f t="shared" si="3"/>
        <v>2.4E-2</v>
      </c>
      <c r="T22" s="54"/>
      <c r="U22" s="54"/>
      <c r="V22" s="54"/>
      <c r="W22" s="54"/>
    </row>
    <row r="23" spans="2:23" x14ac:dyDescent="0.3">
      <c r="B23" s="71"/>
    </row>
    <row r="24" spans="2:23" x14ac:dyDescent="0.3">
      <c r="B24" s="43" t="s">
        <v>87</v>
      </c>
    </row>
    <row r="25" spans="2:23" x14ac:dyDescent="0.3">
      <c r="B25" s="37" t="s">
        <v>86</v>
      </c>
    </row>
    <row r="27" spans="2:23" x14ac:dyDescent="0.3">
      <c r="B27" s="146" t="s">
        <v>231</v>
      </c>
    </row>
  </sheetData>
  <mergeCells count="13">
    <mergeCell ref="F6:F7"/>
    <mergeCell ref="G6:G7"/>
    <mergeCell ref="I6:J6"/>
    <mergeCell ref="D5:D7"/>
    <mergeCell ref="E5:E7"/>
    <mergeCell ref="F5:G5"/>
    <mergeCell ref="V6:W6"/>
    <mergeCell ref="L5:L7"/>
    <mergeCell ref="M5:M7"/>
    <mergeCell ref="N5:N7"/>
    <mergeCell ref="P6:Q6"/>
    <mergeCell ref="S5:S7"/>
    <mergeCell ref="T5:T7"/>
  </mergeCells>
  <hyperlinks>
    <hyperlink ref="A1" location="Homepage!A1" display="H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Z46"/>
  <sheetViews>
    <sheetView showGridLines="0" topLeftCell="H1" workbookViewId="0">
      <selection activeCell="U25" sqref="U25"/>
    </sheetView>
  </sheetViews>
  <sheetFormatPr baseColWidth="10" defaultRowHeight="14.4" x14ac:dyDescent="0.3"/>
  <cols>
    <col min="1" max="1" width="11.5546875" style="1"/>
    <col min="2" max="2" width="2.77734375" style="1" customWidth="1"/>
    <col min="3" max="3" width="16.77734375" style="1" customWidth="1"/>
    <col min="4" max="8" width="11.5546875" style="1"/>
    <col min="9" max="9" width="2.5546875" style="1" customWidth="1"/>
    <col min="10" max="14" width="11.5546875" style="1"/>
    <col min="15" max="15" width="2.6640625" style="1" customWidth="1"/>
    <col min="16" max="16" width="13.5546875" style="1" customWidth="1"/>
    <col min="17" max="17" width="15.88671875" style="1" customWidth="1"/>
    <col min="18" max="20" width="11.109375" style="1" customWidth="1"/>
    <col min="21" max="21" width="4" style="1" customWidth="1"/>
    <col min="22" max="22" width="11.109375" style="1" customWidth="1"/>
    <col min="23" max="16384" width="11.5546875" style="1"/>
  </cols>
  <sheetData>
    <row r="1" spans="1:26" ht="18" x14ac:dyDescent="0.3">
      <c r="A1" s="153" t="s">
        <v>248</v>
      </c>
      <c r="I1" s="153" t="s">
        <v>248</v>
      </c>
    </row>
    <row r="3" spans="1:26" x14ac:dyDescent="0.3">
      <c r="D3" s="171" t="s">
        <v>251</v>
      </c>
      <c r="E3" s="171"/>
      <c r="F3" s="171"/>
      <c r="G3" s="171"/>
      <c r="H3" s="171"/>
      <c r="J3" s="171" t="s">
        <v>213</v>
      </c>
      <c r="K3" s="171"/>
      <c r="L3" s="171"/>
      <c r="M3" s="171"/>
      <c r="N3" s="171"/>
      <c r="P3" s="171" t="s">
        <v>227</v>
      </c>
      <c r="Q3" s="171"/>
      <c r="R3" s="171"/>
      <c r="S3" s="171"/>
      <c r="T3" s="171"/>
      <c r="V3" s="171" t="s">
        <v>228</v>
      </c>
      <c r="W3" s="171"/>
      <c r="X3" s="171"/>
      <c r="Y3" s="171"/>
      <c r="Z3" s="171"/>
    </row>
    <row r="4" spans="1:26" ht="15" thickBot="1" x14ac:dyDescent="0.35">
      <c r="D4" s="73" t="s">
        <v>225</v>
      </c>
      <c r="E4" s="73" t="s">
        <v>214</v>
      </c>
      <c r="F4" s="73" t="s">
        <v>81</v>
      </c>
      <c r="G4" s="73" t="s">
        <v>215</v>
      </c>
      <c r="H4" s="73" t="s">
        <v>226</v>
      </c>
      <c r="J4" s="73" t="s">
        <v>225</v>
      </c>
      <c r="K4" s="73" t="s">
        <v>214</v>
      </c>
      <c r="L4" s="73" t="s">
        <v>81</v>
      </c>
      <c r="M4" s="73" t="s">
        <v>215</v>
      </c>
      <c r="N4" s="73" t="s">
        <v>226</v>
      </c>
      <c r="P4" s="73" t="s">
        <v>225</v>
      </c>
      <c r="Q4" s="73" t="s">
        <v>214</v>
      </c>
      <c r="R4" s="73" t="s">
        <v>81</v>
      </c>
      <c r="S4" s="73" t="s">
        <v>215</v>
      </c>
      <c r="T4" s="73" t="s">
        <v>226</v>
      </c>
      <c r="V4" s="73" t="s">
        <v>225</v>
      </c>
      <c r="W4" s="73" t="s">
        <v>214</v>
      </c>
      <c r="X4" s="73" t="s">
        <v>81</v>
      </c>
      <c r="Y4" s="73" t="s">
        <v>215</v>
      </c>
      <c r="Z4" s="73" t="s">
        <v>226</v>
      </c>
    </row>
    <row r="5" spans="1:26" x14ac:dyDescent="0.3">
      <c r="C5" s="24" t="s">
        <v>219</v>
      </c>
      <c r="D5" s="135">
        <f>'Page 3'!I24</f>
        <v>0.26599685834794112</v>
      </c>
      <c r="E5" s="135">
        <f>'Page 3'!I19</f>
        <v>0.4461261017014333</v>
      </c>
      <c r="F5" s="135">
        <f>'Page 3'!I20</f>
        <v>0.68522862702216236</v>
      </c>
      <c r="G5" s="135">
        <f>'Page 3'!I21</f>
        <v>1.2296172903590457</v>
      </c>
      <c r="H5" s="135">
        <f>'Page 3'!I23</f>
        <v>2.632782095336605</v>
      </c>
      <c r="J5" s="90">
        <f>D5*$D$23</f>
        <v>403.45073489923971</v>
      </c>
      <c r="K5" s="90">
        <f>E5*$D$23</f>
        <v>676.66176475564896</v>
      </c>
      <c r="L5" s="90">
        <f t="shared" ref="L5:N5" si="0">F5*$D$23</f>
        <v>1039.3205200358648</v>
      </c>
      <c r="M5" s="90">
        <f t="shared" si="0"/>
        <v>1865.0220251520825</v>
      </c>
      <c r="N5" s="90">
        <f t="shared" si="0"/>
        <v>3993.2722431017955</v>
      </c>
      <c r="P5" s="90">
        <f>J5-$D$28</f>
        <v>-150.51326510076024</v>
      </c>
      <c r="Q5" s="90">
        <f t="shared" ref="Q5:T7" si="1">K5-$D$28</f>
        <v>122.69776475564902</v>
      </c>
      <c r="R5" s="90">
        <f t="shared" si="1"/>
        <v>485.35652003586483</v>
      </c>
      <c r="S5" s="90">
        <f t="shared" si="1"/>
        <v>1311.0580251520826</v>
      </c>
      <c r="T5" s="90">
        <f t="shared" si="1"/>
        <v>3439.3082431017956</v>
      </c>
      <c r="V5" s="90">
        <f>P5/$D$29</f>
        <v>-5.5913747031635568</v>
      </c>
      <c r="W5" s="90">
        <f t="shared" ref="W5:Z7" si="2">Q5/$D$29</f>
        <v>4.5580645501921522</v>
      </c>
      <c r="X5" s="90">
        <f t="shared" si="2"/>
        <v>18.030372049448836</v>
      </c>
      <c r="Y5" s="90">
        <f t="shared" si="2"/>
        <v>48.704123661841265</v>
      </c>
      <c r="Z5" s="90">
        <f t="shared" si="2"/>
        <v>127.76588890014149</v>
      </c>
    </row>
    <row r="6" spans="1:26" x14ac:dyDescent="0.3">
      <c r="C6" s="24" t="s">
        <v>220</v>
      </c>
      <c r="D6" s="135">
        <f>'Page 3'!J24</f>
        <v>0.28757675159744411</v>
      </c>
      <c r="E6" s="135">
        <f>'Page 3'!J19</f>
        <v>0.4576554432651001</v>
      </c>
      <c r="F6" s="135">
        <f>'Page 3'!J20</f>
        <v>0.77184277584743088</v>
      </c>
      <c r="G6" s="135">
        <f>'Page 3'!J21</f>
        <v>1.2756483680753898</v>
      </c>
      <c r="H6" s="135">
        <f>'Page 3'!J23</f>
        <v>2.5704157739975888</v>
      </c>
      <c r="J6" s="91">
        <f>D6*$E$23</f>
        <v>393.11741943370612</v>
      </c>
      <c r="K6" s="91">
        <f t="shared" ref="K6:N6" si="3">E6*$E$23</f>
        <v>625.61499094339183</v>
      </c>
      <c r="L6" s="91">
        <f t="shared" si="3"/>
        <v>1055.1090745834381</v>
      </c>
      <c r="M6" s="91">
        <f t="shared" si="3"/>
        <v>1743.8113191590578</v>
      </c>
      <c r="N6" s="91">
        <f t="shared" si="3"/>
        <v>3513.7583630547038</v>
      </c>
      <c r="P6" s="91">
        <f>J6-$D$28</f>
        <v>-160.84658056629382</v>
      </c>
      <c r="Q6" s="91">
        <f>K6-$D$28</f>
        <v>71.650990943391889</v>
      </c>
      <c r="R6" s="91">
        <f t="shared" si="1"/>
        <v>501.14507458343815</v>
      </c>
      <c r="S6" s="91">
        <f t="shared" si="1"/>
        <v>1189.8473191590579</v>
      </c>
      <c r="T6" s="91">
        <f t="shared" si="1"/>
        <v>2959.7943630547038</v>
      </c>
      <c r="V6" s="91">
        <f>P6/$D$29</f>
        <v>-5.9752441159698924</v>
      </c>
      <c r="W6" s="91">
        <f t="shared" si="2"/>
        <v>2.6617423916043856</v>
      </c>
      <c r="X6" s="91">
        <f t="shared" si="2"/>
        <v>18.616896595559247</v>
      </c>
      <c r="Y6" s="91">
        <f t="shared" si="2"/>
        <v>44.201301436914527</v>
      </c>
      <c r="Z6" s="91">
        <f t="shared" si="2"/>
        <v>109.95256343068046</v>
      </c>
    </row>
    <row r="7" spans="1:26" x14ac:dyDescent="0.3">
      <c r="C7" s="24" t="s">
        <v>221</v>
      </c>
      <c r="D7" s="135">
        <f>'Page 3'!K24</f>
        <v>0.26955060389301028</v>
      </c>
      <c r="E7" s="135">
        <f>'Page 3'!K19</f>
        <v>0.42936061205357967</v>
      </c>
      <c r="F7" s="135">
        <f>'Page 3'!K20</f>
        <v>0.76761150165091374</v>
      </c>
      <c r="G7" s="135">
        <f>'Page 3'!K21</f>
        <v>1.2060153670345732</v>
      </c>
      <c r="H7" s="135">
        <f>'Page 3'!K23</f>
        <v>2.4739312543473675</v>
      </c>
      <c r="J7" s="91">
        <f>D7*$F$23</f>
        <v>435.32422528721162</v>
      </c>
      <c r="K7" s="91">
        <f t="shared" ref="K7:N7" si="4">E7*$F$23</f>
        <v>693.41738846653118</v>
      </c>
      <c r="L7" s="91">
        <f t="shared" si="4"/>
        <v>1239.6925751662257</v>
      </c>
      <c r="M7" s="91">
        <f t="shared" si="4"/>
        <v>1947.7148177608358</v>
      </c>
      <c r="N7" s="91">
        <f t="shared" si="4"/>
        <v>3995.3989757709983</v>
      </c>
      <c r="P7" s="91">
        <f>J7-$D$28</f>
        <v>-118.63977471278832</v>
      </c>
      <c r="Q7" s="91">
        <f t="shared" si="1"/>
        <v>139.45338846653124</v>
      </c>
      <c r="R7" s="91">
        <f t="shared" si="1"/>
        <v>685.72857516622571</v>
      </c>
      <c r="S7" s="91">
        <f t="shared" si="1"/>
        <v>1393.7508177608358</v>
      </c>
      <c r="T7" s="91">
        <f t="shared" si="1"/>
        <v>3441.4349757709983</v>
      </c>
      <c r="V7" s="91">
        <f>P7/$D$29</f>
        <v>-4.4073154261455016</v>
      </c>
      <c r="W7" s="91">
        <f t="shared" si="2"/>
        <v>5.1805144750544967</v>
      </c>
      <c r="X7" s="91">
        <f t="shared" si="2"/>
        <v>25.473936837753563</v>
      </c>
      <c r="Y7" s="91">
        <f t="shared" si="2"/>
        <v>51.776054819649886</v>
      </c>
      <c r="Z7" s="91">
        <f t="shared" si="2"/>
        <v>127.84489429039071</v>
      </c>
    </row>
    <row r="8" spans="1:26" x14ac:dyDescent="0.3">
      <c r="C8" s="24"/>
    </row>
    <row r="9" spans="1:26" x14ac:dyDescent="0.3">
      <c r="C9" s="24" t="s">
        <v>222</v>
      </c>
      <c r="D9" s="135">
        <f>'Page 3'!Q24</f>
        <v>12.573038168253969</v>
      </c>
      <c r="E9" s="135">
        <f>'Page 3'!Q19</f>
        <v>18.168870210782657</v>
      </c>
      <c r="F9" s="135">
        <f>'Page 3'!Q20</f>
        <v>22.001909507264298</v>
      </c>
      <c r="G9" s="135">
        <f>'Page 3'!Q21</f>
        <v>44.327666150838716</v>
      </c>
      <c r="H9" s="135">
        <f>'Page 3'!Q23</f>
        <v>105.7045755635246</v>
      </c>
      <c r="J9" s="90">
        <f>D9*$D$24</f>
        <v>789.33533620298408</v>
      </c>
      <c r="K9" s="90">
        <f t="shared" ref="K9:N9" si="5">E9*$D$24</f>
        <v>1140.6416718329349</v>
      </c>
      <c r="L9" s="90">
        <f t="shared" si="5"/>
        <v>1381.2798788660523</v>
      </c>
      <c r="M9" s="90">
        <f t="shared" si="5"/>
        <v>2782.8908809496538</v>
      </c>
      <c r="N9" s="90">
        <f t="shared" si="5"/>
        <v>6636.1332538780725</v>
      </c>
      <c r="P9" s="90">
        <f>J9-$D$28</f>
        <v>235.37133620298414</v>
      </c>
      <c r="Q9" s="90">
        <f t="shared" ref="Q9:T11" si="6">K9-$D$28</f>
        <v>586.67767183293495</v>
      </c>
      <c r="R9" s="90">
        <f t="shared" si="6"/>
        <v>827.31587886605234</v>
      </c>
      <c r="S9" s="90">
        <f t="shared" si="6"/>
        <v>2228.9268809496539</v>
      </c>
      <c r="T9" s="90">
        <f t="shared" si="6"/>
        <v>6082.1692538780726</v>
      </c>
      <c r="V9" s="90">
        <f>P9/$D$29</f>
        <v>8.7437431791420401</v>
      </c>
      <c r="W9" s="90">
        <f t="shared" ref="W9:Z11" si="7">Q9/$D$29</f>
        <v>21.794322852550984</v>
      </c>
      <c r="X9" s="90">
        <f t="shared" si="7"/>
        <v>30.733723526098732</v>
      </c>
      <c r="Y9" s="90">
        <f t="shared" si="7"/>
        <v>82.801774109411667</v>
      </c>
      <c r="Z9" s="90">
        <f t="shared" si="7"/>
        <v>225.94478489139658</v>
      </c>
    </row>
    <row r="10" spans="1:26" x14ac:dyDescent="0.3">
      <c r="C10" s="24" t="s">
        <v>223</v>
      </c>
      <c r="D10" s="135">
        <f>'Page 3'!R24</f>
        <v>-51.576940040579714</v>
      </c>
      <c r="E10" s="135">
        <f>'Page 3'!R19</f>
        <v>17.691033139315856</v>
      </c>
      <c r="F10" s="135">
        <f>'Page 3'!R20</f>
        <v>20.114306871508379</v>
      </c>
      <c r="G10" s="135">
        <f>'Page 3'!R21</f>
        <v>29.45976166785583</v>
      </c>
      <c r="H10" s="135">
        <f>'Page 3'!R23</f>
        <v>83.334140347334397</v>
      </c>
      <c r="J10" s="91">
        <f>D10*$E$24</f>
        <v>-3507.2319227594207</v>
      </c>
      <c r="K10" s="91">
        <f t="shared" ref="K10:N10" si="8">E10*$E$24</f>
        <v>1202.9902534734781</v>
      </c>
      <c r="L10" s="91">
        <f t="shared" si="8"/>
        <v>1367.7728672625699</v>
      </c>
      <c r="M10" s="91">
        <f t="shared" si="8"/>
        <v>2003.2637934141965</v>
      </c>
      <c r="N10" s="91">
        <f t="shared" si="8"/>
        <v>5666.7215436187389</v>
      </c>
      <c r="P10" s="35">
        <f>J10-$D$28</f>
        <v>-4061.1959227594207</v>
      </c>
      <c r="Q10" s="35">
        <f t="shared" si="6"/>
        <v>649.02625347347816</v>
      </c>
      <c r="R10" s="35">
        <f t="shared" si="6"/>
        <v>813.80886726256995</v>
      </c>
      <c r="S10" s="35">
        <f t="shared" si="6"/>
        <v>1449.2997934141965</v>
      </c>
      <c r="T10" s="35">
        <f t="shared" si="6"/>
        <v>5112.757543618739</v>
      </c>
      <c r="V10" s="91">
        <f>P10/$D$29</f>
        <v>-150.8682183720251</v>
      </c>
      <c r="W10" s="91">
        <f t="shared" si="7"/>
        <v>24.110492672730508</v>
      </c>
      <c r="X10" s="91">
        <f t="shared" si="7"/>
        <v>30.231955373341634</v>
      </c>
      <c r="Y10" s="91">
        <f t="shared" si="7"/>
        <v>53.839628000704209</v>
      </c>
      <c r="Z10" s="91">
        <f t="shared" si="7"/>
        <v>189.93238352553729</v>
      </c>
    </row>
    <row r="11" spans="1:26" x14ac:dyDescent="0.3">
      <c r="C11" s="24" t="s">
        <v>224</v>
      </c>
      <c r="D11" s="135">
        <f>'Page 3'!S24</f>
        <v>8.2538401987878789</v>
      </c>
      <c r="E11" s="135">
        <f>'Page 3'!S19</f>
        <v>10.766863815520042</v>
      </c>
      <c r="F11" s="135">
        <f>'Page 3'!S20</f>
        <v>15.159995155697551</v>
      </c>
      <c r="G11" s="135">
        <f>'Page 3'!S21</f>
        <v>17.410814427983301</v>
      </c>
      <c r="H11" s="135">
        <f>'Page 3'!S23</f>
        <v>19.714822424995223</v>
      </c>
      <c r="J11" s="91">
        <f>D11*$F$24</f>
        <v>907.9224218666667</v>
      </c>
      <c r="K11" s="91">
        <f t="shared" ref="K11:N11" si="9">E11*$F$24</f>
        <v>1184.3550197072045</v>
      </c>
      <c r="L11" s="91">
        <f t="shared" si="9"/>
        <v>1667.5994671267306</v>
      </c>
      <c r="M11" s="91">
        <f t="shared" si="9"/>
        <v>1915.189587078163</v>
      </c>
      <c r="N11" s="91">
        <f t="shared" si="9"/>
        <v>2168.6304667494746</v>
      </c>
      <c r="P11" s="35">
        <f>J11-$D$28</f>
        <v>353.95842186666675</v>
      </c>
      <c r="Q11" s="35">
        <f t="shared" si="6"/>
        <v>630.39101970720458</v>
      </c>
      <c r="R11" s="35">
        <f t="shared" si="6"/>
        <v>1113.6354671267306</v>
      </c>
      <c r="S11" s="35">
        <f t="shared" si="6"/>
        <v>1361.225587078163</v>
      </c>
      <c r="T11" s="35">
        <f t="shared" si="6"/>
        <v>1614.6664667494747</v>
      </c>
      <c r="V11" s="91">
        <f>P11/$D$29</f>
        <v>13.149101274708698</v>
      </c>
      <c r="W11" s="91">
        <f t="shared" si="7"/>
        <v>23.418217645685367</v>
      </c>
      <c r="X11" s="91">
        <f t="shared" si="7"/>
        <v>41.370128907041305</v>
      </c>
      <c r="Y11" s="91">
        <f t="shared" si="7"/>
        <v>50.567784226809373</v>
      </c>
      <c r="Z11" s="91">
        <f t="shared" si="7"/>
        <v>59.982787764158942</v>
      </c>
    </row>
    <row r="12" spans="1:26" x14ac:dyDescent="0.3">
      <c r="C12" s="24"/>
      <c r="D12" s="135"/>
      <c r="E12" s="135"/>
      <c r="F12" s="135"/>
      <c r="G12" s="135"/>
      <c r="H12" s="135"/>
    </row>
    <row r="13" spans="1:26" x14ac:dyDescent="0.3">
      <c r="C13" s="24" t="s">
        <v>216</v>
      </c>
      <c r="D13" s="135">
        <f>'Page 3'!M24</f>
        <v>4.7788923354449473</v>
      </c>
      <c r="E13" s="135">
        <f>'Page 3'!M19</f>
        <v>6.477797687481921</v>
      </c>
      <c r="F13" s="135">
        <f>'Page 3'!M20</f>
        <v>7.015015047680472</v>
      </c>
      <c r="G13" s="135">
        <f>'Page 3'!M21</f>
        <v>8.2100729307120268</v>
      </c>
      <c r="H13" s="135">
        <f>'Page 3'!M23</f>
        <v>9.6562772135904158</v>
      </c>
      <c r="J13" s="90">
        <f>D13*$D$25</f>
        <v>669.76176081260928</v>
      </c>
      <c r="K13" s="90">
        <f t="shared" ref="K13:N13" si="10">E13*$D$25</f>
        <v>907.86334590059107</v>
      </c>
      <c r="L13" s="90">
        <f t="shared" si="10"/>
        <v>983.15435893241795</v>
      </c>
      <c r="M13" s="90">
        <f t="shared" si="10"/>
        <v>1150.6417212392903</v>
      </c>
      <c r="N13" s="90">
        <f t="shared" si="10"/>
        <v>1353.3272514846965</v>
      </c>
      <c r="P13" s="90">
        <f>J13-$D$28</f>
        <v>115.79776081260934</v>
      </c>
      <c r="Q13" s="90">
        <f t="shared" ref="Q13:T15" si="11">K13-$D$28</f>
        <v>353.89934590059113</v>
      </c>
      <c r="R13" s="90">
        <f t="shared" si="11"/>
        <v>429.19035893241801</v>
      </c>
      <c r="S13" s="90">
        <f t="shared" si="11"/>
        <v>596.67772123929035</v>
      </c>
      <c r="T13" s="90">
        <f t="shared" si="11"/>
        <v>799.36325148469655</v>
      </c>
      <c r="V13" s="90">
        <f>P13/$D$29</f>
        <v>4.3017382558086421</v>
      </c>
      <c r="W13" s="90">
        <f t="shared" ref="W13:Z15" si="12">Q13/$D$29</f>
        <v>13.146906678358278</v>
      </c>
      <c r="X13" s="90">
        <f t="shared" si="12"/>
        <v>15.943871220718657</v>
      </c>
      <c r="Y13" s="90">
        <f t="shared" si="12"/>
        <v>22.165811858809999</v>
      </c>
      <c r="Z13" s="90">
        <f t="shared" si="12"/>
        <v>29.695319279652814</v>
      </c>
    </row>
    <row r="14" spans="1:26" x14ac:dyDescent="0.3">
      <c r="C14" s="24" t="s">
        <v>217</v>
      </c>
      <c r="D14" s="135">
        <f>'Page 3'!N24</f>
        <v>5.1829532207478879</v>
      </c>
      <c r="E14" s="135">
        <f>'Page 3'!N19</f>
        <v>6.8050002615190293</v>
      </c>
      <c r="F14" s="135">
        <f>'Page 3'!N20</f>
        <v>8.0518299599609371</v>
      </c>
      <c r="G14" s="135">
        <f>'Page 3'!N21</f>
        <v>9.013795130470438</v>
      </c>
      <c r="H14" s="135">
        <f>'Page 3'!N23</f>
        <v>18.705959857030226</v>
      </c>
      <c r="J14" s="91">
        <f>D14*$E$25</f>
        <v>759.82094216164035</v>
      </c>
      <c r="K14" s="91">
        <f t="shared" ref="K14:N14" si="13">E14*$E$25</f>
        <v>997.61303833868965</v>
      </c>
      <c r="L14" s="91">
        <f t="shared" si="13"/>
        <v>1180.3982721302734</v>
      </c>
      <c r="M14" s="91">
        <f t="shared" si="13"/>
        <v>1321.4223661269662</v>
      </c>
      <c r="N14" s="91">
        <f t="shared" si="13"/>
        <v>2742.293715040631</v>
      </c>
      <c r="P14" s="91">
        <f>J14-$D$28</f>
        <v>205.8569421616404</v>
      </c>
      <c r="Q14" s="91">
        <f t="shared" si="11"/>
        <v>443.64903833868971</v>
      </c>
      <c r="R14" s="91">
        <f t="shared" si="11"/>
        <v>626.43427213027348</v>
      </c>
      <c r="S14" s="91">
        <f t="shared" si="11"/>
        <v>767.45836612696621</v>
      </c>
      <c r="T14" s="91">
        <f t="shared" si="11"/>
        <v>2188.3297150406311</v>
      </c>
      <c r="V14" s="91">
        <f>P14/$D$29</f>
        <v>7.6473213048873374</v>
      </c>
      <c r="W14" s="91">
        <f t="shared" si="12"/>
        <v>16.480992611442982</v>
      </c>
      <c r="X14" s="91">
        <f t="shared" si="12"/>
        <v>23.271229549362786</v>
      </c>
      <c r="Y14" s="91">
        <f t="shared" si="12"/>
        <v>28.510093719785228</v>
      </c>
      <c r="Z14" s="91">
        <f t="shared" si="12"/>
        <v>81.293641478497804</v>
      </c>
    </row>
    <row r="15" spans="1:26" x14ac:dyDescent="0.3">
      <c r="C15" s="24" t="s">
        <v>218</v>
      </c>
      <c r="D15" s="135">
        <f>'Page 3'!O24</f>
        <v>4.0247010040140241</v>
      </c>
      <c r="E15" s="135">
        <f>'Page 3'!O19</f>
        <v>5.4497928603993282</v>
      </c>
      <c r="F15" s="135">
        <f>'Page 3'!O20</f>
        <v>6.2904030420324286</v>
      </c>
      <c r="G15" s="135">
        <f>'Page 3'!O21</f>
        <v>7.0289105650528168</v>
      </c>
      <c r="H15" s="135">
        <f>'Page 3'!O23</f>
        <v>7.9696614515048543</v>
      </c>
      <c r="J15" s="91">
        <f>D15*$F$25</f>
        <v>784.81669578273466</v>
      </c>
      <c r="K15" s="91">
        <f t="shared" ref="K15:N15" si="14">E15*$F$25</f>
        <v>1062.709607777869</v>
      </c>
      <c r="L15" s="91">
        <f t="shared" si="14"/>
        <v>1226.6285931963237</v>
      </c>
      <c r="M15" s="91">
        <f t="shared" si="14"/>
        <v>1370.6375601852992</v>
      </c>
      <c r="N15" s="91">
        <f t="shared" si="14"/>
        <v>1554.0839830434466</v>
      </c>
      <c r="P15" s="35">
        <f>J15-$D$28</f>
        <v>230.85269578273471</v>
      </c>
      <c r="Q15" s="35">
        <f t="shared" si="11"/>
        <v>508.74560777786905</v>
      </c>
      <c r="R15" s="35">
        <f t="shared" si="11"/>
        <v>672.66459319632372</v>
      </c>
      <c r="S15" s="35">
        <f t="shared" si="11"/>
        <v>816.67356018529927</v>
      </c>
      <c r="T15" s="35">
        <f t="shared" si="11"/>
        <v>1000.1199830434466</v>
      </c>
      <c r="V15" s="91">
        <f>P15/$D$29</f>
        <v>8.5758814845494662</v>
      </c>
      <c r="W15" s="91">
        <f t="shared" si="12"/>
        <v>18.8992466529143</v>
      </c>
      <c r="X15" s="91">
        <f t="shared" si="12"/>
        <v>24.988626667515778</v>
      </c>
      <c r="Y15" s="91">
        <f t="shared" si="12"/>
        <v>30.338375040271039</v>
      </c>
      <c r="Z15" s="91">
        <f t="shared" si="12"/>
        <v>37.15317430376605</v>
      </c>
    </row>
    <row r="16" spans="1:26" x14ac:dyDescent="0.3">
      <c r="C16" s="24"/>
      <c r="D16" s="135"/>
      <c r="E16" s="135"/>
      <c r="F16" s="135"/>
      <c r="G16" s="135"/>
      <c r="H16" s="135"/>
      <c r="J16" s="91"/>
      <c r="K16" s="91"/>
      <c r="L16" s="91"/>
      <c r="M16" s="91"/>
      <c r="N16" s="91"/>
      <c r="P16" s="35"/>
      <c r="Q16" s="35"/>
      <c r="R16" s="35"/>
      <c r="S16" s="35"/>
      <c r="T16" s="35"/>
      <c r="V16" s="82"/>
      <c r="W16" s="82"/>
      <c r="X16" s="82"/>
      <c r="Y16" s="82"/>
      <c r="Z16" s="82"/>
    </row>
    <row r="17" spans="3:26" x14ac:dyDescent="0.3">
      <c r="C17" s="24"/>
      <c r="D17" s="135"/>
      <c r="E17" s="135"/>
      <c r="F17" s="135"/>
      <c r="G17" s="135"/>
      <c r="H17" s="135"/>
      <c r="J17" s="90"/>
      <c r="K17" s="91"/>
      <c r="L17" s="91"/>
      <c r="M17" s="91"/>
      <c r="N17" s="91"/>
      <c r="P17" s="90"/>
      <c r="Q17" s="90"/>
      <c r="R17" s="90"/>
      <c r="S17" s="90"/>
      <c r="T17" s="90"/>
      <c r="V17" s="82"/>
      <c r="W17" s="82"/>
      <c r="X17" s="82"/>
      <c r="Y17" s="82"/>
      <c r="Z17" s="82"/>
    </row>
    <row r="18" spans="3:26" x14ac:dyDescent="0.3">
      <c r="C18" s="24"/>
      <c r="D18" s="135"/>
      <c r="E18" s="135"/>
      <c r="F18" s="135"/>
      <c r="G18" s="135"/>
      <c r="H18" s="135"/>
      <c r="J18" s="91"/>
      <c r="K18" s="91"/>
      <c r="L18" s="91"/>
      <c r="M18" s="91"/>
      <c r="N18" s="91"/>
      <c r="P18" s="91"/>
      <c r="Q18" s="91"/>
      <c r="R18" s="91"/>
      <c r="S18" s="91"/>
      <c r="T18" s="91"/>
      <c r="V18" s="82"/>
      <c r="W18" s="82"/>
      <c r="X18" s="82"/>
      <c r="Y18" s="82"/>
      <c r="Z18" s="82"/>
    </row>
    <row r="19" spans="3:26" x14ac:dyDescent="0.3">
      <c r="C19" s="24"/>
      <c r="D19" s="135"/>
      <c r="E19" s="135"/>
      <c r="F19" s="135"/>
      <c r="G19" s="135"/>
      <c r="H19" s="135"/>
      <c r="P19" s="91"/>
      <c r="Q19" s="91"/>
      <c r="R19" s="91"/>
      <c r="S19" s="91"/>
      <c r="T19" s="91"/>
      <c r="V19" s="35"/>
      <c r="W19" s="35"/>
      <c r="X19" s="35"/>
      <c r="Y19" s="35"/>
      <c r="Z19" s="35"/>
    </row>
    <row r="20" spans="3:26" x14ac:dyDescent="0.3">
      <c r="C20" s="24"/>
      <c r="D20" s="135"/>
      <c r="E20" s="135"/>
      <c r="F20" s="135"/>
      <c r="G20" s="135"/>
      <c r="H20" s="135"/>
      <c r="Q20" s="142"/>
      <c r="R20" s="142"/>
      <c r="S20" s="142"/>
      <c r="T20" s="142"/>
      <c r="U20" s="142"/>
      <c r="V20" s="142"/>
    </row>
    <row r="21" spans="3:26" x14ac:dyDescent="0.3">
      <c r="Q21" s="142"/>
      <c r="R21" s="175" t="s">
        <v>230</v>
      </c>
      <c r="S21" s="175"/>
      <c r="T21" s="175"/>
      <c r="U21" s="175"/>
      <c r="V21" s="175"/>
    </row>
    <row r="22" spans="3:26" x14ac:dyDescent="0.3">
      <c r="D22" s="139" t="s">
        <v>34</v>
      </c>
      <c r="E22" s="139" t="s">
        <v>35</v>
      </c>
      <c r="F22" s="139" t="s">
        <v>36</v>
      </c>
      <c r="Q22" s="148" t="s">
        <v>221</v>
      </c>
      <c r="R22" s="149">
        <v>-140.57294580998962</v>
      </c>
      <c r="S22" s="149">
        <v>110.48503795265333</v>
      </c>
      <c r="T22" s="149">
        <v>685.72857516622571</v>
      </c>
      <c r="U22" s="149">
        <v>1393.7508177608358</v>
      </c>
      <c r="V22" s="149">
        <v>3441.4349757709983</v>
      </c>
    </row>
    <row r="23" spans="3:26" x14ac:dyDescent="0.3">
      <c r="C23" s="143" t="s">
        <v>37</v>
      </c>
      <c r="D23" s="6">
        <f>'Target Co'!G5</f>
        <v>1516.75</v>
      </c>
      <c r="E23" s="6">
        <f>'Target Co'!H5</f>
        <v>1367</v>
      </c>
      <c r="F23" s="6">
        <f>'Target Co'!I5</f>
        <v>1615</v>
      </c>
      <c r="Q23" s="148" t="s">
        <v>220</v>
      </c>
      <c r="R23" s="149">
        <v>-178.84596104079486</v>
      </c>
      <c r="S23" s="149">
        <v>44.41304432352581</v>
      </c>
      <c r="T23" s="149">
        <v>501.14507458343815</v>
      </c>
      <c r="U23" s="149">
        <v>1189.8473191590579</v>
      </c>
      <c r="V23" s="149">
        <v>2959.7943630547038</v>
      </c>
    </row>
    <row r="24" spans="3:26" x14ac:dyDescent="0.3">
      <c r="C24" s="143" t="s">
        <v>69</v>
      </c>
      <c r="D24" s="6">
        <f>'Target Co'!G11</f>
        <v>62.779999999999987</v>
      </c>
      <c r="E24" s="6">
        <f>'Target Co'!H11</f>
        <v>68</v>
      </c>
      <c r="F24" s="6">
        <f>'Target Co'!I11</f>
        <v>110</v>
      </c>
      <c r="Q24" s="148" t="s">
        <v>219</v>
      </c>
      <c r="R24" s="149">
        <v>-180.18922059391048</v>
      </c>
      <c r="S24" s="149">
        <v>101.42786893781852</v>
      </c>
      <c r="T24" s="149">
        <v>485.35652003586483</v>
      </c>
      <c r="U24" s="149">
        <v>1311.0580251520826</v>
      </c>
      <c r="V24" s="149">
        <v>3439.3082431017956</v>
      </c>
      <c r="W24" s="144"/>
      <c r="X24" s="144"/>
    </row>
    <row r="25" spans="3:26" x14ac:dyDescent="0.3">
      <c r="C25" s="143" t="s">
        <v>38</v>
      </c>
      <c r="D25" s="6">
        <f>'Target Co'!G12</f>
        <v>140.14999999999998</v>
      </c>
      <c r="E25" s="6">
        <f>'Target Co'!H12</f>
        <v>146.6</v>
      </c>
      <c r="F25" s="6">
        <f>'Target Co'!I12</f>
        <v>195</v>
      </c>
      <c r="Q25" s="148"/>
      <c r="R25" s="149"/>
      <c r="S25" s="149"/>
      <c r="T25" s="149"/>
      <c r="U25" s="149"/>
      <c r="V25" s="149"/>
      <c r="W25" s="144"/>
      <c r="X25" s="144"/>
    </row>
    <row r="26" spans="3:26" x14ac:dyDescent="0.3">
      <c r="Q26" s="148" t="s">
        <v>224</v>
      </c>
      <c r="R26" s="149">
        <v>353.95842186666675</v>
      </c>
      <c r="S26" s="149">
        <v>630.39101970720458</v>
      </c>
      <c r="T26" s="149">
        <v>843.61416787220446</v>
      </c>
      <c r="U26" s="149">
        <v>1361.225587078163</v>
      </c>
      <c r="V26" s="149">
        <v>1614.6664667494747</v>
      </c>
      <c r="W26" s="144"/>
      <c r="X26" s="144"/>
    </row>
    <row r="27" spans="3:26" x14ac:dyDescent="0.3">
      <c r="Q27" s="148" t="s">
        <v>223</v>
      </c>
      <c r="R27" s="149">
        <v>524.1667710701106</v>
      </c>
      <c r="S27" s="149">
        <v>783.86651872327684</v>
      </c>
      <c r="T27" s="149">
        <v>900.48439948357668</v>
      </c>
      <c r="U27" s="149">
        <v>1680.3697242690032</v>
      </c>
      <c r="V27" s="149">
        <v>5112.757543618739</v>
      </c>
      <c r="W27" s="144"/>
      <c r="X27" s="144"/>
    </row>
    <row r="28" spans="3:26" x14ac:dyDescent="0.3">
      <c r="C28" s="24" t="s">
        <v>176</v>
      </c>
      <c r="D28" s="82">
        <f>EV!C12+EV!C17+EV!C18-EV!C11</f>
        <v>553.96399999999994</v>
      </c>
      <c r="Q28" s="148" t="s">
        <v>222</v>
      </c>
      <c r="R28" s="149">
        <v>235.37133620298414</v>
      </c>
      <c r="S28" s="149">
        <v>586.67767183293495</v>
      </c>
      <c r="T28" s="149">
        <v>603.65606433745893</v>
      </c>
      <c r="U28" s="149">
        <v>2228.9268809496539</v>
      </c>
      <c r="V28" s="149">
        <v>6082.1692538780726</v>
      </c>
      <c r="W28" s="144"/>
      <c r="X28" s="144"/>
    </row>
    <row r="29" spans="3:26" x14ac:dyDescent="0.3">
      <c r="C29" s="24" t="s">
        <v>229</v>
      </c>
      <c r="D29" s="82">
        <f>EV!C6</f>
        <v>26.91883</v>
      </c>
      <c r="Q29" s="148"/>
      <c r="R29" s="149"/>
      <c r="S29" s="149"/>
      <c r="T29" s="149"/>
      <c r="U29" s="149"/>
      <c r="V29" s="149"/>
      <c r="W29" s="144"/>
      <c r="X29" s="144"/>
    </row>
    <row r="30" spans="3:26" x14ac:dyDescent="0.3">
      <c r="Q30" s="148" t="s">
        <v>218</v>
      </c>
      <c r="R30" s="149">
        <v>230.85269578273471</v>
      </c>
      <c r="S30" s="149">
        <v>412.29174511692486</v>
      </c>
      <c r="T30" s="149">
        <v>672.66459319632372</v>
      </c>
      <c r="U30" s="149">
        <v>816.67356018529927</v>
      </c>
      <c r="V30" s="149">
        <v>1000.1199830434466</v>
      </c>
      <c r="W30" s="144"/>
      <c r="X30" s="144"/>
    </row>
    <row r="31" spans="3:26" x14ac:dyDescent="0.3">
      <c r="Q31" s="148" t="s">
        <v>217</v>
      </c>
      <c r="R31" s="149">
        <v>205.8569421616404</v>
      </c>
      <c r="S31" s="149">
        <v>443.64903833868971</v>
      </c>
      <c r="T31" s="149">
        <v>626.43427213027348</v>
      </c>
      <c r="U31" s="149">
        <v>767.45836612696621</v>
      </c>
      <c r="V31" s="149">
        <v>1744.2916072876747</v>
      </c>
      <c r="W31" s="144"/>
      <c r="X31" s="144"/>
    </row>
    <row r="32" spans="3:26" x14ac:dyDescent="0.3">
      <c r="Q32" s="148" t="s">
        <v>216</v>
      </c>
      <c r="R32" s="149">
        <v>115.79776081260934</v>
      </c>
      <c r="S32" s="149">
        <v>277.99573922765887</v>
      </c>
      <c r="T32" s="149">
        <v>429.19035893241801</v>
      </c>
      <c r="U32" s="149">
        <v>596.67772123929035</v>
      </c>
      <c r="V32" s="149">
        <v>799.36325148469655</v>
      </c>
      <c r="W32" s="144"/>
      <c r="X32" s="144"/>
    </row>
    <row r="33" spans="17:24" x14ac:dyDescent="0.3">
      <c r="Q33" s="148"/>
      <c r="R33" s="150"/>
      <c r="S33" s="150"/>
      <c r="T33" s="150"/>
      <c r="U33" s="150"/>
      <c r="V33" s="150"/>
      <c r="W33" s="144"/>
      <c r="X33" s="144"/>
    </row>
    <row r="34" spans="17:24" x14ac:dyDescent="0.3">
      <c r="Q34" s="142"/>
      <c r="R34" s="175" t="s">
        <v>11</v>
      </c>
      <c r="S34" s="175"/>
      <c r="T34" s="175"/>
      <c r="U34" s="175"/>
      <c r="V34" s="175"/>
      <c r="W34" s="144"/>
      <c r="X34" s="144"/>
    </row>
    <row r="35" spans="17:24" x14ac:dyDescent="0.3">
      <c r="Q35" s="148" t="s">
        <v>221</v>
      </c>
      <c r="R35" s="149">
        <f>-140.57294580999/$D$29</f>
        <v>-5.2221045940700241</v>
      </c>
      <c r="S35" s="149">
        <f>110.485037952653/$D$29</f>
        <v>4.1043774173191405</v>
      </c>
      <c r="T35" s="149">
        <f>685.728575166226/$D$29</f>
        <v>25.473936837753573</v>
      </c>
      <c r="U35" s="149">
        <f>1393.75081776084/$D$29</f>
        <v>51.776054819650035</v>
      </c>
      <c r="V35" s="149">
        <f>3441.434975771/$D$29</f>
        <v>127.84489429039078</v>
      </c>
    </row>
    <row r="36" spans="17:24" x14ac:dyDescent="0.3">
      <c r="Q36" s="148" t="s">
        <v>220</v>
      </c>
      <c r="R36" s="149">
        <f>-178.845961040795/$D$29</f>
        <v>-6.6438980089697433</v>
      </c>
      <c r="S36" s="149">
        <f>44.4130443235258/$D$29</f>
        <v>1.64988761857502</v>
      </c>
      <c r="T36" s="149">
        <f>501.145074583438/$D$29</f>
        <v>18.61689659555924</v>
      </c>
      <c r="U36" s="149">
        <f>1189.84731915906/$D$29</f>
        <v>44.201301436914605</v>
      </c>
      <c r="V36" s="149">
        <f>2959.7943630547/$D$29</f>
        <v>109.95256343068031</v>
      </c>
      <c r="W36" s="145"/>
      <c r="X36" s="80"/>
    </row>
    <row r="37" spans="17:24" x14ac:dyDescent="0.3">
      <c r="Q37" s="148" t="s">
        <v>219</v>
      </c>
      <c r="R37" s="149">
        <f>-180.18922059391/$D$29</f>
        <v>-6.6937983780836685</v>
      </c>
      <c r="S37" s="149">
        <f>101.427868937819/$D$29</f>
        <v>3.767915207972226</v>
      </c>
      <c r="T37" s="149">
        <f>485.356520035865/$D$29</f>
        <v>18.030372049448843</v>
      </c>
      <c r="U37" s="149">
        <f>1311.05802515208/$D$29</f>
        <v>48.704123661841173</v>
      </c>
      <c r="V37" s="149">
        <f>3439.3082431018/$D$29</f>
        <v>127.76588890014166</v>
      </c>
      <c r="W37" s="145"/>
    </row>
    <row r="38" spans="17:24" x14ac:dyDescent="0.3">
      <c r="Q38" s="148"/>
      <c r="R38" s="149"/>
      <c r="S38" s="149"/>
      <c r="T38" s="149"/>
      <c r="U38" s="149"/>
      <c r="V38" s="149"/>
      <c r="W38" s="145"/>
    </row>
    <row r="39" spans="17:24" x14ac:dyDescent="0.3">
      <c r="Q39" s="148" t="s">
        <v>224</v>
      </c>
      <c r="R39" s="149">
        <f>353.958421866667/$D$29</f>
        <v>13.149101274708707</v>
      </c>
      <c r="S39" s="149">
        <f>630.391019707205/$D$29</f>
        <v>23.418217645685381</v>
      </c>
      <c r="T39" s="149">
        <f>843.614167872204/$D$29</f>
        <v>31.339184053400686</v>
      </c>
      <c r="U39" s="149">
        <f>1361.22558707816/$D$29</f>
        <v>50.567784226809266</v>
      </c>
      <c r="V39" s="149">
        <f>1614.66646674947/$D$29</f>
        <v>59.982787764158765</v>
      </c>
    </row>
    <row r="40" spans="17:24" x14ac:dyDescent="0.3">
      <c r="Q40" s="148" t="s">
        <v>223</v>
      </c>
      <c r="R40" s="149">
        <f>524.166771070111/$D$29</f>
        <v>19.472123085219938</v>
      </c>
      <c r="S40" s="149">
        <f>783.866518723277/$D$29</f>
        <v>29.119635538516235</v>
      </c>
      <c r="T40" s="149">
        <f>900.484399483577/$D$29</f>
        <v>33.451840198239559</v>
      </c>
      <c r="U40" s="149">
        <f>1680.369724269/$D$29</f>
        <v>62.423579489487473</v>
      </c>
      <c r="V40" s="149">
        <f>5112.75754361874/$D$29</f>
        <v>189.93238352553732</v>
      </c>
    </row>
    <row r="41" spans="17:24" x14ac:dyDescent="0.3">
      <c r="Q41" s="148" t="s">
        <v>222</v>
      </c>
      <c r="R41" s="149">
        <f>235.371336202984/$D$29</f>
        <v>8.7437431791420348</v>
      </c>
      <c r="S41" s="149">
        <f>586.677671832935/$D$29</f>
        <v>21.794322852550984</v>
      </c>
      <c r="T41" s="149">
        <f>603.656064337459/$D$29</f>
        <v>22.42504835230428</v>
      </c>
      <c r="U41" s="149">
        <f>2228.92688094965/$D$29</f>
        <v>82.801774109411511</v>
      </c>
      <c r="V41" s="149">
        <f>6082.16925387807/$D$29</f>
        <v>225.94478489139647</v>
      </c>
    </row>
    <row r="42" spans="17:24" x14ac:dyDescent="0.3">
      <c r="Q42" s="148"/>
      <c r="R42" s="149"/>
      <c r="S42" s="149"/>
      <c r="T42" s="149"/>
      <c r="U42" s="149"/>
      <c r="V42" s="149"/>
    </row>
    <row r="43" spans="17:24" x14ac:dyDescent="0.3">
      <c r="Q43" s="148" t="s">
        <v>218</v>
      </c>
      <c r="R43" s="149">
        <f>230.852695782735/$D$29</f>
        <v>8.5758814845494769</v>
      </c>
      <c r="S43" s="149">
        <f>412.291745116925/$D$29</f>
        <v>15.316109396913795</v>
      </c>
      <c r="T43" s="149">
        <f>672.664593196324/$D$29</f>
        <v>24.988626667515785</v>
      </c>
      <c r="U43" s="149">
        <f>816.673560185299/$D$29</f>
        <v>30.338375040271032</v>
      </c>
      <c r="V43" s="149">
        <f>1000.11998304345/$D$29</f>
        <v>37.153174303766178</v>
      </c>
    </row>
    <row r="44" spans="17:24" x14ac:dyDescent="0.3">
      <c r="Q44" s="148" t="s">
        <v>217</v>
      </c>
      <c r="R44" s="149">
        <f>205.85694216164/$D$29</f>
        <v>7.6473213048873223</v>
      </c>
      <c r="S44" s="149">
        <f>443.64903833869/$D$29</f>
        <v>16.480992611442993</v>
      </c>
      <c r="T44" s="149">
        <f>626.434272130273/$D$29</f>
        <v>23.271229549362772</v>
      </c>
      <c r="U44" s="149">
        <f>767.458366126966/$D$29</f>
        <v>28.510093719785221</v>
      </c>
      <c r="V44" s="149">
        <f>1744.29160728767/$D$29</f>
        <v>64.798195437456613</v>
      </c>
    </row>
    <row r="45" spans="17:24" x14ac:dyDescent="0.3">
      <c r="Q45" s="148" t="s">
        <v>216</v>
      </c>
      <c r="R45" s="149">
        <f>115.797760812609/$D$29</f>
        <v>4.3017382558086288</v>
      </c>
      <c r="S45" s="149">
        <f>277.995739227659/$D$29</f>
        <v>10.327185068134796</v>
      </c>
      <c r="T45" s="149">
        <f>429.190358932418/$D$29</f>
        <v>15.943871220718657</v>
      </c>
      <c r="U45" s="149">
        <f>596.67772123929/$D$29</f>
        <v>22.165811858809985</v>
      </c>
      <c r="V45" s="149">
        <f>799.363251484697/$D$29</f>
        <v>29.695319279652832</v>
      </c>
    </row>
    <row r="46" spans="17:24" x14ac:dyDescent="0.3">
      <c r="Q46" s="142"/>
      <c r="R46" s="142"/>
      <c r="S46" s="142"/>
      <c r="T46" s="142"/>
      <c r="U46" s="142"/>
      <c r="V46" s="142"/>
    </row>
  </sheetData>
  <mergeCells count="6">
    <mergeCell ref="R34:V34"/>
    <mergeCell ref="D3:H3"/>
    <mergeCell ref="J3:N3"/>
    <mergeCell ref="P3:T3"/>
    <mergeCell ref="V3:Z3"/>
    <mergeCell ref="R21:V21"/>
  </mergeCells>
  <hyperlinks>
    <hyperlink ref="I1" location="Homepage!A1" display="H"/>
    <hyperlink ref="A1" location="Homepage!A1" display="H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68"/>
  <sheetViews>
    <sheetView showGridLines="0" workbookViewId="0">
      <selection activeCell="B15" sqref="B15"/>
    </sheetView>
  </sheetViews>
  <sheetFormatPr baseColWidth="10" defaultRowHeight="14.4" x14ac:dyDescent="0.3"/>
  <cols>
    <col min="1" max="1" width="6.21875" style="28" customWidth="1"/>
    <col min="2" max="2" width="38.5546875" style="28" customWidth="1"/>
    <col min="3" max="5" width="18.33203125" style="28" customWidth="1"/>
    <col min="6" max="6" width="17.33203125" style="28" customWidth="1"/>
    <col min="7" max="7" width="20.21875" style="28" customWidth="1"/>
    <col min="8" max="9" width="18.33203125" style="28" customWidth="1"/>
    <col min="10" max="16384" width="11.5546875" style="28"/>
  </cols>
  <sheetData>
    <row r="1" spans="1:10" ht="18" x14ac:dyDescent="0.3">
      <c r="A1" s="153" t="s">
        <v>248</v>
      </c>
      <c r="B1" s="23" t="s">
        <v>56</v>
      </c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24"/>
      <c r="C2" s="25"/>
      <c r="D2" s="25"/>
      <c r="E2" s="20"/>
      <c r="F2" s="20"/>
      <c r="G2" s="20"/>
      <c r="H2" s="20"/>
      <c r="I2" s="2"/>
    </row>
    <row r="3" spans="1:10" ht="18" x14ac:dyDescent="0.3">
      <c r="A3" s="1"/>
      <c r="B3" s="26" t="s">
        <v>252</v>
      </c>
      <c r="C3" s="30" t="s">
        <v>32</v>
      </c>
      <c r="D3" s="33" t="s">
        <v>57</v>
      </c>
      <c r="E3" s="31" t="s">
        <v>33</v>
      </c>
      <c r="F3" s="33" t="s">
        <v>58</v>
      </c>
      <c r="G3" s="38" t="s">
        <v>34</v>
      </c>
      <c r="H3" s="31" t="s">
        <v>35</v>
      </c>
      <c r="I3" s="32" t="s">
        <v>36</v>
      </c>
    </row>
    <row r="4" spans="1:10" x14ac:dyDescent="0.3">
      <c r="B4" s="28" t="s">
        <v>37</v>
      </c>
      <c r="C4" s="35">
        <v>1461.7</v>
      </c>
      <c r="D4" s="35">
        <v>377.41</v>
      </c>
      <c r="E4" s="35">
        <v>1512</v>
      </c>
      <c r="F4" s="35">
        <v>382.16</v>
      </c>
      <c r="G4" s="40">
        <f>E4+F4-D4</f>
        <v>1516.75</v>
      </c>
      <c r="H4" s="35">
        <v>1367</v>
      </c>
      <c r="I4" s="35">
        <v>1615</v>
      </c>
    </row>
    <row r="5" spans="1:10" x14ac:dyDescent="0.3">
      <c r="B5" s="34" t="s">
        <v>44</v>
      </c>
      <c r="C5" s="36">
        <v>1461.7</v>
      </c>
      <c r="D5" s="36">
        <v>377.41</v>
      </c>
      <c r="E5" s="36">
        <v>1512</v>
      </c>
      <c r="F5" s="36">
        <v>382.16</v>
      </c>
      <c r="G5" s="41">
        <f t="shared" ref="G5:G16" si="0">E5+F5-D5</f>
        <v>1516.75</v>
      </c>
      <c r="H5" s="36">
        <v>1367</v>
      </c>
      <c r="I5" s="36">
        <v>1615</v>
      </c>
    </row>
    <row r="6" spans="1:10" x14ac:dyDescent="0.3">
      <c r="B6" s="28" t="s">
        <v>45</v>
      </c>
      <c r="C6" s="35">
        <v>1070</v>
      </c>
      <c r="D6" s="35">
        <v>270.49</v>
      </c>
      <c r="E6" s="35">
        <v>1090</v>
      </c>
      <c r="F6" s="35">
        <v>278.24</v>
      </c>
      <c r="G6" s="39">
        <f t="shared" si="0"/>
        <v>1097.75</v>
      </c>
      <c r="H6" s="35"/>
      <c r="I6" s="35"/>
    </row>
    <row r="7" spans="1:10" x14ac:dyDescent="0.3">
      <c r="B7" s="34" t="s">
        <v>46</v>
      </c>
      <c r="C7" s="36">
        <v>391.04</v>
      </c>
      <c r="D7" s="36">
        <v>106.91</v>
      </c>
      <c r="E7" s="36">
        <v>420.68</v>
      </c>
      <c r="F7" s="36">
        <v>103.92</v>
      </c>
      <c r="G7" s="41">
        <f>E7+F7-D7</f>
        <v>417.69000000000005</v>
      </c>
      <c r="H7" s="36"/>
      <c r="I7" s="36"/>
    </row>
    <row r="8" spans="1:10" x14ac:dyDescent="0.3">
      <c r="B8" s="28" t="s">
        <v>47</v>
      </c>
      <c r="C8" s="35">
        <v>130.08000000000001</v>
      </c>
      <c r="D8" s="35">
        <v>32.71</v>
      </c>
      <c r="E8" s="35">
        <v>159.76</v>
      </c>
      <c r="F8" s="35">
        <v>29.8</v>
      </c>
      <c r="G8" s="39">
        <f t="shared" si="0"/>
        <v>156.85</v>
      </c>
      <c r="H8" s="35"/>
      <c r="I8" s="35"/>
    </row>
    <row r="9" spans="1:10" x14ac:dyDescent="0.3">
      <c r="B9" s="28" t="s">
        <v>48</v>
      </c>
      <c r="C9" s="35">
        <v>54.43</v>
      </c>
      <c r="D9" s="35">
        <v>16.920000000000002</v>
      </c>
      <c r="E9" s="35">
        <v>74.77</v>
      </c>
      <c r="F9" s="35">
        <v>19.52</v>
      </c>
      <c r="G9" s="39">
        <f t="shared" si="0"/>
        <v>77.36999999999999</v>
      </c>
      <c r="H9" s="35"/>
      <c r="I9" s="35"/>
    </row>
    <row r="10" spans="1:10" x14ac:dyDescent="0.3">
      <c r="B10" s="28" t="s">
        <v>49</v>
      </c>
      <c r="C10" s="35">
        <v>122.74</v>
      </c>
      <c r="D10" s="35">
        <v>30.77</v>
      </c>
      <c r="E10" s="35">
        <v>120.77</v>
      </c>
      <c r="F10" s="35">
        <v>30.7</v>
      </c>
      <c r="G10" s="39">
        <f t="shared" si="0"/>
        <v>120.7</v>
      </c>
      <c r="H10" s="35"/>
      <c r="I10" s="35"/>
    </row>
    <row r="11" spans="1:10" x14ac:dyDescent="0.3">
      <c r="B11" s="34" t="s">
        <v>69</v>
      </c>
      <c r="C11" s="36">
        <v>83.79</v>
      </c>
      <c r="D11" s="36">
        <v>26.51</v>
      </c>
      <c r="E11" s="36">
        <v>65.38</v>
      </c>
      <c r="F11" s="36">
        <v>23.91</v>
      </c>
      <c r="G11" s="41">
        <f t="shared" si="0"/>
        <v>62.779999999999987</v>
      </c>
      <c r="H11" s="36">
        <v>68</v>
      </c>
      <c r="I11" s="36">
        <v>110</v>
      </c>
    </row>
    <row r="12" spans="1:10" x14ac:dyDescent="0.3">
      <c r="B12" s="34" t="s">
        <v>38</v>
      </c>
      <c r="C12" s="36">
        <f>C11+C9</f>
        <v>138.22</v>
      </c>
      <c r="D12" s="36">
        <f t="shared" ref="D12:G12" si="1">D11+D9</f>
        <v>43.430000000000007</v>
      </c>
      <c r="E12" s="36">
        <f t="shared" si="1"/>
        <v>140.14999999999998</v>
      </c>
      <c r="F12" s="36">
        <f t="shared" si="1"/>
        <v>43.43</v>
      </c>
      <c r="G12" s="41">
        <f t="shared" si="1"/>
        <v>140.14999999999998</v>
      </c>
      <c r="H12" s="36">
        <v>146.6</v>
      </c>
      <c r="I12" s="36">
        <v>195</v>
      </c>
    </row>
    <row r="13" spans="1:10" x14ac:dyDescent="0.3">
      <c r="B13" s="28" t="s">
        <v>50</v>
      </c>
      <c r="C13" s="35">
        <v>-14.59</v>
      </c>
      <c r="D13" s="35">
        <v>-4.37</v>
      </c>
      <c r="E13" s="35">
        <v>-17.010000000000002</v>
      </c>
      <c r="F13" s="35">
        <v>-4.21</v>
      </c>
      <c r="G13" s="39">
        <f t="shared" si="0"/>
        <v>-16.850000000000001</v>
      </c>
      <c r="H13" s="35"/>
      <c r="I13" s="35"/>
    </row>
    <row r="14" spans="1:10" x14ac:dyDescent="0.3">
      <c r="B14" s="28" t="s">
        <v>51</v>
      </c>
      <c r="C14" s="35">
        <v>0.188</v>
      </c>
      <c r="D14" s="35">
        <v>0.95299999999999996</v>
      </c>
      <c r="E14" s="35">
        <v>1.82</v>
      </c>
      <c r="F14" s="35">
        <v>-3.61</v>
      </c>
      <c r="G14" s="39">
        <f t="shared" si="0"/>
        <v>-2.7429999999999999</v>
      </c>
      <c r="H14" s="35"/>
      <c r="I14" s="35"/>
    </row>
    <row r="15" spans="1:10" x14ac:dyDescent="0.3">
      <c r="B15" s="34" t="s">
        <v>59</v>
      </c>
      <c r="C15" s="36">
        <v>69.39</v>
      </c>
      <c r="D15" s="36">
        <v>23.1</v>
      </c>
      <c r="E15" s="36">
        <v>50.19</v>
      </c>
      <c r="F15" s="36">
        <v>16.09</v>
      </c>
      <c r="G15" s="41">
        <f t="shared" si="0"/>
        <v>43.18</v>
      </c>
      <c r="H15" s="36">
        <v>51</v>
      </c>
      <c r="I15" s="36">
        <v>96</v>
      </c>
    </row>
    <row r="16" spans="1:10" x14ac:dyDescent="0.3">
      <c r="B16" s="28" t="s">
        <v>52</v>
      </c>
      <c r="C16" s="35">
        <v>17.21</v>
      </c>
      <c r="D16" s="35">
        <v>5.8</v>
      </c>
      <c r="E16" s="35">
        <v>12.6</v>
      </c>
      <c r="F16" s="35">
        <v>3.93</v>
      </c>
      <c r="G16" s="39">
        <f t="shared" si="0"/>
        <v>10.73</v>
      </c>
      <c r="H16" s="45"/>
      <c r="I16" s="35"/>
    </row>
    <row r="17" spans="2:11" x14ac:dyDescent="0.3">
      <c r="B17" s="34" t="s">
        <v>53</v>
      </c>
      <c r="C17" s="36">
        <v>52.18</v>
      </c>
      <c r="D17" s="36">
        <v>17.3</v>
      </c>
      <c r="E17" s="36">
        <v>37.590000000000003</v>
      </c>
      <c r="F17" s="36">
        <v>12.16</v>
      </c>
      <c r="G17" s="41">
        <f>E17+F17-D17</f>
        <v>32.450000000000003</v>
      </c>
      <c r="H17" s="36">
        <v>38</v>
      </c>
      <c r="I17" s="36">
        <v>72</v>
      </c>
    </row>
    <row r="18" spans="2:11" x14ac:dyDescent="0.3">
      <c r="B18" s="165"/>
    </row>
    <row r="19" spans="2:11" x14ac:dyDescent="0.3">
      <c r="B19" s="43" t="s">
        <v>87</v>
      </c>
    </row>
    <row r="20" spans="2:11" x14ac:dyDescent="0.3">
      <c r="B20" s="37"/>
      <c r="E20" s="42"/>
    </row>
    <row r="21" spans="2:11" x14ac:dyDescent="0.3">
      <c r="B21" s="37"/>
    </row>
    <row r="22" spans="2:11" ht="16.2" thickBot="1" x14ac:dyDescent="0.35">
      <c r="B22" s="89" t="s">
        <v>93</v>
      </c>
      <c r="C22" s="3" t="s">
        <v>57</v>
      </c>
      <c r="D22" s="3" t="s">
        <v>58</v>
      </c>
      <c r="E22" s="3" t="s">
        <v>175</v>
      </c>
      <c r="G22" s="128" t="s">
        <v>179</v>
      </c>
      <c r="H22" s="3" t="s">
        <v>180</v>
      </c>
      <c r="I22" s="3" t="s">
        <v>33</v>
      </c>
      <c r="J22" s="3" t="s">
        <v>181</v>
      </c>
      <c r="K22" s="3" t="s">
        <v>34</v>
      </c>
    </row>
    <row r="23" spans="2:11" x14ac:dyDescent="0.3">
      <c r="B23" s="28" t="s">
        <v>94</v>
      </c>
      <c r="C23" s="90">
        <v>6.34</v>
      </c>
      <c r="D23" s="90">
        <v>8</v>
      </c>
      <c r="E23" s="90">
        <f>(C23+D23)/2</f>
        <v>7.17</v>
      </c>
      <c r="G23" s="28" t="s">
        <v>182</v>
      </c>
      <c r="H23" s="6">
        <f>(10790)/1000</f>
        <v>10.79</v>
      </c>
      <c r="I23" s="6">
        <f>79753/1000</f>
        <v>79.753</v>
      </c>
      <c r="J23" s="6">
        <f>32775/1000</f>
        <v>32.774999999999999</v>
      </c>
      <c r="K23" s="6">
        <f>I23+J23-H23</f>
        <v>101.738</v>
      </c>
    </row>
    <row r="24" spans="2:11" x14ac:dyDescent="0.3">
      <c r="B24" s="28" t="s">
        <v>95</v>
      </c>
      <c r="C24" s="91">
        <v>10.210000000000001</v>
      </c>
      <c r="D24" s="91">
        <v>6.32</v>
      </c>
      <c r="E24" s="91">
        <f t="shared" ref="E24:E62" si="2">(C24+D24)/2</f>
        <v>8.2650000000000006</v>
      </c>
    </row>
    <row r="25" spans="2:11" x14ac:dyDescent="0.3">
      <c r="B25" s="55" t="s">
        <v>96</v>
      </c>
      <c r="C25" s="92">
        <v>16.54</v>
      </c>
      <c r="D25" s="94">
        <v>14.32</v>
      </c>
      <c r="E25" s="92">
        <f t="shared" si="2"/>
        <v>15.43</v>
      </c>
    </row>
    <row r="26" spans="2:11" x14ac:dyDescent="0.3">
      <c r="B26" s="28" t="s">
        <v>97</v>
      </c>
      <c r="C26" s="91">
        <v>216.22</v>
      </c>
      <c r="D26" s="91">
        <v>240.46</v>
      </c>
      <c r="E26" s="91">
        <f t="shared" si="2"/>
        <v>228.34</v>
      </c>
    </row>
    <row r="27" spans="2:11" x14ac:dyDescent="0.3">
      <c r="B27" s="28" t="s">
        <v>98</v>
      </c>
      <c r="C27" s="91">
        <v>0</v>
      </c>
      <c r="D27" s="91">
        <v>21.22</v>
      </c>
      <c r="E27" s="91">
        <f t="shared" si="2"/>
        <v>10.61</v>
      </c>
    </row>
    <row r="28" spans="2:11" x14ac:dyDescent="0.3">
      <c r="B28" s="28" t="s">
        <v>99</v>
      </c>
      <c r="C28" s="91">
        <v>42.7</v>
      </c>
      <c r="D28" s="91">
        <v>0</v>
      </c>
      <c r="E28" s="91">
        <f t="shared" si="2"/>
        <v>21.35</v>
      </c>
    </row>
    <row r="29" spans="2:11" x14ac:dyDescent="0.3">
      <c r="B29" s="55" t="s">
        <v>100</v>
      </c>
      <c r="C29" s="92">
        <v>275.45999999999998</v>
      </c>
      <c r="D29" s="93">
        <v>275.99</v>
      </c>
      <c r="E29" s="92">
        <f t="shared" si="2"/>
        <v>275.72500000000002</v>
      </c>
    </row>
    <row r="30" spans="2:11" x14ac:dyDescent="0.3">
      <c r="B30" s="28" t="s">
        <v>101</v>
      </c>
      <c r="C30" s="91">
        <v>300.26</v>
      </c>
      <c r="D30" s="91">
        <v>446.19</v>
      </c>
      <c r="E30" s="91">
        <f t="shared" si="2"/>
        <v>373.22500000000002</v>
      </c>
    </row>
    <row r="31" spans="2:11" x14ac:dyDescent="0.3">
      <c r="B31" s="28" t="s">
        <v>102</v>
      </c>
      <c r="C31" s="91">
        <v>0</v>
      </c>
      <c r="D31" s="91">
        <v>170.04</v>
      </c>
      <c r="E31" s="91">
        <f t="shared" si="2"/>
        <v>85.02</v>
      </c>
    </row>
    <row r="32" spans="2:11" x14ac:dyDescent="0.3">
      <c r="B32" s="28" t="s">
        <v>103</v>
      </c>
      <c r="C32" s="91">
        <v>0</v>
      </c>
      <c r="D32" s="91">
        <v>112.04</v>
      </c>
      <c r="E32" s="91">
        <f t="shared" si="2"/>
        <v>56.02</v>
      </c>
    </row>
    <row r="33" spans="2:5" x14ac:dyDescent="0.3">
      <c r="B33" s="28" t="s">
        <v>104</v>
      </c>
      <c r="C33" s="91">
        <v>355.86</v>
      </c>
      <c r="D33" s="91">
        <v>4.2</v>
      </c>
      <c r="E33" s="91">
        <f t="shared" si="2"/>
        <v>180.03</v>
      </c>
    </row>
    <row r="34" spans="2:5" x14ac:dyDescent="0.3">
      <c r="B34" s="55" t="s">
        <v>105</v>
      </c>
      <c r="C34" s="92">
        <v>931.59</v>
      </c>
      <c r="D34" s="92">
        <v>1010</v>
      </c>
      <c r="E34" s="92">
        <f t="shared" si="2"/>
        <v>970.79500000000007</v>
      </c>
    </row>
    <row r="35" spans="2:5" x14ac:dyDescent="0.3">
      <c r="C35" s="1"/>
      <c r="D35" s="1"/>
      <c r="E35" s="1"/>
    </row>
    <row r="36" spans="2:5" x14ac:dyDescent="0.3">
      <c r="B36" s="28" t="s">
        <v>106</v>
      </c>
      <c r="C36" s="90">
        <v>0</v>
      </c>
      <c r="D36" s="90">
        <v>88.8</v>
      </c>
      <c r="E36" s="90">
        <f t="shared" si="2"/>
        <v>44.4</v>
      </c>
    </row>
    <row r="37" spans="2:5" x14ac:dyDescent="0.3">
      <c r="B37" s="28" t="s">
        <v>107</v>
      </c>
      <c r="C37" s="91">
        <v>0</v>
      </c>
      <c r="D37" s="91">
        <v>51.27</v>
      </c>
      <c r="E37" s="91">
        <f t="shared" si="2"/>
        <v>25.635000000000002</v>
      </c>
    </row>
    <row r="38" spans="2:5" x14ac:dyDescent="0.3">
      <c r="B38" s="28" t="s">
        <v>108</v>
      </c>
      <c r="C38" s="91">
        <v>0</v>
      </c>
      <c r="D38" s="91">
        <v>57.9</v>
      </c>
      <c r="E38" s="91">
        <f t="shared" si="2"/>
        <v>28.95</v>
      </c>
    </row>
    <row r="39" spans="2:5" x14ac:dyDescent="0.3">
      <c r="B39" s="28" t="s">
        <v>109</v>
      </c>
      <c r="C39" s="91">
        <v>213.63</v>
      </c>
      <c r="D39" s="91">
        <v>45.62</v>
      </c>
      <c r="E39" s="91">
        <f t="shared" si="2"/>
        <v>129.625</v>
      </c>
    </row>
    <row r="40" spans="2:5" x14ac:dyDescent="0.3">
      <c r="B40" s="55" t="s">
        <v>110</v>
      </c>
      <c r="C40" s="92">
        <v>213.63</v>
      </c>
      <c r="D40" s="92">
        <v>243.59</v>
      </c>
      <c r="E40" s="92">
        <f t="shared" si="2"/>
        <v>228.61</v>
      </c>
    </row>
    <row r="41" spans="2:5" x14ac:dyDescent="0.3">
      <c r="B41" s="28" t="s">
        <v>111</v>
      </c>
      <c r="C41" s="91">
        <v>369.62</v>
      </c>
      <c r="D41" s="91">
        <v>420.88</v>
      </c>
      <c r="E41" s="91">
        <f t="shared" si="2"/>
        <v>395.25</v>
      </c>
    </row>
    <row r="42" spans="2:5" x14ac:dyDescent="0.3">
      <c r="B42" s="28" t="s">
        <v>112</v>
      </c>
      <c r="C42" s="91">
        <v>0</v>
      </c>
      <c r="D42" s="91">
        <v>65.89</v>
      </c>
      <c r="E42" s="91">
        <f t="shared" si="2"/>
        <v>32.945</v>
      </c>
    </row>
    <row r="43" spans="2:5" x14ac:dyDescent="0.3">
      <c r="B43" s="28" t="s">
        <v>113</v>
      </c>
      <c r="C43" s="91">
        <v>127.68</v>
      </c>
      <c r="D43" s="91">
        <v>69.430000000000007</v>
      </c>
      <c r="E43" s="91">
        <f t="shared" si="2"/>
        <v>98.555000000000007</v>
      </c>
    </row>
    <row r="44" spans="2:5" x14ac:dyDescent="0.3">
      <c r="B44" s="55" t="s">
        <v>114</v>
      </c>
      <c r="C44" s="92">
        <v>710.94</v>
      </c>
      <c r="D44" s="92">
        <v>799.79</v>
      </c>
      <c r="E44" s="92">
        <f t="shared" si="2"/>
        <v>755.36500000000001</v>
      </c>
    </row>
    <row r="45" spans="2:5" x14ac:dyDescent="0.3">
      <c r="C45" s="1"/>
      <c r="D45" s="1"/>
      <c r="E45" s="1"/>
    </row>
    <row r="46" spans="2:5" x14ac:dyDescent="0.3">
      <c r="B46" s="28" t="s">
        <v>115</v>
      </c>
      <c r="C46" s="90">
        <v>0</v>
      </c>
      <c r="D46" s="90">
        <v>30.98</v>
      </c>
      <c r="E46" s="90">
        <f t="shared" si="2"/>
        <v>15.49</v>
      </c>
    </row>
    <row r="47" spans="2:5" x14ac:dyDescent="0.3">
      <c r="B47" s="28" t="s">
        <v>116</v>
      </c>
      <c r="C47" s="91">
        <v>0</v>
      </c>
      <c r="D47" s="91">
        <v>4.4800000000000004</v>
      </c>
      <c r="E47" s="91">
        <f t="shared" si="2"/>
        <v>2.2400000000000002</v>
      </c>
    </row>
    <row r="48" spans="2:5" x14ac:dyDescent="0.3">
      <c r="B48" s="28" t="s">
        <v>117</v>
      </c>
      <c r="C48" s="91">
        <v>0</v>
      </c>
      <c r="D48" s="91">
        <v>260.5</v>
      </c>
      <c r="E48" s="91">
        <f t="shared" si="2"/>
        <v>130.25</v>
      </c>
    </row>
    <row r="49" spans="2:5" x14ac:dyDescent="0.3">
      <c r="B49" s="28" t="s">
        <v>118</v>
      </c>
      <c r="C49" s="91">
        <v>0</v>
      </c>
      <c r="D49" s="91">
        <v>-82.17</v>
      </c>
      <c r="E49" s="91">
        <f t="shared" si="2"/>
        <v>-41.085000000000001</v>
      </c>
    </row>
    <row r="50" spans="2:5" x14ac:dyDescent="0.3">
      <c r="B50" s="28" t="s">
        <v>119</v>
      </c>
      <c r="C50" s="91">
        <v>0</v>
      </c>
      <c r="D50" s="91">
        <v>-0.55300000000000005</v>
      </c>
      <c r="E50" s="91">
        <f t="shared" si="2"/>
        <v>-0.27650000000000002</v>
      </c>
    </row>
    <row r="51" spans="2:5" x14ac:dyDescent="0.3">
      <c r="B51" s="28" t="s">
        <v>120</v>
      </c>
      <c r="C51" s="91">
        <v>220.65</v>
      </c>
      <c r="D51" s="91">
        <v>-4.59</v>
      </c>
      <c r="E51" s="91">
        <f t="shared" si="2"/>
        <v>108.03</v>
      </c>
    </row>
    <row r="52" spans="2:5" x14ac:dyDescent="0.3">
      <c r="B52" s="55" t="s">
        <v>121</v>
      </c>
      <c r="C52" s="94">
        <v>220.65</v>
      </c>
      <c r="D52" s="92">
        <v>208.66</v>
      </c>
      <c r="E52" s="92">
        <f t="shared" si="2"/>
        <v>214.655</v>
      </c>
    </row>
    <row r="53" spans="2:5" x14ac:dyDescent="0.3">
      <c r="B53" s="55" t="s">
        <v>122</v>
      </c>
      <c r="C53" s="92">
        <v>931.59</v>
      </c>
      <c r="D53" s="92">
        <v>1010</v>
      </c>
      <c r="E53" s="92">
        <f t="shared" si="2"/>
        <v>970.79500000000007</v>
      </c>
    </row>
    <row r="54" spans="2:5" x14ac:dyDescent="0.3">
      <c r="C54" s="1"/>
      <c r="D54" s="1"/>
      <c r="E54" s="91"/>
    </row>
    <row r="55" spans="2:5" x14ac:dyDescent="0.3">
      <c r="B55" s="28" t="s">
        <v>123</v>
      </c>
      <c r="C55" s="91">
        <v>28.38</v>
      </c>
      <c r="D55" s="91">
        <v>26.93</v>
      </c>
      <c r="E55" s="91">
        <f t="shared" si="2"/>
        <v>27.655000000000001</v>
      </c>
    </row>
    <row r="56" spans="2:5" x14ac:dyDescent="0.3">
      <c r="B56" s="28" t="s">
        <v>124</v>
      </c>
      <c r="C56" s="91">
        <v>7.78</v>
      </c>
      <c r="D56" s="91">
        <v>-2.73</v>
      </c>
      <c r="E56" s="91">
        <f t="shared" si="2"/>
        <v>2.5250000000000004</v>
      </c>
    </row>
    <row r="57" spans="2:5" x14ac:dyDescent="0.3">
      <c r="C57" s="1"/>
      <c r="D57" s="1"/>
      <c r="E57" s="91"/>
    </row>
    <row r="58" spans="2:5" x14ac:dyDescent="0.3">
      <c r="B58" s="28" t="s">
        <v>125</v>
      </c>
      <c r="C58" s="91">
        <v>216.22</v>
      </c>
      <c r="D58" s="91">
        <v>219.23</v>
      </c>
      <c r="E58" s="91">
        <f t="shared" si="2"/>
        <v>217.72499999999999</v>
      </c>
    </row>
    <row r="59" spans="2:5" x14ac:dyDescent="0.3">
      <c r="B59" s="28" t="s">
        <v>126</v>
      </c>
      <c r="C59" s="91">
        <v>0</v>
      </c>
      <c r="D59" s="91">
        <v>633.12</v>
      </c>
      <c r="E59" s="91">
        <f t="shared" si="2"/>
        <v>316.56</v>
      </c>
    </row>
    <row r="60" spans="2:5" x14ac:dyDescent="0.3">
      <c r="B60" s="28" t="s">
        <v>127</v>
      </c>
      <c r="C60" s="91">
        <v>0</v>
      </c>
      <c r="D60" s="91">
        <v>-277.74</v>
      </c>
      <c r="E60" s="91">
        <f t="shared" si="2"/>
        <v>-138.87</v>
      </c>
    </row>
    <row r="61" spans="2:5" x14ac:dyDescent="0.3">
      <c r="B61" s="28" t="s">
        <v>128</v>
      </c>
      <c r="C61" s="91">
        <v>369.62</v>
      </c>
      <c r="D61" s="91">
        <v>420.88</v>
      </c>
      <c r="E61" s="91">
        <f t="shared" si="2"/>
        <v>395.25</v>
      </c>
    </row>
    <row r="62" spans="2:5" x14ac:dyDescent="0.3">
      <c r="B62" s="28" t="s">
        <v>30</v>
      </c>
      <c r="C62" s="91">
        <v>369.62</v>
      </c>
      <c r="D62" s="91">
        <v>478.78</v>
      </c>
      <c r="E62" s="91">
        <f t="shared" si="2"/>
        <v>424.2</v>
      </c>
    </row>
    <row r="63" spans="2:5" x14ac:dyDescent="0.3">
      <c r="C63" s="91"/>
      <c r="D63" s="91"/>
      <c r="E63" s="91"/>
    </row>
    <row r="64" spans="2:5" x14ac:dyDescent="0.3">
      <c r="B64" s="110" t="s">
        <v>176</v>
      </c>
      <c r="C64" s="119">
        <f>C44-C25</f>
        <v>694.40000000000009</v>
      </c>
      <c r="D64" s="119">
        <f t="shared" ref="D64:E64" si="3">D44-D25</f>
        <v>785.46999999999991</v>
      </c>
      <c r="E64" s="119">
        <f t="shared" si="3"/>
        <v>739.93500000000006</v>
      </c>
    </row>
    <row r="65" spans="2:5" x14ac:dyDescent="0.3">
      <c r="B65" s="55" t="s">
        <v>178</v>
      </c>
      <c r="C65" s="122">
        <f>C44/(C44+C52)</f>
        <v>0.76314687791839764</v>
      </c>
      <c r="D65" s="122">
        <f t="shared" ref="D65:E65" si="4">D44/(D44+D52)</f>
        <v>0.79308840299469485</v>
      </c>
      <c r="E65" s="122">
        <f t="shared" si="4"/>
        <v>0.77871074823199526</v>
      </c>
    </row>
    <row r="67" spans="2:5" x14ac:dyDescent="0.3">
      <c r="E67" s="118"/>
    </row>
    <row r="68" spans="2:5" x14ac:dyDescent="0.3">
      <c r="E68" s="118"/>
    </row>
  </sheetData>
  <hyperlinks>
    <hyperlink ref="A1" location="Homepage!A1" display="H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61"/>
  <sheetViews>
    <sheetView showGridLines="0" workbookViewId="0">
      <selection activeCell="B11" sqref="B11"/>
    </sheetView>
  </sheetViews>
  <sheetFormatPr baseColWidth="10" defaultRowHeight="14.4" x14ac:dyDescent="0.3"/>
  <cols>
    <col min="1" max="1" width="6.5546875" customWidth="1"/>
    <col min="2" max="2" width="37.5546875" customWidth="1"/>
    <col min="3" max="6" width="18.6640625" customWidth="1"/>
    <col min="7" max="7" width="19.6640625" customWidth="1"/>
    <col min="8" max="9" width="18.6640625" customWidth="1"/>
  </cols>
  <sheetData>
    <row r="1" spans="1:10" ht="18" x14ac:dyDescent="0.3">
      <c r="A1" s="153" t="s">
        <v>248</v>
      </c>
      <c r="B1" s="23" t="s">
        <v>56</v>
      </c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27"/>
      <c r="C2" s="25"/>
      <c r="D2" s="25"/>
      <c r="E2" s="20"/>
      <c r="F2" s="20"/>
      <c r="G2" s="20"/>
      <c r="H2" s="20"/>
      <c r="I2" s="2"/>
    </row>
    <row r="3" spans="1:10" ht="18" x14ac:dyDescent="0.3">
      <c r="A3" s="21"/>
      <c r="B3" s="44" t="s">
        <v>40</v>
      </c>
      <c r="C3" s="31" t="s">
        <v>32</v>
      </c>
      <c r="D3" s="33" t="s">
        <v>57</v>
      </c>
      <c r="E3" s="31" t="s">
        <v>33</v>
      </c>
      <c r="F3" s="33" t="s">
        <v>58</v>
      </c>
      <c r="G3" s="38" t="s">
        <v>34</v>
      </c>
      <c r="H3" s="31" t="s">
        <v>35</v>
      </c>
      <c r="I3" s="32" t="s">
        <v>36</v>
      </c>
    </row>
    <row r="4" spans="1:10" x14ac:dyDescent="0.3">
      <c r="A4" s="28"/>
      <c r="B4" s="28" t="s">
        <v>37</v>
      </c>
      <c r="C4" s="35">
        <v>610.79999999999995</v>
      </c>
      <c r="D4" s="35">
        <v>139.54</v>
      </c>
      <c r="E4" s="35">
        <v>596.82000000000005</v>
      </c>
      <c r="F4" s="35">
        <v>166.32</v>
      </c>
      <c r="G4" s="39">
        <f>E4+F4-D4</f>
        <v>623.60000000000014</v>
      </c>
      <c r="H4" s="35">
        <v>638.71</v>
      </c>
      <c r="I4" s="35">
        <v>663.62</v>
      </c>
    </row>
    <row r="5" spans="1:10" x14ac:dyDescent="0.3">
      <c r="A5" s="28"/>
      <c r="B5" s="34" t="s">
        <v>44</v>
      </c>
      <c r="C5" s="36">
        <v>610.79999999999995</v>
      </c>
      <c r="D5" s="36">
        <v>139.54</v>
      </c>
      <c r="E5" s="36">
        <v>596.79999999999995</v>
      </c>
      <c r="F5" s="36">
        <v>166.32</v>
      </c>
      <c r="G5" s="41">
        <f t="shared" ref="G5:G15" si="0">E5+F5-D5</f>
        <v>623.57999999999993</v>
      </c>
      <c r="H5" s="36">
        <v>638.71</v>
      </c>
      <c r="I5" s="36">
        <v>663.62</v>
      </c>
    </row>
    <row r="6" spans="1:10" x14ac:dyDescent="0.3">
      <c r="A6" s="28"/>
      <c r="B6" s="28" t="s">
        <v>47</v>
      </c>
      <c r="C6" s="35">
        <v>423.95</v>
      </c>
      <c r="D6" s="35">
        <v>95.14</v>
      </c>
      <c r="E6" s="35">
        <v>410.89</v>
      </c>
      <c r="F6" s="35">
        <v>115.22</v>
      </c>
      <c r="G6" s="39">
        <f t="shared" si="0"/>
        <v>430.97</v>
      </c>
      <c r="H6" s="35"/>
      <c r="I6" s="35"/>
    </row>
    <row r="7" spans="1:10" x14ac:dyDescent="0.3">
      <c r="A7" s="28"/>
      <c r="B7" s="28" t="s">
        <v>48</v>
      </c>
      <c r="C7" s="35">
        <v>100.52</v>
      </c>
      <c r="D7" s="35">
        <v>22.23</v>
      </c>
      <c r="E7" s="35">
        <v>100.21</v>
      </c>
      <c r="F7" s="35">
        <v>26.63</v>
      </c>
      <c r="G7" s="39">
        <f t="shared" si="0"/>
        <v>104.60999999999999</v>
      </c>
      <c r="H7" s="35"/>
      <c r="I7" s="35"/>
    </row>
    <row r="8" spans="1:10" x14ac:dyDescent="0.3">
      <c r="A8" s="28"/>
      <c r="B8" s="28" t="s">
        <v>60</v>
      </c>
      <c r="C8" s="35">
        <v>-24.96</v>
      </c>
      <c r="D8" s="35">
        <v>-3.84</v>
      </c>
      <c r="E8" s="35">
        <v>-31.34</v>
      </c>
      <c r="F8" s="35">
        <v>0.22900000000000001</v>
      </c>
      <c r="G8" s="39">
        <f t="shared" si="0"/>
        <v>-27.271000000000001</v>
      </c>
      <c r="H8" s="35"/>
      <c r="I8" s="35"/>
    </row>
    <row r="9" spans="1:10" x14ac:dyDescent="0.3">
      <c r="A9" s="28"/>
      <c r="B9" s="28" t="s">
        <v>49</v>
      </c>
      <c r="C9" s="35">
        <v>21.51</v>
      </c>
      <c r="D9" s="35">
        <v>5.17</v>
      </c>
      <c r="E9" s="35">
        <v>22.78</v>
      </c>
      <c r="F9" s="35">
        <v>6.91</v>
      </c>
      <c r="G9" s="39">
        <f t="shared" si="0"/>
        <v>24.520000000000003</v>
      </c>
      <c r="H9" s="35"/>
      <c r="I9" s="35"/>
    </row>
    <row r="10" spans="1:10" x14ac:dyDescent="0.3">
      <c r="A10" s="28"/>
      <c r="B10" s="34" t="s">
        <v>69</v>
      </c>
      <c r="C10" s="36">
        <v>89.79</v>
      </c>
      <c r="D10" s="36">
        <v>20.84</v>
      </c>
      <c r="E10" s="36">
        <f>94.28</f>
        <v>94.28</v>
      </c>
      <c r="F10" s="36">
        <v>17.329999999999998</v>
      </c>
      <c r="G10" s="41">
        <f t="shared" si="0"/>
        <v>90.77</v>
      </c>
      <c r="H10" s="36">
        <v>72.44</v>
      </c>
      <c r="I10" s="36">
        <v>90.4</v>
      </c>
    </row>
    <row r="11" spans="1:10" x14ac:dyDescent="0.3">
      <c r="A11" s="28"/>
      <c r="B11" s="34" t="s">
        <v>38</v>
      </c>
      <c r="C11" s="36">
        <f>C10+C7</f>
        <v>190.31</v>
      </c>
      <c r="D11" s="36">
        <f>D10+D7</f>
        <v>43.07</v>
      </c>
      <c r="E11" s="36">
        <f>E10+E7</f>
        <v>194.49</v>
      </c>
      <c r="F11" s="36">
        <f>F10+F7</f>
        <v>43.959999999999994</v>
      </c>
      <c r="G11" s="41">
        <f t="shared" si="0"/>
        <v>195.38</v>
      </c>
      <c r="H11" s="36">
        <v>183.7</v>
      </c>
      <c r="I11" s="36">
        <v>206</v>
      </c>
    </row>
    <row r="12" spans="1:10" x14ac:dyDescent="0.3">
      <c r="A12" s="28"/>
      <c r="B12" s="28" t="s">
        <v>50</v>
      </c>
      <c r="C12" s="35">
        <v>2.13</v>
      </c>
      <c r="D12" s="35">
        <v>1.1499999999999999</v>
      </c>
      <c r="E12" s="35">
        <v>2.9</v>
      </c>
      <c r="F12" s="35">
        <v>0.377</v>
      </c>
      <c r="G12" s="39">
        <f t="shared" si="0"/>
        <v>2.1270000000000002</v>
      </c>
      <c r="H12" s="35"/>
      <c r="I12" s="35"/>
    </row>
    <row r="13" spans="1:10" x14ac:dyDescent="0.3">
      <c r="A13" s="28"/>
      <c r="B13" s="34" t="s">
        <v>59</v>
      </c>
      <c r="C13" s="36">
        <v>91.92</v>
      </c>
      <c r="D13" s="36">
        <v>21.99</v>
      </c>
      <c r="E13" s="36">
        <v>97.18</v>
      </c>
      <c r="F13" s="36">
        <v>17.7</v>
      </c>
      <c r="G13" s="41">
        <f t="shared" si="0"/>
        <v>92.890000000000015</v>
      </c>
      <c r="H13" s="36">
        <v>74.2</v>
      </c>
      <c r="I13" s="36">
        <v>92.7</v>
      </c>
    </row>
    <row r="14" spans="1:10" x14ac:dyDescent="0.3">
      <c r="A14" s="28"/>
      <c r="B14" s="28" t="s">
        <v>52</v>
      </c>
      <c r="C14" s="35">
        <v>19.239999999999998</v>
      </c>
      <c r="D14" s="35">
        <v>4.67</v>
      </c>
      <c r="E14" s="35">
        <v>24.21</v>
      </c>
      <c r="F14" s="35">
        <v>4.47</v>
      </c>
      <c r="G14" s="39">
        <f t="shared" si="0"/>
        <v>24.009999999999998</v>
      </c>
      <c r="H14" s="35"/>
      <c r="I14" s="35"/>
    </row>
    <row r="15" spans="1:10" x14ac:dyDescent="0.3">
      <c r="A15" s="28"/>
      <c r="B15" s="34" t="s">
        <v>53</v>
      </c>
      <c r="C15" s="36">
        <v>72.680000000000007</v>
      </c>
      <c r="D15" s="36">
        <v>17.32</v>
      </c>
      <c r="E15" s="36">
        <v>72.97</v>
      </c>
      <c r="F15" s="36">
        <v>13.24</v>
      </c>
      <c r="G15" s="41">
        <f t="shared" si="0"/>
        <v>68.889999999999986</v>
      </c>
      <c r="H15" s="36">
        <v>55.56</v>
      </c>
      <c r="I15" s="36">
        <v>69.66</v>
      </c>
    </row>
    <row r="16" spans="1:10" x14ac:dyDescent="0.3">
      <c r="A16" s="28"/>
      <c r="B16" s="71"/>
      <c r="C16" s="28"/>
      <c r="D16" s="28"/>
      <c r="E16" s="28"/>
      <c r="F16" s="28"/>
      <c r="G16" s="28"/>
      <c r="H16" s="28"/>
      <c r="I16" s="28"/>
    </row>
    <row r="17" spans="1:11" x14ac:dyDescent="0.3">
      <c r="A17" s="28"/>
      <c r="B17" s="43" t="s">
        <v>87</v>
      </c>
      <c r="C17" s="28"/>
      <c r="D17" s="28"/>
      <c r="E17" s="28"/>
      <c r="F17" s="28"/>
      <c r="G17" s="28"/>
      <c r="H17" s="28"/>
      <c r="I17" s="28"/>
    </row>
    <row r="18" spans="1:11" x14ac:dyDescent="0.3">
      <c r="A18" s="28"/>
    </row>
    <row r="19" spans="1:11" ht="16.2" thickBot="1" x14ac:dyDescent="0.35">
      <c r="A19" s="28"/>
      <c r="B19" s="89" t="s">
        <v>93</v>
      </c>
      <c r="C19" s="3" t="s">
        <v>57</v>
      </c>
      <c r="D19" s="3" t="s">
        <v>58</v>
      </c>
      <c r="E19" s="3" t="s">
        <v>175</v>
      </c>
      <c r="G19" s="128" t="s">
        <v>179</v>
      </c>
      <c r="H19" s="3" t="s">
        <v>180</v>
      </c>
      <c r="I19" s="3" t="s">
        <v>33</v>
      </c>
      <c r="J19" s="3" t="s">
        <v>181</v>
      </c>
      <c r="K19" s="3" t="s">
        <v>34</v>
      </c>
    </row>
    <row r="20" spans="1:11" x14ac:dyDescent="0.3">
      <c r="B20" s="28" t="s">
        <v>94</v>
      </c>
      <c r="C20" s="90">
        <v>176.3</v>
      </c>
      <c r="D20" s="90">
        <v>64.180000000000007</v>
      </c>
      <c r="E20" s="90">
        <f>(C20+D20)/2</f>
        <v>120.24000000000001</v>
      </c>
      <c r="G20" t="s">
        <v>182</v>
      </c>
      <c r="H20" s="6">
        <f>34209/1000</f>
        <v>34.209000000000003</v>
      </c>
      <c r="I20" s="6">
        <f>(163780+61927)/1000</f>
        <v>225.70699999999999</v>
      </c>
      <c r="J20" s="6">
        <f>42092/1000</f>
        <v>42.091999999999999</v>
      </c>
      <c r="K20" s="6">
        <f>I20+J20-H20</f>
        <v>233.58999999999997</v>
      </c>
    </row>
    <row r="21" spans="1:11" x14ac:dyDescent="0.3">
      <c r="B21" s="55" t="s">
        <v>96</v>
      </c>
      <c r="C21" s="92">
        <v>176.3</v>
      </c>
      <c r="D21" s="94">
        <v>64.180000000000007</v>
      </c>
      <c r="E21" s="92">
        <f t="shared" ref="E21:E58" si="1">(C21+D21)/2</f>
        <v>120.24000000000001</v>
      </c>
    </row>
    <row r="22" spans="1:11" x14ac:dyDescent="0.3">
      <c r="B22" s="28" t="s">
        <v>97</v>
      </c>
      <c r="C22" s="91">
        <v>53.28</v>
      </c>
      <c r="D22" s="91">
        <v>65.98</v>
      </c>
      <c r="E22" s="91">
        <f t="shared" si="1"/>
        <v>59.63</v>
      </c>
    </row>
    <row r="23" spans="1:11" x14ac:dyDescent="0.3">
      <c r="B23" s="28" t="s">
        <v>98</v>
      </c>
      <c r="C23" s="91">
        <v>10.52</v>
      </c>
      <c r="D23" s="91">
        <v>8.1</v>
      </c>
      <c r="E23" s="91">
        <f t="shared" si="1"/>
        <v>9.3099999999999987</v>
      </c>
    </row>
    <row r="24" spans="1:11" x14ac:dyDescent="0.3">
      <c r="B24" s="28" t="s">
        <v>99</v>
      </c>
      <c r="C24" s="91">
        <v>13.17</v>
      </c>
      <c r="D24" s="91">
        <v>11</v>
      </c>
      <c r="E24" s="91">
        <f t="shared" si="1"/>
        <v>12.085000000000001</v>
      </c>
    </row>
    <row r="25" spans="1:11" x14ac:dyDescent="0.3">
      <c r="B25" s="55" t="s">
        <v>100</v>
      </c>
      <c r="C25" s="92">
        <v>253.27</v>
      </c>
      <c r="D25" s="92">
        <v>149.26</v>
      </c>
      <c r="E25" s="92">
        <f t="shared" si="1"/>
        <v>201.26499999999999</v>
      </c>
    </row>
    <row r="26" spans="1:11" x14ac:dyDescent="0.3">
      <c r="B26" s="28" t="s">
        <v>101</v>
      </c>
      <c r="C26" s="91">
        <v>410.26</v>
      </c>
      <c r="D26" s="91">
        <v>545.72</v>
      </c>
      <c r="E26" s="91">
        <f t="shared" si="1"/>
        <v>477.99</v>
      </c>
    </row>
    <row r="27" spans="1:11" x14ac:dyDescent="0.3">
      <c r="B27" s="28" t="s">
        <v>102</v>
      </c>
      <c r="C27" s="91">
        <v>132.41</v>
      </c>
      <c r="D27" s="91">
        <v>168.3</v>
      </c>
      <c r="E27" s="91">
        <f t="shared" si="1"/>
        <v>150.35500000000002</v>
      </c>
    </row>
    <row r="28" spans="1:11" x14ac:dyDescent="0.3">
      <c r="B28" s="28" t="s">
        <v>103</v>
      </c>
      <c r="C28" s="91">
        <v>13.89</v>
      </c>
      <c r="D28" s="91">
        <v>26.54</v>
      </c>
      <c r="E28" s="91">
        <f t="shared" si="1"/>
        <v>20.215</v>
      </c>
    </row>
    <row r="29" spans="1:11" x14ac:dyDescent="0.3">
      <c r="B29" s="28" t="s">
        <v>104</v>
      </c>
      <c r="C29" s="91">
        <v>23.1</v>
      </c>
      <c r="D29" s="91">
        <v>23.48</v>
      </c>
      <c r="E29" s="91">
        <f t="shared" si="1"/>
        <v>23.29</v>
      </c>
    </row>
    <row r="30" spans="1:11" x14ac:dyDescent="0.3">
      <c r="B30" s="55" t="s">
        <v>105</v>
      </c>
      <c r="C30" s="92">
        <v>832.94</v>
      </c>
      <c r="D30" s="92">
        <v>913.29</v>
      </c>
      <c r="E30" s="92">
        <f t="shared" si="1"/>
        <v>873.11500000000001</v>
      </c>
    </row>
    <row r="31" spans="1:11" x14ac:dyDescent="0.3">
      <c r="B31" s="28"/>
      <c r="C31" s="1"/>
      <c r="D31" s="1"/>
      <c r="E31" s="1"/>
    </row>
    <row r="32" spans="1:11" x14ac:dyDescent="0.3">
      <c r="B32" s="28" t="s">
        <v>145</v>
      </c>
      <c r="C32" s="90">
        <v>16.59</v>
      </c>
      <c r="D32" s="90">
        <v>18.11</v>
      </c>
      <c r="E32" s="90">
        <f t="shared" si="1"/>
        <v>17.350000000000001</v>
      </c>
    </row>
    <row r="33" spans="2:5" x14ac:dyDescent="0.3">
      <c r="B33" s="28" t="s">
        <v>107</v>
      </c>
      <c r="C33" s="91">
        <v>55.33</v>
      </c>
      <c r="D33" s="91">
        <v>53.61</v>
      </c>
      <c r="E33" s="91">
        <f t="shared" si="1"/>
        <v>54.47</v>
      </c>
    </row>
    <row r="34" spans="2:5" x14ac:dyDescent="0.3">
      <c r="B34" s="28" t="s">
        <v>108</v>
      </c>
      <c r="C34" s="91">
        <v>0</v>
      </c>
      <c r="D34" s="91">
        <v>0</v>
      </c>
      <c r="E34" s="91">
        <f t="shared" si="1"/>
        <v>0</v>
      </c>
    </row>
    <row r="35" spans="2:5" x14ac:dyDescent="0.3">
      <c r="B35" s="28" t="s">
        <v>109</v>
      </c>
      <c r="C35" s="91">
        <v>2.0099999999999998</v>
      </c>
      <c r="D35" s="91">
        <v>0</v>
      </c>
      <c r="E35" s="91">
        <f t="shared" si="1"/>
        <v>1.0049999999999999</v>
      </c>
    </row>
    <row r="36" spans="2:5" x14ac:dyDescent="0.3">
      <c r="B36" s="55" t="s">
        <v>110</v>
      </c>
      <c r="C36" s="92">
        <v>73.930000000000007</v>
      </c>
      <c r="D36" s="92">
        <v>71.72</v>
      </c>
      <c r="E36" s="92">
        <f t="shared" si="1"/>
        <v>72.825000000000003</v>
      </c>
    </row>
    <row r="37" spans="2:5" x14ac:dyDescent="0.3">
      <c r="B37" s="28" t="s">
        <v>111</v>
      </c>
      <c r="C37" s="91">
        <v>0</v>
      </c>
      <c r="D37" s="91">
        <v>0</v>
      </c>
      <c r="E37" s="91">
        <f t="shared" si="1"/>
        <v>0</v>
      </c>
    </row>
    <row r="38" spans="2:5" x14ac:dyDescent="0.3">
      <c r="B38" s="28" t="s">
        <v>112</v>
      </c>
      <c r="C38" s="91">
        <v>73.8</v>
      </c>
      <c r="D38" s="91">
        <v>100.53</v>
      </c>
      <c r="E38" s="91">
        <f t="shared" si="1"/>
        <v>87.164999999999992</v>
      </c>
    </row>
    <row r="39" spans="2:5" x14ac:dyDescent="0.3">
      <c r="B39" s="28" t="s">
        <v>113</v>
      </c>
      <c r="C39" s="91">
        <v>53.38</v>
      </c>
      <c r="D39" s="91">
        <v>56.35</v>
      </c>
      <c r="E39" s="91">
        <f t="shared" si="1"/>
        <v>54.865000000000002</v>
      </c>
    </row>
    <row r="40" spans="2:5" x14ac:dyDescent="0.3">
      <c r="B40" s="55" t="s">
        <v>114</v>
      </c>
      <c r="C40" s="92">
        <v>201.11</v>
      </c>
      <c r="D40" s="92">
        <v>228.6</v>
      </c>
      <c r="E40" s="92">
        <f t="shared" si="1"/>
        <v>214.85500000000002</v>
      </c>
    </row>
    <row r="41" spans="2:5" x14ac:dyDescent="0.3">
      <c r="B41" s="28"/>
      <c r="C41" s="1"/>
      <c r="D41" s="1"/>
      <c r="E41" s="1"/>
    </row>
    <row r="42" spans="2:5" x14ac:dyDescent="0.3">
      <c r="B42" s="28" t="s">
        <v>115</v>
      </c>
      <c r="C42" s="90">
        <v>0.90700000000000003</v>
      </c>
      <c r="D42" s="90">
        <v>0.90700000000000003</v>
      </c>
      <c r="E42" s="90">
        <f t="shared" si="1"/>
        <v>0.90700000000000003</v>
      </c>
    </row>
    <row r="43" spans="2:5" x14ac:dyDescent="0.3">
      <c r="B43" s="28" t="s">
        <v>116</v>
      </c>
      <c r="C43" s="91">
        <v>3.42</v>
      </c>
      <c r="D43" s="91">
        <v>4.43</v>
      </c>
      <c r="E43" s="91">
        <f t="shared" si="1"/>
        <v>3.9249999999999998</v>
      </c>
    </row>
    <row r="44" spans="2:5" x14ac:dyDescent="0.3">
      <c r="B44" s="28" t="s">
        <v>117</v>
      </c>
      <c r="C44" s="91">
        <v>775.94</v>
      </c>
      <c r="D44" s="91">
        <v>838.28</v>
      </c>
      <c r="E44" s="91">
        <f t="shared" si="1"/>
        <v>807.11</v>
      </c>
    </row>
    <row r="45" spans="2:5" x14ac:dyDescent="0.3">
      <c r="B45" s="28" t="s">
        <v>118</v>
      </c>
      <c r="C45" s="91">
        <v>-148.44</v>
      </c>
      <c r="D45" s="91">
        <v>-158.93</v>
      </c>
      <c r="E45" s="91">
        <f t="shared" si="1"/>
        <v>-153.685</v>
      </c>
    </row>
    <row r="46" spans="2:5" x14ac:dyDescent="0.3">
      <c r="B46" s="28" t="s">
        <v>119</v>
      </c>
      <c r="C46" s="91">
        <v>0</v>
      </c>
      <c r="D46" s="91">
        <v>0</v>
      </c>
      <c r="E46" s="91">
        <f t="shared" si="1"/>
        <v>0</v>
      </c>
    </row>
    <row r="47" spans="2:5" x14ac:dyDescent="0.3">
      <c r="B47" s="28" t="s">
        <v>120</v>
      </c>
      <c r="C47" s="91">
        <v>0</v>
      </c>
      <c r="D47" s="91">
        <v>0</v>
      </c>
      <c r="E47" s="91">
        <f t="shared" si="1"/>
        <v>0</v>
      </c>
    </row>
    <row r="48" spans="2:5" x14ac:dyDescent="0.3">
      <c r="B48" s="55" t="s">
        <v>121</v>
      </c>
      <c r="C48" s="92">
        <v>631.83000000000004</v>
      </c>
      <c r="D48" s="92">
        <v>684.69</v>
      </c>
      <c r="E48" s="92">
        <f t="shared" si="1"/>
        <v>658.26</v>
      </c>
    </row>
    <row r="49" spans="2:5" x14ac:dyDescent="0.3">
      <c r="B49" s="55" t="s">
        <v>122</v>
      </c>
      <c r="C49" s="92">
        <v>832.94</v>
      </c>
      <c r="D49" s="92">
        <v>913.29</v>
      </c>
      <c r="E49" s="92">
        <f t="shared" si="1"/>
        <v>873.11500000000001</v>
      </c>
    </row>
    <row r="50" spans="2:5" x14ac:dyDescent="0.3">
      <c r="B50" s="28"/>
      <c r="C50" s="1"/>
      <c r="D50" s="1"/>
      <c r="E50" s="91"/>
    </row>
    <row r="51" spans="2:5" x14ac:dyDescent="0.3">
      <c r="B51" s="28" t="s">
        <v>123</v>
      </c>
      <c r="C51" s="91">
        <v>81.94</v>
      </c>
      <c r="D51" s="91">
        <v>81.349999999999994</v>
      </c>
      <c r="E51" s="91">
        <f t="shared" si="1"/>
        <v>81.644999999999996</v>
      </c>
    </row>
    <row r="52" spans="2:5" x14ac:dyDescent="0.3">
      <c r="B52" s="28" t="s">
        <v>124</v>
      </c>
      <c r="C52" s="91">
        <v>5.93</v>
      </c>
      <c r="D52" s="91">
        <v>6.02</v>
      </c>
      <c r="E52" s="91">
        <f t="shared" si="1"/>
        <v>5.9749999999999996</v>
      </c>
    </row>
    <row r="53" spans="2:5" x14ac:dyDescent="0.3">
      <c r="B53" s="28"/>
      <c r="C53" s="1"/>
      <c r="D53" s="1"/>
      <c r="E53" s="91"/>
    </row>
    <row r="54" spans="2:5" x14ac:dyDescent="0.3">
      <c r="B54" s="28" t="s">
        <v>125</v>
      </c>
      <c r="C54" s="91">
        <v>53.28</v>
      </c>
      <c r="D54" s="91">
        <v>62.85</v>
      </c>
      <c r="E54" s="91">
        <f t="shared" si="1"/>
        <v>58.064999999999998</v>
      </c>
    </row>
    <row r="55" spans="2:5" x14ac:dyDescent="0.3">
      <c r="B55" s="28" t="s">
        <v>126</v>
      </c>
      <c r="C55" s="91">
        <v>621.77</v>
      </c>
      <c r="D55" s="91">
        <v>784.24</v>
      </c>
      <c r="E55" s="91">
        <f t="shared" si="1"/>
        <v>703.005</v>
      </c>
    </row>
    <row r="56" spans="2:5" x14ac:dyDescent="0.3">
      <c r="B56" s="28" t="s">
        <v>127</v>
      </c>
      <c r="C56" s="91">
        <v>-211.52</v>
      </c>
      <c r="D56" s="91">
        <v>-238.52</v>
      </c>
      <c r="E56" s="91">
        <f t="shared" si="1"/>
        <v>-225.02</v>
      </c>
    </row>
    <row r="57" spans="2:5" x14ac:dyDescent="0.3">
      <c r="B57" s="28" t="s">
        <v>128</v>
      </c>
      <c r="C57" s="91">
        <v>0</v>
      </c>
      <c r="D57" s="91">
        <v>0</v>
      </c>
      <c r="E57" s="91">
        <f t="shared" si="1"/>
        <v>0</v>
      </c>
    </row>
    <row r="58" spans="2:5" x14ac:dyDescent="0.3">
      <c r="B58" s="28" t="s">
        <v>30</v>
      </c>
      <c r="C58" s="91">
        <v>0</v>
      </c>
      <c r="D58" s="91">
        <v>0</v>
      </c>
      <c r="E58" s="91">
        <f t="shared" si="1"/>
        <v>0</v>
      </c>
    </row>
    <row r="59" spans="2:5" x14ac:dyDescent="0.3">
      <c r="B59" s="55" t="s">
        <v>176</v>
      </c>
      <c r="C59" s="119">
        <f>C40-C21</f>
        <v>24.810000000000002</v>
      </c>
      <c r="D59" s="119">
        <f t="shared" ref="D59:E59" si="2">D40-D21</f>
        <v>164.42</v>
      </c>
      <c r="E59" s="119">
        <f t="shared" si="2"/>
        <v>94.615000000000009</v>
      </c>
    </row>
    <row r="61" spans="2:5" x14ac:dyDescent="0.3">
      <c r="B61" s="55" t="s">
        <v>178</v>
      </c>
      <c r="C61" s="60">
        <f>C40/(C40+C48)</f>
        <v>0.24144596249429731</v>
      </c>
      <c r="D61" s="60">
        <f t="shared" ref="D61:E61" si="3">D40/(D40+D48)</f>
        <v>0.25030384653286469</v>
      </c>
      <c r="E61" s="60">
        <f t="shared" si="3"/>
        <v>0.24607869524633069</v>
      </c>
    </row>
  </sheetData>
  <hyperlinks>
    <hyperlink ref="A1" location="Homepage!A1" display="H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62"/>
  <sheetViews>
    <sheetView showGridLines="0" workbookViewId="0">
      <selection activeCell="B13" sqref="B13"/>
    </sheetView>
  </sheetViews>
  <sheetFormatPr baseColWidth="10" defaultRowHeight="14.4" x14ac:dyDescent="0.3"/>
  <cols>
    <col min="1" max="1" width="6.21875" customWidth="1"/>
    <col min="2" max="2" width="36.5546875" customWidth="1"/>
    <col min="3" max="6" width="17.88671875" customWidth="1"/>
    <col min="7" max="7" width="20.5546875" customWidth="1"/>
    <col min="8" max="9" width="17.88671875" customWidth="1"/>
  </cols>
  <sheetData>
    <row r="1" spans="1:11" ht="18" x14ac:dyDescent="0.3">
      <c r="A1" s="153" t="s">
        <v>248</v>
      </c>
      <c r="B1" s="23" t="s">
        <v>56</v>
      </c>
      <c r="C1" s="1"/>
      <c r="D1" s="1"/>
      <c r="E1" s="1"/>
      <c r="F1" s="1"/>
      <c r="G1" s="1"/>
      <c r="H1" s="1"/>
      <c r="I1" s="1"/>
      <c r="J1" s="1"/>
      <c r="K1" s="46"/>
    </row>
    <row r="2" spans="1:11" x14ac:dyDescent="0.3">
      <c r="A2" s="1"/>
      <c r="B2" s="24"/>
      <c r="C2" s="25"/>
      <c r="D2" s="25"/>
      <c r="E2" s="20"/>
      <c r="F2" s="20"/>
      <c r="G2" s="2"/>
      <c r="H2" s="20"/>
      <c r="I2" s="2"/>
      <c r="J2" s="46"/>
    </row>
    <row r="3" spans="1:11" ht="18" x14ac:dyDescent="0.3">
      <c r="A3" s="1"/>
      <c r="B3" s="26" t="s">
        <v>41</v>
      </c>
      <c r="C3" s="30" t="s">
        <v>32</v>
      </c>
      <c r="D3" s="33" t="s">
        <v>57</v>
      </c>
      <c r="E3" s="31" t="s">
        <v>33</v>
      </c>
      <c r="F3" s="33" t="s">
        <v>58</v>
      </c>
      <c r="G3" s="47" t="s">
        <v>34</v>
      </c>
      <c r="H3" s="31" t="s">
        <v>35</v>
      </c>
      <c r="I3" s="32" t="s">
        <v>36</v>
      </c>
      <c r="J3" s="46"/>
    </row>
    <row r="4" spans="1:11" x14ac:dyDescent="0.3">
      <c r="A4" s="28"/>
      <c r="B4" s="28" t="s">
        <v>37</v>
      </c>
      <c r="C4" s="35">
        <v>787.59</v>
      </c>
      <c r="D4" s="35">
        <v>199.02</v>
      </c>
      <c r="E4" s="35">
        <v>843.27</v>
      </c>
      <c r="F4" s="35">
        <v>218.65</v>
      </c>
      <c r="G4" s="39">
        <f>E4+F4-D4</f>
        <v>862.90000000000009</v>
      </c>
      <c r="H4" s="35">
        <v>856.18</v>
      </c>
      <c r="I4" s="35">
        <v>905.55</v>
      </c>
      <c r="J4" s="46"/>
    </row>
    <row r="5" spans="1:11" x14ac:dyDescent="0.3">
      <c r="A5" s="28"/>
      <c r="B5" s="34" t="s">
        <v>44</v>
      </c>
      <c r="C5" s="36">
        <v>787.59</v>
      </c>
      <c r="D5" s="36">
        <v>199.02</v>
      </c>
      <c r="E5" s="36">
        <v>843.27</v>
      </c>
      <c r="F5" s="36">
        <v>218.65</v>
      </c>
      <c r="G5" s="41">
        <f t="shared" ref="G5:G17" si="0">E5+F5-D5</f>
        <v>862.90000000000009</v>
      </c>
      <c r="H5" s="36">
        <v>856.18</v>
      </c>
      <c r="I5" s="36">
        <v>905.55</v>
      </c>
      <c r="J5" s="46"/>
    </row>
    <row r="6" spans="1:11" x14ac:dyDescent="0.3">
      <c r="A6" s="28"/>
      <c r="B6" s="28" t="s">
        <v>45</v>
      </c>
      <c r="C6" s="35">
        <v>518.29</v>
      </c>
      <c r="D6" s="35">
        <v>129.44999999999999</v>
      </c>
      <c r="E6" s="35">
        <v>554.45000000000005</v>
      </c>
      <c r="F6" s="35">
        <v>141.5</v>
      </c>
      <c r="G6" s="39">
        <f t="shared" si="0"/>
        <v>566.5</v>
      </c>
      <c r="H6" s="35"/>
      <c r="I6" s="35"/>
      <c r="J6" s="46"/>
    </row>
    <row r="7" spans="1:11" x14ac:dyDescent="0.3">
      <c r="A7" s="28"/>
      <c r="B7" s="34" t="s">
        <v>46</v>
      </c>
      <c r="C7" s="36">
        <v>269.3</v>
      </c>
      <c r="D7" s="36">
        <v>69.569999999999993</v>
      </c>
      <c r="E7" s="36">
        <v>288.83</v>
      </c>
      <c r="F7" s="36">
        <v>77.14</v>
      </c>
      <c r="G7" s="41">
        <f t="shared" si="0"/>
        <v>296.39999999999998</v>
      </c>
      <c r="H7" s="36"/>
      <c r="I7" s="36"/>
      <c r="J7" s="46"/>
    </row>
    <row r="8" spans="1:11" x14ac:dyDescent="0.3">
      <c r="A8" s="28"/>
      <c r="B8" s="28" t="s">
        <v>47</v>
      </c>
      <c r="C8" s="35">
        <v>95.62</v>
      </c>
      <c r="D8" s="35">
        <v>25.28</v>
      </c>
      <c r="E8" s="35">
        <v>102.75</v>
      </c>
      <c r="F8" s="35">
        <v>29.14</v>
      </c>
      <c r="G8" s="39">
        <f t="shared" si="0"/>
        <v>106.60999999999999</v>
      </c>
      <c r="H8" s="35"/>
      <c r="I8" s="35"/>
      <c r="J8" s="46"/>
    </row>
    <row r="9" spans="1:11" x14ac:dyDescent="0.3">
      <c r="A9" s="28"/>
      <c r="B9" s="28" t="s">
        <v>48</v>
      </c>
      <c r="C9" s="35">
        <v>88.59</v>
      </c>
      <c r="D9" s="35">
        <v>22.54</v>
      </c>
      <c r="E9" s="35">
        <v>95.14</v>
      </c>
      <c r="F9" s="35">
        <v>25.43</v>
      </c>
      <c r="G9" s="39">
        <f t="shared" si="0"/>
        <v>98.03</v>
      </c>
      <c r="H9" s="35"/>
      <c r="I9" s="35"/>
      <c r="J9" s="46"/>
    </row>
    <row r="10" spans="1:11" x14ac:dyDescent="0.3">
      <c r="A10" s="28"/>
      <c r="B10" s="28" t="s">
        <v>60</v>
      </c>
      <c r="C10" s="35">
        <v>-7.24</v>
      </c>
      <c r="D10" s="35">
        <v>-1.55</v>
      </c>
      <c r="E10" s="35">
        <v>-8.68</v>
      </c>
      <c r="F10" s="35">
        <v>-1.56</v>
      </c>
      <c r="G10" s="39">
        <f t="shared" si="0"/>
        <v>-8.69</v>
      </c>
      <c r="H10" s="35"/>
      <c r="I10" s="35"/>
      <c r="J10" s="46"/>
    </row>
    <row r="11" spans="1:11" x14ac:dyDescent="0.3">
      <c r="A11" s="28"/>
      <c r="B11" s="28" t="s">
        <v>49</v>
      </c>
      <c r="C11" s="35">
        <v>22</v>
      </c>
      <c r="D11" s="35">
        <v>5.57</v>
      </c>
      <c r="E11" s="35">
        <v>23.12</v>
      </c>
      <c r="F11" s="35">
        <v>6.1</v>
      </c>
      <c r="G11" s="39">
        <f t="shared" si="0"/>
        <v>23.65</v>
      </c>
      <c r="H11" s="35"/>
      <c r="I11" s="35"/>
      <c r="J11" s="46"/>
    </row>
    <row r="12" spans="1:11" x14ac:dyDescent="0.3">
      <c r="A12" s="28"/>
      <c r="B12" s="34" t="s">
        <v>69</v>
      </c>
      <c r="C12" s="36">
        <v>70.349999999999994</v>
      </c>
      <c r="D12" s="36">
        <v>17.73</v>
      </c>
      <c r="E12" s="36">
        <v>76.5</v>
      </c>
      <c r="F12" s="36">
        <v>18.03</v>
      </c>
      <c r="G12" s="41">
        <f t="shared" si="0"/>
        <v>76.8</v>
      </c>
      <c r="H12" s="36">
        <v>71.78</v>
      </c>
      <c r="I12" s="36">
        <v>84.13</v>
      </c>
      <c r="J12" s="46"/>
    </row>
    <row r="13" spans="1:11" x14ac:dyDescent="0.3">
      <c r="A13" s="28"/>
      <c r="B13" s="34" t="s">
        <v>38</v>
      </c>
      <c r="C13" s="36">
        <f>C12+C9</f>
        <v>158.94</v>
      </c>
      <c r="D13" s="36">
        <f>D12+D9</f>
        <v>40.269999999999996</v>
      </c>
      <c r="E13" s="36">
        <f>E12+E9</f>
        <v>171.64</v>
      </c>
      <c r="F13" s="36">
        <f>F12+F9</f>
        <v>43.46</v>
      </c>
      <c r="G13" s="41">
        <f t="shared" si="0"/>
        <v>174.82999999999998</v>
      </c>
      <c r="H13" s="36">
        <v>174.08</v>
      </c>
      <c r="I13" s="36">
        <v>190.75</v>
      </c>
      <c r="J13" s="46"/>
    </row>
    <row r="14" spans="1:11" x14ac:dyDescent="0.3">
      <c r="A14" s="28"/>
      <c r="B14" s="28" t="s">
        <v>51</v>
      </c>
      <c r="C14" s="35">
        <v>0.68100000000000005</v>
      </c>
      <c r="D14" s="35">
        <v>0.27800000000000002</v>
      </c>
      <c r="E14" s="35">
        <v>1.19</v>
      </c>
      <c r="F14" s="35">
        <v>9.7000000000000003E-2</v>
      </c>
      <c r="G14" s="39">
        <f t="shared" si="0"/>
        <v>1.0089999999999999</v>
      </c>
      <c r="H14" s="35"/>
      <c r="I14" s="35"/>
      <c r="J14" s="46"/>
    </row>
    <row r="15" spans="1:11" x14ac:dyDescent="0.3">
      <c r="A15" s="28"/>
      <c r="B15" s="34" t="s">
        <v>59</v>
      </c>
      <c r="C15" s="36">
        <v>71.03</v>
      </c>
      <c r="D15" s="36">
        <v>18.010000000000002</v>
      </c>
      <c r="E15" s="36">
        <v>77.69</v>
      </c>
      <c r="F15" s="36">
        <v>18.13</v>
      </c>
      <c r="G15" s="41">
        <f t="shared" si="0"/>
        <v>77.809999999999988</v>
      </c>
      <c r="H15" s="36">
        <v>73.7</v>
      </c>
      <c r="I15" s="36">
        <v>86.5</v>
      </c>
      <c r="J15" s="46"/>
    </row>
    <row r="16" spans="1:11" x14ac:dyDescent="0.3">
      <c r="A16" s="28"/>
      <c r="B16" s="28" t="s">
        <v>52</v>
      </c>
      <c r="C16" s="35">
        <v>16</v>
      </c>
      <c r="D16" s="35">
        <v>4.47</v>
      </c>
      <c r="E16" s="35">
        <v>16.62</v>
      </c>
      <c r="F16" s="35">
        <v>4.41</v>
      </c>
      <c r="G16" s="39">
        <f t="shared" si="0"/>
        <v>16.560000000000002</v>
      </c>
      <c r="H16" s="45"/>
      <c r="I16" s="35"/>
      <c r="J16" s="46"/>
    </row>
    <row r="17" spans="1:11" x14ac:dyDescent="0.3">
      <c r="A17" s="28"/>
      <c r="B17" s="34" t="s">
        <v>53</v>
      </c>
      <c r="C17" s="36">
        <v>55.03</v>
      </c>
      <c r="D17" s="36">
        <v>13.55</v>
      </c>
      <c r="E17" s="36">
        <v>61.07</v>
      </c>
      <c r="F17" s="36">
        <v>13.72</v>
      </c>
      <c r="G17" s="41">
        <f t="shared" si="0"/>
        <v>61.240000000000009</v>
      </c>
      <c r="H17" s="36">
        <v>55.37</v>
      </c>
      <c r="I17" s="36">
        <v>65.400000000000006</v>
      </c>
      <c r="J17" s="46"/>
    </row>
    <row r="18" spans="1:11" x14ac:dyDescent="0.3">
      <c r="A18" s="28"/>
      <c r="B18" s="71"/>
      <c r="C18" s="28"/>
      <c r="D18" s="28"/>
      <c r="E18" s="28"/>
      <c r="F18" s="28"/>
      <c r="G18" s="28"/>
      <c r="H18" s="28"/>
      <c r="I18" s="28"/>
      <c r="J18" s="46"/>
    </row>
    <row r="19" spans="1:11" x14ac:dyDescent="0.3">
      <c r="A19" s="28"/>
      <c r="B19" s="43" t="s">
        <v>87</v>
      </c>
      <c r="C19" s="28"/>
      <c r="D19" s="28"/>
      <c r="E19" s="28"/>
      <c r="F19" s="28"/>
      <c r="G19" s="28"/>
      <c r="H19" s="28"/>
      <c r="I19" s="28"/>
      <c r="J19" s="46"/>
    </row>
    <row r="22" spans="1:11" ht="16.2" thickBot="1" x14ac:dyDescent="0.35">
      <c r="B22" s="89" t="s">
        <v>93</v>
      </c>
      <c r="C22" s="3" t="s">
        <v>57</v>
      </c>
      <c r="D22" s="3" t="s">
        <v>58</v>
      </c>
      <c r="E22" s="3" t="s">
        <v>175</v>
      </c>
      <c r="G22" s="128" t="s">
        <v>179</v>
      </c>
      <c r="H22" s="3" t="s">
        <v>180</v>
      </c>
      <c r="I22" s="3" t="s">
        <v>33</v>
      </c>
      <c r="J22" s="3" t="s">
        <v>181</v>
      </c>
      <c r="K22" s="3" t="s">
        <v>34</v>
      </c>
    </row>
    <row r="23" spans="1:11" x14ac:dyDescent="0.3">
      <c r="B23" s="28" t="s">
        <v>94</v>
      </c>
      <c r="C23" s="90">
        <v>85.53</v>
      </c>
      <c r="D23" s="90">
        <v>36.14</v>
      </c>
      <c r="E23" s="90">
        <f>(C23+D23)/2</f>
        <v>60.835000000000001</v>
      </c>
      <c r="G23" t="s">
        <v>182</v>
      </c>
      <c r="H23" s="6">
        <f>(13159+1256)/1000</f>
        <v>14.414999999999999</v>
      </c>
      <c r="I23" s="6">
        <f>(184680+4723)/1000</f>
        <v>189.40299999999999</v>
      </c>
      <c r="J23" s="6">
        <f>(44086+1966)/1000</f>
        <v>46.052</v>
      </c>
      <c r="K23" s="6">
        <f>I23+J23-H23</f>
        <v>221.04</v>
      </c>
    </row>
    <row r="24" spans="1:11" x14ac:dyDescent="0.3">
      <c r="B24" s="55" t="s">
        <v>96</v>
      </c>
      <c r="C24" s="92">
        <v>85.53</v>
      </c>
      <c r="D24" s="92">
        <v>36.14</v>
      </c>
      <c r="E24" s="92">
        <f t="shared" ref="E24:E51" si="1">(C24+D24)/2</f>
        <v>60.835000000000001</v>
      </c>
    </row>
    <row r="25" spans="1:11" x14ac:dyDescent="0.3">
      <c r="B25" s="104" t="s">
        <v>97</v>
      </c>
      <c r="C25" s="106">
        <v>89.72</v>
      </c>
      <c r="D25" s="105">
        <v>104.35</v>
      </c>
      <c r="E25" s="91">
        <f t="shared" si="1"/>
        <v>97.034999999999997</v>
      </c>
    </row>
    <row r="26" spans="1:11" x14ac:dyDescent="0.3">
      <c r="B26" s="28" t="s">
        <v>98</v>
      </c>
      <c r="C26" s="91">
        <v>18.03</v>
      </c>
      <c r="D26" s="91">
        <v>19.059999999999999</v>
      </c>
      <c r="E26" s="91">
        <f t="shared" si="1"/>
        <v>18.545000000000002</v>
      </c>
    </row>
    <row r="27" spans="1:11" x14ac:dyDescent="0.3">
      <c r="B27" s="55" t="s">
        <v>100</v>
      </c>
      <c r="C27" s="92">
        <v>193.27</v>
      </c>
      <c r="D27" s="92">
        <v>159.55000000000001</v>
      </c>
      <c r="E27" s="92">
        <f t="shared" si="1"/>
        <v>176.41000000000003</v>
      </c>
    </row>
    <row r="28" spans="1:11" x14ac:dyDescent="0.3">
      <c r="B28" s="28" t="s">
        <v>101</v>
      </c>
      <c r="C28" s="91">
        <v>578.15</v>
      </c>
      <c r="D28" s="91">
        <v>663.34</v>
      </c>
      <c r="E28" s="91">
        <f t="shared" si="1"/>
        <v>620.745</v>
      </c>
    </row>
    <row r="29" spans="1:11" x14ac:dyDescent="0.3">
      <c r="B29" s="104" t="s">
        <v>104</v>
      </c>
      <c r="C29" s="106">
        <v>3.11</v>
      </c>
      <c r="D29" s="106">
        <v>2.0299999999999998</v>
      </c>
      <c r="E29" s="91">
        <f t="shared" si="1"/>
        <v>2.57</v>
      </c>
    </row>
    <row r="30" spans="1:11" x14ac:dyDescent="0.3">
      <c r="B30" s="55" t="s">
        <v>105</v>
      </c>
      <c r="C30" s="92">
        <v>774.53</v>
      </c>
      <c r="D30" s="92">
        <v>824.92</v>
      </c>
      <c r="E30" s="92">
        <f t="shared" si="1"/>
        <v>799.72499999999991</v>
      </c>
    </row>
    <row r="31" spans="1:11" x14ac:dyDescent="0.3">
      <c r="B31" s="28"/>
      <c r="C31" s="91"/>
      <c r="D31" s="91"/>
      <c r="E31" s="1"/>
    </row>
    <row r="32" spans="1:11" x14ac:dyDescent="0.3">
      <c r="B32" s="28" t="s">
        <v>106</v>
      </c>
      <c r="C32" s="90">
        <v>18.510000000000002</v>
      </c>
      <c r="D32" s="90">
        <v>34.82</v>
      </c>
      <c r="E32" s="90">
        <f t="shared" si="1"/>
        <v>26.664999999999999</v>
      </c>
    </row>
    <row r="33" spans="2:5" x14ac:dyDescent="0.3">
      <c r="B33" s="28" t="s">
        <v>107</v>
      </c>
      <c r="C33" s="91">
        <v>31.65</v>
      </c>
      <c r="D33" s="91">
        <v>21.88</v>
      </c>
      <c r="E33" s="91">
        <f t="shared" si="1"/>
        <v>26.765000000000001</v>
      </c>
    </row>
    <row r="34" spans="2:5" x14ac:dyDescent="0.3">
      <c r="B34" s="104" t="s">
        <v>109</v>
      </c>
      <c r="C34" s="106">
        <v>29.38</v>
      </c>
      <c r="D34" s="106">
        <v>34.42</v>
      </c>
      <c r="E34" s="91">
        <f t="shared" si="1"/>
        <v>31.9</v>
      </c>
    </row>
    <row r="35" spans="2:5" x14ac:dyDescent="0.3">
      <c r="B35" s="55" t="s">
        <v>110</v>
      </c>
      <c r="C35" s="92">
        <v>79.540000000000006</v>
      </c>
      <c r="D35" s="92">
        <v>91.13</v>
      </c>
      <c r="E35" s="92">
        <f t="shared" si="1"/>
        <v>85.335000000000008</v>
      </c>
    </row>
    <row r="36" spans="2:5" x14ac:dyDescent="0.3">
      <c r="B36" s="28" t="s">
        <v>112</v>
      </c>
      <c r="C36" s="90">
        <v>106.8</v>
      </c>
      <c r="D36" s="91">
        <v>123.79</v>
      </c>
      <c r="E36" s="91">
        <f t="shared" si="1"/>
        <v>115.295</v>
      </c>
    </row>
    <row r="37" spans="2:5" x14ac:dyDescent="0.3">
      <c r="B37" s="28" t="s">
        <v>113</v>
      </c>
      <c r="C37" s="91">
        <v>0.45200000000000001</v>
      </c>
      <c r="D37" s="91">
        <v>0.622</v>
      </c>
      <c r="E37" s="91">
        <f t="shared" si="1"/>
        <v>0.53700000000000003</v>
      </c>
    </row>
    <row r="38" spans="2:5" x14ac:dyDescent="0.3">
      <c r="B38" s="55" t="s">
        <v>114</v>
      </c>
      <c r="C38" s="92">
        <v>186.79</v>
      </c>
      <c r="D38" s="92">
        <v>215.54</v>
      </c>
      <c r="E38" s="92">
        <f t="shared" si="1"/>
        <v>201.16499999999999</v>
      </c>
    </row>
    <row r="39" spans="2:5" x14ac:dyDescent="0.3">
      <c r="B39" s="28"/>
      <c r="C39" s="91"/>
      <c r="D39" s="91"/>
      <c r="E39" s="1"/>
    </row>
    <row r="40" spans="2:5" x14ac:dyDescent="0.3">
      <c r="B40" s="104" t="s">
        <v>115</v>
      </c>
      <c r="C40" s="64">
        <v>0.54600000000000004</v>
      </c>
      <c r="D40" s="64">
        <v>0.54800000000000004</v>
      </c>
      <c r="E40" s="90">
        <f t="shared" si="1"/>
        <v>0.54700000000000004</v>
      </c>
    </row>
    <row r="41" spans="2:5" x14ac:dyDescent="0.3">
      <c r="B41" s="28" t="s">
        <v>116</v>
      </c>
      <c r="C41" s="91">
        <v>76.69</v>
      </c>
      <c r="D41" s="91">
        <v>79.73</v>
      </c>
      <c r="E41" s="91">
        <f t="shared" si="1"/>
        <v>78.210000000000008</v>
      </c>
    </row>
    <row r="42" spans="2:5" x14ac:dyDescent="0.3">
      <c r="B42" s="28" t="s">
        <v>117</v>
      </c>
      <c r="C42" s="91">
        <v>510.5</v>
      </c>
      <c r="D42" s="91">
        <v>529.1</v>
      </c>
      <c r="E42" s="91">
        <f t="shared" si="1"/>
        <v>519.79999999999995</v>
      </c>
    </row>
    <row r="43" spans="2:5" x14ac:dyDescent="0.3">
      <c r="B43" s="55" t="s">
        <v>121</v>
      </c>
      <c r="C43" s="92">
        <v>587.74</v>
      </c>
      <c r="D43" s="92">
        <v>609.38</v>
      </c>
      <c r="E43" s="92">
        <f t="shared" si="1"/>
        <v>598.55999999999995</v>
      </c>
    </row>
    <row r="44" spans="2:5" x14ac:dyDescent="0.3">
      <c r="B44" s="55" t="s">
        <v>122</v>
      </c>
      <c r="C44" s="92">
        <v>774.53</v>
      </c>
      <c r="D44" s="92">
        <v>824.92</v>
      </c>
      <c r="E44" s="92">
        <f t="shared" si="1"/>
        <v>799.72499999999991</v>
      </c>
    </row>
    <row r="45" spans="2:5" x14ac:dyDescent="0.3">
      <c r="B45" s="28"/>
      <c r="C45" s="1"/>
      <c r="D45" s="1"/>
      <c r="E45" s="91"/>
    </row>
    <row r="46" spans="2:5" x14ac:dyDescent="0.3">
      <c r="B46" s="28" t="s">
        <v>123</v>
      </c>
      <c r="C46" s="91">
        <v>54.57</v>
      </c>
      <c r="D46" s="91">
        <v>54.84</v>
      </c>
      <c r="E46" s="91">
        <f t="shared" si="1"/>
        <v>54.704999999999998</v>
      </c>
    </row>
    <row r="47" spans="2:5" x14ac:dyDescent="0.3">
      <c r="B47" s="28" t="s">
        <v>124</v>
      </c>
      <c r="C47" s="91">
        <v>10.77</v>
      </c>
      <c r="D47" s="91">
        <v>11.11</v>
      </c>
      <c r="E47" s="91">
        <f t="shared" si="1"/>
        <v>10.94</v>
      </c>
    </row>
    <row r="48" spans="2:5" x14ac:dyDescent="0.3">
      <c r="B48" s="28"/>
      <c r="C48" s="91"/>
      <c r="D48" s="91"/>
      <c r="E48" s="91"/>
    </row>
    <row r="49" spans="2:5" x14ac:dyDescent="0.3">
      <c r="B49" s="28" t="s">
        <v>125</v>
      </c>
      <c r="C49" s="91">
        <v>84.44</v>
      </c>
      <c r="D49" s="91">
        <v>94.28</v>
      </c>
      <c r="E49" s="91">
        <f t="shared" si="1"/>
        <v>89.36</v>
      </c>
    </row>
    <row r="50" spans="2:5" x14ac:dyDescent="0.3">
      <c r="B50" s="28" t="s">
        <v>126</v>
      </c>
      <c r="C50" s="91">
        <v>819.81</v>
      </c>
      <c r="D50" s="91">
        <v>937.39</v>
      </c>
      <c r="E50" s="91">
        <f t="shared" si="1"/>
        <v>878.59999999999991</v>
      </c>
    </row>
    <row r="51" spans="2:5" x14ac:dyDescent="0.3">
      <c r="B51" s="28" t="s">
        <v>127</v>
      </c>
      <c r="C51" s="91">
        <v>-241.66</v>
      </c>
      <c r="D51" s="91">
        <v>-274.05</v>
      </c>
      <c r="E51" s="91">
        <f t="shared" si="1"/>
        <v>-257.85500000000002</v>
      </c>
    </row>
    <row r="52" spans="2:5" x14ac:dyDescent="0.3">
      <c r="B52" s="55"/>
      <c r="C52" s="92"/>
      <c r="D52" s="92"/>
    </row>
    <row r="53" spans="2:5" x14ac:dyDescent="0.3">
      <c r="B53" s="55" t="s">
        <v>30</v>
      </c>
      <c r="C53" s="92">
        <v>0</v>
      </c>
      <c r="D53" s="92">
        <v>0</v>
      </c>
      <c r="E53" s="91">
        <f>(C53+D53)/2</f>
        <v>0</v>
      </c>
    </row>
    <row r="54" spans="2:5" x14ac:dyDescent="0.3">
      <c r="B54" s="55" t="s">
        <v>176</v>
      </c>
      <c r="C54" s="120">
        <f>C38-C24</f>
        <v>101.25999999999999</v>
      </c>
      <c r="D54" s="120">
        <f t="shared" ref="D54:E54" si="2">D38-D24</f>
        <v>179.39999999999998</v>
      </c>
      <c r="E54" s="120">
        <f t="shared" si="2"/>
        <v>140.32999999999998</v>
      </c>
    </row>
    <row r="55" spans="2:5" x14ac:dyDescent="0.3">
      <c r="B55" s="28"/>
      <c r="C55" s="91"/>
      <c r="D55" s="91"/>
    </row>
    <row r="56" spans="2:5" x14ac:dyDescent="0.3">
      <c r="B56" s="55" t="s">
        <v>178</v>
      </c>
      <c r="C56" s="60">
        <f>C38/(C38+C43)</f>
        <v>0.24116561011193885</v>
      </c>
      <c r="D56" s="60">
        <f t="shared" ref="D56:E56" si="3">D38/(D38+D43)</f>
        <v>0.26128594287930951</v>
      </c>
      <c r="E56" s="60">
        <f t="shared" si="3"/>
        <v>0.25154271780924697</v>
      </c>
    </row>
    <row r="57" spans="2:5" x14ac:dyDescent="0.3">
      <c r="B57" s="28"/>
      <c r="C57" s="1"/>
      <c r="D57" s="1"/>
    </row>
    <row r="58" spans="2:5" x14ac:dyDescent="0.3">
      <c r="B58" s="28"/>
      <c r="C58" s="91"/>
      <c r="D58" s="91"/>
    </row>
    <row r="59" spans="2:5" x14ac:dyDescent="0.3">
      <c r="B59" s="28"/>
      <c r="C59" s="91"/>
      <c r="D59" s="91"/>
    </row>
    <row r="60" spans="2:5" x14ac:dyDescent="0.3">
      <c r="B60" s="28"/>
      <c r="C60" s="91"/>
      <c r="D60" s="91"/>
    </row>
    <row r="61" spans="2:5" x14ac:dyDescent="0.3">
      <c r="B61" s="28"/>
      <c r="C61" s="91"/>
      <c r="D61" s="91"/>
    </row>
    <row r="62" spans="2:5" x14ac:dyDescent="0.3">
      <c r="B62" s="28"/>
      <c r="C62" s="91"/>
      <c r="D62" s="91"/>
    </row>
  </sheetData>
  <hyperlinks>
    <hyperlink ref="A1" location="Homepage!A1" display="H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Homepage</vt:lpstr>
      <vt:lpstr>Page 1</vt:lpstr>
      <vt:lpstr>Page 2</vt:lpstr>
      <vt:lpstr>Page 3</vt:lpstr>
      <vt:lpstr>Page 4</vt:lpstr>
      <vt:lpstr>Valuation</vt:lpstr>
      <vt:lpstr>Target Co</vt:lpstr>
      <vt:lpstr>Comp1</vt:lpstr>
      <vt:lpstr>Comp2</vt:lpstr>
      <vt:lpstr>Comp3</vt:lpstr>
      <vt:lpstr>Comp4</vt:lpstr>
      <vt:lpstr>Comp5</vt:lpstr>
      <vt:lpstr>Comp6</vt:lpstr>
      <vt:lpstr>Comp7</vt:lpstr>
      <vt:lpstr>EPS</vt:lpstr>
      <vt:lpstr>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</dc:creator>
  <cp:lastModifiedBy>Monkey</cp:lastModifiedBy>
  <dcterms:created xsi:type="dcterms:W3CDTF">2020-07-09T20:25:44Z</dcterms:created>
  <dcterms:modified xsi:type="dcterms:W3CDTF">2020-07-17T23:10:06Z</dcterms:modified>
</cp:coreProperties>
</file>