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095" activeTab="0"/>
  </bookViews>
  <sheets>
    <sheet name="DCF" sheetId="1" r:id="rId1"/>
    <sheet name="Scratch" sheetId="2" state="hidden" r:id="rId2"/>
  </sheets>
  <externalReferences>
    <externalReference r:id="rId5"/>
    <externalReference r:id="rId6"/>
    <externalReference r:id="rId7"/>
  </externalReferences>
  <definedNames>
    <definedName name="Buyer_Equity_Value">'[1]MSFT-Financials'!$L$149</definedName>
    <definedName name="Buyer_EV">'[1]MSFT-Financials'!$L$155</definedName>
    <definedName name="Buyer_Interest_Rate">'[1]MSFT-Financials'!$H$145</definedName>
    <definedName name="Buyer_Name">'[1]Merger-Model'!$F$3</definedName>
    <definedName name="Buyer_Tax_Rate">'[1]Merger-Model'!$F$15</definedName>
    <definedName name="Case_Cell">'[1]Inputs'!$F$12</definedName>
    <definedName name="Case_Number">'[1]Inputs'!$E$12</definedName>
    <definedName name="Circular">'[1]LBO-Model'!$N$25</definedName>
    <definedName name="Close_Date">'[1]Inputs'!$E$8</definedName>
    <definedName name="Company_Name">'[1]Inputs'!$E$4</definedName>
    <definedName name="comps">#REF!</definedName>
    <definedName name="Comps_Range">'[1]Public-Comps-Data'!$D$2:$AA$106</definedName>
    <definedName name="date">#REF!</definedName>
    <definedName name="Days_in_Year">'[1]Inputs'!$E$17</definedName>
    <definedName name="Debt_Refinance">'[1]LBO-Model'!$G$17</definedName>
    <definedName name="Equity_Interest_Value">'[1]YHOO-Equity-Interests'!$E$24</definedName>
    <definedName name="Forward_Year_1">'[1]Inputs'!$L$16</definedName>
    <definedName name="Forward_Year_2">'[1]Inputs'!$L$17</definedName>
    <definedName name="Forward_Year_3">'[1]Inputs'!$L$18</definedName>
    <definedName name="FYear_1_Name">'[1]Inputs'!$I$16</definedName>
    <definedName name="FYear_2_Name">'[1]Inputs'!$I$17</definedName>
    <definedName name="Hist_Year">'[1]Inputs'!$E$6</definedName>
    <definedName name="LBO_Close_Date">'[1]Inputs'!$E$9</definedName>
    <definedName name="LBO_Min_Cash">'[1]LBO-Model'!$N$20</definedName>
    <definedName name="LBO_Scenario">'[1]LBO-Model'!$F$29</definedName>
    <definedName name="LBO_Type">'[1]LBO-Model'!$F$30</definedName>
    <definedName name="LIBOR">'[1]LBO-Model'!$N$24</definedName>
    <definedName name="MA_Comps_Range">'[1]M&amp;A-Comps-Data'!$D$2:$AK$84</definedName>
    <definedName name="mmm">#REF!</definedName>
    <definedName name="options">#REF!</definedName>
    <definedName name="_xlnm.Print_Area" localSheetId="0">'DCF'!$A$2:$L$73</definedName>
    <definedName name="Recap">'[1]LBO-Model'!$G$21</definedName>
    <definedName name="Recap_Amount">'[1]LBO-Model'!$G$22</definedName>
    <definedName name="Recap_Date">'[1]Inputs'!$E$10</definedName>
    <definedName name="Revolver">'[1]LBO-Model'!$G$19</definedName>
    <definedName name="Scenario">'[1]Merger-Model'!$F$20</definedName>
    <definedName name="Stub">'[1]DCF'!$P$4</definedName>
    <definedName name="Tax_Rate">'[1]Inputs'!$L$4</definedName>
    <definedName name="Ticker">'[1]Inputs'!$E$5</definedName>
    <definedName name="TTM">'[1]Inputs'!$L$15</definedName>
    <definedName name="Type">'[1]Merger-Model'!$F$21</definedName>
    <definedName name="Units">'[1]Inputs'!$E$18</definedName>
    <definedName name="WACC">#REF!</definedName>
    <definedName name="x">'[2]Inputs'!$L$12</definedName>
    <definedName name="YHOO_20_Day_Price">'[1]Public-Comps-Data'!$AB$43</definedName>
    <definedName name="YHOO_Basic_Shares">'[1]Public-Comps-Data'!$AA$44</definedName>
    <definedName name="YHOO_Diluted_Shares">'[1]Public-Comps-Data'!$AA$56</definedName>
    <definedName name="YHOO_Share_Price">'[1]Public-Comps-Data'!$AA$43</definedName>
  </definedNames>
  <calcPr fullCalcOnLoad="1"/>
</workbook>
</file>

<file path=xl/sharedStrings.xml><?xml version="1.0" encoding="utf-8"?>
<sst xmlns="http://schemas.openxmlformats.org/spreadsheetml/2006/main" count="112" uniqueCount="84">
  <si>
    <t>Discounted Cash Flow Analysis  - </t>
  </si>
  <si>
    <t>Last Price</t>
  </si>
  <si>
    <t>Target Price</t>
  </si>
  <si>
    <t xml:space="preserve"> Historical</t>
  </si>
  <si>
    <t>Extrapolation</t>
  </si>
  <si>
    <t>FY</t>
  </si>
  <si>
    <t>FYE</t>
  </si>
  <si>
    <t>*all $ values in Millions</t>
  </si>
  <si>
    <t>Sales</t>
  </si>
  <si>
    <t>EBIT</t>
  </si>
  <si>
    <t xml:space="preserve"> Depreciation and Amortization</t>
  </si>
  <si>
    <t>EBITDA</t>
  </si>
  <si>
    <t xml:space="preserve"> Tax Rate</t>
  </si>
  <si>
    <t xml:space="preserve"> less: Taxes</t>
  </si>
  <si>
    <t xml:space="preserve"> Tax Affected EBIT</t>
  </si>
  <si>
    <t xml:space="preserve"> less: Capital Expendiutres</t>
  </si>
  <si>
    <t xml:space="preserve"> add: Depreciation and Amortization</t>
  </si>
  <si>
    <t xml:space="preserve"> net: Change in Non-Cash Working Capital</t>
  </si>
  <si>
    <t xml:space="preserve"> add: One Time Charges</t>
  </si>
  <si>
    <t>Unlevered Free Cash Flow</t>
  </si>
  <si>
    <t>Assumptions</t>
  </si>
  <si>
    <t xml:space="preserve"> Revenue Growth</t>
  </si>
  <si>
    <t xml:space="preserve"> EBIT/Sales</t>
  </si>
  <si>
    <t xml:space="preserve"> D&amp;A/Sales</t>
  </si>
  <si>
    <t xml:space="preserve"> CapEx/Sales</t>
  </si>
  <si>
    <t xml:space="preserve"> Non-Cash Current Assets</t>
  </si>
  <si>
    <t xml:space="preserve"> Current Liabilities</t>
  </si>
  <si>
    <t xml:space="preserve"> Working Cap</t>
  </si>
  <si>
    <t xml:space="preserve"> Change in Working Cap/Sales</t>
  </si>
  <si>
    <t>Inputs</t>
  </si>
  <si>
    <t>Method:</t>
  </si>
  <si>
    <t>Terminal Value</t>
  </si>
  <si>
    <t>WACC</t>
  </si>
  <si>
    <t>Perpetual</t>
  </si>
  <si>
    <t>Cashflows</t>
  </si>
  <si>
    <t xml:space="preserve"> Market Cap (mm)</t>
  </si>
  <si>
    <t>Growth</t>
  </si>
  <si>
    <t>Total Cashflows</t>
  </si>
  <si>
    <t xml:space="preserve"> % Equity</t>
  </si>
  <si>
    <t>Discount Rate</t>
  </si>
  <si>
    <t xml:space="preserve"> MV of Debt (mm)</t>
  </si>
  <si>
    <t>Period</t>
  </si>
  <si>
    <t xml:space="preserve"> %  Debt</t>
  </si>
  <si>
    <t>Discount Factor</t>
  </si>
  <si>
    <t xml:space="preserve"> Cost of Equity</t>
  </si>
  <si>
    <t>Discounted CF</t>
  </si>
  <si>
    <t xml:space="preserve"> Cost of Debt</t>
  </si>
  <si>
    <t>Sum DCF (Ent. Val.)</t>
  </si>
  <si>
    <t>Calculated WACC</t>
  </si>
  <si>
    <t>Net Debt</t>
  </si>
  <si>
    <t>WACC Sensitivity</t>
  </si>
  <si>
    <t>Equity Value</t>
  </si>
  <si>
    <t xml:space="preserve"> Low</t>
  </si>
  <si>
    <t>Value/Share</t>
  </si>
  <si>
    <t xml:space="preserve"> Medium</t>
  </si>
  <si>
    <t xml:space="preserve"> High</t>
  </si>
  <si>
    <t>Increment</t>
  </si>
  <si>
    <t>Multiple:</t>
  </si>
  <si>
    <t>Perpetual Growth Rates</t>
  </si>
  <si>
    <t>Exit</t>
  </si>
  <si>
    <t>EV / EBITDA</t>
  </si>
  <si>
    <t xml:space="preserve">Multiple Method  </t>
  </si>
  <si>
    <t>Exit EV/LTM EBITDA</t>
  </si>
  <si>
    <t>Equity Value Inputs</t>
  </si>
  <si>
    <t>Cash &amp; Cash Equiv.</t>
  </si>
  <si>
    <t>Perpetual Growth Method</t>
  </si>
  <si>
    <t>Multiple Method</t>
  </si>
  <si>
    <t>Total Debt</t>
  </si>
  <si>
    <t>Equity Price Sensitivity Analysis</t>
  </si>
  <si>
    <t>Fully Dilluted</t>
  </si>
  <si>
    <t>Shares Outstanding (mm)</t>
  </si>
  <si>
    <t>Implied Perpetual Growth Rate</t>
  </si>
  <si>
    <t>Implied Exit Multiple</t>
  </si>
  <si>
    <t>% Value in Terminal Value</t>
  </si>
  <si>
    <t>Growth Rate</t>
  </si>
  <si>
    <t>Multiple</t>
  </si>
  <si>
    <t>PV of TV</t>
  </si>
  <si>
    <t>Diltution Multiple</t>
  </si>
  <si>
    <t>Enterprise Value</t>
  </si>
  <si>
    <t>PV of FCFs</t>
  </si>
  <si>
    <t>EV Contribution</t>
  </si>
  <si>
    <t>% Value in Cash Flows</t>
  </si>
  <si>
    <t>Pg. 2</t>
  </si>
  <si>
    <t>Medtronic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</si>
</sst>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x_);\(#,##0.0\x\)"/>
    <numFmt numFmtId="165" formatCode="#,##0.0\x_);\(#,###.0\x0\)"/>
    <numFmt numFmtId="166" formatCode="0.00&quot;x&quot;"/>
    <numFmt numFmtId="167" formatCode="_(* #,##0.0_);_(* \(#,##0.0\);_(* &quot;-&quot;??_);_(@_)"/>
    <numFmt numFmtId="168" formatCode="#,##0.00\x_);\(#,##0.00\x\)"/>
    <numFmt numFmtId="169" formatCode="0.0%"/>
    <numFmt numFmtId="170" formatCode="#,##0.0_);\(#,##0.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i/>
      <sz val="12"/>
      <color indexed="30"/>
      <name val="Arial"/>
      <family val="2"/>
    </font>
    <font>
      <sz val="18"/>
      <color indexed="8"/>
      <name val="Arial"/>
      <family val="2"/>
    </font>
    <font>
      <b/>
      <sz val="14"/>
      <color indexed="30"/>
      <name val="Arial"/>
      <family val="2"/>
    </font>
    <font>
      <b/>
      <sz val="12"/>
      <color indexed="8"/>
      <name val="Arial"/>
      <family val="2"/>
    </font>
    <font>
      <sz val="12"/>
      <color indexed="30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.5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8"/>
      <color theme="1"/>
      <name val="Arial"/>
      <family val="2"/>
    </font>
    <font>
      <b/>
      <sz val="14"/>
      <color rgb="FF0070C0"/>
      <name val="Arial"/>
      <family val="2"/>
    </font>
    <font>
      <b/>
      <sz val="12"/>
      <color theme="1"/>
      <name val="Arial"/>
      <family val="2"/>
    </font>
    <font>
      <sz val="12"/>
      <color rgb="FF0070C0"/>
      <name val="Arial"/>
      <family val="2"/>
    </font>
    <font>
      <i/>
      <sz val="12"/>
      <color rgb="FF0070C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.5"/>
      <color theme="1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dotted"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0" fontId="0" fillId="0" borderId="15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43" fontId="0" fillId="33" borderId="0" xfId="42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37" fontId="0" fillId="33" borderId="0" xfId="0" applyNumberFormat="1" applyFill="1" applyBorder="1" applyAlignment="1">
      <alignment/>
    </xf>
    <xf numFmtId="0" fontId="0" fillId="33" borderId="23" xfId="0" applyFill="1" applyBorder="1" applyAlignment="1">
      <alignment/>
    </xf>
    <xf numFmtId="164" fontId="0" fillId="33" borderId="23" xfId="0" applyNumberFormat="1" applyFill="1" applyBorder="1" applyAlignment="1">
      <alignment/>
    </xf>
    <xf numFmtId="37" fontId="0" fillId="33" borderId="24" xfId="0" applyNumberFormat="1" applyFill="1" applyBorder="1" applyAlignment="1">
      <alignment/>
    </xf>
    <xf numFmtId="37" fontId="0" fillId="33" borderId="23" xfId="0" applyNumberFormat="1" applyFill="1" applyBorder="1" applyAlignment="1">
      <alignment/>
    </xf>
    <xf numFmtId="37" fontId="0" fillId="33" borderId="22" xfId="0" applyNumberFormat="1" applyFill="1" applyBorder="1" applyAlignment="1">
      <alignment/>
    </xf>
    <xf numFmtId="164" fontId="0" fillId="33" borderId="24" xfId="0" applyNumberFormat="1" applyFill="1" applyBorder="1" applyAlignment="1">
      <alignment/>
    </xf>
    <xf numFmtId="10" fontId="0" fillId="33" borderId="24" xfId="0" applyNumberFormat="1" applyFill="1" applyBorder="1" applyAlignment="1">
      <alignment/>
    </xf>
    <xf numFmtId="10" fontId="0" fillId="33" borderId="23" xfId="0" applyNumberFormat="1" applyFill="1" applyBorder="1" applyAlignment="1">
      <alignment/>
    </xf>
    <xf numFmtId="10" fontId="0" fillId="33" borderId="22" xfId="0" applyNumberFormat="1" applyFill="1" applyBorder="1" applyAlignment="1">
      <alignment/>
    </xf>
    <xf numFmtId="10" fontId="0" fillId="33" borderId="16" xfId="0" applyNumberFormat="1" applyFill="1" applyBorder="1" applyAlignment="1">
      <alignment/>
    </xf>
    <xf numFmtId="164" fontId="0" fillId="33" borderId="21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10" fontId="0" fillId="33" borderId="11" xfId="0" applyNumberFormat="1" applyFill="1" applyBorder="1" applyAlignment="1">
      <alignment/>
    </xf>
    <xf numFmtId="0" fontId="0" fillId="33" borderId="25" xfId="0" applyFill="1" applyBorder="1" applyAlignment="1">
      <alignment/>
    </xf>
    <xf numFmtId="2" fontId="0" fillId="33" borderId="0" xfId="0" applyNumberFormat="1" applyFill="1" applyBorder="1" applyAlignment="1">
      <alignment/>
    </xf>
    <xf numFmtId="14" fontId="48" fillId="33" borderId="12" xfId="0" applyNumberFormat="1" applyFont="1" applyFill="1" applyBorder="1" applyAlignment="1">
      <alignment/>
    </xf>
    <xf numFmtId="14" fontId="48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7" fontId="0" fillId="33" borderId="0" xfId="42" applyNumberFormat="1" applyFont="1" applyFill="1" applyBorder="1" applyAlignment="1">
      <alignment/>
    </xf>
    <xf numFmtId="168" fontId="4" fillId="33" borderId="0" xfId="0" applyNumberFormat="1" applyFont="1" applyFill="1" applyBorder="1" applyAlignment="1">
      <alignment/>
    </xf>
    <xf numFmtId="167" fontId="0" fillId="33" borderId="16" xfId="42" applyNumberFormat="1" applyFont="1" applyFill="1" applyBorder="1" applyAlignment="1">
      <alignment/>
    </xf>
    <xf numFmtId="37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48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/>
    </xf>
    <xf numFmtId="0" fontId="48" fillId="33" borderId="14" xfId="0" applyFont="1" applyFill="1" applyBorder="1" applyAlignment="1">
      <alignment horizontal="left" indent="4"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10" fontId="0" fillId="33" borderId="15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0" fontId="0" fillId="33" borderId="15" xfId="0" applyNumberFormat="1" applyFill="1" applyBorder="1" applyAlignment="1">
      <alignment/>
    </xf>
    <xf numFmtId="37" fontId="0" fillId="33" borderId="15" xfId="0" applyNumberFormat="1" applyFill="1" applyBorder="1" applyAlignment="1">
      <alignment/>
    </xf>
    <xf numFmtId="37" fontId="0" fillId="33" borderId="16" xfId="0" applyNumberFormat="1" applyFill="1" applyBorder="1" applyAlignment="1">
      <alignment/>
    </xf>
    <xf numFmtId="37" fontId="0" fillId="33" borderId="15" xfId="0" applyNumberFormat="1" applyFill="1" applyBorder="1" applyAlignment="1">
      <alignment/>
    </xf>
    <xf numFmtId="37" fontId="0" fillId="33" borderId="10" xfId="0" applyNumberFormat="1" applyFill="1" applyBorder="1" applyAlignment="1">
      <alignment/>
    </xf>
    <xf numFmtId="37" fontId="0" fillId="33" borderId="10" xfId="0" applyNumberFormat="1" applyFill="1" applyBorder="1" applyAlignment="1">
      <alignment/>
    </xf>
    <xf numFmtId="37" fontId="0" fillId="33" borderId="11" xfId="0" applyNumberFormat="1" applyFill="1" applyBorder="1" applyAlignment="1">
      <alignment/>
    </xf>
    <xf numFmtId="37" fontId="0" fillId="33" borderId="12" xfId="0" applyNumberFormat="1" applyFill="1" applyBorder="1" applyAlignment="1">
      <alignment/>
    </xf>
    <xf numFmtId="37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5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166" fontId="4" fillId="34" borderId="23" xfId="42" applyNumberFormat="1" applyFont="1" applyFill="1" applyBorder="1" applyAlignment="1">
      <alignment/>
    </xf>
    <xf numFmtId="39" fontId="0" fillId="33" borderId="0" xfId="0" applyNumberForma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Border="1" applyAlignment="1">
      <alignment horizontal="centerContinuous"/>
    </xf>
    <xf numFmtId="14" fontId="7" fillId="33" borderId="12" xfId="0" applyNumberFormat="1" applyFont="1" applyFill="1" applyBorder="1" applyAlignment="1">
      <alignment horizontal="centerContinuous"/>
    </xf>
    <xf numFmtId="14" fontId="51" fillId="33" borderId="12" xfId="0" applyNumberFormat="1" applyFont="1" applyFill="1" applyBorder="1" applyAlignment="1">
      <alignment horizontal="centerContinuous"/>
    </xf>
    <xf numFmtId="14" fontId="51" fillId="33" borderId="0" xfId="0" applyNumberFormat="1" applyFont="1" applyFill="1" applyBorder="1" applyAlignment="1">
      <alignment horizontal="centerContinuous"/>
    </xf>
    <xf numFmtId="0" fontId="51" fillId="33" borderId="0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51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169" fontId="6" fillId="33" borderId="0" xfId="42" applyNumberFormat="1" applyFont="1" applyFill="1" applyBorder="1" applyAlignment="1">
      <alignment/>
    </xf>
    <xf numFmtId="2" fontId="51" fillId="33" borderId="14" xfId="0" applyNumberFormat="1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 horizontal="left"/>
    </xf>
    <xf numFmtId="14" fontId="51" fillId="33" borderId="22" xfId="0" applyNumberFormat="1" applyFont="1" applyFill="1" applyBorder="1" applyAlignment="1">
      <alignment horizontal="centerContinuous"/>
    </xf>
    <xf numFmtId="44" fontId="50" fillId="33" borderId="0" xfId="44" applyFont="1" applyFill="1" applyBorder="1" applyAlignment="1">
      <alignment horizontal="left"/>
    </xf>
    <xf numFmtId="44" fontId="50" fillId="33" borderId="23" xfId="44" applyFont="1" applyFill="1" applyBorder="1" applyAlignment="1">
      <alignment horizontal="left"/>
    </xf>
    <xf numFmtId="44" fontId="51" fillId="33" borderId="0" xfId="44" applyFont="1" applyFill="1" applyBorder="1" applyAlignment="1">
      <alignment horizontal="centerContinuous"/>
    </xf>
    <xf numFmtId="44" fontId="52" fillId="33" borderId="0" xfId="44" applyFont="1" applyFill="1" applyBorder="1" applyAlignment="1">
      <alignment/>
    </xf>
    <xf numFmtId="44" fontId="52" fillId="33" borderId="23" xfId="44" applyFont="1" applyFill="1" applyBorder="1" applyAlignment="1">
      <alignment/>
    </xf>
    <xf numFmtId="44" fontId="52" fillId="33" borderId="0" xfId="44" applyFont="1" applyFill="1" applyBorder="1" applyAlignment="1">
      <alignment horizontal="centerContinuous"/>
    </xf>
    <xf numFmtId="169" fontId="52" fillId="33" borderId="0" xfId="42" applyNumberFormat="1" applyFont="1" applyFill="1" applyBorder="1" applyAlignment="1">
      <alignment/>
    </xf>
    <xf numFmtId="169" fontId="52" fillId="33" borderId="23" xfId="42" applyNumberFormat="1" applyFont="1" applyFill="1" applyBorder="1" applyAlignment="1">
      <alignment/>
    </xf>
    <xf numFmtId="44" fontId="6" fillId="33" borderId="0" xfId="44" applyFont="1" applyFill="1" applyBorder="1" applyAlignment="1">
      <alignment/>
    </xf>
    <xf numFmtId="44" fontId="6" fillId="33" borderId="23" xfId="44" applyFont="1" applyFill="1" applyBorder="1" applyAlignment="1">
      <alignment/>
    </xf>
    <xf numFmtId="44" fontId="6" fillId="33" borderId="23" xfId="44" applyFont="1" applyFill="1" applyBorder="1" applyAlignment="1">
      <alignment/>
    </xf>
    <xf numFmtId="44" fontId="52" fillId="33" borderId="0" xfId="44" applyFont="1" applyFill="1" applyBorder="1" applyAlignment="1">
      <alignment horizontal="left"/>
    </xf>
    <xf numFmtId="44" fontId="52" fillId="33" borderId="21" xfId="44" applyFont="1" applyFill="1" applyBorder="1" applyAlignment="1">
      <alignment horizontal="centerContinuous"/>
    </xf>
    <xf numFmtId="44" fontId="52" fillId="33" borderId="12" xfId="44" applyFont="1" applyFill="1" applyBorder="1" applyAlignment="1">
      <alignment/>
    </xf>
    <xf numFmtId="44" fontId="52" fillId="33" borderId="22" xfId="44" applyFont="1" applyFill="1" applyBorder="1" applyAlignment="1">
      <alignment/>
    </xf>
    <xf numFmtId="44" fontId="52" fillId="0" borderId="12" xfId="44" applyFont="1" applyFill="1" applyBorder="1" applyAlignment="1">
      <alignment/>
    </xf>
    <xf numFmtId="0" fontId="50" fillId="33" borderId="0" xfId="0" applyFont="1" applyFill="1" applyAlignment="1">
      <alignment/>
    </xf>
    <xf numFmtId="10" fontId="50" fillId="33" borderId="0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9" fontId="50" fillId="0" borderId="0" xfId="58" applyFont="1" applyBorder="1" applyAlignment="1">
      <alignment/>
    </xf>
    <xf numFmtId="9" fontId="50" fillId="0" borderId="23" xfId="58" applyFont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43" fontId="50" fillId="33" borderId="0" xfId="42" applyFont="1" applyFill="1" applyBorder="1" applyAlignment="1">
      <alignment/>
    </xf>
    <xf numFmtId="43" fontId="50" fillId="33" borderId="12" xfId="42" applyFont="1" applyFill="1" applyBorder="1" applyAlignment="1">
      <alignment/>
    </xf>
    <xf numFmtId="2" fontId="50" fillId="33" borderId="0" xfId="0" applyNumberFormat="1" applyFont="1" applyFill="1" applyBorder="1" applyAlignment="1">
      <alignment/>
    </xf>
    <xf numFmtId="39" fontId="50" fillId="33" borderId="0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/>
    </xf>
    <xf numFmtId="0" fontId="50" fillId="33" borderId="13" xfId="0" applyFont="1" applyFill="1" applyBorder="1" applyAlignment="1">
      <alignment/>
    </xf>
    <xf numFmtId="10" fontId="50" fillId="0" borderId="14" xfId="0" applyNumberFormat="1" applyFont="1" applyBorder="1" applyAlignment="1">
      <alignment/>
    </xf>
    <xf numFmtId="10" fontId="50" fillId="0" borderId="14" xfId="0" applyNumberFormat="1" applyFont="1" applyBorder="1" applyAlignment="1">
      <alignment/>
    </xf>
    <xf numFmtId="164" fontId="50" fillId="0" borderId="15" xfId="0" applyNumberFormat="1" applyFont="1" applyBorder="1" applyAlignment="1">
      <alignment/>
    </xf>
    <xf numFmtId="164" fontId="50" fillId="0" borderId="16" xfId="0" applyNumberFormat="1" applyFont="1" applyBorder="1" applyAlignment="1">
      <alignment/>
    </xf>
    <xf numFmtId="44" fontId="50" fillId="13" borderId="0" xfId="0" applyNumberFormat="1" applyFont="1" applyFill="1" applyBorder="1" applyAlignment="1">
      <alignment/>
    </xf>
    <xf numFmtId="44" fontId="50" fillId="13" borderId="0" xfId="0" applyNumberFormat="1" applyFont="1" applyFill="1" applyBorder="1" applyAlignment="1">
      <alignment/>
    </xf>
    <xf numFmtId="10" fontId="50" fillId="33" borderId="15" xfId="0" applyNumberFormat="1" applyFont="1" applyFill="1" applyBorder="1" applyAlignment="1">
      <alignment/>
    </xf>
    <xf numFmtId="44" fontId="50" fillId="13" borderId="15" xfId="0" applyNumberFormat="1" applyFont="1" applyFill="1" applyBorder="1" applyAlignment="1">
      <alignment/>
    </xf>
    <xf numFmtId="44" fontId="50" fillId="13" borderId="16" xfId="0" applyNumberFormat="1" applyFont="1" applyFill="1" applyBorder="1" applyAlignment="1">
      <alignment/>
    </xf>
    <xf numFmtId="10" fontId="50" fillId="33" borderId="10" xfId="0" applyNumberFormat="1" applyFont="1" applyFill="1" applyBorder="1" applyAlignment="1">
      <alignment/>
    </xf>
    <xf numFmtId="44" fontId="50" fillId="13" borderId="10" xfId="0" applyNumberFormat="1" applyFont="1" applyFill="1" applyBorder="1" applyAlignment="1">
      <alignment/>
    </xf>
    <xf numFmtId="44" fontId="50" fillId="13" borderId="12" xfId="0" applyNumberFormat="1" applyFont="1" applyFill="1" applyBorder="1" applyAlignment="1">
      <alignment/>
    </xf>
    <xf numFmtId="44" fontId="50" fillId="13" borderId="12" xfId="0" applyNumberFormat="1" applyFont="1" applyFill="1" applyBorder="1" applyAlignment="1">
      <alignment/>
    </xf>
    <xf numFmtId="10" fontId="50" fillId="33" borderId="11" xfId="0" applyNumberFormat="1" applyFont="1" applyFill="1" applyBorder="1" applyAlignment="1">
      <alignment/>
    </xf>
    <xf numFmtId="44" fontId="50" fillId="13" borderId="11" xfId="0" applyNumberFormat="1" applyFont="1" applyFill="1" applyBorder="1" applyAlignment="1">
      <alignment/>
    </xf>
    <xf numFmtId="0" fontId="50" fillId="33" borderId="15" xfId="0" applyFont="1" applyFill="1" applyBorder="1" applyAlignment="1">
      <alignment/>
    </xf>
    <xf numFmtId="164" fontId="50" fillId="33" borderId="15" xfId="0" applyNumberFormat="1" applyFont="1" applyFill="1" applyBorder="1" applyAlignment="1">
      <alignment/>
    </xf>
    <xf numFmtId="164" fontId="50" fillId="33" borderId="16" xfId="0" applyNumberFormat="1" applyFont="1" applyFill="1" applyBorder="1" applyAlignment="1">
      <alignment/>
    </xf>
    <xf numFmtId="10" fontId="50" fillId="33" borderId="13" xfId="0" applyNumberFormat="1" applyFont="1" applyFill="1" applyBorder="1" applyAlignment="1">
      <alignment/>
    </xf>
    <xf numFmtId="10" fontId="50" fillId="33" borderId="14" xfId="0" applyNumberFormat="1" applyFont="1" applyFill="1" applyBorder="1" applyAlignment="1">
      <alignment/>
    </xf>
    <xf numFmtId="10" fontId="50" fillId="33" borderId="16" xfId="0" applyNumberFormat="1" applyFont="1" applyFill="1" applyBorder="1" applyAlignment="1">
      <alignment/>
    </xf>
    <xf numFmtId="165" fontId="50" fillId="33" borderId="15" xfId="0" applyNumberFormat="1" applyFont="1" applyFill="1" applyBorder="1" applyAlignment="1">
      <alignment/>
    </xf>
    <xf numFmtId="165" fontId="50" fillId="33" borderId="16" xfId="0" applyNumberFormat="1" applyFont="1" applyFill="1" applyBorder="1" applyAlignment="1">
      <alignment/>
    </xf>
    <xf numFmtId="10" fontId="50" fillId="13" borderId="0" xfId="0" applyNumberFormat="1" applyFont="1" applyFill="1" applyBorder="1" applyAlignment="1">
      <alignment/>
    </xf>
    <xf numFmtId="165" fontId="50" fillId="33" borderId="10" xfId="0" applyNumberFormat="1" applyFont="1" applyFill="1" applyBorder="1" applyAlignment="1">
      <alignment/>
    </xf>
    <xf numFmtId="165" fontId="50" fillId="13" borderId="0" xfId="0" applyNumberFormat="1" applyFont="1" applyFill="1" applyBorder="1" applyAlignment="1">
      <alignment/>
    </xf>
    <xf numFmtId="10" fontId="50" fillId="33" borderId="12" xfId="0" applyNumberFormat="1" applyFont="1" applyFill="1" applyBorder="1" applyAlignment="1">
      <alignment/>
    </xf>
    <xf numFmtId="165" fontId="50" fillId="33" borderId="11" xfId="0" applyNumberFormat="1" applyFont="1" applyFill="1" applyBorder="1" applyAlignment="1">
      <alignment/>
    </xf>
    <xf numFmtId="165" fontId="50" fillId="33" borderId="12" xfId="0" applyNumberFormat="1" applyFont="1" applyFill="1" applyBorder="1" applyAlignment="1">
      <alignment/>
    </xf>
    <xf numFmtId="0" fontId="50" fillId="0" borderId="14" xfId="0" applyFont="1" applyBorder="1" applyAlignment="1">
      <alignment/>
    </xf>
    <xf numFmtId="164" fontId="50" fillId="33" borderId="13" xfId="0" applyNumberFormat="1" applyFont="1" applyFill="1" applyBorder="1" applyAlignment="1">
      <alignment/>
    </xf>
    <xf numFmtId="164" fontId="50" fillId="0" borderId="14" xfId="0" applyNumberFormat="1" applyFont="1" applyBorder="1" applyAlignment="1">
      <alignment/>
    </xf>
    <xf numFmtId="10" fontId="50" fillId="33" borderId="15" xfId="0" applyNumberFormat="1" applyFont="1" applyFill="1" applyBorder="1" applyAlignment="1">
      <alignment/>
    </xf>
    <xf numFmtId="10" fontId="50" fillId="0" borderId="16" xfId="0" applyNumberFormat="1" applyFont="1" applyBorder="1" applyAlignment="1">
      <alignment/>
    </xf>
    <xf numFmtId="10" fontId="50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44" fontId="52" fillId="0" borderId="16" xfId="0" applyNumberFormat="1" applyFont="1" applyFill="1" applyBorder="1" applyAlignment="1">
      <alignment/>
    </xf>
    <xf numFmtId="44" fontId="52" fillId="0" borderId="24" xfId="0" applyNumberFormat="1" applyFont="1" applyFill="1" applyBorder="1" applyAlignment="1">
      <alignment/>
    </xf>
    <xf numFmtId="43" fontId="6" fillId="33" borderId="0" xfId="42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33" borderId="10" xfId="0" applyFont="1" applyFill="1" applyBorder="1" applyAlignment="1">
      <alignment horizontal="centerContinuous"/>
    </xf>
    <xf numFmtId="14" fontId="51" fillId="33" borderId="11" xfId="0" applyNumberFormat="1" applyFont="1" applyFill="1" applyBorder="1" applyAlignment="1">
      <alignment horizontal="centerContinuous"/>
    </xf>
    <xf numFmtId="44" fontId="51" fillId="33" borderId="10" xfId="44" applyFont="1" applyFill="1" applyBorder="1" applyAlignment="1">
      <alignment horizontal="centerContinuous"/>
    </xf>
    <xf numFmtId="0" fontId="7" fillId="0" borderId="15" xfId="0" applyFont="1" applyBorder="1" applyAlignment="1">
      <alignment/>
    </xf>
    <xf numFmtId="43" fontId="6" fillId="33" borderId="10" xfId="42" applyFont="1" applyFill="1" applyBorder="1" applyAlignment="1">
      <alignment/>
    </xf>
    <xf numFmtId="0" fontId="6" fillId="33" borderId="10" xfId="0" applyFont="1" applyFill="1" applyBorder="1" applyAlignment="1">
      <alignment/>
    </xf>
    <xf numFmtId="169" fontId="6" fillId="33" borderId="10" xfId="42" applyNumberFormat="1" applyFont="1" applyFill="1" applyBorder="1" applyAlignment="1">
      <alignment/>
    </xf>
    <xf numFmtId="44" fontId="52" fillId="0" borderId="11" xfId="44" applyFont="1" applyFill="1" applyBorder="1" applyAlignment="1">
      <alignment/>
    </xf>
    <xf numFmtId="14" fontId="53" fillId="33" borderId="11" xfId="0" applyNumberFormat="1" applyFont="1" applyFill="1" applyBorder="1" applyAlignment="1">
      <alignment horizontal="centerContinuous"/>
    </xf>
    <xf numFmtId="44" fontId="52" fillId="33" borderId="10" xfId="44" applyFont="1" applyFill="1" applyBorder="1" applyAlignment="1">
      <alignment horizontal="centerContinuous"/>
    </xf>
    <xf numFmtId="44" fontId="51" fillId="33" borderId="0" xfId="44" applyFont="1" applyFill="1" applyBorder="1" applyAlignment="1">
      <alignment/>
    </xf>
    <xf numFmtId="0" fontId="54" fillId="33" borderId="26" xfId="0" applyFont="1" applyFill="1" applyBorder="1" applyAlignment="1">
      <alignment horizontal="center"/>
    </xf>
    <xf numFmtId="0" fontId="50" fillId="33" borderId="27" xfId="0" applyNumberFormat="1" applyFont="1" applyFill="1" applyBorder="1" applyAlignment="1">
      <alignment/>
    </xf>
    <xf numFmtId="0" fontId="50" fillId="33" borderId="28" xfId="0" applyFont="1" applyFill="1" applyBorder="1" applyAlignment="1">
      <alignment/>
    </xf>
    <xf numFmtId="0" fontId="50" fillId="33" borderId="28" xfId="0" applyFont="1" applyFill="1" applyBorder="1" applyAlignment="1">
      <alignment/>
    </xf>
    <xf numFmtId="0" fontId="50" fillId="33" borderId="29" xfId="0" applyFont="1" applyFill="1" applyBorder="1" applyAlignment="1">
      <alignment/>
    </xf>
    <xf numFmtId="0" fontId="55" fillId="33" borderId="30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/>
    </xf>
    <xf numFmtId="0" fontId="50" fillId="33" borderId="32" xfId="0" applyFont="1" applyFill="1" applyBorder="1" applyAlignment="1">
      <alignment/>
    </xf>
    <xf numFmtId="0" fontId="50" fillId="33" borderId="33" xfId="0" applyFont="1" applyFill="1" applyBorder="1" applyAlignment="1">
      <alignment/>
    </xf>
    <xf numFmtId="10" fontId="50" fillId="33" borderId="34" xfId="0" applyNumberFormat="1" applyFont="1" applyFill="1" applyBorder="1" applyAlignment="1">
      <alignment/>
    </xf>
    <xf numFmtId="43" fontId="50" fillId="33" borderId="34" xfId="42" applyFont="1" applyFill="1" applyBorder="1" applyAlignment="1">
      <alignment/>
    </xf>
    <xf numFmtId="43" fontId="50" fillId="33" borderId="31" xfId="42" applyFont="1" applyFill="1" applyBorder="1" applyAlignment="1">
      <alignment/>
    </xf>
    <xf numFmtId="2" fontId="51" fillId="33" borderId="32" xfId="0" applyNumberFormat="1" applyFont="1" applyFill="1" applyBorder="1" applyAlignment="1">
      <alignment/>
    </xf>
    <xf numFmtId="2" fontId="50" fillId="33" borderId="34" xfId="0" applyNumberFormat="1" applyFont="1" applyFill="1" applyBorder="1" applyAlignment="1">
      <alignment/>
    </xf>
    <xf numFmtId="43" fontId="50" fillId="33" borderId="34" xfId="0" applyNumberFormat="1" applyFont="1" applyFill="1" applyBorder="1" applyAlignment="1">
      <alignment/>
    </xf>
    <xf numFmtId="0" fontId="50" fillId="33" borderId="34" xfId="0" applyFont="1" applyFill="1" applyBorder="1" applyAlignment="1">
      <alignment/>
    </xf>
    <xf numFmtId="0" fontId="50" fillId="33" borderId="35" xfId="0" applyFont="1" applyFill="1" applyBorder="1" applyAlignment="1">
      <alignment/>
    </xf>
    <xf numFmtId="0" fontId="51" fillId="33" borderId="36" xfId="0" applyFont="1" applyFill="1" applyBorder="1" applyAlignment="1">
      <alignment/>
    </xf>
    <xf numFmtId="0" fontId="51" fillId="33" borderId="37" xfId="0" applyFont="1" applyFill="1" applyBorder="1" applyAlignment="1">
      <alignment/>
    </xf>
    <xf numFmtId="0" fontId="50" fillId="33" borderId="37" xfId="0" applyFont="1" applyFill="1" applyBorder="1" applyAlignment="1">
      <alignment/>
    </xf>
    <xf numFmtId="44" fontId="51" fillId="33" borderId="37" xfId="44" applyFont="1" applyFill="1" applyBorder="1" applyAlignment="1">
      <alignment/>
    </xf>
    <xf numFmtId="0" fontId="50" fillId="33" borderId="38" xfId="0" applyFont="1" applyFill="1" applyBorder="1" applyAlignment="1">
      <alignment/>
    </xf>
    <xf numFmtId="0" fontId="56" fillId="4" borderId="39" xfId="0" applyFont="1" applyFill="1" applyBorder="1" applyAlignment="1">
      <alignment/>
    </xf>
    <xf numFmtId="0" fontId="50" fillId="4" borderId="40" xfId="0" applyFont="1" applyFill="1" applyBorder="1" applyAlignment="1">
      <alignment/>
    </xf>
    <xf numFmtId="0" fontId="57" fillId="4" borderId="40" xfId="0" applyFont="1" applyFill="1" applyBorder="1" applyAlignment="1">
      <alignment/>
    </xf>
    <xf numFmtId="0" fontId="58" fillId="4" borderId="40" xfId="0" applyFont="1" applyFill="1" applyBorder="1" applyAlignment="1">
      <alignment/>
    </xf>
    <xf numFmtId="44" fontId="59" fillId="4" borderId="40" xfId="44" applyFont="1" applyFill="1" applyBorder="1" applyAlignment="1">
      <alignment/>
    </xf>
    <xf numFmtId="0" fontId="50" fillId="4" borderId="41" xfId="0" applyFont="1" applyFill="1" applyBorder="1" applyAlignment="1">
      <alignment/>
    </xf>
    <xf numFmtId="0" fontId="56" fillId="0" borderId="33" xfId="0" applyFont="1" applyFill="1" applyBorder="1" applyAlignment="1">
      <alignment/>
    </xf>
    <xf numFmtId="0" fontId="60" fillId="0" borderId="33" xfId="0" applyFont="1" applyBorder="1" applyAlignment="1">
      <alignment/>
    </xf>
    <xf numFmtId="0" fontId="51" fillId="33" borderId="34" xfId="0" applyFont="1" applyFill="1" applyBorder="1" applyAlignment="1">
      <alignment horizontal="center"/>
    </xf>
    <xf numFmtId="0" fontId="50" fillId="33" borderId="42" xfId="0" applyFont="1" applyFill="1" applyBorder="1" applyAlignment="1">
      <alignment/>
    </xf>
    <xf numFmtId="14" fontId="51" fillId="33" borderId="31" xfId="0" applyNumberFormat="1" applyFont="1" applyFill="1" applyBorder="1" applyAlignment="1">
      <alignment horizontal="center"/>
    </xf>
    <xf numFmtId="0" fontId="51" fillId="33" borderId="33" xfId="0" applyFont="1" applyFill="1" applyBorder="1" applyAlignment="1">
      <alignment/>
    </xf>
    <xf numFmtId="44" fontId="51" fillId="33" borderId="34" xfId="44" applyFont="1" applyFill="1" applyBorder="1" applyAlignment="1">
      <alignment/>
    </xf>
    <xf numFmtId="0" fontId="51" fillId="33" borderId="43" xfId="0" applyFont="1" applyFill="1" applyBorder="1" applyAlignment="1">
      <alignment/>
    </xf>
    <xf numFmtId="0" fontId="7" fillId="0" borderId="44" xfId="0" applyFont="1" applyBorder="1" applyAlignment="1">
      <alignment/>
    </xf>
    <xf numFmtId="43" fontId="6" fillId="33" borderId="34" xfId="42" applyFont="1" applyFill="1" applyBorder="1" applyAlignment="1">
      <alignment/>
    </xf>
    <xf numFmtId="0" fontId="6" fillId="33" borderId="34" xfId="0" applyFont="1" applyFill="1" applyBorder="1" applyAlignment="1">
      <alignment/>
    </xf>
    <xf numFmtId="169" fontId="6" fillId="33" borderId="34" xfId="42" applyNumberFormat="1" applyFont="1" applyFill="1" applyBorder="1" applyAlignment="1">
      <alignment/>
    </xf>
    <xf numFmtId="44" fontId="52" fillId="0" borderId="31" xfId="44" applyFont="1" applyFill="1" applyBorder="1" applyAlignment="1">
      <alignment/>
    </xf>
    <xf numFmtId="0" fontId="50" fillId="33" borderId="45" xfId="0" applyFont="1" applyFill="1" applyBorder="1" applyAlignment="1">
      <alignment/>
    </xf>
    <xf numFmtId="0" fontId="50" fillId="33" borderId="46" xfId="0" applyFont="1" applyFill="1" applyBorder="1" applyAlignment="1">
      <alignment/>
    </xf>
    <xf numFmtId="0" fontId="61" fillId="33" borderId="39" xfId="0" applyFont="1" applyFill="1" applyBorder="1" applyAlignment="1">
      <alignment horizontal="left"/>
    </xf>
    <xf numFmtId="0" fontId="51" fillId="33" borderId="40" xfId="0" applyFont="1" applyFill="1" applyBorder="1" applyAlignment="1">
      <alignment horizontal="left"/>
    </xf>
    <xf numFmtId="0" fontId="50" fillId="33" borderId="40" xfId="0" applyFont="1" applyFill="1" applyBorder="1" applyAlignment="1">
      <alignment/>
    </xf>
    <xf numFmtId="0" fontId="50" fillId="0" borderId="40" xfId="0" applyFont="1" applyBorder="1" applyAlignment="1">
      <alignment/>
    </xf>
    <xf numFmtId="0" fontId="50" fillId="0" borderId="40" xfId="0" applyFont="1" applyBorder="1" applyAlignment="1">
      <alignment/>
    </xf>
    <xf numFmtId="9" fontId="52" fillId="0" borderId="40" xfId="58" applyFont="1" applyBorder="1" applyAlignment="1">
      <alignment/>
    </xf>
    <xf numFmtId="9" fontId="52" fillId="0" borderId="41" xfId="58" applyFont="1" applyBorder="1" applyAlignment="1">
      <alignment/>
    </xf>
    <xf numFmtId="0" fontId="50" fillId="33" borderId="33" xfId="0" applyFont="1" applyFill="1" applyBorder="1" applyAlignment="1">
      <alignment horizontal="left"/>
    </xf>
    <xf numFmtId="9" fontId="50" fillId="0" borderId="34" xfId="58" applyFont="1" applyBorder="1" applyAlignment="1">
      <alignment/>
    </xf>
    <xf numFmtId="0" fontId="50" fillId="33" borderId="47" xfId="0" applyFont="1" applyFill="1" applyBorder="1" applyAlignment="1">
      <alignment horizontal="left"/>
    </xf>
    <xf numFmtId="0" fontId="50" fillId="33" borderId="37" xfId="0" applyFont="1" applyFill="1" applyBorder="1" applyAlignment="1">
      <alignment horizontal="left"/>
    </xf>
    <xf numFmtId="9" fontId="50" fillId="0" borderId="37" xfId="58" applyFont="1" applyBorder="1" applyAlignment="1">
      <alignment/>
    </xf>
    <xf numFmtId="9" fontId="50" fillId="0" borderId="48" xfId="58" applyFont="1" applyBorder="1" applyAlignment="1">
      <alignment/>
    </xf>
    <xf numFmtId="9" fontId="50" fillId="0" borderId="38" xfId="58" applyFont="1" applyBorder="1" applyAlignment="1">
      <alignment/>
    </xf>
    <xf numFmtId="0" fontId="55" fillId="33" borderId="30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Continuous"/>
    </xf>
    <xf numFmtId="0" fontId="50" fillId="33" borderId="29" xfId="0" applyFont="1" applyFill="1" applyBorder="1" applyAlignment="1">
      <alignment horizontal="centerContinuous"/>
    </xf>
    <xf numFmtId="0" fontId="50" fillId="33" borderId="49" xfId="0" applyFont="1" applyFill="1" applyBorder="1" applyAlignment="1">
      <alignment/>
    </xf>
    <xf numFmtId="0" fontId="50" fillId="33" borderId="43" xfId="0" applyFont="1" applyFill="1" applyBorder="1" applyAlignment="1">
      <alignment/>
    </xf>
    <xf numFmtId="44" fontId="62" fillId="33" borderId="44" xfId="0" applyNumberFormat="1" applyFont="1" applyFill="1" applyBorder="1" applyAlignment="1">
      <alignment/>
    </xf>
    <xf numFmtId="169" fontId="50" fillId="33" borderId="34" xfId="58" applyNumberFormat="1" applyFont="1" applyFill="1" applyBorder="1" applyAlignment="1">
      <alignment/>
    </xf>
    <xf numFmtId="44" fontId="52" fillId="33" borderId="34" xfId="44" applyFont="1" applyFill="1" applyBorder="1" applyAlignment="1">
      <alignment/>
    </xf>
    <xf numFmtId="169" fontId="52" fillId="33" borderId="34" xfId="0" applyNumberFormat="1" applyFont="1" applyFill="1" applyBorder="1" applyAlignment="1">
      <alignment/>
    </xf>
    <xf numFmtId="10" fontId="50" fillId="33" borderId="31" xfId="58" applyNumberFormat="1" applyFont="1" applyFill="1" applyBorder="1" applyAlignment="1">
      <alignment/>
    </xf>
    <xf numFmtId="169" fontId="50" fillId="33" borderId="32" xfId="0" applyNumberFormat="1" applyFont="1" applyFill="1" applyBorder="1" applyAlignment="1">
      <alignment/>
    </xf>
    <xf numFmtId="10" fontId="6" fillId="33" borderId="34" xfId="0" applyNumberFormat="1" applyFont="1" applyFill="1" applyBorder="1" applyAlignment="1">
      <alignment/>
    </xf>
    <xf numFmtId="10" fontId="52" fillId="33" borderId="31" xfId="0" applyNumberFormat="1" applyFont="1" applyFill="1" applyBorder="1" applyAlignment="1">
      <alignment/>
    </xf>
    <xf numFmtId="10" fontId="52" fillId="33" borderId="34" xfId="0" applyNumberFormat="1" applyFont="1" applyFill="1" applyBorder="1" applyAlignment="1">
      <alignment/>
    </xf>
    <xf numFmtId="0" fontId="51" fillId="33" borderId="32" xfId="0" applyFont="1" applyFill="1" applyBorder="1" applyAlignment="1">
      <alignment horizontal="center"/>
    </xf>
    <xf numFmtId="14" fontId="50" fillId="33" borderId="33" xfId="0" applyNumberFormat="1" applyFont="1" applyFill="1" applyBorder="1" applyAlignment="1">
      <alignment horizontal="left"/>
    </xf>
    <xf numFmtId="37" fontId="50" fillId="33" borderId="34" xfId="0" applyNumberFormat="1" applyFont="1" applyFill="1" applyBorder="1" applyAlignment="1">
      <alignment/>
    </xf>
    <xf numFmtId="164" fontId="52" fillId="33" borderId="34" xfId="0" applyNumberFormat="1" applyFont="1" applyFill="1" applyBorder="1" applyAlignment="1">
      <alignment/>
    </xf>
    <xf numFmtId="164" fontId="52" fillId="33" borderId="31" xfId="0" applyNumberFormat="1" applyFont="1" applyFill="1" applyBorder="1" applyAlignment="1">
      <alignment/>
    </xf>
    <xf numFmtId="170" fontId="52" fillId="33" borderId="34" xfId="0" applyNumberFormat="1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51" fillId="33" borderId="49" xfId="0" applyFont="1" applyFill="1" applyBorder="1" applyAlignment="1">
      <alignment/>
    </xf>
    <xf numFmtId="44" fontId="52" fillId="33" borderId="44" xfId="44" applyFont="1" applyFill="1" applyBorder="1" applyAlignment="1">
      <alignment/>
    </xf>
    <xf numFmtId="169" fontId="52" fillId="0" borderId="0" xfId="58" applyNumberFormat="1" applyFont="1" applyBorder="1" applyAlignment="1">
      <alignment/>
    </xf>
    <xf numFmtId="169" fontId="52" fillId="0" borderId="34" xfId="58" applyNumberFormat="1" applyFont="1" applyBorder="1" applyAlignment="1">
      <alignment/>
    </xf>
    <xf numFmtId="0" fontId="61" fillId="33" borderId="33" xfId="0" applyFont="1" applyFill="1" applyBorder="1" applyAlignment="1">
      <alignment/>
    </xf>
    <xf numFmtId="0" fontId="51" fillId="33" borderId="26" xfId="0" applyFont="1" applyFill="1" applyBorder="1" applyAlignment="1">
      <alignment/>
    </xf>
    <xf numFmtId="10" fontId="50" fillId="0" borderId="50" xfId="0" applyNumberFormat="1" applyFont="1" applyBorder="1" applyAlignment="1">
      <alignment/>
    </xf>
    <xf numFmtId="10" fontId="50" fillId="0" borderId="32" xfId="0" applyNumberFormat="1" applyFont="1" applyBorder="1" applyAlignment="1">
      <alignment/>
    </xf>
    <xf numFmtId="10" fontId="50" fillId="0" borderId="30" xfId="0" applyNumberFormat="1" applyFont="1" applyBorder="1" applyAlignment="1">
      <alignment/>
    </xf>
    <xf numFmtId="44" fontId="50" fillId="13" borderId="34" xfId="0" applyNumberFormat="1" applyFont="1" applyFill="1" applyBorder="1" applyAlignment="1">
      <alignment/>
    </xf>
    <xf numFmtId="10" fontId="50" fillId="0" borderId="51" xfId="0" applyNumberFormat="1" applyFont="1" applyBorder="1" applyAlignment="1">
      <alignment/>
    </xf>
    <xf numFmtId="44" fontId="50" fillId="13" borderId="31" xfId="0" applyNumberFormat="1" applyFont="1" applyFill="1" applyBorder="1" applyAlignment="1">
      <alignment/>
    </xf>
    <xf numFmtId="0" fontId="50" fillId="33" borderId="50" xfId="0" applyFont="1" applyFill="1" applyBorder="1" applyAlignment="1">
      <alignment/>
    </xf>
    <xf numFmtId="164" fontId="50" fillId="33" borderId="44" xfId="0" applyNumberFormat="1" applyFont="1" applyFill="1" applyBorder="1" applyAlignment="1">
      <alignment/>
    </xf>
    <xf numFmtId="10" fontId="50" fillId="33" borderId="52" xfId="0" applyNumberFormat="1" applyFont="1" applyFill="1" applyBorder="1" applyAlignment="1">
      <alignment/>
    </xf>
    <xf numFmtId="10" fontId="50" fillId="33" borderId="44" xfId="0" applyNumberFormat="1" applyFont="1" applyFill="1" applyBorder="1" applyAlignment="1">
      <alignment/>
    </xf>
    <xf numFmtId="10" fontId="50" fillId="33" borderId="30" xfId="0" applyNumberFormat="1" applyFont="1" applyFill="1" applyBorder="1" applyAlignment="1">
      <alignment/>
    </xf>
    <xf numFmtId="10" fontId="50" fillId="33" borderId="51" xfId="0" applyNumberFormat="1" applyFont="1" applyFill="1" applyBorder="1" applyAlignment="1">
      <alignment/>
    </xf>
    <xf numFmtId="10" fontId="50" fillId="33" borderId="31" xfId="0" applyNumberFormat="1" applyFont="1" applyFill="1" applyBorder="1" applyAlignment="1">
      <alignment/>
    </xf>
    <xf numFmtId="0" fontId="50" fillId="0" borderId="33" xfId="0" applyFont="1" applyBorder="1" applyAlignment="1">
      <alignment/>
    </xf>
    <xf numFmtId="10" fontId="50" fillId="33" borderId="50" xfId="0" applyNumberFormat="1" applyFont="1" applyFill="1" applyBorder="1" applyAlignment="1">
      <alignment/>
    </xf>
    <xf numFmtId="10" fontId="50" fillId="33" borderId="32" xfId="0" applyNumberFormat="1" applyFont="1" applyFill="1" applyBorder="1" applyAlignment="1">
      <alignment/>
    </xf>
    <xf numFmtId="10" fontId="50" fillId="33" borderId="35" xfId="0" applyNumberFormat="1" applyFont="1" applyFill="1" applyBorder="1" applyAlignment="1">
      <alignment/>
    </xf>
    <xf numFmtId="10" fontId="50" fillId="33" borderId="36" xfId="0" applyNumberFormat="1" applyFont="1" applyFill="1" applyBorder="1" applyAlignment="1">
      <alignment/>
    </xf>
    <xf numFmtId="10" fontId="50" fillId="0" borderId="37" xfId="0" applyNumberFormat="1" applyFont="1" applyBorder="1" applyAlignment="1">
      <alignment/>
    </xf>
    <xf numFmtId="10" fontId="50" fillId="33" borderId="38" xfId="0" applyNumberFormat="1" applyFont="1" applyFill="1" applyBorder="1" applyAlignment="1">
      <alignment/>
    </xf>
    <xf numFmtId="0" fontId="50" fillId="0" borderId="28" xfId="0" applyFont="1" applyBorder="1" applyAlignment="1">
      <alignment/>
    </xf>
    <xf numFmtId="0" fontId="50" fillId="33" borderId="44" xfId="0" applyFont="1" applyFill="1" applyBorder="1" applyAlignment="1">
      <alignment/>
    </xf>
    <xf numFmtId="10" fontId="50" fillId="33" borderId="49" xfId="0" applyNumberFormat="1" applyFont="1" applyFill="1" applyBorder="1" applyAlignment="1">
      <alignment/>
    </xf>
    <xf numFmtId="10" fontId="50" fillId="33" borderId="43" xfId="0" applyNumberFormat="1" applyFont="1" applyFill="1" applyBorder="1" applyAlignment="1">
      <alignment/>
    </xf>
    <xf numFmtId="44" fontId="50" fillId="13" borderId="44" xfId="0" applyNumberFormat="1" applyFont="1" applyFill="1" applyBorder="1" applyAlignment="1">
      <alignment/>
    </xf>
    <xf numFmtId="10" fontId="50" fillId="33" borderId="33" xfId="0" applyNumberFormat="1" applyFont="1" applyFill="1" applyBorder="1" applyAlignment="1">
      <alignment/>
    </xf>
    <xf numFmtId="10" fontId="50" fillId="33" borderId="42" xfId="0" applyNumberFormat="1" applyFont="1" applyFill="1" applyBorder="1" applyAlignment="1">
      <alignment/>
    </xf>
    <xf numFmtId="165" fontId="50" fillId="33" borderId="44" xfId="0" applyNumberFormat="1" applyFont="1" applyFill="1" applyBorder="1" applyAlignment="1">
      <alignment/>
    </xf>
    <xf numFmtId="165" fontId="50" fillId="33" borderId="34" xfId="0" applyNumberFormat="1" applyFont="1" applyFill="1" applyBorder="1" applyAlignment="1">
      <alignment/>
    </xf>
    <xf numFmtId="165" fontId="50" fillId="33" borderId="31" xfId="0" applyNumberFormat="1" applyFont="1" applyFill="1" applyBorder="1" applyAlignment="1">
      <alignment/>
    </xf>
    <xf numFmtId="164" fontId="50" fillId="33" borderId="32" xfId="0" applyNumberFormat="1" applyFont="1" applyFill="1" applyBorder="1" applyAlignment="1">
      <alignment/>
    </xf>
    <xf numFmtId="10" fontId="50" fillId="33" borderId="36" xfId="0" applyNumberFormat="1" applyFont="1" applyFill="1" applyBorder="1" applyAlignment="1">
      <alignment/>
    </xf>
    <xf numFmtId="0" fontId="63" fillId="33" borderId="53" xfId="0" applyFont="1" applyFill="1" applyBorder="1" applyAlignment="1">
      <alignment/>
    </xf>
    <xf numFmtId="44" fontId="50" fillId="0" borderId="37" xfId="44" applyFont="1" applyBorder="1" applyAlignment="1">
      <alignment/>
    </xf>
    <xf numFmtId="44" fontId="50" fillId="0" borderId="48" xfId="44" applyFont="1" applyBorder="1" applyAlignment="1">
      <alignment/>
    </xf>
    <xf numFmtId="44" fontId="50" fillId="0" borderId="36" xfId="44" applyFont="1" applyBorder="1" applyAlignment="1">
      <alignment/>
    </xf>
    <xf numFmtId="44" fontId="50" fillId="0" borderId="38" xfId="44" applyFont="1" applyBorder="1" applyAlignment="1">
      <alignment/>
    </xf>
    <xf numFmtId="0" fontId="61" fillId="4" borderId="54" xfId="0" applyFont="1" applyFill="1" applyBorder="1" applyAlignment="1">
      <alignment/>
    </xf>
    <xf numFmtId="0" fontId="61" fillId="4" borderId="55" xfId="0" applyFont="1" applyFill="1" applyBorder="1" applyAlignment="1">
      <alignment/>
    </xf>
    <xf numFmtId="0" fontId="61" fillId="4" borderId="56" xfId="0" applyFont="1" applyFill="1" applyBorder="1" applyAlignment="1">
      <alignment/>
    </xf>
    <xf numFmtId="0" fontId="61" fillId="4" borderId="0" xfId="0" applyFont="1" applyFill="1" applyBorder="1" applyAlignment="1">
      <alignment/>
    </xf>
    <xf numFmtId="0" fontId="51" fillId="33" borderId="15" xfId="0" applyFont="1" applyFill="1" applyBorder="1" applyAlignment="1">
      <alignment horizontal="centerContinuous"/>
    </xf>
    <xf numFmtId="0" fontId="51" fillId="33" borderId="16" xfId="0" applyFont="1" applyFill="1" applyBorder="1" applyAlignment="1">
      <alignment horizontal="centerContinuous"/>
    </xf>
    <xf numFmtId="0" fontId="51" fillId="33" borderId="24" xfId="0" applyFont="1" applyFill="1" applyBorder="1" applyAlignment="1">
      <alignment horizontal="centerContinuous"/>
    </xf>
    <xf numFmtId="42" fontId="51" fillId="33" borderId="37" xfId="44" applyNumberFormat="1" applyFont="1" applyFill="1" applyBorder="1" applyAlignment="1">
      <alignment/>
    </xf>
    <xf numFmtId="42" fontId="58" fillId="4" borderId="40" xfId="44" applyNumberFormat="1" applyFont="1" applyFill="1" applyBorder="1" applyAlignment="1">
      <alignment/>
    </xf>
    <xf numFmtId="44" fontId="64" fillId="4" borderId="40" xfId="44" applyFont="1" applyFill="1" applyBorder="1" applyAlignment="1">
      <alignment horizontal="center"/>
    </xf>
    <xf numFmtId="0" fontId="61" fillId="4" borderId="54" xfId="0" applyFont="1" applyFill="1" applyBorder="1" applyAlignment="1">
      <alignment horizontal="center"/>
    </xf>
    <xf numFmtId="0" fontId="61" fillId="4" borderId="55" xfId="0" applyFont="1" applyFill="1" applyBorder="1" applyAlignment="1">
      <alignment horizontal="center"/>
    </xf>
    <xf numFmtId="0" fontId="61" fillId="4" borderId="57" xfId="0" applyFont="1" applyFill="1" applyBorder="1" applyAlignment="1">
      <alignment horizontal="center"/>
    </xf>
    <xf numFmtId="44" fontId="50" fillId="33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ldcat\Documents\career\duph%20and%20phelps%20comp\d&amp;p%20comp\23-12-YHOO-LBO-Model-Debt-Schedules-Mandatory-Repayments-Af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YHOO-Valu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wn\AppData\Roaming\Microsoft\AddIns\TTS_Turbo_Macros_v5.0.tt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Revenue Build"/>
      <sheetName val="Expense Build"/>
      <sheetName val="Operating Model"/>
      <sheetName val="Valuation Summary"/>
      <sheetName val="Valuation Graph"/>
      <sheetName val="Public Comps"/>
      <sheetName val="Public-Comps-Data"/>
      <sheetName val="YHOO-Equity-Interests"/>
      <sheetName val="YHOO-NOLs"/>
      <sheetName val="M&amp;A-Comps"/>
      <sheetName val="M&amp;A-Comps-Data"/>
      <sheetName val="M&amp;A-Premiums"/>
      <sheetName val="DCF"/>
      <sheetName val="WACC"/>
      <sheetName val="Future-Share-Price"/>
      <sheetName val="Sum-of-Parts"/>
      <sheetName val="Liquidation"/>
      <sheetName val="Share-Calculations"/>
      <sheetName val="Transaction-Summary"/>
      <sheetName val="Merger-Model"/>
      <sheetName val="MSFT-Financials"/>
      <sheetName val="Synergies"/>
      <sheetName val="Tax Schedule"/>
      <sheetName val="Contribution-Analysis"/>
      <sheetName val="LBO-Model"/>
    </sheetNames>
    <sheetDataSet>
      <sheetData sheetId="0">
        <row r="4">
          <cell r="E4" t="str">
            <v>Yahoo! Inc.</v>
          </cell>
          <cell r="L4">
            <v>0.4</v>
          </cell>
        </row>
        <row r="5">
          <cell r="E5" t="str">
            <v>YHOO</v>
          </cell>
        </row>
        <row r="6">
          <cell r="E6">
            <v>39447</v>
          </cell>
        </row>
        <row r="8">
          <cell r="E8">
            <v>39994</v>
          </cell>
        </row>
        <row r="9">
          <cell r="E9">
            <v>39447</v>
          </cell>
        </row>
        <row r="10">
          <cell r="E10">
            <v>40543</v>
          </cell>
        </row>
        <row r="12">
          <cell r="E12">
            <v>1</v>
          </cell>
          <cell r="F12" t="str">
            <v>Base</v>
          </cell>
        </row>
        <row r="15">
          <cell r="L15" t="str">
            <v>TTM</v>
          </cell>
        </row>
        <row r="16">
          <cell r="I16" t="str">
            <v>Forward Year 1</v>
          </cell>
          <cell r="L16">
            <v>39813</v>
          </cell>
        </row>
        <row r="17">
          <cell r="E17">
            <v>365</v>
          </cell>
          <cell r="I17" t="str">
            <v>Forward Year 2</v>
          </cell>
          <cell r="L17">
            <v>40178</v>
          </cell>
        </row>
        <row r="18">
          <cell r="E18">
            <v>1000000</v>
          </cell>
          <cell r="L18">
            <v>40543</v>
          </cell>
        </row>
      </sheetData>
      <sheetData sheetId="7">
        <row r="2">
          <cell r="G2" t="str">
            <v>GOOG</v>
          </cell>
          <cell r="L2" t="str">
            <v>EBAY</v>
          </cell>
          <cell r="Q2" t="str">
            <v>AMZN</v>
          </cell>
          <cell r="V2" t="str">
            <v>IACI</v>
          </cell>
          <cell r="AA2" t="str">
            <v>YHOO</v>
          </cell>
        </row>
        <row r="3">
          <cell r="G3" t="str">
            <v>Google Inc.</v>
          </cell>
          <cell r="L3" t="str">
            <v>eBay Inc.</v>
          </cell>
          <cell r="Q3" t="str">
            <v>Amazon.com, Inc.</v>
          </cell>
          <cell r="V3" t="str">
            <v>IAC/InterActiveCorp</v>
          </cell>
          <cell r="AA3" t="str">
            <v>Yahoo! Inc.</v>
          </cell>
        </row>
        <row r="4">
          <cell r="D4" t="str">
            <v>Calendarization</v>
          </cell>
          <cell r="I4" t="str">
            <v>Calendarization</v>
          </cell>
          <cell r="N4" t="str">
            <v>Calendarization</v>
          </cell>
          <cell r="S4" t="str">
            <v>Calendarization</v>
          </cell>
          <cell r="X4" t="str">
            <v>Calendarization</v>
          </cell>
        </row>
        <row r="5">
          <cell r="D5" t="str">
            <v>Old Partial</v>
          </cell>
          <cell r="E5" t="str">
            <v>New Partial</v>
          </cell>
          <cell r="F5" t="str">
            <v>FY</v>
          </cell>
          <cell r="G5" t="str">
            <v>TTM</v>
          </cell>
          <cell r="I5" t="str">
            <v>Old Partial</v>
          </cell>
          <cell r="J5" t="str">
            <v>New Partial</v>
          </cell>
          <cell r="K5" t="str">
            <v>FY</v>
          </cell>
          <cell r="L5" t="str">
            <v>TTM</v>
          </cell>
          <cell r="N5" t="str">
            <v>Old Partial</v>
          </cell>
          <cell r="O5" t="str">
            <v>New Partial</v>
          </cell>
          <cell r="P5" t="str">
            <v>FY</v>
          </cell>
          <cell r="Q5" t="str">
            <v>TTM</v>
          </cell>
          <cell r="S5" t="str">
            <v>Old Partial</v>
          </cell>
          <cell r="T5" t="str">
            <v>New Partial</v>
          </cell>
          <cell r="U5" t="str">
            <v>FY</v>
          </cell>
          <cell r="V5" t="str">
            <v>TTM</v>
          </cell>
          <cell r="X5" t="str">
            <v>Old Partial</v>
          </cell>
          <cell r="Y5" t="str">
            <v>New Partial</v>
          </cell>
          <cell r="Z5" t="str">
            <v>FY</v>
          </cell>
          <cell r="AA5" t="str">
            <v>TTM</v>
          </cell>
        </row>
        <row r="6">
          <cell r="F6">
            <v>11660.086000000001</v>
          </cell>
          <cell r="G6">
            <v>11660.086000000001</v>
          </cell>
          <cell r="K6">
            <v>7672.329</v>
          </cell>
          <cell r="L6">
            <v>7672.329</v>
          </cell>
          <cell r="P6">
            <v>14835</v>
          </cell>
          <cell r="Q6">
            <v>14835</v>
          </cell>
          <cell r="U6">
            <v>6373.41</v>
          </cell>
          <cell r="V6">
            <v>6373.41</v>
          </cell>
          <cell r="Z6">
            <v>5112.572</v>
          </cell>
          <cell r="AA6">
            <v>5112.572</v>
          </cell>
        </row>
        <row r="7">
          <cell r="F7">
            <v>1715.1850000000004</v>
          </cell>
          <cell r="G7">
            <v>1715.1850000000004</v>
          </cell>
          <cell r="K7">
            <v>1762.972</v>
          </cell>
          <cell r="L7">
            <v>1762.972</v>
          </cell>
          <cell r="P7">
            <v>11482</v>
          </cell>
          <cell r="Q7">
            <v>11482</v>
          </cell>
          <cell r="U7">
            <v>3374.456</v>
          </cell>
          <cell r="V7">
            <v>3374.456</v>
          </cell>
          <cell r="Z7">
            <v>982.057</v>
          </cell>
          <cell r="AA7">
            <v>982.057</v>
          </cell>
        </row>
        <row r="8">
          <cell r="D8">
            <v>0</v>
          </cell>
          <cell r="E8">
            <v>0</v>
          </cell>
          <cell r="F8">
            <v>9944.901000000002</v>
          </cell>
          <cell r="G8">
            <v>9944.901000000002</v>
          </cell>
          <cell r="I8">
            <v>0</v>
          </cell>
          <cell r="J8">
            <v>0</v>
          </cell>
          <cell r="K8">
            <v>5909.357</v>
          </cell>
          <cell r="L8">
            <v>5909.357</v>
          </cell>
          <cell r="N8">
            <v>0</v>
          </cell>
          <cell r="O8">
            <v>0</v>
          </cell>
          <cell r="P8">
            <v>3353</v>
          </cell>
          <cell r="Q8">
            <v>3353</v>
          </cell>
          <cell r="S8">
            <v>0</v>
          </cell>
          <cell r="T8">
            <v>0</v>
          </cell>
          <cell r="U8">
            <v>2998.9539999999997</v>
          </cell>
          <cell r="V8">
            <v>2998.9539999999997</v>
          </cell>
          <cell r="X8">
            <v>0</v>
          </cell>
          <cell r="Y8">
            <v>0</v>
          </cell>
          <cell r="Z8">
            <v>4130.515</v>
          </cell>
          <cell r="AA8">
            <v>4130.515</v>
          </cell>
        </row>
        <row r="9">
          <cell r="F9">
            <v>4860.500999999998</v>
          </cell>
          <cell r="G9">
            <v>4860.500999999998</v>
          </cell>
          <cell r="K9">
            <v>5296.177</v>
          </cell>
          <cell r="L9">
            <v>5296.177</v>
          </cell>
          <cell r="P9">
            <v>2698</v>
          </cell>
          <cell r="Q9">
            <v>2698</v>
          </cell>
          <cell r="U9">
            <v>3158.5180000000005</v>
          </cell>
          <cell r="V9">
            <v>3158.5180000000005</v>
          </cell>
          <cell r="Z9">
            <v>3435.103</v>
          </cell>
          <cell r="AA9">
            <v>3435.103</v>
          </cell>
        </row>
        <row r="10">
          <cell r="F10">
            <v>589.58</v>
          </cell>
          <cell r="G10">
            <v>589.58</v>
          </cell>
          <cell r="K10">
            <v>137.671</v>
          </cell>
          <cell r="L10">
            <v>137.671</v>
          </cell>
          <cell r="P10">
            <v>5</v>
          </cell>
          <cell r="Q10">
            <v>5</v>
          </cell>
          <cell r="U10">
            <v>87.486</v>
          </cell>
          <cell r="V10">
            <v>87.486</v>
          </cell>
          <cell r="Z10">
            <v>154.011</v>
          </cell>
          <cell r="AA10">
            <v>154.011</v>
          </cell>
        </row>
        <row r="11">
          <cell r="D11">
            <v>0</v>
          </cell>
          <cell r="E11">
            <v>0</v>
          </cell>
          <cell r="F11">
            <v>5673.980000000003</v>
          </cell>
          <cell r="G11">
            <v>5673.980000000003</v>
          </cell>
          <cell r="I11">
            <v>0</v>
          </cell>
          <cell r="J11">
            <v>0</v>
          </cell>
          <cell r="K11">
            <v>750.8510000000003</v>
          </cell>
          <cell r="L11">
            <v>750.8510000000003</v>
          </cell>
          <cell r="N11">
            <v>0</v>
          </cell>
          <cell r="O11">
            <v>0</v>
          </cell>
          <cell r="P11">
            <v>660</v>
          </cell>
          <cell r="Q11">
            <v>660</v>
          </cell>
          <cell r="S11">
            <v>0</v>
          </cell>
          <cell r="T11">
            <v>0</v>
          </cell>
          <cell r="U11">
            <v>-72.07800000000076</v>
          </cell>
          <cell r="V11">
            <v>-72.07800000000076</v>
          </cell>
          <cell r="X11">
            <v>0</v>
          </cell>
          <cell r="Y11">
            <v>0</v>
          </cell>
          <cell r="Z11">
            <v>849.4230000000002</v>
          </cell>
          <cell r="AA11">
            <v>849.4230000000002</v>
          </cell>
        </row>
        <row r="12">
          <cell r="F12">
            <v>1470.26</v>
          </cell>
          <cell r="G12">
            <v>1470.26</v>
          </cell>
          <cell r="K12">
            <v>402.6</v>
          </cell>
          <cell r="L12">
            <v>402.6</v>
          </cell>
          <cell r="P12">
            <v>184</v>
          </cell>
          <cell r="Q12">
            <v>184</v>
          </cell>
          <cell r="U12">
            <v>138.052</v>
          </cell>
          <cell r="V12">
            <v>138.052</v>
          </cell>
          <cell r="Z12">
            <v>337.263</v>
          </cell>
          <cell r="AA12">
            <v>337.263</v>
          </cell>
        </row>
        <row r="13">
          <cell r="F13">
            <v>0</v>
          </cell>
          <cell r="G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U13">
            <v>4.561</v>
          </cell>
          <cell r="V13">
            <v>4.561</v>
          </cell>
          <cell r="Z13">
            <v>-2.85</v>
          </cell>
          <cell r="AA13">
            <v>-2.85</v>
          </cell>
        </row>
        <row r="14">
          <cell r="D14">
            <v>0</v>
          </cell>
          <cell r="E14">
            <v>0</v>
          </cell>
          <cell r="F14">
            <v>4203.720000000003</v>
          </cell>
          <cell r="G14">
            <v>4203.720000000003</v>
          </cell>
          <cell r="I14">
            <v>0</v>
          </cell>
          <cell r="J14">
            <v>0</v>
          </cell>
          <cell r="K14">
            <v>348.2510000000003</v>
          </cell>
          <cell r="L14">
            <v>348.2510000000003</v>
          </cell>
          <cell r="N14">
            <v>0</v>
          </cell>
          <cell r="O14">
            <v>0</v>
          </cell>
          <cell r="P14">
            <v>476</v>
          </cell>
          <cell r="Q14">
            <v>476</v>
          </cell>
          <cell r="S14">
            <v>0</v>
          </cell>
          <cell r="T14">
            <v>0</v>
          </cell>
          <cell r="U14">
            <v>-205.56900000000073</v>
          </cell>
          <cell r="V14">
            <v>-205.56900000000073</v>
          </cell>
          <cell r="Z14">
            <v>659.9990000000003</v>
          </cell>
          <cell r="AA14">
            <v>659.9990000000003</v>
          </cell>
        </row>
        <row r="15">
          <cell r="F15">
            <v>159.915</v>
          </cell>
          <cell r="G15">
            <v>159.915</v>
          </cell>
          <cell r="K15">
            <v>204.104</v>
          </cell>
          <cell r="L15">
            <v>204.104</v>
          </cell>
          <cell r="P15">
            <v>129</v>
          </cell>
          <cell r="Q15">
            <v>129</v>
          </cell>
          <cell r="U15">
            <v>206.39499999999998</v>
          </cell>
          <cell r="V15">
            <v>206.39499999999998</v>
          </cell>
          <cell r="Z15">
            <v>249.829</v>
          </cell>
          <cell r="AA15">
            <v>249.829</v>
          </cell>
        </row>
        <row r="16">
          <cell r="F16">
            <v>807.743</v>
          </cell>
          <cell r="G16">
            <v>807.743</v>
          </cell>
          <cell r="K16">
            <v>397.60299999999995</v>
          </cell>
          <cell r="L16">
            <v>397.60299999999995</v>
          </cell>
          <cell r="P16">
            <v>117</v>
          </cell>
          <cell r="Q16">
            <v>117</v>
          </cell>
          <cell r="U16">
            <v>156.416</v>
          </cell>
          <cell r="V16">
            <v>156.416</v>
          </cell>
          <cell r="Z16">
            <v>409.366</v>
          </cell>
          <cell r="AA16">
            <v>409.366</v>
          </cell>
        </row>
        <row r="17">
          <cell r="F17">
            <v>868.646</v>
          </cell>
          <cell r="G17">
            <v>868.646</v>
          </cell>
          <cell r="K17">
            <v>301.813</v>
          </cell>
          <cell r="L17">
            <v>301.813</v>
          </cell>
          <cell r="P17">
            <v>185</v>
          </cell>
          <cell r="Q17">
            <v>185</v>
          </cell>
          <cell r="U17">
            <v>105.612</v>
          </cell>
          <cell r="V17">
            <v>105.612</v>
          </cell>
          <cell r="Z17">
            <v>572.427</v>
          </cell>
          <cell r="AA17">
            <v>572.427</v>
          </cell>
        </row>
        <row r="18">
          <cell r="F18">
            <v>0</v>
          </cell>
          <cell r="G18">
            <v>0</v>
          </cell>
          <cell r="K18">
            <v>1390.938</v>
          </cell>
          <cell r="L18">
            <v>1390.938</v>
          </cell>
          <cell r="P18">
            <v>9</v>
          </cell>
          <cell r="Q18">
            <v>9</v>
          </cell>
          <cell r="U18">
            <v>507.764</v>
          </cell>
          <cell r="V18">
            <v>507.764</v>
          </cell>
          <cell r="Z18">
            <v>0</v>
          </cell>
          <cell r="AA18">
            <v>0</v>
          </cell>
        </row>
        <row r="19">
          <cell r="G19">
            <v>0.35</v>
          </cell>
          <cell r="L19">
            <v>0.35</v>
          </cell>
          <cell r="Q19">
            <v>0.35</v>
          </cell>
          <cell r="V19">
            <v>0.35</v>
          </cell>
          <cell r="AA19">
            <v>0.4</v>
          </cell>
        </row>
        <row r="21">
          <cell r="D21">
            <v>0</v>
          </cell>
          <cell r="E21">
            <v>0</v>
          </cell>
          <cell r="F21">
            <v>4356.651650000002</v>
          </cell>
          <cell r="G21">
            <v>4356.651650000002</v>
          </cell>
          <cell r="I21">
            <v>0</v>
          </cell>
          <cell r="J21">
            <v>0</v>
          </cell>
          <cell r="K21">
            <v>1721.0089000000005</v>
          </cell>
          <cell r="L21">
            <v>1721.0089000000005</v>
          </cell>
          <cell r="N21">
            <v>0</v>
          </cell>
          <cell r="O21">
            <v>0</v>
          </cell>
          <cell r="P21">
            <v>638.95</v>
          </cell>
          <cell r="Q21">
            <v>638.95</v>
          </cell>
          <cell r="S21">
            <v>0</v>
          </cell>
          <cell r="T21">
            <v>0</v>
          </cell>
          <cell r="U21">
            <v>490.56144999999947</v>
          </cell>
          <cell r="V21">
            <v>490.56144999999947</v>
          </cell>
          <cell r="X21">
            <v>0</v>
          </cell>
          <cell r="Y21">
            <v>0</v>
          </cell>
          <cell r="Z21">
            <v>1150.8464000000001</v>
          </cell>
          <cell r="AA21">
            <v>1150.8464000000001</v>
          </cell>
        </row>
        <row r="22">
          <cell r="G22">
            <v>13.683244682869462</v>
          </cell>
          <cell r="L22">
            <v>1.29599204709293</v>
          </cell>
          <cell r="Q22">
            <v>1.4834390979014545</v>
          </cell>
          <cell r="V22">
            <v>1.732352055141765</v>
          </cell>
          <cell r="AA22">
            <v>0.8606614425501636</v>
          </cell>
        </row>
        <row r="24">
          <cell r="D24">
            <v>0</v>
          </cell>
          <cell r="E24">
            <v>0</v>
          </cell>
          <cell r="F24">
            <v>6920.704000000003</v>
          </cell>
          <cell r="G24">
            <v>6920.704000000003</v>
          </cell>
          <cell r="I24">
            <v>0</v>
          </cell>
          <cell r="J24">
            <v>0</v>
          </cell>
          <cell r="K24">
            <v>2907.6380000000004</v>
          </cell>
          <cell r="L24">
            <v>2907.6380000000004</v>
          </cell>
          <cell r="N24">
            <v>0</v>
          </cell>
          <cell r="O24">
            <v>0</v>
          </cell>
          <cell r="P24">
            <v>1095</v>
          </cell>
          <cell r="Q24">
            <v>1095</v>
          </cell>
          <cell r="S24">
            <v>0</v>
          </cell>
          <cell r="T24">
            <v>0</v>
          </cell>
          <cell r="U24">
            <v>816.6229999999993</v>
          </cell>
          <cell r="V24">
            <v>816.6229999999993</v>
          </cell>
          <cell r="X24">
            <v>0</v>
          </cell>
          <cell r="Y24">
            <v>0</v>
          </cell>
          <cell r="Z24">
            <v>1927.034</v>
          </cell>
          <cell r="AA24">
            <v>1927.034</v>
          </cell>
        </row>
        <row r="25">
          <cell r="D25">
            <v>0</v>
          </cell>
          <cell r="E25">
            <v>0</v>
          </cell>
          <cell r="F25">
            <v>5953.046000000003</v>
          </cell>
          <cell r="G25">
            <v>5953.046000000003</v>
          </cell>
          <cell r="I25">
            <v>0</v>
          </cell>
          <cell r="J25">
            <v>0</v>
          </cell>
          <cell r="K25">
            <v>2305.9310000000005</v>
          </cell>
          <cell r="L25">
            <v>2305.9310000000005</v>
          </cell>
          <cell r="N25">
            <v>0</v>
          </cell>
          <cell r="O25">
            <v>0</v>
          </cell>
          <cell r="P25">
            <v>849</v>
          </cell>
          <cell r="Q25">
            <v>849</v>
          </cell>
          <cell r="S25">
            <v>0</v>
          </cell>
          <cell r="T25">
            <v>0</v>
          </cell>
          <cell r="U25">
            <v>453.8119999999992</v>
          </cell>
          <cell r="V25">
            <v>453.8119999999992</v>
          </cell>
          <cell r="X25">
            <v>0</v>
          </cell>
          <cell r="Y25">
            <v>0</v>
          </cell>
          <cell r="Z25">
            <v>1267.8390000000004</v>
          </cell>
          <cell r="AA25">
            <v>1267.8390000000004</v>
          </cell>
        </row>
        <row r="27">
          <cell r="D27" t="str">
            <v>Balance Sheet Data</v>
          </cell>
          <cell r="I27" t="str">
            <v>Balance Sheet Data</v>
          </cell>
          <cell r="N27" t="str">
            <v>Balance Sheet Data</v>
          </cell>
          <cell r="S27" t="str">
            <v>Balance Sheet Data</v>
          </cell>
        </row>
        <row r="28">
          <cell r="G28">
            <v>15278.307</v>
          </cell>
          <cell r="L28">
            <v>5035.692</v>
          </cell>
          <cell r="Q28">
            <v>3112</v>
          </cell>
          <cell r="V28">
            <v>2386.109</v>
          </cell>
          <cell r="AA28">
            <v>2363.472</v>
          </cell>
        </row>
        <row r="29">
          <cell r="G29">
            <v>0</v>
          </cell>
          <cell r="L29">
            <v>0</v>
          </cell>
          <cell r="Q29">
            <v>1299</v>
          </cell>
          <cell r="V29">
            <v>946.423</v>
          </cell>
          <cell r="AA29">
            <v>749.628</v>
          </cell>
        </row>
        <row r="30">
          <cell r="G30">
            <v>0</v>
          </cell>
          <cell r="L30">
            <v>0</v>
          </cell>
          <cell r="Q30">
            <v>0</v>
          </cell>
          <cell r="V30">
            <v>0</v>
          </cell>
          <cell r="AA30">
            <v>0</v>
          </cell>
        </row>
        <row r="31">
          <cell r="G31">
            <v>0</v>
          </cell>
          <cell r="L31">
            <v>0</v>
          </cell>
          <cell r="Q31">
            <v>0</v>
          </cell>
          <cell r="V31">
            <v>40.481</v>
          </cell>
          <cell r="AA31">
            <v>12.254</v>
          </cell>
        </row>
        <row r="33">
          <cell r="D33" t="str">
            <v>Equity Research Projections</v>
          </cell>
          <cell r="I33" t="str">
            <v>Equity Research Projections</v>
          </cell>
          <cell r="N33" t="str">
            <v>Equity Research Projections</v>
          </cell>
          <cell r="S33" t="str">
            <v>Equity Research Projections</v>
          </cell>
          <cell r="X33" t="str">
            <v>Projections</v>
          </cell>
        </row>
        <row r="34">
          <cell r="D34">
            <v>39813</v>
          </cell>
          <cell r="E34">
            <v>40178</v>
          </cell>
          <cell r="F34">
            <v>40543</v>
          </cell>
          <cell r="I34">
            <v>39813</v>
          </cell>
          <cell r="J34">
            <v>40178</v>
          </cell>
          <cell r="K34">
            <v>40543</v>
          </cell>
          <cell r="N34">
            <v>39813</v>
          </cell>
          <cell r="O34">
            <v>40178</v>
          </cell>
          <cell r="P34">
            <v>40543</v>
          </cell>
          <cell r="S34">
            <v>39813</v>
          </cell>
          <cell r="T34">
            <v>40178</v>
          </cell>
          <cell r="U34">
            <v>40543</v>
          </cell>
          <cell r="X34">
            <v>39813</v>
          </cell>
          <cell r="Y34">
            <v>40178</v>
          </cell>
          <cell r="Z34">
            <v>40543</v>
          </cell>
        </row>
        <row r="35">
          <cell r="G35" t="str">
            <v>CS</v>
          </cell>
          <cell r="L35" t="str">
            <v>CS</v>
          </cell>
          <cell r="Q35" t="str">
            <v>Canaccord</v>
          </cell>
          <cell r="V35" t="str">
            <v>Oppenh.</v>
          </cell>
          <cell r="AA35" t="str">
            <v>N/A</v>
          </cell>
        </row>
        <row r="36">
          <cell r="G36" t="str">
            <v>3.26.08</v>
          </cell>
          <cell r="L36" t="str">
            <v>3.11.08</v>
          </cell>
          <cell r="Q36" t="str">
            <v>3.17.08</v>
          </cell>
          <cell r="V36" t="str">
            <v>3.4.08</v>
          </cell>
          <cell r="AA36" t="str">
            <v>N/A</v>
          </cell>
        </row>
        <row r="37">
          <cell r="D37">
            <v>17212.3</v>
          </cell>
          <cell r="E37">
            <v>23582.8</v>
          </cell>
          <cell r="F37" t="str">
            <v>N/A</v>
          </cell>
          <cell r="I37">
            <v>8674</v>
          </cell>
          <cell r="J37">
            <v>9977.9</v>
          </cell>
          <cell r="K37" t="str">
            <v>N/A</v>
          </cell>
          <cell r="N37">
            <v>19258</v>
          </cell>
          <cell r="O37">
            <v>23102</v>
          </cell>
          <cell r="P37" t="str">
            <v>N/A</v>
          </cell>
          <cell r="S37">
            <v>6817.4</v>
          </cell>
          <cell r="T37">
            <v>7462.5</v>
          </cell>
          <cell r="U37" t="str">
            <v>N/A</v>
          </cell>
          <cell r="X37">
            <v>5800.6792722400005</v>
          </cell>
          <cell r="Y37">
            <v>6499.7832878501285</v>
          </cell>
          <cell r="Z37">
            <v>7217.2457674924335</v>
          </cell>
        </row>
        <row r="38">
          <cell r="D38">
            <v>10118</v>
          </cell>
          <cell r="E38">
            <v>13567</v>
          </cell>
          <cell r="F38" t="str">
            <v>N/A</v>
          </cell>
          <cell r="I38">
            <v>3135.2</v>
          </cell>
          <cell r="J38">
            <v>3645.8</v>
          </cell>
          <cell r="K38" t="str">
            <v>N/A</v>
          </cell>
          <cell r="N38">
            <v>1407</v>
          </cell>
          <cell r="O38">
            <v>1783</v>
          </cell>
          <cell r="P38" t="str">
            <v>N/A</v>
          </cell>
          <cell r="S38">
            <v>890.072</v>
          </cell>
          <cell r="T38">
            <v>1047.882</v>
          </cell>
          <cell r="U38" t="str">
            <v>N/A</v>
          </cell>
          <cell r="X38">
            <v>2044.8728779244573</v>
          </cell>
          <cell r="Y38">
            <v>2194.325920683202</v>
          </cell>
          <cell r="Z38">
            <v>2379.509274399389</v>
          </cell>
        </row>
        <row r="39">
          <cell r="D39">
            <v>8674</v>
          </cell>
          <cell r="E39">
            <v>11422</v>
          </cell>
          <cell r="F39" t="str">
            <v>N/A</v>
          </cell>
          <cell r="I39">
            <v>2734.9</v>
          </cell>
          <cell r="J39">
            <v>3139.6</v>
          </cell>
          <cell r="K39" t="str">
            <v>N/A</v>
          </cell>
          <cell r="N39">
            <v>1148</v>
          </cell>
          <cell r="O39">
            <v>1497</v>
          </cell>
          <cell r="P39" t="str">
            <v>N/A</v>
          </cell>
          <cell r="S39">
            <v>443.144</v>
          </cell>
          <cell r="T39">
            <v>578.8820000000001</v>
          </cell>
          <cell r="U39" t="str">
            <v>N/A</v>
          </cell>
          <cell r="X39">
            <v>1432.8207579244572</v>
          </cell>
          <cell r="Y39">
            <v>1578.32069072897</v>
          </cell>
          <cell r="Z39">
            <v>1671.0582269896497</v>
          </cell>
        </row>
        <row r="40">
          <cell r="D40">
            <v>21.16</v>
          </cell>
          <cell r="E40">
            <v>26.93</v>
          </cell>
          <cell r="F40" t="str">
            <v>N/A</v>
          </cell>
          <cell r="I40">
            <v>1.65</v>
          </cell>
          <cell r="J40">
            <v>1.94</v>
          </cell>
          <cell r="K40" t="str">
            <v>N/A</v>
          </cell>
          <cell r="N40">
            <v>1.86</v>
          </cell>
          <cell r="O40">
            <v>2.4</v>
          </cell>
          <cell r="P40" t="str">
            <v>N/A</v>
          </cell>
          <cell r="S40">
            <v>1.61</v>
          </cell>
          <cell r="T40">
            <v>1.97</v>
          </cell>
          <cell r="U40" t="str">
            <v>N/A</v>
          </cell>
          <cell r="X40">
            <v>0.8592783570447629</v>
          </cell>
          <cell r="Y40">
            <v>0.8693838543491199</v>
          </cell>
          <cell r="Z40">
            <v>0.8963083911058087</v>
          </cell>
        </row>
        <row r="42">
          <cell r="D42" t="str">
            <v>Diluted Shares Calculation</v>
          </cell>
          <cell r="I42" t="str">
            <v>Diluted Shares Calculation</v>
          </cell>
          <cell r="N42" t="str">
            <v>Diluted Shares Calculation</v>
          </cell>
          <cell r="S42" t="str">
            <v>Diluted Shares Calculation</v>
          </cell>
        </row>
        <row r="43">
          <cell r="G43">
            <v>548.27</v>
          </cell>
          <cell r="L43">
            <v>26.3</v>
          </cell>
          <cell r="Q43">
            <v>74.21</v>
          </cell>
          <cell r="V43">
            <v>50.88</v>
          </cell>
          <cell r="AA43">
            <v>19.05</v>
          </cell>
          <cell r="AB43">
            <v>23.72</v>
          </cell>
        </row>
        <row r="44">
          <cell r="G44">
            <v>313.378888</v>
          </cell>
          <cell r="L44">
            <v>1327.947115</v>
          </cell>
          <cell r="Q44">
            <v>416.81769</v>
          </cell>
          <cell r="V44">
            <v>277.990808</v>
          </cell>
          <cell r="AA44">
            <v>1337.165049</v>
          </cell>
        </row>
        <row r="46">
          <cell r="E46" t="str">
            <v>Total</v>
          </cell>
          <cell r="F46" t="str">
            <v>Strike</v>
          </cell>
          <cell r="G46" t="str">
            <v>Dilution</v>
          </cell>
          <cell r="J46" t="str">
            <v>Total</v>
          </cell>
          <cell r="K46" t="str">
            <v>Strike</v>
          </cell>
          <cell r="L46" t="str">
            <v>Dilution</v>
          </cell>
          <cell r="O46" t="str">
            <v>Total</v>
          </cell>
          <cell r="P46" t="str">
            <v>Strike</v>
          </cell>
          <cell r="Q46" t="str">
            <v>Dilution</v>
          </cell>
          <cell r="T46" t="str">
            <v>Total</v>
          </cell>
          <cell r="U46" t="str">
            <v>Strike</v>
          </cell>
          <cell r="V46" t="str">
            <v>Dilution</v>
          </cell>
          <cell r="Y46" t="str">
            <v>Total</v>
          </cell>
          <cell r="Z46" t="str">
            <v>Strike</v>
          </cell>
          <cell r="AA46" t="str">
            <v>Dilution</v>
          </cell>
        </row>
        <row r="47">
          <cell r="E47">
            <v>2.278633</v>
          </cell>
          <cell r="F47">
            <v>18.07</v>
          </cell>
          <cell r="G47">
            <v>2.203533325916063</v>
          </cell>
          <cell r="J47">
            <v>117.862</v>
          </cell>
          <cell r="K47">
            <v>32.45</v>
          </cell>
          <cell r="L47">
            <v>0</v>
          </cell>
          <cell r="O47">
            <v>18.182309999999973</v>
          </cell>
          <cell r="P47">
            <v>17.46</v>
          </cell>
          <cell r="Q47">
            <v>13.904407660692607</v>
          </cell>
          <cell r="T47">
            <v>0.912</v>
          </cell>
          <cell r="U47">
            <v>6.05</v>
          </cell>
          <cell r="V47">
            <v>0.803556603773585</v>
          </cell>
          <cell r="Y47">
            <v>180.397</v>
          </cell>
          <cell r="Z47">
            <v>29.36</v>
          </cell>
          <cell r="AA47">
            <v>0</v>
          </cell>
        </row>
        <row r="48">
          <cell r="E48">
            <v>1.678669</v>
          </cell>
          <cell r="F48">
            <v>176.42</v>
          </cell>
          <cell r="G48">
            <v>1.138513994291134</v>
          </cell>
          <cell r="L48">
            <v>0</v>
          </cell>
          <cell r="Q48">
            <v>0</v>
          </cell>
          <cell r="T48">
            <v>1.678</v>
          </cell>
          <cell r="U48">
            <v>14.64</v>
          </cell>
          <cell r="V48">
            <v>1.1951792452830188</v>
          </cell>
          <cell r="Y48">
            <v>36.56721951219512</v>
          </cell>
          <cell r="Z48">
            <v>22.55</v>
          </cell>
          <cell r="AA48">
            <v>0</v>
          </cell>
        </row>
        <row r="49">
          <cell r="E49">
            <v>1.391439</v>
          </cell>
          <cell r="F49">
            <v>274.52</v>
          </cell>
          <cell r="G49">
            <v>0.6947424193371879</v>
          </cell>
          <cell r="L49">
            <v>0</v>
          </cell>
          <cell r="Q49">
            <v>0</v>
          </cell>
          <cell r="T49">
            <v>3.455</v>
          </cell>
          <cell r="U49">
            <v>25.18</v>
          </cell>
          <cell r="V49">
            <v>1.7451552672955977</v>
          </cell>
          <cell r="AA49">
            <v>0</v>
          </cell>
        </row>
        <row r="50">
          <cell r="E50">
            <v>1.789518</v>
          </cell>
          <cell r="F50">
            <v>329.55</v>
          </cell>
          <cell r="G50">
            <v>0.7138880058365404</v>
          </cell>
          <cell r="L50">
            <v>0</v>
          </cell>
          <cell r="Q50">
            <v>0</v>
          </cell>
          <cell r="T50">
            <v>4.027</v>
          </cell>
          <cell r="U50">
            <v>34.28</v>
          </cell>
          <cell r="V50">
            <v>1.313840408805031</v>
          </cell>
          <cell r="AA50">
            <v>0</v>
          </cell>
        </row>
        <row r="51">
          <cell r="E51">
            <v>1.469211</v>
          </cell>
          <cell r="F51">
            <v>449.9</v>
          </cell>
          <cell r="G51">
            <v>0.26360422067594436</v>
          </cell>
          <cell r="L51">
            <v>0</v>
          </cell>
          <cell r="Q51">
            <v>0</v>
          </cell>
          <cell r="T51">
            <v>1.866</v>
          </cell>
          <cell r="U51">
            <v>47.39</v>
          </cell>
          <cell r="V51">
            <v>0.127994103773585</v>
          </cell>
          <cell r="AA51">
            <v>0</v>
          </cell>
        </row>
        <row r="52">
          <cell r="E52">
            <v>3.721507</v>
          </cell>
          <cell r="F52">
            <v>556.92</v>
          </cell>
          <cell r="G52">
            <v>0</v>
          </cell>
          <cell r="L52">
            <v>0</v>
          </cell>
          <cell r="Q52">
            <v>0</v>
          </cell>
          <cell r="T52">
            <v>0.06</v>
          </cell>
          <cell r="U52">
            <v>51.23</v>
          </cell>
          <cell r="V52">
            <v>0</v>
          </cell>
          <cell r="AA52">
            <v>0</v>
          </cell>
        </row>
        <row r="53">
          <cell r="E53">
            <v>0.150577</v>
          </cell>
          <cell r="F53">
            <v>663.13</v>
          </cell>
          <cell r="G53">
            <v>0</v>
          </cell>
          <cell r="L53">
            <v>0</v>
          </cell>
          <cell r="Q53">
            <v>0</v>
          </cell>
          <cell r="T53">
            <v>0.01</v>
          </cell>
          <cell r="U53">
            <v>68.18</v>
          </cell>
          <cell r="V53">
            <v>0</v>
          </cell>
          <cell r="AA53">
            <v>0</v>
          </cell>
        </row>
        <row r="54">
          <cell r="E54">
            <v>0.052653</v>
          </cell>
          <cell r="F54">
            <v>718.16</v>
          </cell>
          <cell r="G54">
            <v>0</v>
          </cell>
          <cell r="L54">
            <v>0</v>
          </cell>
          <cell r="Q54">
            <v>0</v>
          </cell>
          <cell r="T54">
            <v>0.002</v>
          </cell>
          <cell r="U54">
            <v>71.91</v>
          </cell>
          <cell r="V54">
            <v>0</v>
          </cell>
          <cell r="AA54">
            <v>0</v>
          </cell>
        </row>
        <row r="55">
          <cell r="G55">
            <v>0</v>
          </cell>
          <cell r="L55">
            <v>0</v>
          </cell>
          <cell r="Q55">
            <v>0</v>
          </cell>
          <cell r="T55">
            <v>0.024</v>
          </cell>
          <cell r="U55">
            <v>102.12</v>
          </cell>
          <cell r="V55">
            <v>0</v>
          </cell>
          <cell r="AA55">
            <v>0</v>
          </cell>
        </row>
        <row r="56">
          <cell r="G56">
            <v>318.3931699660569</v>
          </cell>
          <cell r="L56">
            <v>1327.947115</v>
          </cell>
          <cell r="Q56">
            <v>430.7220976606926</v>
          </cell>
          <cell r="V56">
            <v>283.1765336289308</v>
          </cell>
          <cell r="AA56">
            <v>1337.165049</v>
          </cell>
        </row>
        <row r="58">
          <cell r="D58" t="str">
            <v>Valuation Metrics</v>
          </cell>
          <cell r="I58" t="str">
            <v>Valuation Metrics</v>
          </cell>
          <cell r="N58" t="str">
            <v>Valuation Metrics</v>
          </cell>
          <cell r="S58" t="str">
            <v>Valuation Metrics</v>
          </cell>
        </row>
        <row r="60">
          <cell r="G60">
            <v>174565.42329729002</v>
          </cell>
          <cell r="L60">
            <v>34925.0091245</v>
          </cell>
          <cell r="Q60">
            <v>31963.886867399997</v>
          </cell>
          <cell r="V60">
            <v>14408.022031040002</v>
          </cell>
          <cell r="AA60">
            <v>25472.99418345</v>
          </cell>
        </row>
        <row r="61">
          <cell r="G61">
            <v>159287.11629729002</v>
          </cell>
          <cell r="L61">
            <v>29889.3171245</v>
          </cell>
          <cell r="Q61">
            <v>30150.886867399997</v>
          </cell>
          <cell r="V61">
            <v>13008.817031040002</v>
          </cell>
          <cell r="AA61">
            <v>18509.09807875834</v>
          </cell>
        </row>
        <row r="62">
          <cell r="G62">
            <v>1.29</v>
          </cell>
          <cell r="L62">
            <v>1.96</v>
          </cell>
          <cell r="Q62">
            <v>1.28</v>
          </cell>
          <cell r="V62">
            <v>0.8</v>
          </cell>
          <cell r="AA62">
            <v>1.39</v>
          </cell>
        </row>
        <row r="64">
          <cell r="D64" t="str">
            <v>Valuation Multiples</v>
          </cell>
          <cell r="I64" t="str">
            <v>Valuation Multiples</v>
          </cell>
          <cell r="N64" t="str">
            <v>Valuation Multiples</v>
          </cell>
          <cell r="S64" t="str">
            <v>Valuation Multiples</v>
          </cell>
          <cell r="X64" t="str">
            <v>Valuation Multiples</v>
          </cell>
        </row>
        <row r="65">
          <cell r="D65" t="str">
            <v>TTM</v>
          </cell>
          <cell r="E65">
            <v>39813</v>
          </cell>
          <cell r="F65">
            <v>40178</v>
          </cell>
          <cell r="G65">
            <v>40543</v>
          </cell>
          <cell r="I65" t="str">
            <v>TTM</v>
          </cell>
          <cell r="J65">
            <v>39813</v>
          </cell>
          <cell r="K65">
            <v>40178</v>
          </cell>
          <cell r="L65">
            <v>40543</v>
          </cell>
          <cell r="N65" t="str">
            <v>TTM</v>
          </cell>
          <cell r="O65">
            <v>39813</v>
          </cell>
          <cell r="P65">
            <v>40178</v>
          </cell>
          <cell r="Q65">
            <v>40543</v>
          </cell>
          <cell r="S65" t="str">
            <v>TTM</v>
          </cell>
          <cell r="T65">
            <v>39813</v>
          </cell>
          <cell r="U65">
            <v>40178</v>
          </cell>
          <cell r="V65">
            <v>40543</v>
          </cell>
          <cell r="X65" t="str">
            <v>TTM</v>
          </cell>
          <cell r="Y65">
            <v>39813</v>
          </cell>
          <cell r="Z65">
            <v>40178</v>
          </cell>
          <cell r="AA65">
            <v>40543</v>
          </cell>
        </row>
        <row r="66">
          <cell r="D66">
            <v>13.660886917754295</v>
          </cell>
          <cell r="E66">
            <v>9.25426098181475</v>
          </cell>
          <cell r="F66">
            <v>6.754376761762387</v>
          </cell>
          <cell r="G66" t="str">
            <v>N/A</v>
          </cell>
          <cell r="I66">
            <v>3.8957293312760704</v>
          </cell>
          <cell r="J66">
            <v>3.4458516399008534</v>
          </cell>
          <cell r="K66">
            <v>2.995551882109462</v>
          </cell>
          <cell r="L66" t="str">
            <v>N/A</v>
          </cell>
          <cell r="N66">
            <v>2.0324156971621163</v>
          </cell>
          <cell r="O66">
            <v>1.565629186177173</v>
          </cell>
          <cell r="P66">
            <v>1.305120200303004</v>
          </cell>
          <cell r="Q66" t="str">
            <v>N/A</v>
          </cell>
          <cell r="S66">
            <v>2.041107826271965</v>
          </cell>
          <cell r="T66">
            <v>1.908178635702761</v>
          </cell>
          <cell r="U66">
            <v>1.7432250627859298</v>
          </cell>
          <cell r="V66" t="str">
            <v>N/A</v>
          </cell>
          <cell r="X66">
            <v>3.620310497095853</v>
          </cell>
          <cell r="Y66">
            <v>3.190850107389377</v>
          </cell>
          <cell r="Z66">
            <v>2.8476484921207916</v>
          </cell>
          <cell r="AA66">
            <v>2.564565303030987</v>
          </cell>
        </row>
        <row r="67">
          <cell r="D67">
            <v>23.016027892146514</v>
          </cell>
          <cell r="E67">
            <v>15.74294488014331</v>
          </cell>
          <cell r="F67">
            <v>11.7407766121685</v>
          </cell>
          <cell r="G67" t="str">
            <v>N/A</v>
          </cell>
          <cell r="I67">
            <v>10.279586772665647</v>
          </cell>
          <cell r="J67">
            <v>9.533464252519776</v>
          </cell>
          <cell r="K67">
            <v>8.19828765277854</v>
          </cell>
          <cell r="L67" t="str">
            <v>N/A</v>
          </cell>
          <cell r="N67">
            <v>27.535056499908674</v>
          </cell>
          <cell r="O67">
            <v>21.42920175366027</v>
          </cell>
          <cell r="P67">
            <v>16.910200149971956</v>
          </cell>
          <cell r="Q67" t="str">
            <v>N/A</v>
          </cell>
          <cell r="S67">
            <v>15.930015479652194</v>
          </cell>
          <cell r="T67">
            <v>14.615465974707666</v>
          </cell>
          <cell r="U67">
            <v>12.41439115381312</v>
          </cell>
          <cell r="V67" t="str">
            <v>N/A</v>
          </cell>
          <cell r="X67">
            <v>9.604967052350057</v>
          </cell>
          <cell r="Y67">
            <v>9.051466366723512</v>
          </cell>
          <cell r="Z67">
            <v>8.434981287098656</v>
          </cell>
          <cell r="AA67">
            <v>7.77853580059284</v>
          </cell>
        </row>
        <row r="68">
          <cell r="D68">
            <v>26.757246004363136</v>
          </cell>
          <cell r="E68">
            <v>18.36374409698986</v>
          </cell>
          <cell r="F68">
            <v>13.945641419829279</v>
          </cell>
          <cell r="G68" t="str">
            <v>N/A</v>
          </cell>
          <cell r="I68">
            <v>12.961930397960735</v>
          </cell>
          <cell r="J68">
            <v>10.92885192310505</v>
          </cell>
          <cell r="K68">
            <v>9.520103556026246</v>
          </cell>
          <cell r="L68" t="str">
            <v>N/A</v>
          </cell>
          <cell r="N68">
            <v>35.51341209352179</v>
          </cell>
          <cell r="O68">
            <v>26.263838734668987</v>
          </cell>
          <cell r="P68">
            <v>20.140872990915163</v>
          </cell>
          <cell r="Q68" t="str">
            <v>N/A</v>
          </cell>
          <cell r="S68">
            <v>28.665652364944126</v>
          </cell>
          <cell r="T68">
            <v>29.35573319516907</v>
          </cell>
          <cell r="U68">
            <v>22.47231220013751</v>
          </cell>
          <cell r="V68" t="str">
            <v>N/A</v>
          </cell>
          <cell r="X68">
            <v>14.598934153909395</v>
          </cell>
          <cell r="Y68">
            <v>12.91794383658294</v>
          </cell>
          <cell r="Z68">
            <v>11.727083214127825</v>
          </cell>
          <cell r="AA68">
            <v>11.07627357312486</v>
          </cell>
        </row>
        <row r="69">
          <cell r="D69">
            <v>40.068712699875825</v>
          </cell>
          <cell r="E69">
            <v>25.910680529300567</v>
          </cell>
          <cell r="F69">
            <v>20.35907909394727</v>
          </cell>
          <cell r="G69" t="str">
            <v>N/A</v>
          </cell>
          <cell r="I69">
            <v>20.293334406637868</v>
          </cell>
          <cell r="J69">
            <v>15.939393939393941</v>
          </cell>
          <cell r="K69">
            <v>13.556701030927837</v>
          </cell>
          <cell r="L69" t="str">
            <v>N/A</v>
          </cell>
          <cell r="N69">
            <v>50.02564655669457</v>
          </cell>
          <cell r="O69">
            <v>39.897849462365585</v>
          </cell>
          <cell r="P69">
            <v>30.92083333333333</v>
          </cell>
          <cell r="Q69" t="str">
            <v>N/A</v>
          </cell>
          <cell r="S69">
            <v>29.370473425989786</v>
          </cell>
          <cell r="T69">
            <v>31.60248447204969</v>
          </cell>
          <cell r="U69">
            <v>25.827411167512693</v>
          </cell>
          <cell r="V69" t="str">
            <v>N/A</v>
          </cell>
          <cell r="X69">
            <v>22.134138998436278</v>
          </cell>
          <cell r="Y69">
            <v>22.16976587833181</v>
          </cell>
          <cell r="Z69">
            <v>21.912070145657502</v>
          </cell>
          <cell r="AA69">
            <v>21.25384542757355</v>
          </cell>
        </row>
        <row r="71">
          <cell r="D71" t="str">
            <v>Lookup Variables</v>
          </cell>
          <cell r="I71" t="str">
            <v>Lookup Variables</v>
          </cell>
          <cell r="N71" t="str">
            <v>Lookup Variables</v>
          </cell>
          <cell r="S71" t="str">
            <v>Lookup Variables</v>
          </cell>
        </row>
        <row r="73">
          <cell r="G73">
            <v>17212.3</v>
          </cell>
          <cell r="L73">
            <v>8674</v>
          </cell>
          <cell r="Q73">
            <v>19258</v>
          </cell>
          <cell r="V73">
            <v>6817.4</v>
          </cell>
          <cell r="AA73">
            <v>5800.6792722400005</v>
          </cell>
        </row>
        <row r="74">
          <cell r="G74">
            <v>10118</v>
          </cell>
          <cell r="L74">
            <v>3135.2</v>
          </cell>
          <cell r="Q74">
            <v>1407</v>
          </cell>
          <cell r="V74">
            <v>890.072</v>
          </cell>
          <cell r="AA74">
            <v>2044.8728779244573</v>
          </cell>
        </row>
        <row r="75">
          <cell r="G75">
            <v>8674</v>
          </cell>
          <cell r="L75">
            <v>2734.9</v>
          </cell>
          <cell r="Q75">
            <v>1148</v>
          </cell>
          <cell r="V75">
            <v>443.144</v>
          </cell>
          <cell r="AA75">
            <v>1432.8207579244572</v>
          </cell>
        </row>
        <row r="76">
          <cell r="G76">
            <v>21.16</v>
          </cell>
          <cell r="L76">
            <v>1.65</v>
          </cell>
          <cell r="Q76">
            <v>1.86</v>
          </cell>
          <cell r="V76">
            <v>1.61</v>
          </cell>
          <cell r="AA76">
            <v>0.8592783570447629</v>
          </cell>
        </row>
        <row r="78">
          <cell r="G78">
            <v>23582.8</v>
          </cell>
          <cell r="L78">
            <v>9977.9</v>
          </cell>
          <cell r="Q78">
            <v>23102</v>
          </cell>
          <cell r="V78">
            <v>7462.5</v>
          </cell>
          <cell r="AA78">
            <v>6499.7832878501285</v>
          </cell>
        </row>
        <row r="79">
          <cell r="G79">
            <v>13567</v>
          </cell>
          <cell r="L79">
            <v>3645.8</v>
          </cell>
          <cell r="Q79">
            <v>1783</v>
          </cell>
          <cell r="V79">
            <v>1047.882</v>
          </cell>
          <cell r="AA79">
            <v>2194.325920683202</v>
          </cell>
        </row>
        <row r="80">
          <cell r="G80">
            <v>11422</v>
          </cell>
          <cell r="L80">
            <v>3139.6</v>
          </cell>
          <cell r="Q80">
            <v>1497</v>
          </cell>
          <cell r="V80">
            <v>578.8820000000001</v>
          </cell>
          <cell r="AA80">
            <v>1578.32069072897</v>
          </cell>
        </row>
        <row r="81">
          <cell r="G81">
            <v>26.93</v>
          </cell>
          <cell r="L81">
            <v>1.94</v>
          </cell>
          <cell r="Q81">
            <v>2.4</v>
          </cell>
          <cell r="V81">
            <v>1.97</v>
          </cell>
          <cell r="AA81">
            <v>0.8693838543491199</v>
          </cell>
        </row>
        <row r="83">
          <cell r="G83" t="str">
            <v>N/A</v>
          </cell>
          <cell r="L83" t="str">
            <v>N/A</v>
          </cell>
          <cell r="Q83" t="str">
            <v>N/A</v>
          </cell>
          <cell r="V83" t="str">
            <v>N/A</v>
          </cell>
          <cell r="AA83">
            <v>7217.2457674924335</v>
          </cell>
        </row>
        <row r="84">
          <cell r="G84" t="str">
            <v>N/A</v>
          </cell>
          <cell r="L84" t="str">
            <v>N/A</v>
          </cell>
          <cell r="Q84" t="str">
            <v>N/A</v>
          </cell>
          <cell r="V84" t="str">
            <v>N/A</v>
          </cell>
          <cell r="AA84">
            <v>2379.509274399389</v>
          </cell>
        </row>
        <row r="85">
          <cell r="G85" t="str">
            <v>N/A</v>
          </cell>
          <cell r="L85" t="str">
            <v>N/A</v>
          </cell>
          <cell r="Q85" t="str">
            <v>N/A</v>
          </cell>
          <cell r="V85" t="str">
            <v>N/A</v>
          </cell>
          <cell r="AA85">
            <v>1671.0582269896497</v>
          </cell>
        </row>
        <row r="86">
          <cell r="G86" t="str">
            <v>N/A</v>
          </cell>
          <cell r="L86" t="str">
            <v>N/A</v>
          </cell>
          <cell r="Q86" t="str">
            <v>N/A</v>
          </cell>
          <cell r="V86" t="str">
            <v>N/A</v>
          </cell>
          <cell r="AA86">
            <v>0.8963083911058087</v>
          </cell>
        </row>
        <row r="88">
          <cell r="G88">
            <v>13.660886917754295</v>
          </cell>
          <cell r="L88">
            <v>3.8957293312760704</v>
          </cell>
          <cell r="Q88">
            <v>2.0324156971621163</v>
          </cell>
          <cell r="V88">
            <v>2.041107826271965</v>
          </cell>
          <cell r="AA88">
            <v>3.620310497095853</v>
          </cell>
        </row>
        <row r="89">
          <cell r="G89">
            <v>23.016027892146514</v>
          </cell>
          <cell r="L89">
            <v>10.279586772665647</v>
          </cell>
          <cell r="Q89">
            <v>27.535056499908674</v>
          </cell>
          <cell r="V89">
            <v>15.930015479652194</v>
          </cell>
          <cell r="AA89">
            <v>9.604967052350057</v>
          </cell>
        </row>
        <row r="90">
          <cell r="G90">
            <v>26.757246004363136</v>
          </cell>
          <cell r="L90">
            <v>12.961930397960735</v>
          </cell>
          <cell r="Q90">
            <v>35.51341209352179</v>
          </cell>
          <cell r="V90">
            <v>28.665652364944126</v>
          </cell>
          <cell r="AA90">
            <v>14.598934153909395</v>
          </cell>
        </row>
        <row r="91">
          <cell r="G91">
            <v>40.068712699875825</v>
          </cell>
          <cell r="L91">
            <v>20.293334406637868</v>
          </cell>
          <cell r="Q91">
            <v>50.02564655669457</v>
          </cell>
          <cell r="V91">
            <v>29.370473425989786</v>
          </cell>
          <cell r="AA91">
            <v>22.134138998436278</v>
          </cell>
        </row>
        <row r="93">
          <cell r="G93">
            <v>9.25426098181475</v>
          </cell>
          <cell r="L93">
            <v>3.4458516399008534</v>
          </cell>
          <cell r="Q93">
            <v>1.565629186177173</v>
          </cell>
          <cell r="V93">
            <v>1.908178635702761</v>
          </cell>
          <cell r="AA93">
            <v>3.190850107389377</v>
          </cell>
        </row>
        <row r="94">
          <cell r="G94">
            <v>15.74294488014331</v>
          </cell>
          <cell r="L94">
            <v>9.533464252519776</v>
          </cell>
          <cell r="Q94">
            <v>21.42920175366027</v>
          </cell>
          <cell r="V94">
            <v>14.615465974707666</v>
          </cell>
          <cell r="AA94">
            <v>9.051466366723512</v>
          </cell>
        </row>
        <row r="95">
          <cell r="G95">
            <v>18.36374409698986</v>
          </cell>
          <cell r="L95">
            <v>10.92885192310505</v>
          </cell>
          <cell r="Q95">
            <v>26.263838734668987</v>
          </cell>
          <cell r="V95">
            <v>29.35573319516907</v>
          </cell>
          <cell r="AA95">
            <v>12.91794383658294</v>
          </cell>
        </row>
        <row r="96">
          <cell r="G96">
            <v>25.910680529300567</v>
          </cell>
          <cell r="L96">
            <v>15.939393939393941</v>
          </cell>
          <cell r="Q96">
            <v>39.897849462365585</v>
          </cell>
          <cell r="V96">
            <v>31.60248447204969</v>
          </cell>
          <cell r="AA96">
            <v>22.16976587833181</v>
          </cell>
        </row>
        <row r="98">
          <cell r="G98">
            <v>6.754376761762387</v>
          </cell>
          <cell r="L98">
            <v>2.995551882109462</v>
          </cell>
          <cell r="Q98">
            <v>1.305120200303004</v>
          </cell>
          <cell r="V98">
            <v>1.7432250627859298</v>
          </cell>
          <cell r="AA98">
            <v>2.8476484921207916</v>
          </cell>
        </row>
        <row r="99">
          <cell r="G99">
            <v>11.7407766121685</v>
          </cell>
          <cell r="L99">
            <v>8.19828765277854</v>
          </cell>
          <cell r="Q99">
            <v>16.910200149971956</v>
          </cell>
          <cell r="V99">
            <v>12.41439115381312</v>
          </cell>
          <cell r="AA99">
            <v>8.434981287098656</v>
          </cell>
        </row>
        <row r="100">
          <cell r="G100">
            <v>13.945641419829279</v>
          </cell>
          <cell r="L100">
            <v>9.520103556026246</v>
          </cell>
          <cell r="Q100">
            <v>20.140872990915163</v>
          </cell>
          <cell r="V100">
            <v>22.47231220013751</v>
          </cell>
          <cell r="AA100">
            <v>11.727083214127825</v>
          </cell>
        </row>
        <row r="101">
          <cell r="G101">
            <v>20.35907909394727</v>
          </cell>
          <cell r="L101">
            <v>13.556701030927837</v>
          </cell>
          <cell r="Q101">
            <v>30.92083333333333</v>
          </cell>
          <cell r="V101">
            <v>25.827411167512693</v>
          </cell>
          <cell r="AA101">
            <v>21.912070145657502</v>
          </cell>
        </row>
        <row r="103">
          <cell r="G103" t="str">
            <v>N/A</v>
          </cell>
          <cell r="L103" t="str">
            <v>N/A</v>
          </cell>
          <cell r="Q103" t="str">
            <v>N/A</v>
          </cell>
          <cell r="V103" t="str">
            <v>N/A</v>
          </cell>
          <cell r="AA103">
            <v>2.564565303030987</v>
          </cell>
        </row>
        <row r="104">
          <cell r="G104" t="str">
            <v>N/A</v>
          </cell>
          <cell r="L104" t="str">
            <v>N/A</v>
          </cell>
          <cell r="Q104" t="str">
            <v>N/A</v>
          </cell>
          <cell r="V104" t="str">
            <v>N/A</v>
          </cell>
          <cell r="AA104">
            <v>7.77853580059284</v>
          </cell>
        </row>
        <row r="105">
          <cell r="G105" t="str">
            <v>N/A</v>
          </cell>
          <cell r="L105" t="str">
            <v>N/A</v>
          </cell>
          <cell r="Q105" t="str">
            <v>N/A</v>
          </cell>
          <cell r="V105" t="str">
            <v>N/A</v>
          </cell>
          <cell r="AA105">
            <v>11.07627357312486</v>
          </cell>
        </row>
        <row r="106">
          <cell r="G106" t="str">
            <v>N/A</v>
          </cell>
          <cell r="L106" t="str">
            <v>N/A</v>
          </cell>
          <cell r="Q106" t="str">
            <v>N/A</v>
          </cell>
          <cell r="V106" t="str">
            <v>N/A</v>
          </cell>
          <cell r="AA106">
            <v>21.25384542757355</v>
          </cell>
        </row>
      </sheetData>
      <sheetData sheetId="8">
        <row r="24">
          <cell r="E24">
            <v>5362.30610469166</v>
          </cell>
        </row>
      </sheetData>
      <sheetData sheetId="11">
        <row r="2">
          <cell r="G2" t="str">
            <v>AQNT</v>
          </cell>
          <cell r="L2" t="str">
            <v>DBLK</v>
          </cell>
          <cell r="Q2" t="str">
            <v>DTAS</v>
          </cell>
          <cell r="V2" t="str">
            <v>RTMD</v>
          </cell>
          <cell r="AA2" t="str">
            <v>VTRU</v>
          </cell>
          <cell r="AF2" t="str">
            <v>IVIL</v>
          </cell>
          <cell r="AK2" t="str">
            <v>TFSM</v>
          </cell>
        </row>
        <row r="3">
          <cell r="G3" t="str">
            <v>aQuantive</v>
          </cell>
          <cell r="L3" t="str">
            <v>DoubleClick</v>
          </cell>
          <cell r="Q3" t="str">
            <v>Digitas</v>
          </cell>
          <cell r="V3" t="str">
            <v>Right Media (Remaining 80%)</v>
          </cell>
          <cell r="AA3" t="str">
            <v>Vertrue</v>
          </cell>
          <cell r="AF3" t="str">
            <v>iVillage</v>
          </cell>
          <cell r="AK3" t="str">
            <v>24/7 Real Media</v>
          </cell>
        </row>
        <row r="5">
          <cell r="G5" t="str">
            <v>Microsoft</v>
          </cell>
          <cell r="L5" t="str">
            <v>Google</v>
          </cell>
          <cell r="Q5" t="str">
            <v>Publicis</v>
          </cell>
          <cell r="V5" t="str">
            <v>Yahoo</v>
          </cell>
          <cell r="AA5" t="str">
            <v>Investor Group</v>
          </cell>
          <cell r="AF5" t="str">
            <v>NBC Universal</v>
          </cell>
          <cell r="AK5" t="str">
            <v>WPP Group</v>
          </cell>
        </row>
        <row r="6">
          <cell r="D6" t="str">
            <v>Calendarization</v>
          </cell>
          <cell r="I6" t="str">
            <v>Calendarization</v>
          </cell>
          <cell r="N6" t="str">
            <v>Calendarization</v>
          </cell>
          <cell r="S6" t="str">
            <v>Calendarization</v>
          </cell>
          <cell r="X6" t="str">
            <v>Calendarization</v>
          </cell>
          <cell r="AC6" t="str">
            <v>Calendarization</v>
          </cell>
          <cell r="AH6" t="str">
            <v>Calendarization</v>
          </cell>
        </row>
        <row r="7">
          <cell r="D7" t="str">
            <v>Old Partial</v>
          </cell>
          <cell r="E7" t="str">
            <v>New Partial</v>
          </cell>
          <cell r="F7" t="str">
            <v>FY</v>
          </cell>
          <cell r="G7" t="str">
            <v>TTM</v>
          </cell>
          <cell r="I7" t="str">
            <v>Old Partial</v>
          </cell>
          <cell r="J7" t="str">
            <v>New Partial</v>
          </cell>
          <cell r="K7" t="str">
            <v>FY</v>
          </cell>
          <cell r="L7" t="str">
            <v>TTM</v>
          </cell>
          <cell r="N7" t="str">
            <v>Old Partial</v>
          </cell>
          <cell r="O7" t="str">
            <v>New Partial</v>
          </cell>
          <cell r="P7" t="str">
            <v>FY</v>
          </cell>
          <cell r="Q7" t="str">
            <v>TTM</v>
          </cell>
          <cell r="S7" t="str">
            <v>Old Partial</v>
          </cell>
          <cell r="T7" t="str">
            <v>New Partial</v>
          </cell>
          <cell r="U7" t="str">
            <v>FY</v>
          </cell>
          <cell r="V7" t="str">
            <v>TTM</v>
          </cell>
          <cell r="X7" t="str">
            <v>Old Partial</v>
          </cell>
          <cell r="Y7" t="str">
            <v>New Partial</v>
          </cell>
          <cell r="Z7" t="str">
            <v>FY</v>
          </cell>
          <cell r="AA7" t="str">
            <v>TTM</v>
          </cell>
          <cell r="AC7" t="str">
            <v>Old Partial</v>
          </cell>
          <cell r="AD7" t="str">
            <v>New Partial</v>
          </cell>
          <cell r="AE7" t="str">
            <v>FY</v>
          </cell>
          <cell r="AF7" t="str">
            <v>TTM</v>
          </cell>
          <cell r="AH7" t="str">
            <v>Old Partial</v>
          </cell>
          <cell r="AI7" t="str">
            <v>New Partial</v>
          </cell>
          <cell r="AJ7" t="str">
            <v>FY</v>
          </cell>
          <cell r="AK7" t="str">
            <v>TTM</v>
          </cell>
        </row>
        <row r="8">
          <cell r="D8">
            <v>92.185</v>
          </cell>
          <cell r="E8">
            <v>142.621</v>
          </cell>
          <cell r="F8">
            <v>442.211</v>
          </cell>
          <cell r="G8">
            <v>492.647</v>
          </cell>
          <cell r="K8">
            <v>231.8</v>
          </cell>
          <cell r="L8">
            <v>231.8</v>
          </cell>
          <cell r="N8">
            <v>406.449</v>
          </cell>
          <cell r="O8">
            <v>553.684</v>
          </cell>
          <cell r="P8">
            <v>565.497</v>
          </cell>
          <cell r="Q8">
            <v>712.732</v>
          </cell>
          <cell r="U8" t="str">
            <v>N/A</v>
          </cell>
          <cell r="V8" t="str">
            <v>N/A</v>
          </cell>
          <cell r="X8">
            <v>317.658</v>
          </cell>
          <cell r="Y8">
            <v>355.905</v>
          </cell>
          <cell r="Z8">
            <v>658.855</v>
          </cell>
          <cell r="AA8">
            <v>697.102</v>
          </cell>
          <cell r="AE8">
            <v>91.061</v>
          </cell>
          <cell r="AF8">
            <v>91.061</v>
          </cell>
          <cell r="AH8">
            <v>42.941</v>
          </cell>
          <cell r="AI8">
            <v>57.663</v>
          </cell>
          <cell r="AJ8">
            <v>200.243</v>
          </cell>
          <cell r="AK8">
            <v>214.965</v>
          </cell>
        </row>
        <row r="9">
          <cell r="D9">
            <v>13.378</v>
          </cell>
          <cell r="E9">
            <v>23.588</v>
          </cell>
          <cell r="F9">
            <v>67.578</v>
          </cell>
          <cell r="G9">
            <v>77.788</v>
          </cell>
          <cell r="L9">
            <v>0</v>
          </cell>
          <cell r="N9">
            <v>149.013</v>
          </cell>
          <cell r="O9">
            <v>174.298</v>
          </cell>
          <cell r="P9">
            <v>198.066</v>
          </cell>
          <cell r="Q9">
            <v>223.35100000000003</v>
          </cell>
          <cell r="V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E9">
            <v>0</v>
          </cell>
          <cell r="AF9">
            <v>0</v>
          </cell>
          <cell r="AH9">
            <v>27.267</v>
          </cell>
          <cell r="AI9">
            <v>39.053</v>
          </cell>
          <cell r="AJ9">
            <v>129.414</v>
          </cell>
          <cell r="AK9">
            <v>141.2</v>
          </cell>
        </row>
        <row r="10">
          <cell r="D10">
            <v>78.807</v>
          </cell>
          <cell r="E10">
            <v>119.03300000000002</v>
          </cell>
          <cell r="F10">
            <v>374.63300000000004</v>
          </cell>
          <cell r="G10">
            <v>414.85900000000004</v>
          </cell>
          <cell r="I10">
            <v>0</v>
          </cell>
          <cell r="J10">
            <v>0</v>
          </cell>
          <cell r="K10">
            <v>231.8</v>
          </cell>
          <cell r="L10">
            <v>231.8</v>
          </cell>
          <cell r="N10">
            <v>257.43600000000004</v>
          </cell>
          <cell r="O10">
            <v>379.38599999999997</v>
          </cell>
          <cell r="P10">
            <v>367.4309999999999</v>
          </cell>
          <cell r="Q10">
            <v>489.38099999999986</v>
          </cell>
          <cell r="S10" t="str">
            <v>N/A</v>
          </cell>
          <cell r="T10" t="str">
            <v>N/A</v>
          </cell>
          <cell r="U10" t="str">
            <v>N/A</v>
          </cell>
          <cell r="V10" t="str">
            <v>N/A</v>
          </cell>
          <cell r="X10">
            <v>317.658</v>
          </cell>
          <cell r="Y10">
            <v>355.905</v>
          </cell>
          <cell r="Z10">
            <v>658.855</v>
          </cell>
          <cell r="AA10">
            <v>697.102</v>
          </cell>
          <cell r="AC10">
            <v>0</v>
          </cell>
          <cell r="AD10">
            <v>0</v>
          </cell>
          <cell r="AE10">
            <v>91.061</v>
          </cell>
          <cell r="AF10">
            <v>91.061</v>
          </cell>
          <cell r="AH10">
            <v>15.674000000000003</v>
          </cell>
          <cell r="AI10">
            <v>18.61</v>
          </cell>
          <cell r="AJ10">
            <v>70.82900000000001</v>
          </cell>
          <cell r="AK10">
            <v>73.765</v>
          </cell>
        </row>
        <row r="11">
          <cell r="D11">
            <v>67.654</v>
          </cell>
          <cell r="E11">
            <v>100.185</v>
          </cell>
          <cell r="F11">
            <v>298.62699999999995</v>
          </cell>
          <cell r="G11">
            <v>331.15799999999996</v>
          </cell>
          <cell r="L11">
            <v>0</v>
          </cell>
          <cell r="N11">
            <v>229.604</v>
          </cell>
          <cell r="O11">
            <v>350.418</v>
          </cell>
          <cell r="P11">
            <v>329.92099999999994</v>
          </cell>
          <cell r="Q11">
            <v>450.7349999999999</v>
          </cell>
          <cell r="V11">
            <v>0</v>
          </cell>
          <cell r="X11">
            <v>283.12399999999997</v>
          </cell>
          <cell r="Y11">
            <v>323.987</v>
          </cell>
          <cell r="Z11">
            <v>593.514</v>
          </cell>
          <cell r="AA11">
            <v>634.377</v>
          </cell>
          <cell r="AE11">
            <v>83.008</v>
          </cell>
          <cell r="AF11">
            <v>83.008</v>
          </cell>
          <cell r="AH11">
            <v>22.931</v>
          </cell>
          <cell r="AI11">
            <v>18.769</v>
          </cell>
          <cell r="AJ11">
            <v>78.796</v>
          </cell>
          <cell r="AK11">
            <v>74.634</v>
          </cell>
        </row>
        <row r="12">
          <cell r="D12">
            <v>2.036</v>
          </cell>
          <cell r="E12">
            <v>2.743</v>
          </cell>
          <cell r="F12">
            <v>9.33</v>
          </cell>
          <cell r="G12">
            <v>10.037</v>
          </cell>
          <cell r="L12">
            <v>0</v>
          </cell>
          <cell r="N12">
            <v>2.1</v>
          </cell>
          <cell r="O12">
            <v>3.158</v>
          </cell>
          <cell r="P12">
            <v>2.8</v>
          </cell>
          <cell r="Q12">
            <v>3.858</v>
          </cell>
          <cell r="V12">
            <v>0</v>
          </cell>
          <cell r="X12">
            <v>4.633</v>
          </cell>
          <cell r="Y12">
            <v>4.16</v>
          </cell>
          <cell r="Z12">
            <v>8.36</v>
          </cell>
          <cell r="AA12">
            <v>7.887</v>
          </cell>
          <cell r="AE12">
            <v>6.8</v>
          </cell>
          <cell r="AF12">
            <v>6.8</v>
          </cell>
          <cell r="AH12">
            <v>1.042</v>
          </cell>
          <cell r="AI12">
            <v>0.742</v>
          </cell>
          <cell r="AJ12">
            <v>3.861</v>
          </cell>
          <cell r="AK12">
            <v>3.561</v>
          </cell>
        </row>
        <row r="13">
          <cell r="D13">
            <v>3.7630000000000003</v>
          </cell>
          <cell r="E13">
            <v>5.4079999999999995</v>
          </cell>
          <cell r="F13">
            <v>16.445</v>
          </cell>
          <cell r="G13">
            <v>18.09</v>
          </cell>
          <cell r="L13">
            <v>0</v>
          </cell>
          <cell r="N13">
            <v>6.793000000000001</v>
          </cell>
          <cell r="O13">
            <v>8.553</v>
          </cell>
          <cell r="P13">
            <v>9.504000000000001</v>
          </cell>
          <cell r="Q13">
            <v>11.264000000000001</v>
          </cell>
          <cell r="V13">
            <v>0</v>
          </cell>
          <cell r="X13">
            <v>8.392</v>
          </cell>
          <cell r="Y13">
            <v>8.586</v>
          </cell>
          <cell r="Z13">
            <v>17.229</v>
          </cell>
          <cell r="AA13">
            <v>17.423</v>
          </cell>
          <cell r="AE13">
            <v>2.1060000000000008</v>
          </cell>
          <cell r="AF13">
            <v>2.1060000000000008</v>
          </cell>
          <cell r="AH13">
            <v>0.832</v>
          </cell>
          <cell r="AI13">
            <v>1.107</v>
          </cell>
          <cell r="AJ13">
            <v>3.799</v>
          </cell>
          <cell r="AK13">
            <v>4.074</v>
          </cell>
        </row>
        <row r="14">
          <cell r="D14">
            <v>4.749</v>
          </cell>
          <cell r="E14">
            <v>4.704</v>
          </cell>
          <cell r="F14">
            <v>18.554</v>
          </cell>
          <cell r="G14">
            <v>18.509</v>
          </cell>
          <cell r="L14">
            <v>0</v>
          </cell>
          <cell r="N14">
            <v>1.582</v>
          </cell>
          <cell r="O14">
            <v>6.124</v>
          </cell>
          <cell r="P14">
            <v>2.354</v>
          </cell>
          <cell r="Q14">
            <v>6.896</v>
          </cell>
          <cell r="V14">
            <v>0</v>
          </cell>
          <cell r="X14">
            <v>2.25</v>
          </cell>
          <cell r="Y14">
            <v>2.378</v>
          </cell>
          <cell r="Z14">
            <v>4.531</v>
          </cell>
          <cell r="AA14">
            <v>4.659</v>
          </cell>
          <cell r="AE14">
            <v>0.205</v>
          </cell>
          <cell r="AF14">
            <v>0.205</v>
          </cell>
          <cell r="AH14">
            <v>9.039</v>
          </cell>
          <cell r="AI14">
            <v>2.795</v>
          </cell>
          <cell r="AJ14">
            <v>20.447</v>
          </cell>
          <cell r="AK14">
            <v>14.202999999999998</v>
          </cell>
        </row>
        <row r="15">
          <cell r="D15">
            <v>1.9</v>
          </cell>
          <cell r="E15">
            <v>0</v>
          </cell>
          <cell r="F15">
            <v>0</v>
          </cell>
          <cell r="G15">
            <v>-1.9</v>
          </cell>
          <cell r="L15">
            <v>0</v>
          </cell>
          <cell r="N15">
            <v>0</v>
          </cell>
          <cell r="O15">
            <v>2.39</v>
          </cell>
          <cell r="P15">
            <v>0.881</v>
          </cell>
          <cell r="Q15">
            <v>3.271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E15">
            <v>0.188</v>
          </cell>
          <cell r="AF15">
            <v>0.188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</row>
        <row r="17">
          <cell r="D17">
            <v>23.601000000000003</v>
          </cell>
          <cell r="E17">
            <v>31.70300000000001</v>
          </cell>
          <cell r="F17">
            <v>120.3350000000001</v>
          </cell>
          <cell r="G17">
            <v>128.4370000000001</v>
          </cell>
          <cell r="K17">
            <v>71.9</v>
          </cell>
          <cell r="L17">
            <v>71.9</v>
          </cell>
          <cell r="N17">
            <v>38.30700000000002</v>
          </cell>
          <cell r="O17">
            <v>49.19299999999996</v>
          </cell>
          <cell r="P17">
            <v>53.04899999999999</v>
          </cell>
          <cell r="Q17">
            <v>63.93499999999994</v>
          </cell>
          <cell r="U17" t="str">
            <v>N/A</v>
          </cell>
          <cell r="V17" t="str">
            <v>N/A</v>
          </cell>
          <cell r="X17">
            <v>49.809000000000054</v>
          </cell>
          <cell r="Y17">
            <v>47.041999999999945</v>
          </cell>
          <cell r="Z17">
            <v>95.46100000000001</v>
          </cell>
          <cell r="AA17">
            <v>92.6939999999999</v>
          </cell>
          <cell r="AC17">
            <v>0</v>
          </cell>
          <cell r="AD17">
            <v>0</v>
          </cell>
          <cell r="AE17">
            <v>17.35200000000001</v>
          </cell>
          <cell r="AF17">
            <v>17.35200000000001</v>
          </cell>
          <cell r="AH17">
            <v>3.6560000000000015</v>
          </cell>
          <cell r="AI17">
            <v>4.485000000000001</v>
          </cell>
          <cell r="AJ17">
            <v>20.14</v>
          </cell>
          <cell r="AK17">
            <v>20.968999999999998</v>
          </cell>
        </row>
        <row r="18">
          <cell r="D18">
            <v>17.802000000000007</v>
          </cell>
          <cell r="E18">
            <v>23.552000000000014</v>
          </cell>
          <cell r="F18">
            <v>94.56000000000009</v>
          </cell>
          <cell r="G18">
            <v>100.3100000000001</v>
          </cell>
          <cell r="K18" t="str">
            <v>N/A</v>
          </cell>
          <cell r="L18" t="str">
            <v>N/A</v>
          </cell>
          <cell r="N18">
            <v>29.414000000000023</v>
          </cell>
          <cell r="O18">
            <v>37.481999999999964</v>
          </cell>
          <cell r="P18">
            <v>40.74499999999999</v>
          </cell>
          <cell r="Q18">
            <v>48.812999999999924</v>
          </cell>
          <cell r="U18" t="str">
            <v>N/A</v>
          </cell>
          <cell r="V18" t="str">
            <v>N/A</v>
          </cell>
          <cell r="X18">
            <v>36.78400000000005</v>
          </cell>
          <cell r="Y18">
            <v>34.29599999999995</v>
          </cell>
          <cell r="Z18">
            <v>69.87200000000001</v>
          </cell>
          <cell r="AA18">
            <v>67.38399999999992</v>
          </cell>
          <cell r="AC18">
            <v>0</v>
          </cell>
          <cell r="AD18">
            <v>0</v>
          </cell>
          <cell r="AE18">
            <v>8.446000000000012</v>
          </cell>
          <cell r="AF18">
            <v>8.446000000000012</v>
          </cell>
          <cell r="AH18">
            <v>1.7820000000000018</v>
          </cell>
          <cell r="AI18">
            <v>2.636000000000001</v>
          </cell>
          <cell r="AJ18">
            <v>12.48</v>
          </cell>
          <cell r="AK18">
            <v>13.334</v>
          </cell>
        </row>
        <row r="20">
          <cell r="D20" t="str">
            <v>Balance Sheet Data</v>
          </cell>
          <cell r="I20" t="str">
            <v>Balance Sheet Data</v>
          </cell>
          <cell r="N20" t="str">
            <v>Balance Sheet Data</v>
          </cell>
          <cell r="S20" t="str">
            <v>Balance Sheet Data</v>
          </cell>
          <cell r="AC20" t="str">
            <v>Balance Sheet Data</v>
          </cell>
          <cell r="AH20" t="str">
            <v>Balance Sheet Data</v>
          </cell>
        </row>
        <row r="21">
          <cell r="G21">
            <v>315.707</v>
          </cell>
          <cell r="Q21">
            <v>147.434</v>
          </cell>
          <cell r="V21" t="str">
            <v>N/A</v>
          </cell>
          <cell r="AA21">
            <v>59.975</v>
          </cell>
          <cell r="AF21">
            <v>55.881</v>
          </cell>
          <cell r="AK21">
            <v>67.601</v>
          </cell>
        </row>
        <row r="22">
          <cell r="G22">
            <v>0</v>
          </cell>
          <cell r="Q22">
            <v>0.158</v>
          </cell>
          <cell r="V22" t="str">
            <v>N/A</v>
          </cell>
          <cell r="AA22">
            <v>148.81699999999998</v>
          </cell>
          <cell r="AF22">
            <v>0</v>
          </cell>
          <cell r="AK22">
            <v>0</v>
          </cell>
        </row>
        <row r="23">
          <cell r="G23">
            <v>0</v>
          </cell>
          <cell r="Q23">
            <v>0</v>
          </cell>
          <cell r="V23" t="str">
            <v>N/A</v>
          </cell>
          <cell r="AA23">
            <v>0</v>
          </cell>
          <cell r="AF23">
            <v>0</v>
          </cell>
          <cell r="AK23">
            <v>0</v>
          </cell>
        </row>
        <row r="24">
          <cell r="G24">
            <v>0</v>
          </cell>
          <cell r="Q24">
            <v>0</v>
          </cell>
          <cell r="V24" t="str">
            <v>N/A</v>
          </cell>
          <cell r="AA24">
            <v>0</v>
          </cell>
          <cell r="AF24">
            <v>0</v>
          </cell>
          <cell r="AK24">
            <v>1.757</v>
          </cell>
        </row>
        <row r="26">
          <cell r="D26" t="str">
            <v>Equity Research Projections</v>
          </cell>
          <cell r="I26" t="str">
            <v>Equity Research Projections</v>
          </cell>
          <cell r="N26" t="str">
            <v>Equity Research Projections</v>
          </cell>
          <cell r="S26" t="str">
            <v>Equity Research Projections</v>
          </cell>
          <cell r="AC26" t="str">
            <v>Equity Research Projections</v>
          </cell>
          <cell r="AH26" t="str">
            <v>Equity Research Projections</v>
          </cell>
        </row>
        <row r="27">
          <cell r="D27">
            <v>39447</v>
          </cell>
          <cell r="E27">
            <v>39813</v>
          </cell>
          <cell r="I27">
            <v>39447</v>
          </cell>
          <cell r="J27">
            <v>39813</v>
          </cell>
          <cell r="N27">
            <v>39082</v>
          </cell>
          <cell r="O27">
            <v>39447</v>
          </cell>
          <cell r="S27">
            <v>39447</v>
          </cell>
          <cell r="T27">
            <v>39813</v>
          </cell>
          <cell r="X27">
            <v>39447</v>
          </cell>
          <cell r="Y27">
            <v>39813</v>
          </cell>
          <cell r="AC27">
            <v>39082</v>
          </cell>
          <cell r="AD27">
            <v>39447</v>
          </cell>
          <cell r="AH27">
            <v>39447</v>
          </cell>
          <cell r="AI27">
            <v>39813</v>
          </cell>
        </row>
        <row r="28">
          <cell r="G28" t="str">
            <v>CS</v>
          </cell>
          <cell r="L28" t="str">
            <v>JPM</v>
          </cell>
          <cell r="Q28" t="str">
            <v>JEF</v>
          </cell>
          <cell r="V28" t="str">
            <v>N/A</v>
          </cell>
          <cell r="AA28" t="str">
            <v>FBW</v>
          </cell>
          <cell r="AF28" t="str">
            <v>DB</v>
          </cell>
          <cell r="AK28" t="str">
            <v>RBC</v>
          </cell>
        </row>
        <row r="29">
          <cell r="G29" t="str">
            <v>5.8.07</v>
          </cell>
          <cell r="L29" t="str">
            <v>3.11.08</v>
          </cell>
          <cell r="Q29">
            <v>39113</v>
          </cell>
          <cell r="V29" t="str">
            <v>N/A</v>
          </cell>
          <cell r="AA29" t="str">
            <v>5.8.07</v>
          </cell>
          <cell r="AF29" t="str">
            <v>3.6.06</v>
          </cell>
          <cell r="AK29" t="str">
            <v>5.17.07</v>
          </cell>
        </row>
        <row r="30">
          <cell r="D30">
            <v>610.2</v>
          </cell>
          <cell r="E30">
            <v>748.6</v>
          </cell>
          <cell r="I30">
            <v>296.7</v>
          </cell>
          <cell r="J30">
            <v>379.06666666666666</v>
          </cell>
          <cell r="N30">
            <v>743.314</v>
          </cell>
          <cell r="O30">
            <v>899.038</v>
          </cell>
          <cell r="S30">
            <v>70</v>
          </cell>
          <cell r="T30" t="str">
            <v>N/A</v>
          </cell>
          <cell r="X30">
            <v>679.7964999999999</v>
          </cell>
          <cell r="Y30" t="str">
            <v>N/A</v>
          </cell>
          <cell r="AC30">
            <v>109</v>
          </cell>
          <cell r="AD30">
            <v>125</v>
          </cell>
          <cell r="AH30">
            <v>269.1</v>
          </cell>
          <cell r="AI30">
            <v>355.4</v>
          </cell>
        </row>
        <row r="31">
          <cell r="D31">
            <v>154.4</v>
          </cell>
          <cell r="E31">
            <v>197.8</v>
          </cell>
          <cell r="I31">
            <v>97.9</v>
          </cell>
          <cell r="J31">
            <v>100.79999999999998</v>
          </cell>
          <cell r="N31">
            <v>63.366</v>
          </cell>
          <cell r="O31">
            <v>77.994</v>
          </cell>
          <cell r="S31">
            <v>17.5</v>
          </cell>
          <cell r="T31" t="str">
            <v>N/A</v>
          </cell>
          <cell r="X31">
            <v>102.4465</v>
          </cell>
          <cell r="Y31" t="str">
            <v>N/A</v>
          </cell>
          <cell r="AC31">
            <v>25.8</v>
          </cell>
          <cell r="AD31">
            <v>34.4</v>
          </cell>
          <cell r="AH31">
            <v>26.9</v>
          </cell>
          <cell r="AI31">
            <v>38.1</v>
          </cell>
        </row>
        <row r="32">
          <cell r="D32">
            <v>119.24</v>
          </cell>
          <cell r="E32">
            <v>153.37</v>
          </cell>
          <cell r="I32" t="str">
            <v>N/A</v>
          </cell>
          <cell r="J32" t="str">
            <v>N/A</v>
          </cell>
          <cell r="N32">
            <v>47.471000000000004</v>
          </cell>
          <cell r="O32">
            <v>58.025</v>
          </cell>
          <cell r="S32" t="str">
            <v>N/A</v>
          </cell>
          <cell r="T32" t="str">
            <v>N/A</v>
          </cell>
          <cell r="X32" t="str">
            <v>N/A</v>
          </cell>
          <cell r="Y32" t="str">
            <v>N/A</v>
          </cell>
          <cell r="AC32" t="str">
            <v>N/A</v>
          </cell>
          <cell r="AD32" t="str">
            <v>N/A</v>
          </cell>
          <cell r="AH32" t="str">
            <v>N/A</v>
          </cell>
          <cell r="AI32" t="str">
            <v>N/A</v>
          </cell>
        </row>
        <row r="34">
          <cell r="D34" t="str">
            <v>Diluted Shares Calculation</v>
          </cell>
          <cell r="I34" t="str">
            <v>Diluted Shares Calculation</v>
          </cell>
          <cell r="N34" t="str">
            <v>Diluted Shares Calculation</v>
          </cell>
          <cell r="S34" t="str">
            <v>Diluted Shares Calculation</v>
          </cell>
          <cell r="AC34" t="str">
            <v>Diluted Shares Calculation</v>
          </cell>
          <cell r="AH34" t="str">
            <v>Diluted Shares Calculation</v>
          </cell>
        </row>
        <row r="35">
          <cell r="G35">
            <v>41928</v>
          </cell>
          <cell r="L35">
            <v>39185</v>
          </cell>
          <cell r="Q35">
            <v>39072</v>
          </cell>
          <cell r="V35">
            <v>39201</v>
          </cell>
          <cell r="AA35">
            <v>39163</v>
          </cell>
          <cell r="AF35">
            <v>38782</v>
          </cell>
          <cell r="AK35">
            <v>39219</v>
          </cell>
        </row>
        <row r="36">
          <cell r="G36">
            <v>66.5</v>
          </cell>
          <cell r="L36" t="str">
            <v>N/A</v>
          </cell>
          <cell r="Q36">
            <v>13.5</v>
          </cell>
          <cell r="V36" t="str">
            <v>N/A</v>
          </cell>
          <cell r="AA36">
            <v>48.5</v>
          </cell>
          <cell r="AF36">
            <v>8.5</v>
          </cell>
          <cell r="AK36">
            <v>11.75</v>
          </cell>
        </row>
        <row r="37">
          <cell r="G37">
            <v>1242</v>
          </cell>
          <cell r="L37" t="str">
            <v>N/A</v>
          </cell>
          <cell r="Q37">
            <v>86.510116</v>
          </cell>
          <cell r="V37" t="str">
            <v>N/A</v>
          </cell>
          <cell r="AA37">
            <v>9.697</v>
          </cell>
          <cell r="AF37">
            <v>72.73371</v>
          </cell>
          <cell r="AK37">
            <v>50.998632</v>
          </cell>
        </row>
        <row r="39">
          <cell r="E39" t="str">
            <v>Total</v>
          </cell>
          <cell r="F39" t="str">
            <v>Strike</v>
          </cell>
          <cell r="G39" t="str">
            <v>Dilution</v>
          </cell>
          <cell r="J39" t="str">
            <v>Total</v>
          </cell>
          <cell r="K39" t="str">
            <v>Strike</v>
          </cell>
          <cell r="L39" t="str">
            <v>Dilution</v>
          </cell>
          <cell r="O39" t="str">
            <v>Total</v>
          </cell>
          <cell r="P39" t="str">
            <v>Strike</v>
          </cell>
          <cell r="Q39" t="str">
            <v>Dilution</v>
          </cell>
          <cell r="T39" t="str">
            <v>Total</v>
          </cell>
          <cell r="U39" t="str">
            <v>Strike</v>
          </cell>
          <cell r="V39" t="str">
            <v>Dilution</v>
          </cell>
          <cell r="Y39" t="str">
            <v>Total</v>
          </cell>
          <cell r="Z39" t="str">
            <v>Strike</v>
          </cell>
          <cell r="AA39" t="str">
            <v>Dilution</v>
          </cell>
          <cell r="AD39" t="str">
            <v>Total</v>
          </cell>
          <cell r="AE39" t="str">
            <v>Strike</v>
          </cell>
          <cell r="AF39" t="str">
            <v>Dilution</v>
          </cell>
          <cell r="AI39" t="str">
            <v>Total</v>
          </cell>
          <cell r="AJ39" t="str">
            <v>Strike</v>
          </cell>
          <cell r="AK39" t="str">
            <v>Dilution</v>
          </cell>
        </row>
        <row r="40">
          <cell r="E40">
            <v>11</v>
          </cell>
          <cell r="F40">
            <v>55.6</v>
          </cell>
          <cell r="G40">
            <v>1.803007518796992</v>
          </cell>
          <cell r="O40">
            <v>1.241979</v>
          </cell>
          <cell r="P40">
            <v>1</v>
          </cell>
          <cell r="Q40">
            <v>1.1499805555555556</v>
          </cell>
          <cell r="Y40">
            <v>0.419</v>
          </cell>
          <cell r="Z40">
            <v>12.4</v>
          </cell>
          <cell r="AA40">
            <v>0.3118742268041237</v>
          </cell>
          <cell r="AD40">
            <v>0.14975</v>
          </cell>
          <cell r="AE40">
            <v>0.63</v>
          </cell>
          <cell r="AF40">
            <v>0.13865088235294118</v>
          </cell>
          <cell r="AI40">
            <v>1.103</v>
          </cell>
          <cell r="AJ40">
            <v>1.12</v>
          </cell>
          <cell r="AK40">
            <v>0.9978629787234042</v>
          </cell>
        </row>
        <row r="41">
          <cell r="E41">
            <v>35</v>
          </cell>
          <cell r="F41">
            <v>0</v>
          </cell>
          <cell r="G41">
            <v>35</v>
          </cell>
          <cell r="O41">
            <v>5.752649</v>
          </cell>
          <cell r="P41">
            <v>2.65</v>
          </cell>
          <cell r="Q41">
            <v>4.623425307407407</v>
          </cell>
          <cell r="Y41">
            <v>0.377</v>
          </cell>
          <cell r="Z41">
            <v>16.43</v>
          </cell>
          <cell r="AA41">
            <v>0.24928639175257733</v>
          </cell>
          <cell r="AD41">
            <v>1.799199</v>
          </cell>
          <cell r="AE41">
            <v>1.2</v>
          </cell>
          <cell r="AF41">
            <v>1.5451944352941176</v>
          </cell>
          <cell r="AI41">
            <v>2.709</v>
          </cell>
          <cell r="AJ41">
            <v>4.19</v>
          </cell>
          <cell r="AK41">
            <v>1.7429821276595745</v>
          </cell>
        </row>
        <row r="42">
          <cell r="G42">
            <v>0</v>
          </cell>
          <cell r="O42">
            <v>1.935381</v>
          </cell>
          <cell r="P42">
            <v>4.31</v>
          </cell>
          <cell r="Q42">
            <v>1.3174926955555555</v>
          </cell>
          <cell r="Y42">
            <v>0.546</v>
          </cell>
          <cell r="Z42">
            <v>20.65</v>
          </cell>
          <cell r="AA42">
            <v>0.3135278350515464</v>
          </cell>
          <cell r="AD42">
            <v>2.088593</v>
          </cell>
          <cell r="AE42">
            <v>1.51</v>
          </cell>
          <cell r="AF42">
            <v>1.7175605964705882</v>
          </cell>
          <cell r="AI42">
            <v>3.168</v>
          </cell>
          <cell r="AJ42">
            <v>6.65</v>
          </cell>
          <cell r="AK42">
            <v>1.3750468085106382</v>
          </cell>
        </row>
        <row r="43">
          <cell r="G43">
            <v>0</v>
          </cell>
          <cell r="O43">
            <v>2.146161</v>
          </cell>
          <cell r="P43">
            <v>7.54</v>
          </cell>
          <cell r="Q43">
            <v>0.9474903377777777</v>
          </cell>
          <cell r="Y43">
            <v>0.829</v>
          </cell>
          <cell r="Z43">
            <v>29.47</v>
          </cell>
          <cell r="AA43">
            <v>0.3252756701030928</v>
          </cell>
          <cell r="AD43">
            <v>0.862772</v>
          </cell>
          <cell r="AE43">
            <v>2.71</v>
          </cell>
          <cell r="AF43">
            <v>0.587699985882353</v>
          </cell>
          <cell r="AI43">
            <v>0.147</v>
          </cell>
          <cell r="AJ43">
            <v>80.06</v>
          </cell>
          <cell r="AK43">
            <v>0</v>
          </cell>
        </row>
        <row r="44">
          <cell r="G44">
            <v>0</v>
          </cell>
          <cell r="O44">
            <v>2.504684</v>
          </cell>
          <cell r="P44">
            <v>10.18</v>
          </cell>
          <cell r="Q44">
            <v>0.6159667318518518</v>
          </cell>
          <cell r="Y44">
            <v>0.36</v>
          </cell>
          <cell r="Z44">
            <v>36.86</v>
          </cell>
          <cell r="AA44">
            <v>0.08640000000000003</v>
          </cell>
          <cell r="AD44">
            <v>0.20775</v>
          </cell>
          <cell r="AE44">
            <v>3.51</v>
          </cell>
          <cell r="AF44">
            <v>0.12196147058823528</v>
          </cell>
          <cell r="AI44">
            <v>1.7142857142857142</v>
          </cell>
          <cell r="AJ44">
            <v>8.75</v>
          </cell>
          <cell r="AK44">
            <v>1.7142857142857142</v>
          </cell>
        </row>
        <row r="45">
          <cell r="G45">
            <v>0</v>
          </cell>
          <cell r="O45">
            <v>0.911948</v>
          </cell>
          <cell r="P45">
            <v>14.43</v>
          </cell>
          <cell r="Q45">
            <v>0</v>
          </cell>
          <cell r="Y45">
            <v>2.2293</v>
          </cell>
          <cell r="Z45">
            <v>40.37</v>
          </cell>
          <cell r="AA45">
            <v>2.2293</v>
          </cell>
          <cell r="AD45">
            <v>2.53158</v>
          </cell>
          <cell r="AE45">
            <v>5.91</v>
          </cell>
          <cell r="AF45">
            <v>0.7713873176470587</v>
          </cell>
          <cell r="AI45">
            <v>0.4</v>
          </cell>
          <cell r="AJ45">
            <v>9.5686</v>
          </cell>
          <cell r="AK45">
            <v>0.07426042553191492</v>
          </cell>
        </row>
        <row r="46">
          <cell r="G46">
            <v>0</v>
          </cell>
          <cell r="O46">
            <v>0.13457</v>
          </cell>
          <cell r="P46">
            <v>18.59</v>
          </cell>
          <cell r="Q46">
            <v>0</v>
          </cell>
          <cell r="AA46">
            <v>0</v>
          </cell>
          <cell r="AD46">
            <v>0.310879</v>
          </cell>
          <cell r="AE46">
            <v>7.72</v>
          </cell>
          <cell r="AF46">
            <v>0.028527720000000034</v>
          </cell>
          <cell r="AK46">
            <v>0</v>
          </cell>
        </row>
        <row r="47">
          <cell r="G47">
            <v>0</v>
          </cell>
          <cell r="Q47">
            <v>0</v>
          </cell>
          <cell r="AA47">
            <v>0</v>
          </cell>
          <cell r="AD47">
            <v>0.152542</v>
          </cell>
          <cell r="AE47">
            <v>16.17</v>
          </cell>
          <cell r="AF47">
            <v>0</v>
          </cell>
          <cell r="AK47">
            <v>0</v>
          </cell>
        </row>
        <row r="48">
          <cell r="G48">
            <v>0</v>
          </cell>
          <cell r="Q48">
            <v>0</v>
          </cell>
          <cell r="AA48">
            <v>0</v>
          </cell>
          <cell r="AD48">
            <v>0.271405</v>
          </cell>
          <cell r="AE48">
            <v>25</v>
          </cell>
          <cell r="AF48">
            <v>0</v>
          </cell>
          <cell r="AK48">
            <v>0</v>
          </cell>
        </row>
        <row r="49">
          <cell r="G49">
            <v>0</v>
          </cell>
          <cell r="Q49">
            <v>0</v>
          </cell>
          <cell r="AA49">
            <v>0</v>
          </cell>
          <cell r="AD49">
            <v>0.03905</v>
          </cell>
          <cell r="AE49">
            <v>38.53</v>
          </cell>
          <cell r="AF49">
            <v>0</v>
          </cell>
          <cell r="AK49">
            <v>0</v>
          </cell>
        </row>
        <row r="50">
          <cell r="G50">
            <v>0</v>
          </cell>
          <cell r="Q50">
            <v>0</v>
          </cell>
          <cell r="AA50">
            <v>0</v>
          </cell>
          <cell r="AD50">
            <v>0.000834</v>
          </cell>
          <cell r="AE50">
            <v>72.94</v>
          </cell>
          <cell r="AF50">
            <v>0</v>
          </cell>
          <cell r="AK50">
            <v>0</v>
          </cell>
        </row>
        <row r="51">
          <cell r="G51">
            <v>1278.803007518797</v>
          </cell>
          <cell r="Q51">
            <v>95.16447162814815</v>
          </cell>
          <cell r="AA51">
            <v>13.212664123711338</v>
          </cell>
          <cell r="AF51">
            <v>77.6446924082353</v>
          </cell>
          <cell r="AK51">
            <v>56.90307005471125</v>
          </cell>
        </row>
        <row r="53">
          <cell r="D53" t="str">
            <v>Valuation Metrics</v>
          </cell>
          <cell r="I53" t="str">
            <v>Valuation Metrics</v>
          </cell>
          <cell r="N53" t="str">
            <v>Valuation Metrics</v>
          </cell>
          <cell r="S53" t="str">
            <v>Valuation Metrics</v>
          </cell>
          <cell r="AC53" t="str">
            <v>Valuation Metrics</v>
          </cell>
          <cell r="AH53" t="str">
            <v>Valuation Metrics</v>
          </cell>
        </row>
        <row r="55">
          <cell r="G55">
            <v>85040.4</v>
          </cell>
          <cell r="L55">
            <v>3100</v>
          </cell>
          <cell r="Q55">
            <v>1284.72036698</v>
          </cell>
          <cell r="V55">
            <v>850</v>
          </cell>
          <cell r="AA55">
            <v>640.8142099999999</v>
          </cell>
          <cell r="AF55">
            <v>659.97988547</v>
          </cell>
          <cell r="AK55">
            <v>668.6110731428572</v>
          </cell>
        </row>
        <row r="56">
          <cell r="G56">
            <v>84724.693</v>
          </cell>
          <cell r="L56">
            <v>3100</v>
          </cell>
          <cell r="Q56">
            <v>1137.44436698</v>
          </cell>
          <cell r="V56">
            <v>850</v>
          </cell>
          <cell r="AA56">
            <v>729.6562099999999</v>
          </cell>
          <cell r="AF56">
            <v>604.09888547</v>
          </cell>
          <cell r="AK56">
            <v>602.7670731428572</v>
          </cell>
        </row>
        <row r="58">
          <cell r="D58" t="str">
            <v>Valuation Multiples</v>
          </cell>
          <cell r="I58" t="str">
            <v>Valuation Multiples</v>
          </cell>
          <cell r="N58" t="str">
            <v>Valuation Multiples</v>
          </cell>
          <cell r="S58" t="str">
            <v>Valuation Multiples</v>
          </cell>
          <cell r="X58" t="str">
            <v>Valuation Multiples</v>
          </cell>
          <cell r="AC58" t="str">
            <v>Valuation Multiples</v>
          </cell>
          <cell r="AH58" t="str">
            <v>Valuation Multiples</v>
          </cell>
        </row>
        <row r="59">
          <cell r="D59" t="str">
            <v>TTM</v>
          </cell>
          <cell r="E59">
            <v>39447</v>
          </cell>
          <cell r="F59">
            <v>39813</v>
          </cell>
          <cell r="I59" t="str">
            <v>TTM</v>
          </cell>
          <cell r="J59">
            <v>39447</v>
          </cell>
          <cell r="K59">
            <v>39813</v>
          </cell>
          <cell r="N59" t="str">
            <v>TTM</v>
          </cell>
          <cell r="O59">
            <v>39082</v>
          </cell>
          <cell r="P59">
            <v>39447</v>
          </cell>
          <cell r="S59" t="str">
            <v>TTM</v>
          </cell>
          <cell r="T59">
            <v>39447</v>
          </cell>
          <cell r="U59">
            <v>39813</v>
          </cell>
          <cell r="X59" t="str">
            <v>TTM</v>
          </cell>
          <cell r="Y59">
            <v>39447</v>
          </cell>
          <cell r="Z59">
            <v>39813</v>
          </cell>
          <cell r="AC59" t="str">
            <v>TTM</v>
          </cell>
          <cell r="AD59">
            <v>39082</v>
          </cell>
          <cell r="AE59">
            <v>39447</v>
          </cell>
          <cell r="AH59" t="str">
            <v>TTM</v>
          </cell>
          <cell r="AI59">
            <v>39447</v>
          </cell>
          <cell r="AJ59">
            <v>39813</v>
          </cell>
        </row>
        <row r="60">
          <cell r="D60">
            <v>171.97850184817932</v>
          </cell>
          <cell r="E60">
            <v>138.84741560144215</v>
          </cell>
          <cell r="F60">
            <v>113.17752204114346</v>
          </cell>
          <cell r="I60">
            <v>13.373597929249351</v>
          </cell>
          <cell r="J60">
            <v>10.448264239973037</v>
          </cell>
          <cell r="K60">
            <v>8.1779810059796</v>
          </cell>
          <cell r="N60">
            <v>1.595893501316063</v>
          </cell>
          <cell r="O60">
            <v>1.5302340154766358</v>
          </cell>
          <cell r="P60">
            <v>1.265179410636703</v>
          </cell>
          <cell r="S60" t="str">
            <v>N/A</v>
          </cell>
          <cell r="T60">
            <v>12.142857142857142</v>
          </cell>
          <cell r="U60" t="str">
            <v>N/A</v>
          </cell>
          <cell r="X60">
            <v>1.0466993495930292</v>
          </cell>
          <cell r="Y60">
            <v>1.0733450525267487</v>
          </cell>
          <cell r="Z60" t="str">
            <v>N/A</v>
          </cell>
          <cell r="AC60">
            <v>6.634002322289454</v>
          </cell>
          <cell r="AD60">
            <v>5.542191609816514</v>
          </cell>
          <cell r="AE60">
            <v>4.83279108376</v>
          </cell>
          <cell r="AH60">
            <v>2.8040242511239373</v>
          </cell>
          <cell r="AI60">
            <v>2.2399370982640545</v>
          </cell>
          <cell r="AJ60">
            <v>1.6960244038909882</v>
          </cell>
        </row>
        <row r="61">
          <cell r="D61">
            <v>659.6595451466472</v>
          </cell>
          <cell r="E61">
            <v>548.7350582901554</v>
          </cell>
          <cell r="F61">
            <v>428.33515166835184</v>
          </cell>
          <cell r="I61">
            <v>43.115438108484</v>
          </cell>
          <cell r="J61">
            <v>31.66496424923391</v>
          </cell>
          <cell r="K61">
            <v>30.75396825396826</v>
          </cell>
          <cell r="N61">
            <v>17.790636849612905</v>
          </cell>
          <cell r="O61">
            <v>17.950389277846163</v>
          </cell>
          <cell r="P61">
            <v>14.583741915788394</v>
          </cell>
          <cell r="S61" t="str">
            <v>N/A</v>
          </cell>
          <cell r="T61">
            <v>48.57142857142857</v>
          </cell>
          <cell r="U61" t="str">
            <v>N/A</v>
          </cell>
          <cell r="X61">
            <v>7.871666019375587</v>
          </cell>
          <cell r="Y61">
            <v>7.122314671560277</v>
          </cell>
          <cell r="Z61" t="str">
            <v>N/A</v>
          </cell>
          <cell r="AC61">
            <v>34.814366382549544</v>
          </cell>
          <cell r="AD61">
            <v>23.414685483333333</v>
          </cell>
          <cell r="AE61">
            <v>17.5610141125</v>
          </cell>
          <cell r="AH61">
            <v>28.745627981441995</v>
          </cell>
          <cell r="AI61">
            <v>22.407697886351567</v>
          </cell>
          <cell r="AJ61">
            <v>15.820658087739032</v>
          </cell>
        </row>
        <row r="62">
          <cell r="D62">
            <v>844.6285813976664</v>
          </cell>
          <cell r="E62">
            <v>710.5391898691714</v>
          </cell>
          <cell r="F62">
            <v>552.4202451587663</v>
          </cell>
          <cell r="I62" t="str">
            <v>N/A</v>
          </cell>
          <cell r="J62" t="str">
            <v>N/A</v>
          </cell>
          <cell r="K62" t="str">
            <v>N/A</v>
          </cell>
          <cell r="N62">
            <v>23.302078687644723</v>
          </cell>
          <cell r="O62">
            <v>23.960825914347705</v>
          </cell>
          <cell r="P62">
            <v>19.602660352951315</v>
          </cell>
          <cell r="S62" t="str">
            <v>N/A</v>
          </cell>
          <cell r="T62" t="str">
            <v>N/A</v>
          </cell>
          <cell r="U62" t="str">
            <v>N/A</v>
          </cell>
          <cell r="X62">
            <v>10.828330315801983</v>
          </cell>
          <cell r="Y62" t="str">
            <v>N/A</v>
          </cell>
          <cell r="Z62" t="str">
            <v>N/A</v>
          </cell>
          <cell r="AC62">
            <v>71.5248502806061</v>
          </cell>
          <cell r="AD62" t="str">
            <v>N/A</v>
          </cell>
          <cell r="AE62" t="str">
            <v>N/A</v>
          </cell>
          <cell r="AH62">
            <v>45.205270222203175</v>
          </cell>
          <cell r="AI62" t="str">
            <v>N/A</v>
          </cell>
          <cell r="AJ62" t="str">
            <v>N/A</v>
          </cell>
        </row>
        <row r="64">
          <cell r="D64" t="str">
            <v>Lookup Variables</v>
          </cell>
          <cell r="I64" t="str">
            <v>Lookup Variables</v>
          </cell>
          <cell r="N64" t="str">
            <v>Lookup Variables</v>
          </cell>
          <cell r="S64" t="str">
            <v>Lookup Variables</v>
          </cell>
          <cell r="AC64" t="str">
            <v>Lookup Variables</v>
          </cell>
          <cell r="AH64" t="str">
            <v>Lookup Variables</v>
          </cell>
        </row>
        <row r="66">
          <cell r="G66">
            <v>610.2</v>
          </cell>
          <cell r="L66">
            <v>296.7</v>
          </cell>
          <cell r="Q66">
            <v>743.314</v>
          </cell>
          <cell r="V66">
            <v>70</v>
          </cell>
          <cell r="AA66">
            <v>679.7964999999999</v>
          </cell>
          <cell r="AF66">
            <v>109</v>
          </cell>
          <cell r="AK66">
            <v>269.1</v>
          </cell>
        </row>
        <row r="67">
          <cell r="G67">
            <v>154.4</v>
          </cell>
          <cell r="L67">
            <v>97.9</v>
          </cell>
          <cell r="Q67">
            <v>63.366</v>
          </cell>
          <cell r="V67">
            <v>17.5</v>
          </cell>
          <cell r="AA67">
            <v>102.4465</v>
          </cell>
          <cell r="AF67">
            <v>25.8</v>
          </cell>
          <cell r="AK67">
            <v>26.9</v>
          </cell>
        </row>
        <row r="68">
          <cell r="G68">
            <v>119.24</v>
          </cell>
          <cell r="L68" t="str">
            <v>N/A</v>
          </cell>
          <cell r="Q68">
            <v>47.471000000000004</v>
          </cell>
          <cell r="V68" t="str">
            <v>N/A</v>
          </cell>
          <cell r="AA68" t="str">
            <v>N/A</v>
          </cell>
          <cell r="AF68" t="str">
            <v>N/A</v>
          </cell>
          <cell r="AK68" t="str">
            <v>N/A</v>
          </cell>
        </row>
        <row r="70">
          <cell r="G70">
            <v>748.6</v>
          </cell>
          <cell r="L70">
            <v>379.06666666666666</v>
          </cell>
          <cell r="Q70">
            <v>899.038</v>
          </cell>
          <cell r="V70" t="str">
            <v>N/A</v>
          </cell>
          <cell r="AA70" t="str">
            <v>N/A</v>
          </cell>
          <cell r="AF70">
            <v>125</v>
          </cell>
          <cell r="AK70">
            <v>355.4</v>
          </cell>
        </row>
        <row r="71">
          <cell r="G71">
            <v>197.8</v>
          </cell>
          <cell r="L71">
            <v>100.79999999999998</v>
          </cell>
          <cell r="Q71">
            <v>77.994</v>
          </cell>
          <cell r="V71" t="str">
            <v>N/A</v>
          </cell>
          <cell r="AA71" t="str">
            <v>N/A</v>
          </cell>
          <cell r="AF71">
            <v>34.4</v>
          </cell>
          <cell r="AK71">
            <v>38.1</v>
          </cell>
        </row>
        <row r="72">
          <cell r="G72">
            <v>153.37</v>
          </cell>
          <cell r="L72" t="str">
            <v>N/A</v>
          </cell>
          <cell r="Q72">
            <v>58.025</v>
          </cell>
          <cell r="V72" t="str">
            <v>N/A</v>
          </cell>
          <cell r="AA72" t="str">
            <v>N/A</v>
          </cell>
          <cell r="AF72" t="str">
            <v>N/A</v>
          </cell>
          <cell r="AK72" t="str">
            <v>N/A</v>
          </cell>
        </row>
        <row r="74">
          <cell r="G74">
            <v>171.97850184817932</v>
          </cell>
          <cell r="L74">
            <v>13.373597929249351</v>
          </cell>
          <cell r="Q74">
            <v>1.595893501316063</v>
          </cell>
          <cell r="V74" t="str">
            <v>N/A</v>
          </cell>
          <cell r="AA74">
            <v>1.0466993495930292</v>
          </cell>
          <cell r="AF74">
            <v>6.634002322289454</v>
          </cell>
          <cell r="AK74">
            <v>2.8040242511239373</v>
          </cell>
        </row>
        <row r="75">
          <cell r="G75">
            <v>659.6595451466472</v>
          </cell>
          <cell r="L75">
            <v>43.115438108484</v>
          </cell>
          <cell r="Q75">
            <v>17.790636849612905</v>
          </cell>
          <cell r="V75" t="str">
            <v>N/A</v>
          </cell>
          <cell r="AA75">
            <v>7.871666019375587</v>
          </cell>
          <cell r="AF75">
            <v>34.814366382549544</v>
          </cell>
          <cell r="AK75">
            <v>28.745627981441995</v>
          </cell>
        </row>
        <row r="76">
          <cell r="G76">
            <v>844.6285813976664</v>
          </cell>
          <cell r="L76" t="str">
            <v>N/A</v>
          </cell>
          <cell r="Q76">
            <v>23.302078687644723</v>
          </cell>
          <cell r="V76" t="str">
            <v>N/A</v>
          </cell>
          <cell r="AA76">
            <v>10.828330315801983</v>
          </cell>
          <cell r="AF76">
            <v>71.5248502806061</v>
          </cell>
          <cell r="AK76">
            <v>45.205270222203175</v>
          </cell>
        </row>
        <row r="78">
          <cell r="G78">
            <v>138.84741560144215</v>
          </cell>
          <cell r="L78">
            <v>10.448264239973037</v>
          </cell>
          <cell r="Q78">
            <v>1.5302340154766358</v>
          </cell>
          <cell r="V78">
            <v>12.142857142857142</v>
          </cell>
          <cell r="AA78">
            <v>1.0733450525267487</v>
          </cell>
          <cell r="AF78">
            <v>5.542191609816514</v>
          </cell>
          <cell r="AK78">
            <v>2.2399370982640545</v>
          </cell>
        </row>
        <row r="79">
          <cell r="G79">
            <v>548.7350582901554</v>
          </cell>
          <cell r="L79">
            <v>31.66496424923391</v>
          </cell>
          <cell r="Q79">
            <v>17.950389277846163</v>
          </cell>
          <cell r="V79">
            <v>48.57142857142857</v>
          </cell>
          <cell r="AA79">
            <v>7.122314671560277</v>
          </cell>
          <cell r="AF79">
            <v>23.414685483333333</v>
          </cell>
          <cell r="AK79">
            <v>22.407697886351567</v>
          </cell>
        </row>
        <row r="80">
          <cell r="G80">
            <v>710.5391898691714</v>
          </cell>
          <cell r="L80" t="str">
            <v>N/A</v>
          </cell>
          <cell r="Q80">
            <v>23.960825914347705</v>
          </cell>
          <cell r="V80" t="str">
            <v>N/A</v>
          </cell>
          <cell r="AA80" t="str">
            <v>N/A</v>
          </cell>
          <cell r="AF80" t="str">
            <v>N/A</v>
          </cell>
          <cell r="AK80" t="str">
            <v>N/A</v>
          </cell>
        </row>
        <row r="82">
          <cell r="G82">
            <v>113.17752204114346</v>
          </cell>
          <cell r="L82">
            <v>8.1779810059796</v>
          </cell>
          <cell r="Q82">
            <v>1.265179410636703</v>
          </cell>
          <cell r="V82" t="str">
            <v>N/A</v>
          </cell>
          <cell r="AA82" t="str">
            <v>N/A</v>
          </cell>
          <cell r="AF82">
            <v>4.83279108376</v>
          </cell>
          <cell r="AK82">
            <v>1.6960244038909882</v>
          </cell>
        </row>
        <row r="83">
          <cell r="G83">
            <v>428.33515166835184</v>
          </cell>
          <cell r="L83">
            <v>30.75396825396826</v>
          </cell>
          <cell r="Q83">
            <v>14.583741915788394</v>
          </cell>
          <cell r="V83" t="str">
            <v>N/A</v>
          </cell>
          <cell r="AA83" t="str">
            <v>N/A</v>
          </cell>
          <cell r="AF83">
            <v>17.5610141125</v>
          </cell>
          <cell r="AK83">
            <v>15.820658087739032</v>
          </cell>
        </row>
        <row r="84">
          <cell r="G84">
            <v>552.4202451587663</v>
          </cell>
          <cell r="L84" t="str">
            <v>N/A</v>
          </cell>
          <cell r="Q84">
            <v>19.602660352951315</v>
          </cell>
          <cell r="V84" t="str">
            <v>N/A</v>
          </cell>
          <cell r="AA84" t="str">
            <v>N/A</v>
          </cell>
          <cell r="AF84" t="str">
            <v>N/A</v>
          </cell>
          <cell r="AK84" t="str">
            <v>N/A</v>
          </cell>
        </row>
      </sheetData>
      <sheetData sheetId="13">
        <row r="4">
          <cell r="P4">
            <v>0</v>
          </cell>
        </row>
      </sheetData>
      <sheetData sheetId="20">
        <row r="3">
          <cell r="F3" t="str">
            <v>Microsoft Corporation</v>
          </cell>
        </row>
        <row r="15">
          <cell r="F15">
            <v>0.3</v>
          </cell>
        </row>
        <row r="20">
          <cell r="F20">
            <v>1</v>
          </cell>
        </row>
        <row r="21">
          <cell r="F21">
            <v>1</v>
          </cell>
        </row>
      </sheetData>
      <sheetData sheetId="21">
        <row r="145">
          <cell r="H145">
            <v>0.043908328881736826</v>
          </cell>
        </row>
        <row r="149">
          <cell r="L149">
            <v>301958.8991272</v>
          </cell>
        </row>
        <row r="155">
          <cell r="L155">
            <v>271469.8991272</v>
          </cell>
        </row>
      </sheetData>
      <sheetData sheetId="25">
        <row r="17">
          <cell r="G17">
            <v>0</v>
          </cell>
        </row>
        <row r="19">
          <cell r="G19">
            <v>100</v>
          </cell>
        </row>
        <row r="20">
          <cell r="N20">
            <v>400</v>
          </cell>
        </row>
        <row r="21">
          <cell r="G21">
            <v>1</v>
          </cell>
        </row>
        <row r="22">
          <cell r="G22">
            <v>1000</v>
          </cell>
        </row>
        <row r="24">
          <cell r="N24">
            <v>0.039176</v>
          </cell>
        </row>
        <row r="25">
          <cell r="N25">
            <v>0</v>
          </cell>
        </row>
        <row r="29">
          <cell r="F29">
            <v>1</v>
          </cell>
        </row>
        <row r="30">
          <cell r="F3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Revenue Build"/>
      <sheetName val="Expense Build"/>
      <sheetName val="Operating Model"/>
      <sheetName val="Valuation Summary"/>
      <sheetName val="Valuation Graph"/>
      <sheetName val="Public Comps"/>
      <sheetName val="Public-Comps-Data"/>
      <sheetName val="YHOO-Equity-Interests"/>
      <sheetName val="YHOO-NOLs"/>
      <sheetName val="M&amp;A-Comps"/>
      <sheetName val="M&amp;A-Comps-Data"/>
      <sheetName val="M&amp;A-Premiums"/>
      <sheetName val="DCF"/>
      <sheetName val="WACC"/>
      <sheetName val="Future-Share-Price"/>
      <sheetName val="Sum-of-Parts"/>
      <sheetName val="Liquidation"/>
      <sheetName val="Share-Calculations"/>
    </sheetNames>
    <sheetDataSet>
      <sheetData sheetId="0">
        <row r="12">
          <cell r="L12" t="str">
            <v>TTM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showGridLines="0" tabSelected="1" zoomScaleSheetLayoutView="90" zoomScalePageLayoutView="0" workbookViewId="0" topLeftCell="A1">
      <selection activeCell="L20" sqref="L20"/>
    </sheetView>
  </sheetViews>
  <sheetFormatPr defaultColWidth="9.140625" defaultRowHeight="15"/>
  <cols>
    <col min="1" max="1" width="18.00390625" style="85" customWidth="1"/>
    <col min="2" max="2" width="11.8515625" style="85" customWidth="1"/>
    <col min="3" max="3" width="11.28125" style="85" customWidth="1"/>
    <col min="4" max="7" width="11.28125" style="27" customWidth="1"/>
    <col min="8" max="8" width="13.7109375" style="27" customWidth="1"/>
    <col min="9" max="10" width="11.28125" style="27" customWidth="1"/>
    <col min="11" max="11" width="13.57421875" style="27" customWidth="1"/>
    <col min="12" max="12" width="11.28125" style="27" customWidth="1"/>
    <col min="13" max="13" width="8.7109375" style="85" customWidth="1"/>
    <col min="14" max="16384" width="9.140625" style="85" customWidth="1"/>
  </cols>
  <sheetData>
    <row r="1" spans="1:13" ht="13.5" thickBot="1">
      <c r="A1" s="126"/>
      <c r="B1" s="126"/>
      <c r="C1" s="126"/>
      <c r="D1" s="122"/>
      <c r="E1" s="122"/>
      <c r="F1" s="122"/>
      <c r="G1" s="122"/>
      <c r="H1" s="122"/>
      <c r="I1" s="122"/>
      <c r="J1" s="122"/>
      <c r="K1" s="122"/>
      <c r="L1" s="122"/>
      <c r="M1" s="126"/>
    </row>
    <row r="2" spans="1:13" ht="38.25" customHeight="1">
      <c r="A2" s="212" t="s">
        <v>0</v>
      </c>
      <c r="B2" s="212"/>
      <c r="C2" s="212"/>
      <c r="D2" s="212"/>
      <c r="E2" s="214" t="s">
        <v>83</v>
      </c>
      <c r="F2" s="213"/>
      <c r="G2" s="215" t="s">
        <v>1</v>
      </c>
      <c r="H2" s="216">
        <v>70.57</v>
      </c>
      <c r="I2" s="320" t="s">
        <v>2</v>
      </c>
      <c r="J2" s="320"/>
      <c r="K2" s="319">
        <f>AVERAGE(H39,H51)</f>
        <v>49.88789925471464</v>
      </c>
      <c r="L2" s="217"/>
      <c r="M2" s="122"/>
    </row>
    <row r="3" spans="1:13" ht="18" customHeight="1">
      <c r="A3" s="218"/>
      <c r="B3" s="178"/>
      <c r="C3" s="311"/>
      <c r="D3" s="312"/>
      <c r="E3" s="314" t="s">
        <v>3</v>
      </c>
      <c r="F3" s="312"/>
      <c r="G3" s="313"/>
      <c r="H3" s="321" t="s">
        <v>4</v>
      </c>
      <c r="I3" s="322"/>
      <c r="J3" s="322"/>
      <c r="K3" s="322"/>
      <c r="L3" s="323"/>
      <c r="M3" s="122"/>
    </row>
    <row r="4" spans="1:13" ht="15">
      <c r="A4" s="219"/>
      <c r="B4" s="126"/>
      <c r="C4" s="315" t="s">
        <v>5</v>
      </c>
      <c r="D4" s="316" t="s">
        <v>5</v>
      </c>
      <c r="E4" s="316" t="s">
        <v>5</v>
      </c>
      <c r="F4" s="316" t="s">
        <v>5</v>
      </c>
      <c r="G4" s="317" t="s">
        <v>5</v>
      </c>
      <c r="H4" s="179" t="s">
        <v>6</v>
      </c>
      <c r="I4" s="86" t="str">
        <f>H4</f>
        <v>FYE</v>
      </c>
      <c r="J4" s="86" t="str">
        <f>I4</f>
        <v>FYE</v>
      </c>
      <c r="K4" s="86" t="str">
        <f>J4</f>
        <v>FYE</v>
      </c>
      <c r="L4" s="220" t="str">
        <f>K4</f>
        <v>FYE</v>
      </c>
      <c r="M4" s="86"/>
    </row>
    <row r="5" spans="1:13" ht="12.75">
      <c r="A5" s="221" t="s">
        <v>7</v>
      </c>
      <c r="B5" s="130"/>
      <c r="C5" s="187">
        <v>40724</v>
      </c>
      <c r="D5" s="87">
        <f>EOMONTH(C5,12)</f>
        <v>41090</v>
      </c>
      <c r="E5" s="88">
        <f aca="true" t="shared" si="0" ref="E5:L5">EOMONTH(D5,12)</f>
        <v>41455</v>
      </c>
      <c r="F5" s="88">
        <f t="shared" si="0"/>
        <v>41820</v>
      </c>
      <c r="G5" s="103">
        <f t="shared" si="0"/>
        <v>42185</v>
      </c>
      <c r="H5" s="180">
        <f t="shared" si="0"/>
        <v>42551</v>
      </c>
      <c r="I5" s="88">
        <f t="shared" si="0"/>
        <v>42916</v>
      </c>
      <c r="J5" s="88">
        <f t="shared" si="0"/>
        <v>43281</v>
      </c>
      <c r="K5" s="88">
        <f t="shared" si="0"/>
        <v>43646</v>
      </c>
      <c r="L5" s="222">
        <f t="shared" si="0"/>
        <v>44012</v>
      </c>
      <c r="M5" s="89"/>
    </row>
    <row r="6" spans="1:13" ht="15" customHeight="1">
      <c r="A6" s="272" t="s">
        <v>8</v>
      </c>
      <c r="B6" s="126"/>
      <c r="C6" s="188">
        <v>15508</v>
      </c>
      <c r="D6" s="109">
        <v>16184</v>
      </c>
      <c r="E6" s="109">
        <v>16590</v>
      </c>
      <c r="F6" s="109">
        <v>17005</v>
      </c>
      <c r="G6" s="116">
        <v>20261</v>
      </c>
      <c r="H6" s="181">
        <f>G6*(1+H20)</f>
        <v>24313.2</v>
      </c>
      <c r="I6" s="106">
        <f>H6*(1+I20)</f>
        <v>29175.84</v>
      </c>
      <c r="J6" s="106">
        <f>I6*(1+J20)</f>
        <v>35011.008</v>
      </c>
      <c r="K6" s="106">
        <f>J6*(1+K20)</f>
        <v>42013.2096</v>
      </c>
      <c r="L6" s="224">
        <f>K6*(1+L20)</f>
        <v>50415.851520000004</v>
      </c>
      <c r="M6" s="89"/>
    </row>
    <row r="7" spans="1:13" s="93" customFormat="1" ht="12.75">
      <c r="A7" s="225" t="s">
        <v>9</v>
      </c>
      <c r="B7" s="91"/>
      <c r="C7" s="97"/>
      <c r="D7" s="175">
        <v>4294</v>
      </c>
      <c r="E7" s="175">
        <v>4402</v>
      </c>
      <c r="F7" s="175">
        <v>3813</v>
      </c>
      <c r="G7" s="176">
        <v>3766</v>
      </c>
      <c r="H7" s="182">
        <f>H6*H21</f>
        <v>5718.263151809629</v>
      </c>
      <c r="I7" s="92">
        <f>I6*I21</f>
        <v>6861.915782171554</v>
      </c>
      <c r="J7" s="92">
        <f>J6*J21</f>
        <v>8234.298938605865</v>
      </c>
      <c r="K7" s="92">
        <f>K6*K21</f>
        <v>9881.158726327038</v>
      </c>
      <c r="L7" s="226">
        <f>L6*L21</f>
        <v>11857.390471592445</v>
      </c>
      <c r="M7" s="90"/>
    </row>
    <row r="8" spans="1:13" s="93" customFormat="1" ht="12.75">
      <c r="A8" s="198" t="s">
        <v>10</v>
      </c>
      <c r="B8" s="126"/>
      <c r="C8" s="98"/>
      <c r="D8" s="107">
        <v>833</v>
      </c>
      <c r="E8" s="107">
        <v>819</v>
      </c>
      <c r="F8" s="107">
        <v>850</v>
      </c>
      <c r="G8" s="108">
        <v>1306</v>
      </c>
      <c r="H8" s="183">
        <f>H7*H22</f>
        <v>1357.7330189279405</v>
      </c>
      <c r="I8" s="177">
        <f>I7*I22</f>
        <v>1629.2796227135286</v>
      </c>
      <c r="J8" s="177">
        <f>J7*J22</f>
        <v>1955.1355472562343</v>
      </c>
      <c r="K8" s="177">
        <f>K7*K22</f>
        <v>2346.162656707481</v>
      </c>
      <c r="L8" s="227">
        <f>L7*L22</f>
        <v>2815.3951880489776</v>
      </c>
      <c r="M8" s="90"/>
    </row>
    <row r="9" spans="1:13" s="93" customFormat="1" ht="12.75">
      <c r="A9" s="223" t="s">
        <v>11</v>
      </c>
      <c r="B9" s="126"/>
      <c r="C9" s="98"/>
      <c r="D9" s="112">
        <f>D7+D8</f>
        <v>5127</v>
      </c>
      <c r="E9" s="112">
        <f aca="true" t="shared" si="1" ref="E9:L9">E7+E8</f>
        <v>5221</v>
      </c>
      <c r="F9" s="112">
        <f t="shared" si="1"/>
        <v>4663</v>
      </c>
      <c r="G9" s="114">
        <f t="shared" si="1"/>
        <v>5072</v>
      </c>
      <c r="H9" s="184">
        <f t="shared" si="1"/>
        <v>7075.99617073757</v>
      </c>
      <c r="I9" s="94">
        <f t="shared" si="1"/>
        <v>8491.195404885082</v>
      </c>
      <c r="J9" s="94">
        <f t="shared" si="1"/>
        <v>10189.434485862099</v>
      </c>
      <c r="K9" s="94">
        <f t="shared" si="1"/>
        <v>12227.32138303452</v>
      </c>
      <c r="L9" s="228">
        <f t="shared" si="1"/>
        <v>14672.785659641424</v>
      </c>
      <c r="M9" s="90"/>
    </row>
    <row r="10" spans="1:13" ht="12.75">
      <c r="A10" s="198" t="s">
        <v>12</v>
      </c>
      <c r="B10" s="126"/>
      <c r="C10" s="98"/>
      <c r="D10" s="110">
        <v>0.176</v>
      </c>
      <c r="E10" s="110">
        <v>0.184</v>
      </c>
      <c r="F10" s="110">
        <v>0.173</v>
      </c>
      <c r="G10" s="111">
        <v>0.233</v>
      </c>
      <c r="H10" s="185">
        <f>G10</f>
        <v>0.233</v>
      </c>
      <c r="I10" s="95">
        <f>H10</f>
        <v>0.233</v>
      </c>
      <c r="J10" s="95">
        <f>I10</f>
        <v>0.233</v>
      </c>
      <c r="K10" s="95">
        <f>J10</f>
        <v>0.233</v>
      </c>
      <c r="L10" s="229">
        <f>K10</f>
        <v>0.233</v>
      </c>
      <c r="M10" s="126"/>
    </row>
    <row r="11" spans="1:13" ht="12.75">
      <c r="A11" s="198" t="s">
        <v>13</v>
      </c>
      <c r="B11" s="126"/>
      <c r="C11" s="98"/>
      <c r="D11" s="112">
        <f aca="true" t="shared" si="2" ref="D11:L11">+D7*D10</f>
        <v>755.7439999999999</v>
      </c>
      <c r="E11" s="112">
        <f t="shared" si="2"/>
        <v>809.968</v>
      </c>
      <c r="F11" s="112">
        <f t="shared" si="2"/>
        <v>659.649</v>
      </c>
      <c r="G11" s="113">
        <f t="shared" si="2"/>
        <v>877.4780000000001</v>
      </c>
      <c r="H11" s="183">
        <f t="shared" si="2"/>
        <v>1332.3553143716435</v>
      </c>
      <c r="I11" s="177">
        <f t="shared" si="2"/>
        <v>1598.8263772459723</v>
      </c>
      <c r="J11" s="177">
        <f t="shared" si="2"/>
        <v>1918.5916526951667</v>
      </c>
      <c r="K11" s="177">
        <f t="shared" si="2"/>
        <v>2302.3099832342</v>
      </c>
      <c r="L11" s="227">
        <f t="shared" si="2"/>
        <v>2762.77197988104</v>
      </c>
      <c r="M11" s="126"/>
    </row>
    <row r="12" spans="1:13" ht="12.75">
      <c r="A12" s="198" t="s">
        <v>14</v>
      </c>
      <c r="B12" s="126"/>
      <c r="C12" s="98"/>
      <c r="D12" s="112">
        <f aca="true" t="shared" si="3" ref="D12:L12">+D7-D11</f>
        <v>3538.2560000000003</v>
      </c>
      <c r="E12" s="112">
        <f t="shared" si="3"/>
        <v>3592.032</v>
      </c>
      <c r="F12" s="112">
        <f t="shared" si="3"/>
        <v>3153.351</v>
      </c>
      <c r="G12" s="113">
        <f>+G7-G11</f>
        <v>2888.522</v>
      </c>
      <c r="H12" s="183">
        <f t="shared" si="3"/>
        <v>4385.907837437985</v>
      </c>
      <c r="I12" s="177">
        <f t="shared" si="3"/>
        <v>5263.089404925582</v>
      </c>
      <c r="J12" s="177">
        <f t="shared" si="3"/>
        <v>6315.707285910698</v>
      </c>
      <c r="K12" s="177">
        <f t="shared" si="3"/>
        <v>7578.848743092838</v>
      </c>
      <c r="L12" s="227">
        <f t="shared" si="3"/>
        <v>9094.618491711406</v>
      </c>
      <c r="M12" s="126"/>
    </row>
    <row r="13" spans="1:13" ht="12.75">
      <c r="A13" s="198" t="s">
        <v>15</v>
      </c>
      <c r="B13" s="126"/>
      <c r="C13" s="98"/>
      <c r="D13" s="107">
        <v>513</v>
      </c>
      <c r="E13" s="107">
        <v>457</v>
      </c>
      <c r="F13" s="107">
        <v>396</v>
      </c>
      <c r="G13" s="108">
        <v>210</v>
      </c>
      <c r="H13" s="183">
        <f>H7*H23</f>
        <v>547.3847251263013</v>
      </c>
      <c r="I13" s="177">
        <f>I7*I23</f>
        <v>656.8616701515615</v>
      </c>
      <c r="J13" s="177">
        <f>J7*J23</f>
        <v>788.2340041818738</v>
      </c>
      <c r="K13" s="177">
        <f>K7*K23</f>
        <v>945.8808050182485</v>
      </c>
      <c r="L13" s="227">
        <f>L7*L23</f>
        <v>1135.0569660218982</v>
      </c>
      <c r="M13" s="126"/>
    </row>
    <row r="14" spans="1:13" ht="12.75">
      <c r="A14" s="198" t="s">
        <v>16</v>
      </c>
      <c r="B14" s="126"/>
      <c r="C14" s="98"/>
      <c r="D14" s="112">
        <f aca="true" t="shared" si="4" ref="D14:L14">+D8</f>
        <v>833</v>
      </c>
      <c r="E14" s="112">
        <f t="shared" si="4"/>
        <v>819</v>
      </c>
      <c r="F14" s="112">
        <f t="shared" si="4"/>
        <v>850</v>
      </c>
      <c r="G14" s="113">
        <f t="shared" si="4"/>
        <v>1306</v>
      </c>
      <c r="H14" s="183">
        <f t="shared" si="4"/>
        <v>1357.7330189279405</v>
      </c>
      <c r="I14" s="177">
        <f t="shared" si="4"/>
        <v>1629.2796227135286</v>
      </c>
      <c r="J14" s="177">
        <f t="shared" si="4"/>
        <v>1955.1355472562343</v>
      </c>
      <c r="K14" s="177">
        <f t="shared" si="4"/>
        <v>2346.162656707481</v>
      </c>
      <c r="L14" s="227">
        <f t="shared" si="4"/>
        <v>2815.3951880489776</v>
      </c>
      <c r="M14" s="126"/>
    </row>
    <row r="15" spans="1:13" ht="12.75">
      <c r="A15" s="198" t="s">
        <v>17</v>
      </c>
      <c r="B15" s="126"/>
      <c r="C15" s="98"/>
      <c r="D15" s="112">
        <f>D26-C26</f>
        <v>-632</v>
      </c>
      <c r="E15" s="112">
        <f>E26-D26</f>
        <v>10573</v>
      </c>
      <c r="F15" s="112">
        <f>F26-E26</f>
        <v>1265</v>
      </c>
      <c r="G15" s="114">
        <f>G26-F26</f>
        <v>2580</v>
      </c>
      <c r="H15" s="183">
        <f>H7*H27</f>
        <v>1143.6526303619257</v>
      </c>
      <c r="I15" s="177">
        <f>I7*I27</f>
        <v>1372.3831564343109</v>
      </c>
      <c r="J15" s="177">
        <f>J7*J27</f>
        <v>1646.8597877211732</v>
      </c>
      <c r="K15" s="177">
        <f>K7*K27</f>
        <v>1976.2317452654077</v>
      </c>
      <c r="L15" s="227">
        <f>L7*L27</f>
        <v>2371.478094318489</v>
      </c>
      <c r="M15" s="126"/>
    </row>
    <row r="16" spans="1:13" ht="12.75">
      <c r="A16" s="221" t="s">
        <v>18</v>
      </c>
      <c r="B16" s="130"/>
      <c r="C16" s="99"/>
      <c r="D16" s="117">
        <v>0</v>
      </c>
      <c r="E16" s="117">
        <v>0</v>
      </c>
      <c r="F16" s="117">
        <v>-40</v>
      </c>
      <c r="G16" s="118">
        <v>38</v>
      </c>
      <c r="H16" s="186">
        <v>0</v>
      </c>
      <c r="I16" s="119">
        <v>0</v>
      </c>
      <c r="J16" s="119">
        <v>0</v>
      </c>
      <c r="K16" s="119">
        <v>0</v>
      </c>
      <c r="L16" s="230">
        <v>0</v>
      </c>
      <c r="M16" s="126"/>
    </row>
    <row r="17" spans="1:13" ht="14.25" thickBot="1">
      <c r="A17" s="306" t="s">
        <v>19</v>
      </c>
      <c r="B17" s="231"/>
      <c r="C17" s="232"/>
      <c r="D17" s="307">
        <f aca="true" t="shared" si="5" ref="D17:L17">D12-D13+D14-D15+D16</f>
        <v>4490.256</v>
      </c>
      <c r="E17" s="307">
        <f t="shared" si="5"/>
        <v>-6618.968</v>
      </c>
      <c r="F17" s="307">
        <f t="shared" si="5"/>
        <v>2302.351</v>
      </c>
      <c r="G17" s="308">
        <f>G12-G13+G14-G15+G16</f>
        <v>1442.522</v>
      </c>
      <c r="H17" s="309">
        <f t="shared" si="5"/>
        <v>4052.603500877699</v>
      </c>
      <c r="I17" s="307">
        <f t="shared" si="5"/>
        <v>4863.124201053239</v>
      </c>
      <c r="J17" s="307">
        <f t="shared" si="5"/>
        <v>5835.749041263885</v>
      </c>
      <c r="K17" s="307">
        <f t="shared" si="5"/>
        <v>7002.898849516661</v>
      </c>
      <c r="L17" s="310">
        <f t="shared" si="5"/>
        <v>8403.478619419997</v>
      </c>
      <c r="M17" s="126"/>
    </row>
    <row r="18" spans="1:13" ht="13.5" thickBot="1">
      <c r="A18" s="90"/>
      <c r="B18" s="126"/>
      <c r="C18" s="126"/>
      <c r="D18" s="122"/>
      <c r="E18" s="122"/>
      <c r="F18" s="122"/>
      <c r="G18" s="123"/>
      <c r="H18" s="122"/>
      <c r="I18" s="122"/>
      <c r="J18" s="122"/>
      <c r="K18" s="122"/>
      <c r="L18" s="122"/>
      <c r="M18" s="126"/>
    </row>
    <row r="19" spans="1:13" ht="15.75" thickBot="1">
      <c r="A19" s="233" t="s">
        <v>20</v>
      </c>
      <c r="B19" s="234"/>
      <c r="C19" s="235"/>
      <c r="D19" s="236"/>
      <c r="E19" s="236"/>
      <c r="F19" s="236"/>
      <c r="G19" s="237"/>
      <c r="H19" s="238"/>
      <c r="I19" s="238"/>
      <c r="J19" s="238"/>
      <c r="K19" s="238"/>
      <c r="L19" s="239"/>
      <c r="M19" s="126"/>
    </row>
    <row r="20" spans="1:13" ht="13.5" thickTop="1">
      <c r="A20" s="240" t="s">
        <v>21</v>
      </c>
      <c r="B20" s="102"/>
      <c r="C20" s="126"/>
      <c r="D20" s="124">
        <f>(D6-C6)/C6</f>
        <v>0.04359040495228269</v>
      </c>
      <c r="E20" s="124">
        <f>(E6-D6)/D6</f>
        <v>0.025086505190311418</v>
      </c>
      <c r="F20" s="124">
        <f>(F6-E6)/E6</f>
        <v>0.025015069318866788</v>
      </c>
      <c r="G20" s="125">
        <f>(G6-F6)/F6</f>
        <v>0.19147309614819172</v>
      </c>
      <c r="H20" s="270">
        <v>0.2</v>
      </c>
      <c r="I20" s="270">
        <v>0.2</v>
      </c>
      <c r="J20" s="270">
        <v>0.2</v>
      </c>
      <c r="K20" s="270">
        <v>0.2</v>
      </c>
      <c r="L20" s="271">
        <v>0.2</v>
      </c>
      <c r="M20" s="126"/>
    </row>
    <row r="21" spans="1:13" ht="12.75">
      <c r="A21" s="240" t="s">
        <v>22</v>
      </c>
      <c r="B21" s="102"/>
      <c r="C21" s="126"/>
      <c r="D21" s="124">
        <f>D7/D6</f>
        <v>0.26532377656945133</v>
      </c>
      <c r="E21" s="124">
        <f>E7/E6</f>
        <v>0.2653405666063894</v>
      </c>
      <c r="F21" s="124">
        <f>F7/F6</f>
        <v>0.2242281681858277</v>
      </c>
      <c r="G21" s="125">
        <f>G7/G6</f>
        <v>0.18587433986476481</v>
      </c>
      <c r="H21" s="124">
        <f>AVERAGE(D21:G21)</f>
        <v>0.23519171280660828</v>
      </c>
      <c r="I21" s="124">
        <f>$H$21</f>
        <v>0.23519171280660828</v>
      </c>
      <c r="J21" s="124">
        <f>$H$21</f>
        <v>0.23519171280660828</v>
      </c>
      <c r="K21" s="124">
        <f>$H$21</f>
        <v>0.23519171280660828</v>
      </c>
      <c r="L21" s="241">
        <f>$H$21</f>
        <v>0.23519171280660828</v>
      </c>
      <c r="M21" s="126"/>
    </row>
    <row r="22" spans="1:13" ht="12.75">
      <c r="A22" s="240" t="s">
        <v>23</v>
      </c>
      <c r="B22" s="101"/>
      <c r="C22" s="126"/>
      <c r="D22" s="124">
        <f>D8/D7</f>
        <v>0.19399161620866326</v>
      </c>
      <c r="E22" s="124">
        <f>E8/E7</f>
        <v>0.18605179463880053</v>
      </c>
      <c r="F22" s="124">
        <f>F8/F7</f>
        <v>0.22292158405455023</v>
      </c>
      <c r="G22" s="125">
        <f>G8/G7</f>
        <v>0.3467870419543282</v>
      </c>
      <c r="H22" s="124">
        <f>AVERAGE(D22:G22)</f>
        <v>0.23743800921408556</v>
      </c>
      <c r="I22" s="124">
        <f>$H$22</f>
        <v>0.23743800921408556</v>
      </c>
      <c r="J22" s="124">
        <f>$H$22</f>
        <v>0.23743800921408556</v>
      </c>
      <c r="K22" s="124">
        <f>$H$22</f>
        <v>0.23743800921408556</v>
      </c>
      <c r="L22" s="241">
        <f>$H$22</f>
        <v>0.23743800921408556</v>
      </c>
      <c r="M22" s="126"/>
    </row>
    <row r="23" spans="1:13" ht="12.75">
      <c r="A23" s="240" t="s">
        <v>24</v>
      </c>
      <c r="B23" s="101"/>
      <c r="C23" s="126"/>
      <c r="D23" s="124">
        <f>D13/D7</f>
        <v>0.11946902654867257</v>
      </c>
      <c r="E23" s="124">
        <f>E13/E7</f>
        <v>0.10381644706951386</v>
      </c>
      <c r="F23" s="124">
        <f>F13/F7</f>
        <v>0.1038552321007081</v>
      </c>
      <c r="G23" s="125">
        <f>G13/G7</f>
        <v>0.055762081784386616</v>
      </c>
      <c r="H23" s="124">
        <f>AVERAGE(D23:G23)</f>
        <v>0.09572569687582029</v>
      </c>
      <c r="I23" s="124">
        <f>$H$23</f>
        <v>0.09572569687582029</v>
      </c>
      <c r="J23" s="124">
        <f>$H$23</f>
        <v>0.09572569687582029</v>
      </c>
      <c r="K23" s="124">
        <f>$H$23</f>
        <v>0.09572569687582029</v>
      </c>
      <c r="L23" s="241">
        <f>$H$23</f>
        <v>0.09572569687582029</v>
      </c>
      <c r="M23" s="126"/>
    </row>
    <row r="24" spans="1:13" ht="12.75">
      <c r="A24" s="240" t="s">
        <v>25</v>
      </c>
      <c r="B24" s="126"/>
      <c r="C24" s="115">
        <v>7768</v>
      </c>
      <c r="D24" s="107">
        <v>8267</v>
      </c>
      <c r="E24" s="107">
        <v>16933</v>
      </c>
      <c r="F24" s="107">
        <v>19807</v>
      </c>
      <c r="G24" s="108">
        <v>26001</v>
      </c>
      <c r="H24" s="124"/>
      <c r="I24" s="124"/>
      <c r="J24" s="124"/>
      <c r="K24" s="124"/>
      <c r="L24" s="241"/>
      <c r="M24" s="126"/>
    </row>
    <row r="25" spans="1:13" ht="12.75">
      <c r="A25" s="240" t="s">
        <v>26</v>
      </c>
      <c r="B25" s="126"/>
      <c r="C25" s="115">
        <v>4726</v>
      </c>
      <c r="D25" s="107">
        <v>5857</v>
      </c>
      <c r="E25" s="107">
        <v>3950</v>
      </c>
      <c r="F25" s="107">
        <v>5559</v>
      </c>
      <c r="G25" s="108">
        <v>9173</v>
      </c>
      <c r="H25" s="124"/>
      <c r="I25" s="124"/>
      <c r="J25" s="124"/>
      <c r="K25" s="124"/>
      <c r="L25" s="241"/>
      <c r="M25" s="126"/>
    </row>
    <row r="26" spans="1:13" ht="12.75">
      <c r="A26" s="240" t="s">
        <v>27</v>
      </c>
      <c r="B26" s="126"/>
      <c r="C26" s="104">
        <f>C24-C25</f>
        <v>3042</v>
      </c>
      <c r="D26" s="104">
        <f>D24-D25</f>
        <v>2410</v>
      </c>
      <c r="E26" s="104">
        <f>E24-E25</f>
        <v>12983</v>
      </c>
      <c r="F26" s="104">
        <f>F24-F25</f>
        <v>14248</v>
      </c>
      <c r="G26" s="105">
        <f>G24-G25</f>
        <v>16828</v>
      </c>
      <c r="H26" s="124"/>
      <c r="I26" s="124"/>
      <c r="J26" s="124"/>
      <c r="K26" s="124"/>
      <c r="L26" s="241"/>
      <c r="M26" s="126"/>
    </row>
    <row r="27" spans="1:13" ht="13.5" thickBot="1">
      <c r="A27" s="242" t="s">
        <v>28</v>
      </c>
      <c r="B27" s="243"/>
      <c r="C27" s="209"/>
      <c r="D27" s="244">
        <f>D15/D7</f>
        <v>-0.1471821145784816</v>
      </c>
      <c r="E27" s="244">
        <f>E15/E7</f>
        <v>2.401862789641072</v>
      </c>
      <c r="F27" s="244">
        <f>F15/F7</f>
        <v>0.33175976921059536</v>
      </c>
      <c r="G27" s="245">
        <f>G15/G7</f>
        <v>0.685077004779607</v>
      </c>
      <c r="H27" s="244">
        <v>0.2</v>
      </c>
      <c r="I27" s="244">
        <f>$H$27</f>
        <v>0.2</v>
      </c>
      <c r="J27" s="244">
        <f>$H$27</f>
        <v>0.2</v>
      </c>
      <c r="K27" s="244">
        <f>$H$27</f>
        <v>0.2</v>
      </c>
      <c r="L27" s="246">
        <f>$H$27</f>
        <v>0.2</v>
      </c>
      <c r="M27" s="126"/>
    </row>
    <row r="28" spans="1:13" ht="13.5" thickBot="1">
      <c r="A28" s="90"/>
      <c r="B28" s="126"/>
      <c r="C28" s="126"/>
      <c r="D28" s="120"/>
      <c r="E28" s="126"/>
      <c r="F28" s="126"/>
      <c r="G28" s="126"/>
      <c r="H28" s="126"/>
      <c r="I28" s="126"/>
      <c r="J28" s="126"/>
      <c r="K28" s="126"/>
      <c r="L28" s="126"/>
      <c r="M28" s="126"/>
    </row>
    <row r="29" spans="1:13" ht="12.75" customHeight="1">
      <c r="A29" s="248" t="s">
        <v>29</v>
      </c>
      <c r="B29" s="249"/>
      <c r="C29" s="126"/>
      <c r="D29" s="190" t="s">
        <v>30</v>
      </c>
      <c r="E29" s="191" t="s">
        <v>31</v>
      </c>
      <c r="F29" s="192"/>
      <c r="G29" s="193"/>
      <c r="H29" s="193"/>
      <c r="I29" s="193"/>
      <c r="J29" s="193"/>
      <c r="K29" s="193"/>
      <c r="L29" s="194">
        <f>((L30*(1+$B$45))/($B$37-$B$45))</f>
        <v>108158.98785622664</v>
      </c>
      <c r="M29" s="126"/>
    </row>
    <row r="30" spans="1:13" ht="12.75">
      <c r="A30" s="268" t="s">
        <v>32</v>
      </c>
      <c r="B30" s="197"/>
      <c r="C30" s="126"/>
      <c r="D30" s="247" t="s">
        <v>33</v>
      </c>
      <c r="E30" s="99" t="s">
        <v>34</v>
      </c>
      <c r="F30" s="129"/>
      <c r="G30" s="130"/>
      <c r="H30" s="130">
        <f>$H$17</f>
        <v>4052.603500877699</v>
      </c>
      <c r="I30" s="130">
        <f>$I$17</f>
        <v>4863.124201053239</v>
      </c>
      <c r="J30" s="130">
        <f>$J$17</f>
        <v>5835.749041263885</v>
      </c>
      <c r="K30" s="130">
        <f>$K$17</f>
        <v>7002.898849516661</v>
      </c>
      <c r="L30" s="196">
        <f>$L$17</f>
        <v>8403.478619419997</v>
      </c>
      <c r="M30" s="126"/>
    </row>
    <row r="31" spans="1:13" ht="12.75">
      <c r="A31" s="251" t="s">
        <v>35</v>
      </c>
      <c r="B31" s="252">
        <f>H2*B55</f>
        <v>99927.12</v>
      </c>
      <c r="C31" s="126"/>
      <c r="D31" s="195" t="s">
        <v>36</v>
      </c>
      <c r="E31" s="100" t="s">
        <v>37</v>
      </c>
      <c r="F31" s="131"/>
      <c r="G31" s="132"/>
      <c r="H31" s="132">
        <f>SUM(H29:H30)</f>
        <v>4052.603500877699</v>
      </c>
      <c r="I31" s="132">
        <f>SUM(I29:I30)</f>
        <v>4863.124201053239</v>
      </c>
      <c r="J31" s="132">
        <f>SUM(J29:J30)</f>
        <v>5835.749041263885</v>
      </c>
      <c r="K31" s="132">
        <f>SUM(K29:K30)</f>
        <v>7002.898849516661</v>
      </c>
      <c r="L31" s="197">
        <f>SUM(L29:L30)</f>
        <v>116562.46647564664</v>
      </c>
      <c r="M31" s="126"/>
    </row>
    <row r="32" spans="1:13" ht="12.75">
      <c r="A32" s="198" t="s">
        <v>38</v>
      </c>
      <c r="B32" s="253">
        <f>B31/(B31+B33)</f>
        <v>0.8059670867527229</v>
      </c>
      <c r="C32" s="126"/>
      <c r="D32" s="198"/>
      <c r="E32" s="98" t="s">
        <v>39</v>
      </c>
      <c r="F32" s="126"/>
      <c r="G32" s="121"/>
      <c r="H32" s="121">
        <f>$B$40</f>
        <v>0.11127878689625735</v>
      </c>
      <c r="I32" s="121">
        <f>$B$40</f>
        <v>0.11127878689625735</v>
      </c>
      <c r="J32" s="121">
        <f>$B$40</f>
        <v>0.11127878689625735</v>
      </c>
      <c r="K32" s="121">
        <f>$B$40</f>
        <v>0.11127878689625735</v>
      </c>
      <c r="L32" s="199">
        <f>$B$40</f>
        <v>0.11127878689625735</v>
      </c>
      <c r="M32" s="126"/>
    </row>
    <row r="33" spans="1:13" ht="12.75">
      <c r="A33" s="198" t="s">
        <v>40</v>
      </c>
      <c r="B33" s="254">
        <v>24057</v>
      </c>
      <c r="C33" s="126"/>
      <c r="D33" s="198"/>
      <c r="E33" s="98" t="s">
        <v>41</v>
      </c>
      <c r="F33" s="126"/>
      <c r="G33" s="133"/>
      <c r="H33" s="133">
        <f ca="1">($H$5-TODAY())/365</f>
        <v>0.8301369863013699</v>
      </c>
      <c r="I33" s="133">
        <f ca="1">($I$5-TODAY())/365</f>
        <v>1.83013698630137</v>
      </c>
      <c r="J33" s="133">
        <f ca="1">($J$5-TODAY())/365</f>
        <v>2.83013698630137</v>
      </c>
      <c r="K33" s="133">
        <f ca="1">($K$5-TODAY())/365</f>
        <v>3.83013698630137</v>
      </c>
      <c r="L33" s="200">
        <f ca="1">($L$5-TODAY())/365</f>
        <v>4.832876712328767</v>
      </c>
      <c r="M33" s="126"/>
    </row>
    <row r="34" spans="1:13" ht="12.75">
      <c r="A34" s="198" t="s">
        <v>42</v>
      </c>
      <c r="B34" s="253">
        <f>B33/(B33+B31)</f>
        <v>0.19403291324727717</v>
      </c>
      <c r="C34" s="126"/>
      <c r="D34" s="198"/>
      <c r="E34" s="99" t="s">
        <v>43</v>
      </c>
      <c r="F34" s="130"/>
      <c r="G34" s="134"/>
      <c r="H34" s="134">
        <f>(1+H32)^H33</f>
        <v>1.091539326326818</v>
      </c>
      <c r="I34" s="134">
        <f>(1+I32)^I33</f>
        <v>1.2130044984100241</v>
      </c>
      <c r="J34" s="134">
        <f>(1+J32)^J33</f>
        <v>1.3479861674927947</v>
      </c>
      <c r="K34" s="134">
        <f>(1+K32)^K33</f>
        <v>1.4979884329643278</v>
      </c>
      <c r="L34" s="201">
        <f>(1+L32)^L33</f>
        <v>1.665164051910211</v>
      </c>
      <c r="M34" s="126"/>
    </row>
    <row r="35" spans="1:13" ht="12.75">
      <c r="A35" s="198" t="s">
        <v>44</v>
      </c>
      <c r="B35" s="255">
        <v>0.1314</v>
      </c>
      <c r="C35" s="126"/>
      <c r="D35" s="198"/>
      <c r="E35" s="100" t="s">
        <v>45</v>
      </c>
      <c r="F35" s="132"/>
      <c r="G35" s="96"/>
      <c r="H35" s="96">
        <f>H31/H34</f>
        <v>3712.741632970087</v>
      </c>
      <c r="I35" s="96">
        <f>I31/I34</f>
        <v>4009.1559490733134</v>
      </c>
      <c r="J35" s="96">
        <f>J31/J34</f>
        <v>4329.23510789296</v>
      </c>
      <c r="K35" s="96">
        <f>K31/K34</f>
        <v>4674.868440511799</v>
      </c>
      <c r="L35" s="202">
        <f>L31/L34</f>
        <v>70000.59023729867</v>
      </c>
      <c r="M35" s="126"/>
    </row>
    <row r="36" spans="1:13" ht="12.75">
      <c r="A36" s="198" t="s">
        <v>46</v>
      </c>
      <c r="B36" s="255">
        <v>0.0277</v>
      </c>
      <c r="C36" s="126"/>
      <c r="D36" s="198"/>
      <c r="E36" s="98" t="s">
        <v>47</v>
      </c>
      <c r="F36" s="126"/>
      <c r="G36" s="126"/>
      <c r="H36" s="135">
        <f>SUM(G35:L35)</f>
        <v>86726.59136774683</v>
      </c>
      <c r="I36" s="135"/>
      <c r="J36" s="135"/>
      <c r="K36" s="135"/>
      <c r="L36" s="203"/>
      <c r="M36" s="126"/>
    </row>
    <row r="37" spans="1:13" ht="12.75">
      <c r="A37" s="221" t="s">
        <v>48</v>
      </c>
      <c r="B37" s="256">
        <f>B36*B34*(1-H10)+B35*B32</f>
        <v>0.1100264790708681</v>
      </c>
      <c r="C37" s="126"/>
      <c r="D37" s="198"/>
      <c r="E37" s="98" t="s">
        <v>49</v>
      </c>
      <c r="F37" s="126"/>
      <c r="G37" s="126"/>
      <c r="H37" s="136">
        <f>$B$54-$B$53</f>
        <v>791</v>
      </c>
      <c r="I37" s="126"/>
      <c r="J37" s="126"/>
      <c r="K37" s="126"/>
      <c r="L37" s="204"/>
      <c r="M37" s="126"/>
    </row>
    <row r="38" spans="1:13" ht="12.75">
      <c r="A38" s="268" t="s">
        <v>50</v>
      </c>
      <c r="B38" s="257"/>
      <c r="C38" s="126"/>
      <c r="D38" s="198"/>
      <c r="E38" s="99" t="s">
        <v>51</v>
      </c>
      <c r="F38" s="130"/>
      <c r="G38" s="130"/>
      <c r="H38" s="137">
        <f>H36-H37</f>
        <v>85935.59136774683</v>
      </c>
      <c r="I38" s="126"/>
      <c r="J38" s="126"/>
      <c r="K38" s="126"/>
      <c r="L38" s="205"/>
      <c r="M38" s="126"/>
    </row>
    <row r="39" spans="1:13" ht="13.5" thickBot="1">
      <c r="A39" s="198" t="s">
        <v>52</v>
      </c>
      <c r="B39" s="258">
        <f>B40-B42</f>
        <v>0.09127878689625735</v>
      </c>
      <c r="C39" s="126"/>
      <c r="D39" s="206"/>
      <c r="E39" s="207" t="s">
        <v>53</v>
      </c>
      <c r="F39" s="208"/>
      <c r="G39" s="209"/>
      <c r="H39" s="318">
        <f>H38/B55</f>
        <v>60.68897695462347</v>
      </c>
      <c r="I39" s="209"/>
      <c r="J39" s="209"/>
      <c r="K39" s="209"/>
      <c r="L39" s="211"/>
      <c r="M39" s="126"/>
    </row>
    <row r="40" spans="1:13" ht="13.5" thickBot="1">
      <c r="A40" s="198" t="s">
        <v>54</v>
      </c>
      <c r="B40" s="258">
        <f>B36*B34+B35*B32</f>
        <v>0.11127878689625735</v>
      </c>
      <c r="C40" s="126"/>
      <c r="D40" s="120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s="84" customFormat="1" ht="12.75" customHeight="1">
      <c r="A41" s="198" t="s">
        <v>55</v>
      </c>
      <c r="B41" s="258">
        <f>B40+B42</f>
        <v>0.13127878689625735</v>
      </c>
      <c r="C41" s="126"/>
      <c r="D41" s="190" t="s">
        <v>30</v>
      </c>
      <c r="E41" s="191" t="s">
        <v>31</v>
      </c>
      <c r="F41" s="192"/>
      <c r="G41" s="193"/>
      <c r="H41" s="193"/>
      <c r="I41" s="193"/>
      <c r="J41" s="193"/>
      <c r="K41" s="193"/>
      <c r="L41" s="194">
        <f>L9*B50</f>
        <v>57223.86407260155</v>
      </c>
      <c r="M41" s="126"/>
    </row>
    <row r="42" spans="1:13" ht="12.75">
      <c r="A42" s="221" t="s">
        <v>56</v>
      </c>
      <c r="B42" s="259">
        <v>0.02</v>
      </c>
      <c r="C42" s="126"/>
      <c r="D42" s="195" t="s">
        <v>57</v>
      </c>
      <c r="E42" s="99" t="s">
        <v>34</v>
      </c>
      <c r="F42" s="129"/>
      <c r="G42" s="130"/>
      <c r="H42" s="130">
        <f>$H$17</f>
        <v>4052.603500877699</v>
      </c>
      <c r="I42" s="130">
        <f>$I$17</f>
        <v>4863.124201053239</v>
      </c>
      <c r="J42" s="130">
        <f>$J$17</f>
        <v>5835.749041263885</v>
      </c>
      <c r="K42" s="130">
        <f>$K$17</f>
        <v>7002.898849516661</v>
      </c>
      <c r="L42" s="196">
        <f>$L$17</f>
        <v>8403.478619419997</v>
      </c>
      <c r="M42" s="126"/>
    </row>
    <row r="43" spans="1:13" ht="12.75">
      <c r="A43" s="268" t="s">
        <v>58</v>
      </c>
      <c r="B43" s="197"/>
      <c r="C43" s="126"/>
      <c r="D43" s="195" t="s">
        <v>59</v>
      </c>
      <c r="E43" s="100" t="s">
        <v>37</v>
      </c>
      <c r="F43" s="131"/>
      <c r="G43" s="132"/>
      <c r="H43" s="132">
        <f>SUM(H41:H42)</f>
        <v>4052.603500877699</v>
      </c>
      <c r="I43" s="132">
        <f>SUM(I41:I42)</f>
        <v>4863.124201053239</v>
      </c>
      <c r="J43" s="132">
        <f>SUM(J41:J42)</f>
        <v>5835.749041263885</v>
      </c>
      <c r="K43" s="132">
        <f>SUM(K41:K42)</f>
        <v>7002.898849516661</v>
      </c>
      <c r="L43" s="197">
        <f>SUM(L41:L42)</f>
        <v>65627.34269202154</v>
      </c>
      <c r="M43" s="126"/>
    </row>
    <row r="44" spans="1:13" ht="12.75">
      <c r="A44" s="198" t="str">
        <f>+A39</f>
        <v> Low</v>
      </c>
      <c r="B44" s="258">
        <f>B45-B47</f>
        <v>0.024999999999999998</v>
      </c>
      <c r="C44" s="126"/>
      <c r="D44" s="223" t="s">
        <v>60</v>
      </c>
      <c r="E44" s="98" t="s">
        <v>39</v>
      </c>
      <c r="F44" s="126"/>
      <c r="G44" s="121"/>
      <c r="H44" s="121">
        <f>$B$40</f>
        <v>0.11127878689625735</v>
      </c>
      <c r="I44" s="121">
        <f>$B$40</f>
        <v>0.11127878689625735</v>
      </c>
      <c r="J44" s="121">
        <f>$B$40</f>
        <v>0.11127878689625735</v>
      </c>
      <c r="K44" s="121">
        <f>$B$40</f>
        <v>0.11127878689625735</v>
      </c>
      <c r="L44" s="199">
        <f>$B$40</f>
        <v>0.11127878689625735</v>
      </c>
      <c r="M44" s="126"/>
    </row>
    <row r="45" spans="1:13" ht="12.75">
      <c r="A45" s="198" t="str">
        <f>+A40</f>
        <v> Medium</v>
      </c>
      <c r="B45" s="260">
        <v>0.03</v>
      </c>
      <c r="C45" s="126"/>
      <c r="D45" s="198"/>
      <c r="E45" s="98" t="s">
        <v>41</v>
      </c>
      <c r="F45" s="126"/>
      <c r="G45" s="133"/>
      <c r="H45" s="133">
        <f ca="1">($H$5-TODAY())/365</f>
        <v>0.8301369863013699</v>
      </c>
      <c r="I45" s="133">
        <f ca="1">($I$5-TODAY())/365</f>
        <v>1.83013698630137</v>
      </c>
      <c r="J45" s="133">
        <f ca="1">($J$5-TODAY())/365</f>
        <v>2.83013698630137</v>
      </c>
      <c r="K45" s="133">
        <f ca="1">($K$5-TODAY())/365</f>
        <v>3.83013698630137</v>
      </c>
      <c r="L45" s="200">
        <f ca="1">($L$5-TODAY())/365</f>
        <v>4.832876712328767</v>
      </c>
      <c r="M45" s="126"/>
    </row>
    <row r="46" spans="1:13" ht="12.75">
      <c r="A46" s="198" t="str">
        <f>+A41</f>
        <v> High</v>
      </c>
      <c r="B46" s="199">
        <f>B45+B47</f>
        <v>0.034999999999999996</v>
      </c>
      <c r="C46" s="126"/>
      <c r="D46" s="198"/>
      <c r="E46" s="99" t="s">
        <v>43</v>
      </c>
      <c r="F46" s="130"/>
      <c r="G46" s="134"/>
      <c r="H46" s="134">
        <f>(1+H44)^H45</f>
        <v>1.091539326326818</v>
      </c>
      <c r="I46" s="134">
        <f>(1+I44)^I45</f>
        <v>1.2130044984100241</v>
      </c>
      <c r="J46" s="134">
        <f>(1+J44)^J45</f>
        <v>1.3479861674927947</v>
      </c>
      <c r="K46" s="134">
        <f>(1+K44)^K45</f>
        <v>1.4979884329643278</v>
      </c>
      <c r="L46" s="201">
        <f>(1+L44)^L45</f>
        <v>1.665164051910211</v>
      </c>
      <c r="M46" s="126"/>
    </row>
    <row r="47" spans="1:13" ht="12.75">
      <c r="A47" s="221" t="s">
        <v>56</v>
      </c>
      <c r="B47" s="259">
        <v>0.005</v>
      </c>
      <c r="C47" s="126"/>
      <c r="D47" s="198"/>
      <c r="E47" s="100" t="s">
        <v>45</v>
      </c>
      <c r="F47" s="132"/>
      <c r="G47" s="96"/>
      <c r="H47" s="96">
        <f>H43/H46</f>
        <v>3712.741632970087</v>
      </c>
      <c r="I47" s="96">
        <f>I43/I46</f>
        <v>4009.1559490733134</v>
      </c>
      <c r="J47" s="96">
        <f>J43/J46</f>
        <v>4329.23510789296</v>
      </c>
      <c r="K47" s="96">
        <f>K43/K46</f>
        <v>4674.868440511799</v>
      </c>
      <c r="L47" s="202">
        <f>L43/L46</f>
        <v>39411.938191156856</v>
      </c>
      <c r="M47" s="126"/>
    </row>
    <row r="48" spans="1:13" ht="12.75">
      <c r="A48" s="268" t="s">
        <v>61</v>
      </c>
      <c r="B48" s="261" t="s">
        <v>11</v>
      </c>
      <c r="C48" s="126"/>
      <c r="D48" s="198"/>
      <c r="E48" s="98" t="s">
        <v>47</v>
      </c>
      <c r="F48" s="126"/>
      <c r="G48" s="126"/>
      <c r="H48" s="135">
        <f>SUM(G47:L47)</f>
        <v>56137.939321605016</v>
      </c>
      <c r="I48" s="135"/>
      <c r="J48" s="135"/>
      <c r="K48" s="135"/>
      <c r="L48" s="203"/>
      <c r="M48" s="126"/>
    </row>
    <row r="49" spans="1:13" ht="12.75">
      <c r="A49" s="262">
        <f>L5</f>
        <v>44012</v>
      </c>
      <c r="B49" s="263">
        <f>L9</f>
        <v>14672.785659641424</v>
      </c>
      <c r="C49" s="126"/>
      <c r="D49" s="198"/>
      <c r="E49" s="98" t="s">
        <v>49</v>
      </c>
      <c r="F49" s="126"/>
      <c r="G49" s="126"/>
      <c r="H49" s="136">
        <f>$B$54-$B$53</f>
        <v>791</v>
      </c>
      <c r="I49" s="126"/>
      <c r="J49" s="126"/>
      <c r="K49" s="126"/>
      <c r="L49" s="204"/>
      <c r="M49" s="126"/>
    </row>
    <row r="50" spans="1:13" ht="12.75">
      <c r="A50" s="198" t="s">
        <v>62</v>
      </c>
      <c r="B50" s="264">
        <v>3.9</v>
      </c>
      <c r="C50" s="126"/>
      <c r="D50" s="198"/>
      <c r="E50" s="99" t="s">
        <v>51</v>
      </c>
      <c r="F50" s="130"/>
      <c r="G50" s="130"/>
      <c r="H50" s="137">
        <f>H48-H49</f>
        <v>55346.939321605016</v>
      </c>
      <c r="I50" s="126"/>
      <c r="J50" s="126"/>
      <c r="K50" s="126"/>
      <c r="L50" s="205"/>
      <c r="M50" s="126"/>
    </row>
    <row r="51" spans="1:13" ht="13.5" thickBot="1">
      <c r="A51" s="221" t="s">
        <v>56</v>
      </c>
      <c r="B51" s="265">
        <v>1</v>
      </c>
      <c r="C51" s="126"/>
      <c r="D51" s="206"/>
      <c r="E51" s="207" t="s">
        <v>53</v>
      </c>
      <c r="F51" s="208"/>
      <c r="G51" s="209"/>
      <c r="H51" s="210">
        <f>H50/B55</f>
        <v>39.0868215548058</v>
      </c>
      <c r="I51" s="209"/>
      <c r="J51" s="209"/>
      <c r="K51" s="209"/>
      <c r="L51" s="211"/>
      <c r="M51" s="324"/>
    </row>
    <row r="52" spans="1:13" ht="13.5" thickBot="1">
      <c r="A52" s="268" t="s">
        <v>63</v>
      </c>
      <c r="B52" s="197"/>
      <c r="C52" s="126"/>
      <c r="D52" s="126"/>
      <c r="E52" s="90"/>
      <c r="F52" s="90"/>
      <c r="G52" s="126"/>
      <c r="H52" s="189"/>
      <c r="I52" s="126"/>
      <c r="J52" s="126"/>
      <c r="K52" s="126"/>
      <c r="L52" s="126"/>
      <c r="M52" s="126"/>
    </row>
    <row r="53" spans="1:13" ht="12.75">
      <c r="A53" s="251" t="s">
        <v>64</v>
      </c>
      <c r="B53" s="269">
        <v>4843</v>
      </c>
      <c r="C53" s="126"/>
      <c r="D53" s="273" t="s">
        <v>65</v>
      </c>
      <c r="E53" s="193"/>
      <c r="F53" s="193"/>
      <c r="G53" s="194"/>
      <c r="H53" s="126"/>
      <c r="I53" s="273" t="s">
        <v>66</v>
      </c>
      <c r="J53" s="294"/>
      <c r="K53" s="193"/>
      <c r="L53" s="194"/>
      <c r="M53" s="126"/>
    </row>
    <row r="54" spans="1:13" ht="12.75">
      <c r="A54" s="198" t="s">
        <v>67</v>
      </c>
      <c r="B54" s="254">
        <v>5634</v>
      </c>
      <c r="C54" s="126"/>
      <c r="D54" s="198" t="s">
        <v>68</v>
      </c>
      <c r="E54" s="122"/>
      <c r="F54" s="126"/>
      <c r="G54" s="205"/>
      <c r="H54" s="126"/>
      <c r="I54" s="198" t="s">
        <v>68</v>
      </c>
      <c r="J54" s="126"/>
      <c r="K54" s="126"/>
      <c r="L54" s="205"/>
      <c r="M54" s="126"/>
    </row>
    <row r="55" spans="1:13" ht="12.75">
      <c r="A55" s="198" t="s">
        <v>69</v>
      </c>
      <c r="B55" s="266">
        <v>1416</v>
      </c>
      <c r="C55" s="126"/>
      <c r="D55" s="198"/>
      <c r="E55" s="138"/>
      <c r="F55" s="132" t="str">
        <f>+Scratch!E28</f>
        <v>Growth Rate</v>
      </c>
      <c r="G55" s="197"/>
      <c r="H55" s="122"/>
      <c r="I55" s="198"/>
      <c r="J55" s="97"/>
      <c r="K55" s="128" t="str">
        <f>+Scratch!J28</f>
        <v>Multiple</v>
      </c>
      <c r="L55" s="295"/>
      <c r="M55" s="126"/>
    </row>
    <row r="56" spans="1:13" ht="13.5" thickBot="1">
      <c r="A56" s="267" t="s">
        <v>70</v>
      </c>
      <c r="B56" s="211"/>
      <c r="C56" s="126"/>
      <c r="D56" s="274" t="str">
        <f>+Scratch!C29</f>
        <v>WACC</v>
      </c>
      <c r="E56" s="139">
        <f>+Scratch!D29</f>
        <v>0.024999999999999998</v>
      </c>
      <c r="F56" s="140">
        <f>+Scratch!E29</f>
        <v>0.03</v>
      </c>
      <c r="G56" s="275">
        <f>+Scratch!F29</f>
        <v>0.034999999999999996</v>
      </c>
      <c r="H56" s="126"/>
      <c r="I56" s="296" t="str">
        <f>+Scratch!H29</f>
        <v>WACC</v>
      </c>
      <c r="J56" s="141">
        <f>+Scratch!I29</f>
        <v>2.9</v>
      </c>
      <c r="K56" s="142">
        <f>+Scratch!J29</f>
        <v>3.9</v>
      </c>
      <c r="L56" s="281">
        <f>+Scratch!K29</f>
        <v>4.9</v>
      </c>
      <c r="M56" s="126"/>
    </row>
    <row r="57" spans="1:13" ht="12.75">
      <c r="A57" s="120"/>
      <c r="B57" s="120"/>
      <c r="C57" s="126"/>
      <c r="D57" s="276">
        <f>+Scratch!C30</f>
        <v>0.09127878689625735</v>
      </c>
      <c r="E57" s="143">
        <f>+Scratch!D30/(DCF!$B$55*Scratch!$T$19)</f>
        <v>97.62132190499834</v>
      </c>
      <c r="F57" s="144">
        <f>+Scratch!E30/(DCF!$B$55*Scratch!$T$19)</f>
        <v>104.5149471069991</v>
      </c>
      <c r="G57" s="277">
        <f>+Scratch!F30/(DCF!$B$55*Scratch!$T$19)</f>
        <v>112.63347881146375</v>
      </c>
      <c r="H57" s="126"/>
      <c r="I57" s="297">
        <f>+Scratch!H30</f>
        <v>0.09127878689625735</v>
      </c>
      <c r="J57" s="146">
        <f>+Scratch!I30/(DCF!$B$55*Scratch!$T$19)</f>
        <v>44.248347408594</v>
      </c>
      <c r="K57" s="147">
        <f>+Scratch!J30/(DCF!$B$55*Scratch!$T$19)</f>
        <v>53.20777232481966</v>
      </c>
      <c r="L57" s="298">
        <f>+Scratch!K30/(DCF!$B$55*Scratch!$T$19)</f>
        <v>62.16719724104532</v>
      </c>
      <c r="M57" s="126"/>
    </row>
    <row r="58" spans="1:13" ht="12.75">
      <c r="A58" s="120"/>
      <c r="B58" s="120"/>
      <c r="C58" s="126"/>
      <c r="D58" s="276">
        <f>+Scratch!C31</f>
        <v>0.11127878689625735</v>
      </c>
      <c r="E58" s="143">
        <f>+Scratch!D31/(DCF!$B$55*Scratch!$T$19)</f>
        <v>76.93402595585513</v>
      </c>
      <c r="F58" s="144">
        <f>+Scratch!E31/(DCF!$B$55*Scratch!$T$19)</f>
        <v>80.87864238093067</v>
      </c>
      <c r="G58" s="277">
        <f>+Scratch!F31/(DCF!$B$55*Scratch!$T$19)</f>
        <v>85.34039031603402</v>
      </c>
      <c r="H58" s="126"/>
      <c r="I58" s="299">
        <f>+Scratch!H31</f>
        <v>0.11127878689625735</v>
      </c>
      <c r="J58" s="149">
        <f>+Scratch!I31/(DCF!$B$55*Scratch!$T$19)</f>
        <v>42.998087763731384</v>
      </c>
      <c r="K58" s="144">
        <f>+Scratch!J31/(DCF!$B$55*Scratch!$T$19)</f>
        <v>51.69062315108873</v>
      </c>
      <c r="L58" s="277">
        <f>+Scratch!K31/(DCF!$B$55*Scratch!$T$19)</f>
        <v>60.383158538446054</v>
      </c>
      <c r="M58" s="126"/>
    </row>
    <row r="59" spans="1:13" ht="12.75">
      <c r="A59" s="120"/>
      <c r="B59" s="120"/>
      <c r="C59" s="126"/>
      <c r="D59" s="278">
        <f>+Scratch!C32</f>
        <v>0.13127878689625735</v>
      </c>
      <c r="E59" s="150">
        <f>+Scratch!D32/(DCF!$B$55*Scratch!$T$19)</f>
        <v>63.94303348166572</v>
      </c>
      <c r="F59" s="151">
        <f>+Scratch!E32/(DCF!$B$55*Scratch!$T$19)</f>
        <v>66.4826501563262</v>
      </c>
      <c r="G59" s="279">
        <f>+Scratch!F32/(DCF!$B$55*Scratch!$T$19)</f>
        <v>69.28604421710983</v>
      </c>
      <c r="H59" s="126"/>
      <c r="I59" s="300">
        <f>+Scratch!H32</f>
        <v>0.13127878689625735</v>
      </c>
      <c r="J59" s="153">
        <f>+Scratch!I32/(DCF!$B$55*Scratch!$T$19)</f>
        <v>41.80454182862301</v>
      </c>
      <c r="K59" s="151">
        <f>+Scratch!J32/(DCF!$B$55*Scratch!$T$19)</f>
        <v>50.24268860365845</v>
      </c>
      <c r="L59" s="279">
        <f>+Scratch!K32/(DCF!$B$55*Scratch!$T$19)</f>
        <v>58.68083537869389</v>
      </c>
      <c r="M59" s="126"/>
    </row>
    <row r="60" spans="1:13" ht="12.75">
      <c r="A60" s="120"/>
      <c r="B60" s="120"/>
      <c r="C60" s="126"/>
      <c r="D60" s="198" t="s">
        <v>71</v>
      </c>
      <c r="E60" s="126"/>
      <c r="F60" s="126"/>
      <c r="G60" s="197"/>
      <c r="H60" s="126"/>
      <c r="I60" s="198" t="s">
        <v>72</v>
      </c>
      <c r="J60" s="127"/>
      <c r="K60" s="126"/>
      <c r="L60" s="205"/>
      <c r="M60" s="126"/>
    </row>
    <row r="61" spans="1:13" ht="12.75">
      <c r="A61" s="120"/>
      <c r="B61" s="120"/>
      <c r="C61" s="126"/>
      <c r="D61" s="198"/>
      <c r="E61" s="100"/>
      <c r="F61" s="132" t="str">
        <f>+Scratch!I10</f>
        <v>Multiple</v>
      </c>
      <c r="G61" s="197"/>
      <c r="H61" s="126"/>
      <c r="I61" s="198"/>
      <c r="J61" s="154"/>
      <c r="K61" s="128" t="str">
        <f>+Scratch!E10</f>
        <v>Growth Rate</v>
      </c>
      <c r="L61" s="295"/>
      <c r="M61" s="126"/>
    </row>
    <row r="62" spans="1:13" ht="12.75">
      <c r="A62" s="120"/>
      <c r="B62" s="120"/>
      <c r="C62" s="126"/>
      <c r="D62" s="280" t="str">
        <f>+Scratch!G11</f>
        <v>WACC</v>
      </c>
      <c r="E62" s="155">
        <f>+Scratch!H11</f>
        <v>2.9</v>
      </c>
      <c r="F62" s="156">
        <f>+Scratch!I11</f>
        <v>3.9</v>
      </c>
      <c r="G62" s="281">
        <f>+Scratch!J11</f>
        <v>4.9</v>
      </c>
      <c r="H62" s="126"/>
      <c r="I62" s="250" t="str">
        <f>+Scratch!C11</f>
        <v>WACC</v>
      </c>
      <c r="J62" s="157">
        <f>+Scratch!D11</f>
        <v>0.024999999999999998</v>
      </c>
      <c r="K62" s="158">
        <f>+Scratch!E11</f>
        <v>0.03</v>
      </c>
      <c r="L62" s="289">
        <f>+Scratch!F11</f>
        <v>0.034999999999999996</v>
      </c>
      <c r="M62" s="126"/>
    </row>
    <row r="63" spans="1:13" ht="12.75">
      <c r="A63" s="120"/>
      <c r="B63" s="120"/>
      <c r="C63" s="126"/>
      <c r="D63" s="282">
        <f>+DCF!I63</f>
        <v>0.09127878689625735</v>
      </c>
      <c r="E63" s="145">
        <f>((Scratch!H6*$D63)-Scratch!$AB$24)/(Scratch!H6+Scratch!$AB$24)</f>
        <v>-0.08869604730123516</v>
      </c>
      <c r="F63" s="159">
        <f>((Scratch!I6*$D63)-Scratch!$AB$24)/(Scratch!I6+Scratch!$AB$24)</f>
        <v>-0.0484577554858582</v>
      </c>
      <c r="G63" s="283">
        <f>((Scratch!J6*$D63)-Scratch!$AB$24)/(Scratch!J6+Scratch!$AB$24)</f>
        <v>-0.022924491999490173</v>
      </c>
      <c r="H63" s="126"/>
      <c r="I63" s="297">
        <f>+Scratch!C12</f>
        <v>0.09127878689625735</v>
      </c>
      <c r="J63" s="160">
        <f>Scratch!D6/DCF!$B$49</f>
        <v>8.857187542221045</v>
      </c>
      <c r="K63" s="161">
        <f>Scratch!E6/DCF!$B$49</f>
        <v>9.626614739441738</v>
      </c>
      <c r="L63" s="301">
        <f>Scratch!F6/DCF!$B$49</f>
        <v>10.532759026645023</v>
      </c>
      <c r="M63" s="126"/>
    </row>
    <row r="64" spans="1:13" ht="12.75">
      <c r="A64" s="120"/>
      <c r="B64" s="120"/>
      <c r="C64" s="126"/>
      <c r="D64" s="284">
        <f>+DCF!I64</f>
        <v>0.11127878689625735</v>
      </c>
      <c r="E64" s="148">
        <f>((Scratch!H7*$D64)-Scratch!$AB$24)/(Scratch!H7+Scratch!$AB$24)</f>
        <v>-0.07199446813298915</v>
      </c>
      <c r="F64" s="162">
        <f>((Scratch!I7*$D64)-Scratch!$AB$24)/(Scratch!I7+Scratch!$AB$24)</f>
        <v>-0.031018724214656547</v>
      </c>
      <c r="G64" s="199">
        <f>((Scratch!J7*$D64)-Scratch!$AB$24)/(Scratch!J7+Scratch!$AB$24)</f>
        <v>-0.0050175094807619735</v>
      </c>
      <c r="H64" s="126"/>
      <c r="I64" s="299">
        <f>+Scratch!C13</f>
        <v>0.11127878689625735</v>
      </c>
      <c r="J64" s="163">
        <f>Scratch!D7/DCF!$B$49</f>
        <v>6.804032216133526</v>
      </c>
      <c r="K64" s="164">
        <f>Scratch!E7/DCF!$B$49</f>
        <v>7.257825758442561</v>
      </c>
      <c r="L64" s="302">
        <f>Scratch!F7/DCF!$B$49</f>
        <v>7.77111074795122</v>
      </c>
      <c r="M64" s="126"/>
    </row>
    <row r="65" spans="1:13" ht="12.75">
      <c r="A65" s="120"/>
      <c r="B65" s="120"/>
      <c r="C65" s="126"/>
      <c r="D65" s="285">
        <f>+DCF!I65</f>
        <v>0.13127878689625735</v>
      </c>
      <c r="E65" s="152">
        <f>((Scratch!H8*$D65)-Scratch!$AB$24)/(Scratch!H8+Scratch!$AB$24)</f>
        <v>-0.05529288896474316</v>
      </c>
      <c r="F65" s="165">
        <f>((Scratch!I8*$D65)-Scratch!$AB$24)/(Scratch!I8+Scratch!$AB$24)</f>
        <v>-0.01357969294345489</v>
      </c>
      <c r="G65" s="286">
        <f>((Scratch!J8*$D65)-Scratch!$AB$24)/(Scratch!J8+Scratch!$AB$24)</f>
        <v>0.012889473037966238</v>
      </c>
      <c r="H65" s="126"/>
      <c r="I65" s="300">
        <f>+Scratch!C14</f>
        <v>0.13127878689625735</v>
      </c>
      <c r="J65" s="166">
        <f>Scratch!D8/DCF!$B$49</f>
        <v>5.52362011982776</v>
      </c>
      <c r="K65" s="167">
        <f>Scratch!E8/DCF!$B$49</f>
        <v>5.824588655024853</v>
      </c>
      <c r="L65" s="303">
        <f>Scratch!F8/DCF!$B$49</f>
        <v>6.156817299005967</v>
      </c>
      <c r="M65" s="126"/>
    </row>
    <row r="66" spans="1:13" ht="12.75">
      <c r="A66" s="120"/>
      <c r="B66" s="120"/>
      <c r="C66" s="126"/>
      <c r="D66" s="287" t="s">
        <v>73</v>
      </c>
      <c r="E66" s="127"/>
      <c r="F66" s="126"/>
      <c r="G66" s="197"/>
      <c r="H66" s="126"/>
      <c r="I66" s="198" t="str">
        <f>+DCF!D66</f>
        <v>% Value in Terminal Value</v>
      </c>
      <c r="J66" s="126"/>
      <c r="K66" s="122"/>
      <c r="L66" s="205"/>
      <c r="M66" s="126"/>
    </row>
    <row r="67" spans="1:13" ht="12.75">
      <c r="A67" s="120"/>
      <c r="B67" s="120"/>
      <c r="C67" s="126"/>
      <c r="D67" s="198"/>
      <c r="E67" s="138"/>
      <c r="F67" s="132" t="str">
        <f>+Scratch!E43</f>
        <v>Growth Rate</v>
      </c>
      <c r="G67" s="197"/>
      <c r="H67" s="126"/>
      <c r="I67" s="198"/>
      <c r="J67" s="100"/>
      <c r="K67" s="168" t="str">
        <f>+Scratch!J43</f>
        <v>Multiple</v>
      </c>
      <c r="L67" s="197"/>
      <c r="M67" s="126"/>
    </row>
    <row r="68" spans="1:13" ht="12.75">
      <c r="A68" s="120"/>
      <c r="B68" s="120"/>
      <c r="C68" s="126"/>
      <c r="D68" s="288" t="str">
        <f>+Scratch!C44</f>
        <v>WACC</v>
      </c>
      <c r="E68" s="157">
        <f>+Scratch!D44</f>
        <v>0.024999999999999998</v>
      </c>
      <c r="F68" s="158">
        <f>+Scratch!E44</f>
        <v>0.03</v>
      </c>
      <c r="G68" s="289">
        <f>+Scratch!F44</f>
        <v>0.034999999999999996</v>
      </c>
      <c r="H68" s="126"/>
      <c r="I68" s="288" t="str">
        <f>+Scratch!H44</f>
        <v>WACC</v>
      </c>
      <c r="J68" s="169">
        <f>+Scratch!I44</f>
        <v>2.9</v>
      </c>
      <c r="K68" s="170">
        <f>+Scratch!J44</f>
        <v>3.9</v>
      </c>
      <c r="L68" s="304">
        <f>+Scratch!K44</f>
        <v>4.9</v>
      </c>
      <c r="M68" s="126"/>
    </row>
    <row r="69" spans="1:13" ht="12.75">
      <c r="A69" s="126"/>
      <c r="B69" s="126"/>
      <c r="C69" s="126"/>
      <c r="D69" s="282">
        <f>+Scratch!C45</f>
        <v>0.09127878689625735</v>
      </c>
      <c r="E69" s="171">
        <f>Scratch!D12/Scratch!D24</f>
        <v>0.8082639752366925</v>
      </c>
      <c r="F69" s="172">
        <f>Scratch!E12/Scratch!E24</f>
        <v>0.8208433173245593</v>
      </c>
      <c r="G69" s="283">
        <f>Scratch!F12/Scratch!F24</f>
        <v>0.8336930592885456</v>
      </c>
      <c r="H69" s="126"/>
      <c r="I69" s="282">
        <f>+Scratch!H45</f>
        <v>0.09127878689625735</v>
      </c>
      <c r="J69" s="145">
        <f>Scratch!H12/Scratch!I24</f>
        <v>0.579872644458355</v>
      </c>
      <c r="K69" s="172">
        <f>Scratch!I12/Scratch!J24</f>
        <v>0.6498810572820802</v>
      </c>
      <c r="L69" s="283">
        <f>Scratch!J12/Scratch!K24</f>
        <v>0.6998902038517109</v>
      </c>
      <c r="M69" s="126"/>
    </row>
    <row r="70" spans="1:13" ht="12.75">
      <c r="A70" s="126"/>
      <c r="B70" s="126"/>
      <c r="C70" s="126"/>
      <c r="D70" s="284">
        <f>+Scratch!C46</f>
        <v>0.11127878689625735</v>
      </c>
      <c r="E70" s="173">
        <f>Scratch!D13/Scratch!D25</f>
        <v>0.763224603790597</v>
      </c>
      <c r="F70" s="162">
        <f>Scratch!E13/Scratch!E25</f>
        <v>0.7746934098086731</v>
      </c>
      <c r="G70" s="199">
        <f>Scratch!F13/Scratch!F25</f>
        <v>0.7863962368701248</v>
      </c>
      <c r="H70" s="126"/>
      <c r="I70" s="284">
        <f>+Scratch!H46</f>
        <v>0.11127878689625735</v>
      </c>
      <c r="J70" s="148">
        <f>Scratch!H13/Scratch!I25</f>
        <v>0.5787479434786581</v>
      </c>
      <c r="K70" s="162">
        <f>Scratch!I13/Scratch!J25</f>
        <v>0.6488302734890611</v>
      </c>
      <c r="L70" s="199">
        <f>Scratch!J13/Scratch!K25</f>
        <v>0.6989199747955918</v>
      </c>
      <c r="M70" s="126"/>
    </row>
    <row r="71" spans="1:13" ht="13.5" thickBot="1">
      <c r="A71" s="126"/>
      <c r="B71" s="126"/>
      <c r="C71" s="126"/>
      <c r="D71" s="290">
        <f>+Scratch!C47</f>
        <v>0.13127878689625735</v>
      </c>
      <c r="E71" s="291">
        <f>Scratch!D14/Scratch!D26</f>
        <v>0.722603496280108</v>
      </c>
      <c r="F71" s="292">
        <f>Scratch!E14/Scratch!E26</f>
        <v>0.7331116627964837</v>
      </c>
      <c r="G71" s="293">
        <f>Scratch!F14/Scratch!F26</f>
        <v>0.7438239087866525</v>
      </c>
      <c r="H71" s="126"/>
      <c r="I71" s="290">
        <f>+Scratch!H47</f>
        <v>0.13127878689625735</v>
      </c>
      <c r="J71" s="305">
        <f>Scratch!H14/Scratch!I26</f>
        <v>0.5776393216725918</v>
      </c>
      <c r="K71" s="292">
        <f>Scratch!I14/Scratch!J26</f>
        <v>0.647793846959268</v>
      </c>
      <c r="L71" s="293">
        <f>Scratch!J14/Scratch!K26</f>
        <v>0.6979625631497633</v>
      </c>
      <c r="M71" s="126"/>
    </row>
    <row r="72" spans="1:13" ht="12.75">
      <c r="A72" s="126"/>
      <c r="B72" s="126"/>
      <c r="C72" s="126"/>
      <c r="D72" s="120"/>
      <c r="E72" s="120"/>
      <c r="F72" s="120"/>
      <c r="G72" s="120"/>
      <c r="H72" s="126"/>
      <c r="I72" s="120"/>
      <c r="J72" s="120"/>
      <c r="K72" s="120"/>
      <c r="L72" s="120"/>
      <c r="M72" s="126"/>
    </row>
    <row r="73" spans="1:13" ht="12.75">
      <c r="A73" s="126"/>
      <c r="B73" s="126"/>
      <c r="C73" s="126"/>
      <c r="D73" s="120"/>
      <c r="E73" s="126"/>
      <c r="F73" s="126"/>
      <c r="G73" s="126"/>
      <c r="H73" s="126"/>
      <c r="I73" s="126"/>
      <c r="J73" s="126"/>
      <c r="K73" s="126"/>
      <c r="L73" s="126"/>
      <c r="M73" s="120"/>
    </row>
    <row r="74" spans="1:13" ht="12.75">
      <c r="A74" s="126"/>
      <c r="B74" s="126"/>
      <c r="C74" s="120"/>
      <c r="D74" s="126"/>
      <c r="E74" s="120"/>
      <c r="F74" s="120"/>
      <c r="G74" s="120"/>
      <c r="H74" s="120"/>
      <c r="I74" s="120"/>
      <c r="J74" s="120"/>
      <c r="K74" s="120"/>
      <c r="L74" s="120"/>
      <c r="M74" s="120"/>
    </row>
    <row r="75" spans="1:13" ht="12.75">
      <c r="A75" s="126"/>
      <c r="B75" s="126"/>
      <c r="C75" s="126"/>
      <c r="D75" s="126"/>
      <c r="E75" s="120"/>
      <c r="F75" s="120"/>
      <c r="G75" s="120"/>
      <c r="H75" s="120"/>
      <c r="I75" s="120"/>
      <c r="J75" s="120"/>
      <c r="K75" s="120"/>
      <c r="L75" s="120"/>
      <c r="M75" s="120"/>
    </row>
    <row r="76" spans="1:13" ht="12.75">
      <c r="A76" s="126"/>
      <c r="B76" s="126"/>
      <c r="C76" s="126"/>
      <c r="D76" s="126"/>
      <c r="E76" s="120"/>
      <c r="F76" s="120"/>
      <c r="G76" s="120"/>
      <c r="H76" s="120"/>
      <c r="I76" s="120"/>
      <c r="J76" s="120"/>
      <c r="K76" s="120"/>
      <c r="L76" s="120"/>
      <c r="M76" s="120"/>
    </row>
    <row r="77" spans="1:13" ht="12.75">
      <c r="A77" s="126"/>
      <c r="B77" s="126"/>
      <c r="C77" s="126"/>
      <c r="D77" s="126"/>
      <c r="E77" s="120"/>
      <c r="F77" s="120"/>
      <c r="G77" s="120"/>
      <c r="H77" s="120"/>
      <c r="I77" s="120"/>
      <c r="J77" s="120"/>
      <c r="K77" s="120"/>
      <c r="L77" s="120"/>
      <c r="M77" s="120"/>
    </row>
    <row r="78" spans="1:13" ht="12.75">
      <c r="A78" s="126"/>
      <c r="B78" s="126"/>
      <c r="C78" s="126"/>
      <c r="D78" s="126"/>
      <c r="E78" s="120"/>
      <c r="F78" s="120"/>
      <c r="G78" s="120"/>
      <c r="H78" s="120"/>
      <c r="I78" s="120"/>
      <c r="J78" s="120"/>
      <c r="K78" s="120"/>
      <c r="L78" s="120"/>
      <c r="M78" s="120"/>
    </row>
    <row r="79" spans="1:13" ht="12.75">
      <c r="A79" s="126"/>
      <c r="B79" s="126"/>
      <c r="C79" s="126"/>
      <c r="D79" s="126"/>
      <c r="E79" s="120"/>
      <c r="F79" s="120"/>
      <c r="G79" s="120"/>
      <c r="H79" s="120"/>
      <c r="I79" s="120"/>
      <c r="J79" s="120"/>
      <c r="K79" s="120"/>
      <c r="L79" s="120"/>
      <c r="M79" s="120"/>
    </row>
    <row r="80" spans="1:13" ht="12.75">
      <c r="A80" s="126"/>
      <c r="B80" s="126"/>
      <c r="C80" s="126"/>
      <c r="D80" s="126"/>
      <c r="E80" s="120"/>
      <c r="F80" s="120"/>
      <c r="G80" s="120"/>
      <c r="H80" s="120"/>
      <c r="I80" s="120"/>
      <c r="J80" s="120"/>
      <c r="K80" s="120"/>
      <c r="L80" s="120"/>
      <c r="M80" s="120"/>
    </row>
    <row r="81" spans="1:13" ht="12.75">
      <c r="A81" s="126"/>
      <c r="B81" s="126"/>
      <c r="C81" s="126"/>
      <c r="D81" s="126"/>
      <c r="E81" s="120"/>
      <c r="F81" s="120"/>
      <c r="G81" s="120"/>
      <c r="H81" s="120"/>
      <c r="I81" s="120"/>
      <c r="J81" s="120"/>
      <c r="K81" s="120"/>
      <c r="L81" s="120"/>
      <c r="M81" s="120"/>
    </row>
    <row r="82" spans="1:13" ht="12.75">
      <c r="A82" s="126"/>
      <c r="B82" s="126"/>
      <c r="C82" s="126"/>
      <c r="D82" s="126"/>
      <c r="E82" s="120"/>
      <c r="F82" s="120"/>
      <c r="G82" s="120"/>
      <c r="H82" s="120"/>
      <c r="I82" s="120"/>
      <c r="J82" s="120"/>
      <c r="K82" s="120"/>
      <c r="L82" s="120"/>
      <c r="M82" s="120"/>
    </row>
    <row r="83" spans="1:13" ht="12.75">
      <c r="A83" s="126"/>
      <c r="B83" s="126"/>
      <c r="C83" s="126"/>
      <c r="D83" s="126"/>
      <c r="E83" s="120"/>
      <c r="F83" s="120"/>
      <c r="G83" s="120"/>
      <c r="H83" s="120"/>
      <c r="I83" s="120"/>
      <c r="J83" s="120"/>
      <c r="K83" s="120"/>
      <c r="L83" s="120"/>
      <c r="M83" s="120"/>
    </row>
    <row r="84" spans="1:13" ht="12.75">
      <c r="A84" s="126"/>
      <c r="B84" s="126"/>
      <c r="C84" s="126"/>
      <c r="D84" s="126"/>
      <c r="E84" s="120"/>
      <c r="F84" s="120"/>
      <c r="G84" s="120"/>
      <c r="H84" s="120"/>
      <c r="I84" s="120"/>
      <c r="J84" s="120"/>
      <c r="K84" s="120"/>
      <c r="L84" s="120"/>
      <c r="M84" s="120"/>
    </row>
    <row r="85" spans="1:13" ht="12.75">
      <c r="A85" s="126"/>
      <c r="B85" s="126"/>
      <c r="C85" s="126"/>
      <c r="D85" s="126"/>
      <c r="E85" s="120"/>
      <c r="F85" s="120"/>
      <c r="G85" s="120"/>
      <c r="H85" s="120"/>
      <c r="I85" s="120"/>
      <c r="J85" s="120"/>
      <c r="K85" s="120"/>
      <c r="L85" s="120"/>
      <c r="M85" s="120"/>
    </row>
    <row r="86" spans="1:13" ht="12.75">
      <c r="A86" s="126"/>
      <c r="B86" s="126"/>
      <c r="C86" s="126"/>
      <c r="D86" s="126"/>
      <c r="E86" s="120"/>
      <c r="F86" s="120"/>
      <c r="G86" s="120"/>
      <c r="H86" s="120"/>
      <c r="I86" s="120"/>
      <c r="J86" s="120"/>
      <c r="K86" s="120"/>
      <c r="L86" s="120"/>
      <c r="M86" s="120"/>
    </row>
    <row r="87" spans="1:13" ht="12.75">
      <c r="A87" s="126"/>
      <c r="B87" s="126"/>
      <c r="C87" s="126"/>
      <c r="D87" s="126"/>
      <c r="E87" s="120"/>
      <c r="F87" s="120"/>
      <c r="G87" s="120"/>
      <c r="H87" s="120"/>
      <c r="I87" s="120"/>
      <c r="J87" s="120"/>
      <c r="K87" s="120"/>
      <c r="L87" s="120"/>
      <c r="M87" s="120"/>
    </row>
    <row r="88" spans="1:13" ht="12.75">
      <c r="A88" s="126"/>
      <c r="B88" s="126"/>
      <c r="C88" s="126"/>
      <c r="D88" s="126"/>
      <c r="E88" s="120"/>
      <c r="F88" s="120"/>
      <c r="G88" s="120"/>
      <c r="H88" s="120"/>
      <c r="I88" s="120"/>
      <c r="J88" s="120"/>
      <c r="K88" s="120"/>
      <c r="L88" s="120"/>
      <c r="M88" s="120"/>
    </row>
    <row r="89" spans="1:13" ht="12.75">
      <c r="A89" s="126"/>
      <c r="B89" s="126"/>
      <c r="C89" s="126"/>
      <c r="D89" s="126"/>
      <c r="E89" s="120"/>
      <c r="F89" s="120"/>
      <c r="G89" s="120"/>
      <c r="H89" s="120"/>
      <c r="I89" s="120"/>
      <c r="J89" s="120"/>
      <c r="K89" s="120"/>
      <c r="L89" s="120"/>
      <c r="M89" s="120"/>
    </row>
    <row r="90" spans="1:13" ht="12.75">
      <c r="A90" s="126"/>
      <c r="B90" s="126"/>
      <c r="C90" s="126"/>
      <c r="D90" s="126"/>
      <c r="E90" s="120"/>
      <c r="F90" s="120"/>
      <c r="G90" s="120"/>
      <c r="H90" s="120"/>
      <c r="I90" s="120"/>
      <c r="J90" s="120"/>
      <c r="K90" s="120"/>
      <c r="L90" s="120"/>
      <c r="M90" s="120"/>
    </row>
    <row r="91" spans="1:13" ht="12.75">
      <c r="A91" s="126"/>
      <c r="B91" s="126"/>
      <c r="C91" s="126"/>
      <c r="D91" s="126"/>
      <c r="E91" s="120"/>
      <c r="F91" s="120"/>
      <c r="G91" s="120"/>
      <c r="H91" s="120"/>
      <c r="I91" s="120"/>
      <c r="J91" s="120"/>
      <c r="K91" s="120"/>
      <c r="L91" s="120"/>
      <c r="M91" s="120"/>
    </row>
    <row r="92" spans="1:13" ht="12.75">
      <c r="A92" s="126"/>
      <c r="B92" s="126"/>
      <c r="C92" s="126"/>
      <c r="D92" s="126"/>
      <c r="E92" s="120"/>
      <c r="F92" s="120"/>
      <c r="G92" s="120"/>
      <c r="H92" s="120"/>
      <c r="I92" s="120"/>
      <c r="J92" s="120"/>
      <c r="K92" s="120"/>
      <c r="L92" s="120"/>
      <c r="M92" s="120"/>
    </row>
    <row r="93" spans="1:13" ht="12.75">
      <c r="A93" s="126"/>
      <c r="B93" s="126"/>
      <c r="C93" s="126"/>
      <c r="D93" s="126"/>
      <c r="E93" s="120"/>
      <c r="F93" s="120"/>
      <c r="G93" s="120"/>
      <c r="H93" s="120"/>
      <c r="I93" s="120"/>
      <c r="J93" s="120"/>
      <c r="K93" s="120"/>
      <c r="L93" s="120"/>
      <c r="M93" s="120"/>
    </row>
    <row r="94" spans="1:13" ht="12.75">
      <c r="A94" s="126"/>
      <c r="B94" s="126"/>
      <c r="C94" s="126"/>
      <c r="D94" s="126"/>
      <c r="E94" s="120"/>
      <c r="F94" s="120"/>
      <c r="G94" s="120"/>
      <c r="H94" s="120"/>
      <c r="I94" s="120"/>
      <c r="J94" s="120"/>
      <c r="K94" s="120"/>
      <c r="L94" s="120"/>
      <c r="M94" s="120"/>
    </row>
    <row r="95" spans="1:13" ht="12.75">
      <c r="A95" s="126"/>
      <c r="B95" s="126"/>
      <c r="C95" s="126"/>
      <c r="D95" s="126"/>
      <c r="E95" s="120"/>
      <c r="F95" s="120"/>
      <c r="G95" s="120"/>
      <c r="H95" s="120"/>
      <c r="I95" s="120"/>
      <c r="J95" s="120"/>
      <c r="K95" s="120"/>
      <c r="L95" s="120"/>
      <c r="M95" s="120"/>
    </row>
    <row r="96" spans="1:13" ht="12.75">
      <c r="A96" s="126"/>
      <c r="B96" s="126"/>
      <c r="C96" s="126"/>
      <c r="D96" s="126"/>
      <c r="E96" s="120"/>
      <c r="F96" s="120"/>
      <c r="G96" s="120"/>
      <c r="H96" s="120"/>
      <c r="I96" s="120"/>
      <c r="J96" s="120"/>
      <c r="K96" s="120"/>
      <c r="L96" s="120"/>
      <c r="M96" s="120"/>
    </row>
    <row r="97" spans="1:13" ht="12.75">
      <c r="A97" s="126"/>
      <c r="B97" s="126"/>
      <c r="C97" s="126"/>
      <c r="D97" s="126"/>
      <c r="E97" s="120"/>
      <c r="F97" s="120"/>
      <c r="G97" s="120"/>
      <c r="H97" s="120"/>
      <c r="I97" s="120"/>
      <c r="J97" s="120"/>
      <c r="K97" s="120"/>
      <c r="L97" s="120"/>
      <c r="M97" s="120"/>
    </row>
    <row r="98" spans="1:13" ht="12.75">
      <c r="A98" s="126"/>
      <c r="B98" s="126"/>
      <c r="C98" s="126"/>
      <c r="D98" s="126"/>
      <c r="E98" s="120"/>
      <c r="F98" s="120"/>
      <c r="G98" s="120"/>
      <c r="H98" s="120"/>
      <c r="I98" s="120"/>
      <c r="J98" s="120"/>
      <c r="K98" s="120"/>
      <c r="L98" s="120"/>
      <c r="M98" s="120"/>
    </row>
    <row r="99" spans="1:13" ht="12.75">
      <c r="A99" s="126"/>
      <c r="B99" s="126"/>
      <c r="C99" s="126"/>
      <c r="D99" s="126"/>
      <c r="E99" s="120"/>
      <c r="F99" s="120"/>
      <c r="G99" s="120"/>
      <c r="H99" s="120"/>
      <c r="I99" s="120"/>
      <c r="J99" s="120"/>
      <c r="K99" s="120"/>
      <c r="L99" s="120"/>
      <c r="M99" s="120"/>
    </row>
    <row r="100" spans="1:13" ht="12.75">
      <c r="A100" s="126"/>
      <c r="B100" s="126"/>
      <c r="C100" s="126"/>
      <c r="D100" s="126"/>
      <c r="E100" s="120"/>
      <c r="F100" s="120"/>
      <c r="G100" s="120"/>
      <c r="H100" s="120"/>
      <c r="I100" s="120"/>
      <c r="J100" s="120"/>
      <c r="K100" s="120"/>
      <c r="L100" s="120"/>
      <c r="M100" s="120"/>
    </row>
    <row r="101" spans="1:13" ht="12.75">
      <c r="A101" s="126"/>
      <c r="B101" s="126"/>
      <c r="C101" s="126"/>
      <c r="D101" s="126"/>
      <c r="E101" s="120"/>
      <c r="F101" s="120"/>
      <c r="G101" s="120"/>
      <c r="H101" s="120"/>
      <c r="I101" s="120"/>
      <c r="J101" s="120"/>
      <c r="K101" s="120"/>
      <c r="L101" s="120"/>
      <c r="M101" s="120"/>
    </row>
    <row r="102" spans="1:13" ht="12.75">
      <c r="A102" s="126"/>
      <c r="B102" s="126"/>
      <c r="C102" s="126"/>
      <c r="D102" s="126"/>
      <c r="E102" s="120"/>
      <c r="F102" s="120"/>
      <c r="G102" s="120"/>
      <c r="H102" s="120"/>
      <c r="I102" s="120"/>
      <c r="J102" s="120"/>
      <c r="K102" s="120"/>
      <c r="L102" s="120"/>
      <c r="M102" s="120"/>
    </row>
    <row r="103" spans="1:13" ht="12.75">
      <c r="A103" s="126"/>
      <c r="B103" s="126"/>
      <c r="C103" s="126"/>
      <c r="D103" s="126"/>
      <c r="E103" s="120"/>
      <c r="F103" s="120"/>
      <c r="G103" s="120"/>
      <c r="H103" s="120"/>
      <c r="I103" s="120"/>
      <c r="J103" s="120"/>
      <c r="K103" s="120"/>
      <c r="L103" s="120"/>
      <c r="M103" s="120"/>
    </row>
    <row r="104" spans="1:13" ht="12.75">
      <c r="A104" s="126"/>
      <c r="B104" s="126"/>
      <c r="C104" s="126"/>
      <c r="D104" s="126"/>
      <c r="E104" s="120"/>
      <c r="F104" s="120"/>
      <c r="G104" s="120"/>
      <c r="H104" s="120"/>
      <c r="I104" s="120"/>
      <c r="J104" s="120"/>
      <c r="K104" s="120"/>
      <c r="L104" s="120"/>
      <c r="M104" s="120"/>
    </row>
    <row r="105" spans="1:13" ht="12.75">
      <c r="A105" s="126"/>
      <c r="B105" s="126"/>
      <c r="C105" s="126"/>
      <c r="D105" s="126"/>
      <c r="E105" s="120"/>
      <c r="F105" s="120"/>
      <c r="G105" s="120"/>
      <c r="H105" s="120"/>
      <c r="I105" s="120"/>
      <c r="J105" s="120"/>
      <c r="K105" s="120"/>
      <c r="L105" s="120"/>
      <c r="M105" s="120"/>
    </row>
    <row r="106" spans="1:13" ht="12.75">
      <c r="A106" s="126"/>
      <c r="B106" s="126"/>
      <c r="C106" s="126"/>
      <c r="D106" s="126"/>
      <c r="E106" s="120"/>
      <c r="F106" s="120"/>
      <c r="G106" s="120"/>
      <c r="H106" s="120"/>
      <c r="I106" s="120"/>
      <c r="J106" s="120"/>
      <c r="K106" s="120"/>
      <c r="L106" s="120"/>
      <c r="M106" s="120"/>
    </row>
    <row r="107" spans="1:13" ht="12.75">
      <c r="A107" s="126"/>
      <c r="B107" s="126"/>
      <c r="C107" s="126"/>
      <c r="D107" s="126"/>
      <c r="E107" s="120"/>
      <c r="F107" s="120"/>
      <c r="G107" s="120"/>
      <c r="H107" s="120"/>
      <c r="I107" s="120"/>
      <c r="J107" s="120"/>
      <c r="K107" s="120"/>
      <c r="L107" s="120"/>
      <c r="M107" s="120"/>
    </row>
    <row r="108" spans="1:13" ht="12.75">
      <c r="A108" s="126"/>
      <c r="B108" s="126"/>
      <c r="C108" s="126"/>
      <c r="D108" s="122"/>
      <c r="E108" s="120"/>
      <c r="F108" s="120"/>
      <c r="G108" s="120"/>
      <c r="H108" s="120"/>
      <c r="I108" s="120"/>
      <c r="J108" s="120"/>
      <c r="K108" s="120"/>
      <c r="L108" s="120"/>
      <c r="M108" s="120"/>
    </row>
    <row r="109" spans="1:13" ht="12.75">
      <c r="A109" s="126"/>
      <c r="B109" s="126"/>
      <c r="C109" s="126"/>
      <c r="D109" s="174"/>
      <c r="E109" s="174"/>
      <c r="F109" s="174"/>
      <c r="G109" s="174"/>
      <c r="H109" s="174"/>
      <c r="I109" s="174"/>
      <c r="J109" s="174"/>
      <c r="K109" s="174"/>
      <c r="L109" s="174"/>
      <c r="M109" s="120"/>
    </row>
    <row r="110" spans="1:13" ht="12.75">
      <c r="A110" s="126"/>
      <c r="B110" s="126"/>
      <c r="C110" s="120"/>
      <c r="D110" s="174"/>
      <c r="E110" s="174"/>
      <c r="F110" s="174"/>
      <c r="G110" s="174"/>
      <c r="H110" s="174"/>
      <c r="I110" s="174"/>
      <c r="J110" s="174"/>
      <c r="K110" s="174"/>
      <c r="L110" s="174"/>
      <c r="M110" s="120"/>
    </row>
    <row r="111" spans="1:13" ht="12.75">
      <c r="A111" s="126"/>
      <c r="B111" s="126"/>
      <c r="C111" s="120"/>
      <c r="D111" s="174"/>
      <c r="E111" s="174"/>
      <c r="F111" s="174"/>
      <c r="G111" s="174"/>
      <c r="H111" s="174"/>
      <c r="I111" s="174"/>
      <c r="J111" s="174"/>
      <c r="K111" s="174"/>
      <c r="L111" s="174"/>
      <c r="M111" s="120"/>
    </row>
    <row r="112" spans="1:13" ht="12.75">
      <c r="A112" s="126"/>
      <c r="B112" s="126"/>
      <c r="C112" s="120"/>
      <c r="D112" s="174"/>
      <c r="E112" s="174"/>
      <c r="F112" s="174"/>
      <c r="G112" s="174"/>
      <c r="H112" s="174"/>
      <c r="I112" s="174"/>
      <c r="J112" s="174"/>
      <c r="K112" s="174"/>
      <c r="L112" s="174"/>
      <c r="M112" s="120"/>
    </row>
    <row r="113" spans="1:13" ht="12.75">
      <c r="A113" s="126"/>
      <c r="B113" s="126"/>
      <c r="C113" s="120"/>
      <c r="D113" s="174"/>
      <c r="E113" s="174"/>
      <c r="F113" s="174"/>
      <c r="G113" s="174"/>
      <c r="H113" s="174"/>
      <c r="I113" s="174"/>
      <c r="J113" s="174"/>
      <c r="K113" s="174"/>
      <c r="L113" s="174"/>
      <c r="M113" s="120"/>
    </row>
    <row r="114" spans="1:13" ht="12.75">
      <c r="A114" s="126"/>
      <c r="B114" s="126"/>
      <c r="C114" s="120"/>
      <c r="D114" s="174"/>
      <c r="E114" s="174"/>
      <c r="F114" s="174"/>
      <c r="G114" s="174"/>
      <c r="H114" s="174"/>
      <c r="I114" s="174"/>
      <c r="J114" s="174"/>
      <c r="K114" s="174"/>
      <c r="L114" s="174"/>
      <c r="M114" s="120"/>
    </row>
    <row r="115" spans="1:13" ht="12.75">
      <c r="A115" s="126"/>
      <c r="B115" s="126"/>
      <c r="C115" s="120"/>
      <c r="D115" s="174"/>
      <c r="E115" s="174"/>
      <c r="F115" s="174"/>
      <c r="G115" s="174"/>
      <c r="H115" s="174"/>
      <c r="I115" s="174"/>
      <c r="J115" s="174"/>
      <c r="K115" s="174"/>
      <c r="L115" s="174"/>
      <c r="M115" s="120"/>
    </row>
    <row r="116" spans="1:13" ht="12.75">
      <c r="A116" s="126"/>
      <c r="B116" s="126"/>
      <c r="C116" s="120"/>
      <c r="D116" s="174"/>
      <c r="E116" s="174"/>
      <c r="F116" s="174"/>
      <c r="G116" s="174"/>
      <c r="H116" s="174"/>
      <c r="I116" s="174"/>
      <c r="J116" s="174"/>
      <c r="K116" s="174"/>
      <c r="L116" s="174"/>
      <c r="M116" s="120"/>
    </row>
    <row r="117" spans="1:13" ht="12.75">
      <c r="A117" s="126"/>
      <c r="B117" s="126"/>
      <c r="C117" s="120"/>
      <c r="D117" s="174"/>
      <c r="E117" s="174"/>
      <c r="F117" s="174"/>
      <c r="G117" s="174"/>
      <c r="H117" s="174"/>
      <c r="I117" s="174"/>
      <c r="J117" s="174"/>
      <c r="K117" s="174"/>
      <c r="L117" s="174"/>
      <c r="M117" s="120"/>
    </row>
  </sheetData>
  <sheetProtection/>
  <mergeCells count="2">
    <mergeCell ref="I2:J2"/>
    <mergeCell ref="H3:L3"/>
  </mergeCells>
  <printOptions/>
  <pageMargins left="0.25" right="0.25" top="0.75" bottom="0.75" header="0.3" footer="0.3"/>
  <pageSetup fitToHeight="0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54"/>
  <sheetViews>
    <sheetView zoomScale="70" zoomScaleNormal="70" zoomScalePageLayoutView="0" workbookViewId="0" topLeftCell="A1">
      <selection activeCell="D6" sqref="D6"/>
    </sheetView>
  </sheetViews>
  <sheetFormatPr defaultColWidth="9.140625" defaultRowHeight="15"/>
  <cols>
    <col min="18" max="18" width="14.28125" style="0" customWidth="1"/>
    <col min="19" max="19" width="17.00390625" style="0" customWidth="1"/>
    <col min="20" max="20" width="13.57421875" style="0" customWidth="1"/>
    <col min="21" max="21" width="20.00390625" style="0" customWidth="1"/>
    <col min="22" max="26" width="13.57421875" style="0" customWidth="1"/>
    <col min="28" max="28" width="13.57421875" style="0" customWidth="1"/>
  </cols>
  <sheetData>
    <row r="2" spans="2:10" ht="15">
      <c r="B2" s="60"/>
      <c r="C2" s="61" t="s">
        <v>65</v>
      </c>
      <c r="D2" s="62"/>
      <c r="E2" s="63"/>
      <c r="F2" s="32"/>
      <c r="G2" s="64" t="s">
        <v>66</v>
      </c>
      <c r="H2" s="63"/>
      <c r="I2" s="63"/>
      <c r="J2" s="32"/>
    </row>
    <row r="3" spans="3:10" ht="14.25">
      <c r="C3" s="30" t="s">
        <v>31</v>
      </c>
      <c r="D3" s="54"/>
      <c r="E3" s="31"/>
      <c r="F3" s="37"/>
      <c r="G3" s="30" t="str">
        <f>+Scratch!C3</f>
        <v>Terminal Value</v>
      </c>
      <c r="H3" s="31"/>
      <c r="I3" s="31"/>
      <c r="J3" s="37"/>
    </row>
    <row r="4" spans="2:10" ht="14.25">
      <c r="B4" s="30"/>
      <c r="C4" s="31"/>
      <c r="D4" s="65"/>
      <c r="E4" s="63" t="s">
        <v>74</v>
      </c>
      <c r="F4" s="32"/>
      <c r="G4" s="31"/>
      <c r="H4" s="60"/>
      <c r="I4" s="63" t="s">
        <v>75</v>
      </c>
      <c r="J4" s="32"/>
    </row>
    <row r="5" spans="2:10" ht="14.25">
      <c r="B5" s="30"/>
      <c r="C5" s="66" t="s">
        <v>32</v>
      </c>
      <c r="D5" s="67">
        <f>+DCF!$B$44</f>
        <v>0.024999999999999998</v>
      </c>
      <c r="E5" s="46">
        <f>+DCF!$B$45</f>
        <v>0.03</v>
      </c>
      <c r="F5" s="43">
        <f>+DCF!$B$46</f>
        <v>0.034999999999999996</v>
      </c>
      <c r="G5" s="66" t="str">
        <f>+Scratch!C5</f>
        <v>WACC</v>
      </c>
      <c r="H5" s="68">
        <f>I5-DCF!$B$51</f>
        <v>2.9</v>
      </c>
      <c r="I5" s="68">
        <f>DCF!$B$50</f>
        <v>3.9</v>
      </c>
      <c r="J5" s="38">
        <f>I5+DCF!$B$51</f>
        <v>4.9</v>
      </c>
    </row>
    <row r="6" spans="2:10" ht="14.25">
      <c r="B6" s="30"/>
      <c r="C6" s="69">
        <f>+DCF!$B$39</f>
        <v>0.09127878689625735</v>
      </c>
      <c r="D6" s="70">
        <f>(Scratch!$AB$24*(1+D$5))/($C6-D$5)</f>
        <v>129959.61435425562</v>
      </c>
      <c r="E6" s="71">
        <f>(Scratch!$AB$24*(1+E$5))/($C6-E$5)</f>
        <v>141249.2546997735</v>
      </c>
      <c r="F6" s="39">
        <f>(Scratch!$AB$24*(1+F$5))/($C6-F$5)</f>
        <v>154544.91560261586</v>
      </c>
      <c r="G6" s="69">
        <f>+Scratch!C6</f>
        <v>0.09127878689625735</v>
      </c>
      <c r="H6" s="72">
        <f>DCF!$B$49*H$5</f>
        <v>42551.07841296013</v>
      </c>
      <c r="I6" s="71">
        <f>DCF!$B$49*I$5</f>
        <v>57223.86407260155</v>
      </c>
      <c r="J6" s="39">
        <f>DCF!$B$49*J$5</f>
        <v>71896.64973224298</v>
      </c>
    </row>
    <row r="7" spans="2:10" ht="14.25">
      <c r="B7" s="30"/>
      <c r="C7" s="48">
        <f>+DCF!$B$40</f>
        <v>0.11127878689625735</v>
      </c>
      <c r="D7" s="73">
        <f>(Scratch!$AB$24*(1+D$5))/($C7-D$5)</f>
        <v>99834.10632862225</v>
      </c>
      <c r="E7" s="82">
        <f>(Scratch!$AB$24*(1+E$5))/($C7-E$5)</f>
        <v>106492.52170865214</v>
      </c>
      <c r="F7" s="40">
        <f>(Scratch!$AB$24*(1+F$5))/($C7-F$5)</f>
        <v>114023.842342024</v>
      </c>
      <c r="G7" s="48">
        <f>+Scratch!C7</f>
        <v>0.11127878689625735</v>
      </c>
      <c r="H7" s="74">
        <f>DCF!$B$49*H$5</f>
        <v>42551.07841296013</v>
      </c>
      <c r="I7" s="36">
        <f>DCF!$B$49*I$5</f>
        <v>57223.86407260155</v>
      </c>
      <c r="J7" s="40">
        <f>DCF!$B$49*J$5</f>
        <v>71896.64973224298</v>
      </c>
    </row>
    <row r="8" spans="2:10" ht="14.25">
      <c r="B8" s="30"/>
      <c r="C8" s="49">
        <f>+DCF!$B$41</f>
        <v>0.13127878689625735</v>
      </c>
      <c r="D8" s="75">
        <f>(Scratch!$AB$24*(1+D$5))/($C8-D$5)</f>
        <v>81046.89408351561</v>
      </c>
      <c r="E8" s="76">
        <f>(Scratch!$AB$24*(1+E$5))/($C8-E$5)</f>
        <v>85462.9408907588</v>
      </c>
      <c r="F8" s="41">
        <f>(Scratch!$AB$24*(1+F$5))/($C8-F$5)</f>
        <v>90337.660573887</v>
      </c>
      <c r="G8" s="49">
        <f>+Scratch!C8</f>
        <v>0.13127878689625735</v>
      </c>
      <c r="H8" s="77">
        <f>DCF!$B$49*H$5</f>
        <v>42551.07841296013</v>
      </c>
      <c r="I8" s="76">
        <f>DCF!$B$49*I$5</f>
        <v>57223.86407260155</v>
      </c>
      <c r="J8" s="41">
        <f>DCF!$B$49*J$5</f>
        <v>71896.64973224298</v>
      </c>
    </row>
    <row r="9" spans="3:10" ht="14.25">
      <c r="C9" s="30" t="s">
        <v>76</v>
      </c>
      <c r="D9" s="78"/>
      <c r="E9" s="34"/>
      <c r="F9" s="35"/>
      <c r="G9" s="30" t="str">
        <f>+Scratch!C9</f>
        <v>PV of TV</v>
      </c>
      <c r="H9" s="31"/>
      <c r="I9" s="31"/>
      <c r="J9" s="37"/>
    </row>
    <row r="10" spans="2:10" ht="14.25">
      <c r="B10" s="30"/>
      <c r="C10" s="31"/>
      <c r="D10" s="65"/>
      <c r="E10" s="63" t="str">
        <f>+E4</f>
        <v>Growth Rate</v>
      </c>
      <c r="F10" s="32"/>
      <c r="G10" s="31"/>
      <c r="H10" s="60"/>
      <c r="I10" s="63" t="str">
        <f>+Scratch!I4</f>
        <v>Multiple</v>
      </c>
      <c r="J10" s="32"/>
    </row>
    <row r="11" spans="2:10" ht="14.25">
      <c r="B11" s="30"/>
      <c r="C11" s="66" t="str">
        <f>+C5</f>
        <v>WACC</v>
      </c>
      <c r="D11" s="67">
        <f>+D5</f>
        <v>0.024999999999999998</v>
      </c>
      <c r="E11" s="46">
        <f>+E5</f>
        <v>0.03</v>
      </c>
      <c r="F11" s="43">
        <f>+F5</f>
        <v>0.034999999999999996</v>
      </c>
      <c r="G11" s="66" t="str">
        <f>+Scratch!G5</f>
        <v>WACC</v>
      </c>
      <c r="H11" s="68">
        <f>+Scratch!H5</f>
        <v>2.9</v>
      </c>
      <c r="I11" s="68">
        <f>+Scratch!I5</f>
        <v>3.9</v>
      </c>
      <c r="J11" s="38">
        <f>+Scratch!J5</f>
        <v>4.9</v>
      </c>
    </row>
    <row r="12" spans="2:29" ht="14.25">
      <c r="B12" s="30"/>
      <c r="C12" s="69">
        <f>+C6</f>
        <v>0.09127878689625735</v>
      </c>
      <c r="D12" s="70">
        <f>D6/(1+$C12)^Scratch!$AB$22</f>
        <v>112367.1143628976</v>
      </c>
      <c r="E12" s="71">
        <f>E6/(1+$C12)^Scratch!$AB$22</f>
        <v>122128.48764893066</v>
      </c>
      <c r="F12" s="39">
        <f>F6/(1+$C12)^Scratch!$AB$22</f>
        <v>133624.3285424526</v>
      </c>
      <c r="G12" s="69">
        <f>+Scratch!C12</f>
        <v>0.09127878689625735</v>
      </c>
      <c r="H12" s="72">
        <f>Scratch!H6/(1+$G12)^Scratch!$AB$22</f>
        <v>36790.982475989054</v>
      </c>
      <c r="I12" s="71">
        <f>Scratch!I6/(1+$G12)^Scratch!$AB$22</f>
        <v>49477.528157364584</v>
      </c>
      <c r="J12" s="39">
        <f>Scratch!J6/(1+$G12)^Scratch!$AB$22</f>
        <v>62164.07383874012</v>
      </c>
      <c r="O12" s="28"/>
      <c r="P12" s="28"/>
      <c r="Q12" s="28"/>
      <c r="AB12" s="28"/>
      <c r="AC12" s="28"/>
    </row>
    <row r="13" spans="2:29" ht="14.25">
      <c r="B13" s="30"/>
      <c r="C13" s="48">
        <f>+C7</f>
        <v>0.11127878689625735</v>
      </c>
      <c r="D13" s="73">
        <f>D7/(1+$C13)^Scratch!$AB$22</f>
        <v>83748.31579469139</v>
      </c>
      <c r="E13" s="36">
        <f>E7/(1+$C13)^Scratch!$AB$22</f>
        <v>89333.89265259834</v>
      </c>
      <c r="F13" s="40">
        <f>F7/(1+$C13)^Scratch!$AB$22</f>
        <v>95651.72772870469</v>
      </c>
      <c r="G13" s="48">
        <f>+Scratch!C13</f>
        <v>0.11127878689625735</v>
      </c>
      <c r="H13" s="74">
        <f>Scratch!H7/(1+$G13)^Scratch!$AB$22</f>
        <v>35695.02731464416</v>
      </c>
      <c r="I13" s="36">
        <f>Scratch!I7/(1+$G13)^Scratch!$AB$22</f>
        <v>48003.65742314215</v>
      </c>
      <c r="J13" s="40">
        <f>Scratch!J7/(1+$G13)^Scratch!$AB$22</f>
        <v>60312.28753164013</v>
      </c>
      <c r="O13" s="28"/>
      <c r="P13" s="28"/>
      <c r="Q13" s="28"/>
      <c r="AB13" s="28"/>
      <c r="AC13" s="28"/>
    </row>
    <row r="14" spans="2:29" ht="14.25">
      <c r="B14" s="30"/>
      <c r="C14" s="49">
        <f>+C8</f>
        <v>0.13127878689625735</v>
      </c>
      <c r="D14" s="75">
        <f>D8/(1+$C14)^Scratch!$AB$22</f>
        <v>65998.51009771401</v>
      </c>
      <c r="E14" s="76">
        <f>E8/(1+$C14)^Scratch!$AB$22</f>
        <v>69594.60730903325</v>
      </c>
      <c r="F14" s="41">
        <f>F8/(1+$C14)^Scratch!$AB$22</f>
        <v>73564.21329910288</v>
      </c>
      <c r="G14" s="49">
        <f>+Scratch!C14</f>
        <v>0.13127878689625735</v>
      </c>
      <c r="H14" s="77">
        <f>Scratch!H8/(1+$G14)^Scratch!$AB$22</f>
        <v>34650.405917005526</v>
      </c>
      <c r="I14" s="76">
        <f>Scratch!I8/(1+$G14)^Scratch!$AB$22</f>
        <v>46598.8217504557</v>
      </c>
      <c r="J14" s="41">
        <f>Scratch!J8/(1+$G14)^Scratch!$AB$22</f>
        <v>58547.23758390589</v>
      </c>
      <c r="O14" s="28"/>
      <c r="P14" s="28"/>
      <c r="Q14" s="28"/>
      <c r="AB14" s="28"/>
      <c r="AC14" s="28"/>
    </row>
    <row r="15" spans="15:29" ht="14.25">
      <c r="O15" s="28"/>
      <c r="P15" s="28"/>
      <c r="Q15" s="28"/>
      <c r="AB15" s="28"/>
      <c r="AC15" s="28"/>
    </row>
    <row r="16" spans="2:29" ht="14.25">
      <c r="B16" s="30"/>
      <c r="O16" s="28"/>
      <c r="P16" s="28"/>
      <c r="Q16" s="28"/>
      <c r="AB16" s="28"/>
      <c r="AC16" s="28"/>
    </row>
    <row r="17" spans="2:29" ht="14.25">
      <c r="B17" s="30"/>
      <c r="O17" s="28"/>
      <c r="P17" s="28"/>
      <c r="Q17" s="28"/>
      <c r="AB17" s="28"/>
      <c r="AC17" s="28"/>
    </row>
    <row r="18" spans="2:29" ht="14.25">
      <c r="B18" s="30"/>
      <c r="O18" s="28"/>
      <c r="P18" s="28"/>
      <c r="Q18" s="28"/>
      <c r="AB18" s="28"/>
      <c r="AC18" s="28"/>
    </row>
    <row r="19" spans="2:29" ht="14.25">
      <c r="B19" s="30"/>
      <c r="O19" s="28"/>
      <c r="P19" s="28"/>
      <c r="Q19" s="28"/>
      <c r="S19" s="30" t="s">
        <v>77</v>
      </c>
      <c r="T19" s="81">
        <v>1</v>
      </c>
      <c r="AB19" s="28"/>
      <c r="AC19" s="28"/>
    </row>
    <row r="20" spans="2:29" ht="14.25">
      <c r="B20" s="30"/>
      <c r="O20" s="28"/>
      <c r="P20" s="28"/>
      <c r="Q20" s="28"/>
      <c r="AB20" s="28"/>
      <c r="AC20" s="28"/>
    </row>
    <row r="21" spans="3:29" ht="14.25">
      <c r="C21" s="30" t="s">
        <v>78</v>
      </c>
      <c r="D21" s="54"/>
      <c r="E21" s="31"/>
      <c r="F21" s="37"/>
      <c r="H21" s="30" t="s">
        <v>78</v>
      </c>
      <c r="I21" s="31"/>
      <c r="J21" s="31"/>
      <c r="K21" s="37"/>
      <c r="O21" s="28"/>
      <c r="P21" s="28"/>
      <c r="Q21" s="28"/>
      <c r="AB21" s="28"/>
      <c r="AC21" s="28"/>
    </row>
    <row r="22" spans="2:29" ht="14.25">
      <c r="B22" s="30"/>
      <c r="C22" s="31"/>
      <c r="D22" s="65"/>
      <c r="E22" s="63" t="str">
        <f>+DCF!K61</f>
        <v>Growth Rate</v>
      </c>
      <c r="F22" s="32"/>
      <c r="G22" s="31"/>
      <c r="H22" s="31"/>
      <c r="I22" s="60"/>
      <c r="J22" s="63" t="str">
        <f>+DCF!F61</f>
        <v>Multiple</v>
      </c>
      <c r="K22" s="32"/>
      <c r="O22" s="28"/>
      <c r="P22" s="28"/>
      <c r="Q22" s="28"/>
      <c r="R22" s="31"/>
      <c r="S22" s="31"/>
      <c r="T22" s="31"/>
      <c r="U22" s="50"/>
      <c r="V22" s="51" t="e">
        <f>(MONTH(V23)-MONTH(#REF!))/MONTH(V23)+(YEAR(V23)-YEAR(#REF!))</f>
        <v>#REF!</v>
      </c>
      <c r="W22" s="51">
        <f>DCF!H46</f>
        <v>1.091539326326818</v>
      </c>
      <c r="X22" s="51">
        <f>DCF!I46</f>
        <v>1.2130044984100241</v>
      </c>
      <c r="Y22" s="51">
        <f>DCF!J46</f>
        <v>1.3479861674927947</v>
      </c>
      <c r="Z22" s="51">
        <f>DCF!K46</f>
        <v>1.4979884329643278</v>
      </c>
      <c r="AA22" s="51"/>
      <c r="AB22" s="51">
        <f>DCF!L46</f>
        <v>1.665164051910211</v>
      </c>
      <c r="AC22" s="28"/>
    </row>
    <row r="23" spans="2:29" ht="15">
      <c r="B23" s="30"/>
      <c r="C23" s="66" t="str">
        <f>+DCF!I62</f>
        <v>WACC</v>
      </c>
      <c r="D23" s="67">
        <f>+DCF!J62</f>
        <v>0.024999999999999998</v>
      </c>
      <c r="E23" s="46">
        <f>+DCF!K62</f>
        <v>0.03</v>
      </c>
      <c r="F23" s="43">
        <f>+DCF!L62</f>
        <v>0.034999999999999996</v>
      </c>
      <c r="G23" s="30"/>
      <c r="H23" s="66" t="str">
        <f>+DCF!D62</f>
        <v>WACC</v>
      </c>
      <c r="I23" s="79">
        <f>+DCF!E62</f>
        <v>2.9</v>
      </c>
      <c r="J23" s="80">
        <f>+DCF!F62</f>
        <v>3.9</v>
      </c>
      <c r="K23" s="42">
        <f>+DCF!G62</f>
        <v>4.9</v>
      </c>
      <c r="O23" s="28"/>
      <c r="P23" s="28"/>
      <c r="Q23" s="28"/>
      <c r="R23" s="31"/>
      <c r="S23" s="52" t="e">
        <f>+#REF!</f>
        <v>#REF!</v>
      </c>
      <c r="T23" s="52" t="e">
        <f>+#REF!</f>
        <v>#REF!</v>
      </c>
      <c r="U23" s="53" t="e">
        <f>+#REF!</f>
        <v>#REF!</v>
      </c>
      <c r="V23" s="52" t="e">
        <f>+#REF!</f>
        <v>#REF!</v>
      </c>
      <c r="W23" s="52" t="e">
        <f>+#REF!</f>
        <v>#REF!</v>
      </c>
      <c r="X23" s="52" t="e">
        <f>+#REF!</f>
        <v>#REF!</v>
      </c>
      <c r="Y23" s="52" t="e">
        <f>+#REF!</f>
        <v>#REF!</v>
      </c>
      <c r="Z23" s="52" t="e">
        <f>+#REF!</f>
        <v>#REF!</v>
      </c>
      <c r="AA23" s="52"/>
      <c r="AB23" s="52" t="e">
        <f>+#REF!</f>
        <v>#REF!</v>
      </c>
      <c r="AC23" s="28"/>
    </row>
    <row r="24" spans="2:29" ht="14.25">
      <c r="B24" s="30"/>
      <c r="C24" s="69">
        <f>+DCF!I63</f>
        <v>0.09127878689625735</v>
      </c>
      <c r="D24" s="70">
        <f>+D12+Scratch!$R27</f>
        <v>139022.79181747764</v>
      </c>
      <c r="E24" s="71">
        <f>+E12+Scratch!$R27</f>
        <v>148784.16510351072</v>
      </c>
      <c r="F24" s="39">
        <f>+F12+Scratch!$R27</f>
        <v>160280.00599703265</v>
      </c>
      <c r="G24" s="31"/>
      <c r="H24" s="69">
        <f>+DCF!D63</f>
        <v>0.09127878689625735</v>
      </c>
      <c r="I24" s="72">
        <f>+Scratch!H12+Scratch!$R27</f>
        <v>63446.659930569105</v>
      </c>
      <c r="J24" s="71">
        <f>+Scratch!I12+Scratch!$R27</f>
        <v>76133.20561194464</v>
      </c>
      <c r="K24" s="39">
        <f>+Scratch!J12+Scratch!$R27</f>
        <v>88819.75129332018</v>
      </c>
      <c r="O24" s="28"/>
      <c r="P24" s="28"/>
      <c r="Q24" s="28"/>
      <c r="R24" s="31"/>
      <c r="S24" s="31"/>
      <c r="T24" s="31"/>
      <c r="U24" s="54"/>
      <c r="V24" s="31"/>
      <c r="W24" s="55">
        <f>+DCF!H17</f>
        <v>4052.603500877699</v>
      </c>
      <c r="X24" s="55">
        <f>+DCF!I17</f>
        <v>4863.124201053239</v>
      </c>
      <c r="Y24" s="55">
        <f>+DCF!J17</f>
        <v>5835.749041263885</v>
      </c>
      <c r="Z24" s="55">
        <f>+DCF!K17</f>
        <v>7002.898849516661</v>
      </c>
      <c r="AA24" s="55"/>
      <c r="AB24" s="55">
        <f>+DCF!L17</f>
        <v>8403.478619419997</v>
      </c>
      <c r="AC24" s="28"/>
    </row>
    <row r="25" spans="2:29" ht="14.25">
      <c r="B25" s="30"/>
      <c r="C25" s="48">
        <f>+DCF!I64</f>
        <v>0.11127878689625735</v>
      </c>
      <c r="D25" s="73">
        <f>+D13+Scratch!$R28</f>
        <v>109729.58075349087</v>
      </c>
      <c r="E25" s="36">
        <f>+E13+Scratch!$R28</f>
        <v>115315.15761139782</v>
      </c>
      <c r="F25" s="40">
        <f>+F13+Scratch!$R28</f>
        <v>121632.99268750417</v>
      </c>
      <c r="G25" s="31"/>
      <c r="H25" s="48">
        <f>+DCF!D64</f>
        <v>0.11127878689625735</v>
      </c>
      <c r="I25" s="74">
        <f>+Scratch!H13+Scratch!$R28</f>
        <v>61676.29227344364</v>
      </c>
      <c r="J25" s="36">
        <f>+Scratch!I13+Scratch!$R28</f>
        <v>73984.92238194164</v>
      </c>
      <c r="K25" s="40">
        <f>+Scratch!J13+Scratch!$R28</f>
        <v>86293.55249043962</v>
      </c>
      <c r="O25" s="28"/>
      <c r="P25" s="28"/>
      <c r="Q25" s="28"/>
      <c r="R25" s="31"/>
      <c r="S25" s="28"/>
      <c r="T25" s="28"/>
      <c r="U25" s="54" t="e">
        <f>CONCATENATE("Year Cutoff for ",YEAR(W23))</f>
        <v>#REF!</v>
      </c>
      <c r="V25" s="31"/>
      <c r="W25" s="56">
        <v>1</v>
      </c>
      <c r="X25" s="31"/>
      <c r="Y25" s="34"/>
      <c r="Z25" s="31"/>
      <c r="AA25" s="31"/>
      <c r="AB25" s="31"/>
      <c r="AC25" s="28"/>
    </row>
    <row r="26" spans="2:29" ht="15">
      <c r="B26" s="30"/>
      <c r="C26" s="49">
        <f>+DCF!I65</f>
        <v>0.13127878689625735</v>
      </c>
      <c r="D26" s="75">
        <f>+D14+Scratch!$R29</f>
        <v>91334.33541003866</v>
      </c>
      <c r="E26" s="76">
        <f>+E14+Scratch!$R29</f>
        <v>94930.4326213579</v>
      </c>
      <c r="F26" s="41">
        <f>+F14+Scratch!$R29</f>
        <v>98900.03861142753</v>
      </c>
      <c r="G26" s="31"/>
      <c r="H26" s="49">
        <f>+DCF!D65</f>
        <v>0.13127878689625735</v>
      </c>
      <c r="I26" s="77">
        <f>+Scratch!H14+Scratch!$R29</f>
        <v>59986.23122933018</v>
      </c>
      <c r="J26" s="76">
        <f>+Scratch!I14+Scratch!$R29</f>
        <v>71934.64706278036</v>
      </c>
      <c r="K26" s="41">
        <f>+Scratch!J14+Scratch!$R29</f>
        <v>83883.06289623055</v>
      </c>
      <c r="O26" s="28"/>
      <c r="P26" s="28"/>
      <c r="Q26" s="28"/>
      <c r="R26" s="29" t="s">
        <v>79</v>
      </c>
      <c r="S26" s="29"/>
      <c r="T26" s="31"/>
      <c r="U26" s="54"/>
      <c r="V26" s="31"/>
      <c r="W26" s="57">
        <f>W24*W25</f>
        <v>4052.603500877699</v>
      </c>
      <c r="X26" s="31"/>
      <c r="Y26" s="31"/>
      <c r="Z26" s="31"/>
      <c r="AA26" s="31"/>
      <c r="AB26" s="31"/>
      <c r="AC26" s="28"/>
    </row>
    <row r="27" spans="3:29" ht="14.25">
      <c r="C27" s="30" t="s">
        <v>51</v>
      </c>
      <c r="D27" s="54"/>
      <c r="E27" s="31"/>
      <c r="F27" s="31"/>
      <c r="H27" s="30" t="s">
        <v>51</v>
      </c>
      <c r="I27" s="31"/>
      <c r="J27" s="31"/>
      <c r="K27" s="37"/>
      <c r="O27" s="28"/>
      <c r="P27" s="28"/>
      <c r="Q27" s="28"/>
      <c r="R27" s="33">
        <f>SUM(W27:AB27)</f>
        <v>26655.67745458005</v>
      </c>
      <c r="S27" s="36"/>
      <c r="T27" s="36"/>
      <c r="U27" s="58"/>
      <c r="V27" s="36"/>
      <c r="W27" s="83">
        <f>+$W$26/(1+DCF!$B39)^W$22</f>
        <v>3684.0523470341886</v>
      </c>
      <c r="X27" s="83">
        <f>+X$24/(1+DCF!$B39)^X$22</f>
        <v>4374.2053821879645</v>
      </c>
      <c r="Y27" s="83">
        <f>+Y$24/(1+DCF!$B39)^Y$22</f>
        <v>5187.520079864629</v>
      </c>
      <c r="Z27" s="83">
        <f>+Z$24/(1+DCF!$B39)^Z$22</f>
        <v>6143.991326463154</v>
      </c>
      <c r="AA27" s="83"/>
      <c r="AB27" s="83">
        <f>+AB$24/(1+DCF!$B39)^AB$22</f>
        <v>7265.908319030115</v>
      </c>
      <c r="AC27" s="28"/>
    </row>
    <row r="28" spans="2:29" ht="14.25">
      <c r="B28" s="30"/>
      <c r="C28" s="31"/>
      <c r="D28" s="65"/>
      <c r="E28" s="63" t="str">
        <f>+E22</f>
        <v>Growth Rate</v>
      </c>
      <c r="F28" s="63"/>
      <c r="G28" s="30"/>
      <c r="H28" s="31"/>
      <c r="I28" s="60"/>
      <c r="J28" s="63" t="str">
        <f>+J22</f>
        <v>Multiple</v>
      </c>
      <c r="K28" s="32"/>
      <c r="O28" s="28"/>
      <c r="P28" s="28"/>
      <c r="Q28" s="28"/>
      <c r="R28" s="33">
        <f>SUM(W28:AB28)</f>
        <v>25981.264958799486</v>
      </c>
      <c r="S28" s="36"/>
      <c r="T28" s="36"/>
      <c r="U28" s="58"/>
      <c r="V28" s="36"/>
      <c r="W28" s="83">
        <f>+$W$26/(1+DCF!$B40)^W$22</f>
        <v>3611.7400271917368</v>
      </c>
      <c r="X28" s="83">
        <f>+X$24/(1+DCF!$B40)^X$22</f>
        <v>4278.896944508861</v>
      </c>
      <c r="Y28" s="83">
        <f>+Y$24/(1+DCF!$B40)^Y$22</f>
        <v>5062.066015182789</v>
      </c>
      <c r="Z28" s="83">
        <f>+Z$24/(1+DCF!$B40)^Z$22</f>
        <v>5979.095541310594</v>
      </c>
      <c r="AA28" s="83"/>
      <c r="AB28" s="83">
        <f>+AB$24/(1+DCF!$B40)^AB$22</f>
        <v>7049.466430605505</v>
      </c>
      <c r="AC28" s="28"/>
    </row>
    <row r="29" spans="2:29" ht="14.25">
      <c r="B29" s="30"/>
      <c r="C29" s="66" t="str">
        <f>+C23</f>
        <v>WACC</v>
      </c>
      <c r="D29" s="67">
        <f>+D23</f>
        <v>0.024999999999999998</v>
      </c>
      <c r="E29" s="46">
        <f>+E23</f>
        <v>0.03</v>
      </c>
      <c r="F29" s="46">
        <f>+F23</f>
        <v>0.034999999999999996</v>
      </c>
      <c r="G29" s="30"/>
      <c r="H29" s="66" t="str">
        <f>+H23</f>
        <v>WACC</v>
      </c>
      <c r="I29" s="79">
        <f>+I23</f>
        <v>2.9</v>
      </c>
      <c r="J29" s="80">
        <f>+J23</f>
        <v>3.9</v>
      </c>
      <c r="K29" s="42">
        <f>+K23</f>
        <v>4.9</v>
      </c>
      <c r="O29" s="28"/>
      <c r="P29" s="28"/>
      <c r="Q29" s="28"/>
      <c r="R29" s="33">
        <f>SUM(W29:AB29)</f>
        <v>25335.825312324654</v>
      </c>
      <c r="S29" s="36"/>
      <c r="T29" s="36"/>
      <c r="U29" s="58"/>
      <c r="V29" s="36"/>
      <c r="W29" s="83">
        <f>+$W$26/(1+DCF!$B41)^W$22</f>
        <v>3542.0993855703855</v>
      </c>
      <c r="X29" s="83">
        <f>+X$24/(1+DCF!$B41)^X$22</f>
        <v>4187.310273854493</v>
      </c>
      <c r="Y29" s="83">
        <f>+Y$24/(1+DCF!$B41)^Y$22</f>
        <v>4941.803456848286</v>
      </c>
      <c r="Z29" s="83">
        <f>+Z$24/(1+DCF!$B41)^Z$22</f>
        <v>5821.449669080333</v>
      </c>
      <c r="AA29" s="83"/>
      <c r="AB29" s="83">
        <f>+AB$24/(1+DCF!$B41)^AB$22</f>
        <v>6843.162526971157</v>
      </c>
      <c r="AC29" s="28"/>
    </row>
    <row r="30" spans="2:29" ht="14.25">
      <c r="B30" s="30"/>
      <c r="C30" s="69">
        <f>+C24</f>
        <v>0.09127878689625735</v>
      </c>
      <c r="D30" s="70">
        <f>+D24+DCF!$B$53-DCF!$B$54</f>
        <v>138231.79181747764</v>
      </c>
      <c r="E30" s="71">
        <f>+E24+DCF!$B$53-DCF!$B$54</f>
        <v>147993.16510351072</v>
      </c>
      <c r="F30" s="71">
        <f>+F24+DCF!$B$53-DCF!$B$54</f>
        <v>159489.00599703265</v>
      </c>
      <c r="G30" s="30"/>
      <c r="H30" s="69">
        <f>+H24</f>
        <v>0.09127878689625735</v>
      </c>
      <c r="I30" s="72">
        <f>+I24+DCF!$B$53-DCF!$B$54</f>
        <v>62655.659930569105</v>
      </c>
      <c r="J30" s="71">
        <f>+J24+DCF!$B$53-DCF!$B$54</f>
        <v>75342.20561194464</v>
      </c>
      <c r="K30" s="39">
        <f>+K24+DCF!$B$53-DCF!$B$54</f>
        <v>88028.75129332018</v>
      </c>
      <c r="O30" s="28"/>
      <c r="P30" s="28"/>
      <c r="Q30" s="28"/>
      <c r="R30" s="28"/>
      <c r="S30" s="28"/>
      <c r="T30" s="28"/>
      <c r="U30" s="59"/>
      <c r="V30" s="28"/>
      <c r="W30" s="28"/>
      <c r="X30" s="28"/>
      <c r="Y30" s="28"/>
      <c r="Z30" s="28"/>
      <c r="AA30" s="28"/>
      <c r="AB30" s="28"/>
      <c r="AC30" s="28"/>
    </row>
    <row r="31" spans="2:29" ht="14.25">
      <c r="B31" s="30"/>
      <c r="C31" s="48">
        <f>+C25</f>
        <v>0.11127878689625735</v>
      </c>
      <c r="D31" s="73">
        <f>+D25+DCF!$B$53-DCF!$B$54</f>
        <v>108938.58075349087</v>
      </c>
      <c r="E31" s="82">
        <f>+E25+DCF!$B$53-DCF!$B$54</f>
        <v>114524.15761139782</v>
      </c>
      <c r="F31" s="36">
        <f>+F25+DCF!$B$53-DCF!$B$54</f>
        <v>120841.99268750417</v>
      </c>
      <c r="G31" s="30"/>
      <c r="H31" s="48">
        <f>+H25</f>
        <v>0.11127878689625735</v>
      </c>
      <c r="I31" s="74">
        <f>+I25+DCF!$B$53-DCF!$B$54</f>
        <v>60885.29227344364</v>
      </c>
      <c r="J31" s="36">
        <f>+J25+DCF!$B$53-DCF!$B$54</f>
        <v>73193.92238194164</v>
      </c>
      <c r="K31" s="40">
        <f>+K25+DCF!$B$53-DCF!$B$54</f>
        <v>85502.55249043962</v>
      </c>
      <c r="O31" s="28"/>
      <c r="P31" s="28"/>
      <c r="Q31" s="28"/>
      <c r="AB31" s="28"/>
      <c r="AC31" s="28"/>
    </row>
    <row r="32" spans="2:29" ht="14.25">
      <c r="B32" s="30"/>
      <c r="C32" s="49">
        <f>+C26</f>
        <v>0.13127878689625735</v>
      </c>
      <c r="D32" s="75">
        <f>+D26+DCF!$B$53-DCF!$B$54</f>
        <v>90543.33541003866</v>
      </c>
      <c r="E32" s="76">
        <f>+E26+DCF!$B$53-DCF!$B$54</f>
        <v>94139.4326213579</v>
      </c>
      <c r="F32" s="76">
        <f>+F26+DCF!$B$53-DCF!$B$54</f>
        <v>98109.03861142753</v>
      </c>
      <c r="G32" s="30"/>
      <c r="H32" s="49">
        <f>+H26</f>
        <v>0.13127878689625735</v>
      </c>
      <c r="I32" s="77">
        <f>+I26+DCF!$B$53-DCF!$B$54</f>
        <v>59195.23122933018</v>
      </c>
      <c r="J32" s="76">
        <f>+J26+DCF!$B$53-DCF!$B$54</f>
        <v>71143.64706278036</v>
      </c>
      <c r="K32" s="41">
        <f>+K26+DCF!$B$53-DCF!$B$54</f>
        <v>83092.06289623055</v>
      </c>
      <c r="O32" s="28"/>
      <c r="P32" s="28"/>
      <c r="Q32" s="28"/>
      <c r="AB32" s="28"/>
      <c r="AC32" s="28"/>
    </row>
    <row r="33" spans="15:29" ht="14.25">
      <c r="O33" s="28"/>
      <c r="P33" s="28"/>
      <c r="Q33" s="28"/>
      <c r="AB33" s="28"/>
      <c r="AC33" s="28"/>
    </row>
    <row r="34" spans="2:29" ht="14.25">
      <c r="B34" s="30"/>
      <c r="G34" s="30"/>
      <c r="O34" s="28"/>
      <c r="P34" s="28"/>
      <c r="Q34" s="28"/>
      <c r="AB34" s="28"/>
      <c r="AC34" s="28"/>
    </row>
    <row r="35" spans="2:29" ht="14.25">
      <c r="B35" s="1"/>
      <c r="G35" s="1"/>
      <c r="O35" s="28"/>
      <c r="P35" s="28"/>
      <c r="Q35" s="28"/>
      <c r="AB35" s="28"/>
      <c r="AC35" s="28"/>
    </row>
    <row r="36" spans="2:29" ht="14.25">
      <c r="B36" s="1"/>
      <c r="G36" s="2"/>
      <c r="O36" s="28"/>
      <c r="P36" s="28"/>
      <c r="Q36" s="28"/>
      <c r="AB36" s="28"/>
      <c r="AC36" s="28"/>
    </row>
    <row r="37" spans="2:7" ht="14.25">
      <c r="B37" s="1"/>
      <c r="G37" s="2"/>
    </row>
    <row r="38" spans="2:7" ht="14.25">
      <c r="B38" s="1"/>
      <c r="G38" s="2"/>
    </row>
    <row r="39" spans="2:11" ht="14.25">
      <c r="B39" s="1"/>
      <c r="C39" s="2"/>
      <c r="D39" s="20"/>
      <c r="E39" s="2"/>
      <c r="F39" s="2"/>
      <c r="G39" s="1"/>
      <c r="H39" s="2"/>
      <c r="I39" s="2"/>
      <c r="J39" s="2"/>
      <c r="K39" s="37"/>
    </row>
    <row r="40" spans="2:11" ht="14.25">
      <c r="B40" s="1"/>
      <c r="C40" s="2"/>
      <c r="D40" s="20"/>
      <c r="E40" s="2"/>
      <c r="F40" s="2"/>
      <c r="G40" s="1"/>
      <c r="H40" s="2"/>
      <c r="I40" s="2"/>
      <c r="J40" s="2"/>
      <c r="K40" s="37"/>
    </row>
    <row r="41" spans="2:11" ht="14.25">
      <c r="B41" s="1" t="s">
        <v>80</v>
      </c>
      <c r="C41" s="2"/>
      <c r="D41" s="20"/>
      <c r="E41" s="2"/>
      <c r="F41" s="2"/>
      <c r="G41" s="1" t="s">
        <v>80</v>
      </c>
      <c r="H41" s="2"/>
      <c r="I41" s="2"/>
      <c r="J41" s="2"/>
      <c r="K41" s="37"/>
    </row>
    <row r="42" spans="2:11" ht="14.25">
      <c r="B42" s="1" t="s">
        <v>81</v>
      </c>
      <c r="C42" s="2"/>
      <c r="D42" s="20"/>
      <c r="E42" s="2"/>
      <c r="F42" s="2"/>
      <c r="G42" s="1" t="str">
        <f>+B42</f>
        <v>% Value in Cash Flows</v>
      </c>
      <c r="H42" s="2"/>
      <c r="I42" s="2"/>
      <c r="J42" s="2"/>
      <c r="K42" s="37"/>
    </row>
    <row r="43" spans="2:11" ht="14.25">
      <c r="B43" s="1"/>
      <c r="C43" s="2"/>
      <c r="D43" s="22"/>
      <c r="E43" s="6" t="str">
        <f>+DCF!F55</f>
        <v>Growth Rate</v>
      </c>
      <c r="F43" s="6"/>
      <c r="G43" s="1"/>
      <c r="H43" s="2"/>
      <c r="I43" s="5"/>
      <c r="J43" s="6" t="str">
        <f>+DCF!K55</f>
        <v>Multiple</v>
      </c>
      <c r="K43" s="32"/>
    </row>
    <row r="44" spans="2:11" ht="14.25">
      <c r="B44" s="1"/>
      <c r="C44" s="13" t="str">
        <f>+DCF!D56</f>
        <v>WACC</v>
      </c>
      <c r="D44" s="24">
        <f>+DCF!E56</f>
        <v>0.024999999999999998</v>
      </c>
      <c r="E44" s="17">
        <f>+DCF!F56</f>
        <v>0.03</v>
      </c>
      <c r="F44" s="17">
        <f>+DCF!G56</f>
        <v>0.034999999999999996</v>
      </c>
      <c r="G44" s="1"/>
      <c r="H44" s="13" t="str">
        <f>+DCF!I56</f>
        <v>WACC</v>
      </c>
      <c r="I44" s="18">
        <f>+DCF!J56</f>
        <v>2.9</v>
      </c>
      <c r="J44" s="19">
        <f>+DCF!K56</f>
        <v>3.9</v>
      </c>
      <c r="K44" s="47">
        <f>+DCF!L56</f>
        <v>4.9</v>
      </c>
    </row>
    <row r="45" spans="2:11" ht="14.25">
      <c r="B45" s="1"/>
      <c r="C45" s="14">
        <f>+DCF!D57</f>
        <v>0.09127878689625735</v>
      </c>
      <c r="D45" s="23">
        <f>Scratch!$R27/D24</f>
        <v>0.19173602476330762</v>
      </c>
      <c r="E45" s="8">
        <f>Scratch!$R27/E24</f>
        <v>0.17915668267544071</v>
      </c>
      <c r="F45" s="8">
        <f>Scratch!$R27/F24</f>
        <v>0.1663069407114543</v>
      </c>
      <c r="G45" s="1"/>
      <c r="H45" s="14">
        <f>+DCF!I57</f>
        <v>0.09127878689625735</v>
      </c>
      <c r="I45" s="7">
        <f>Scratch!$R27/I24</f>
        <v>0.42012735554164504</v>
      </c>
      <c r="J45" s="8">
        <f>Scratch!$R27/J24</f>
        <v>0.35011894271791977</v>
      </c>
      <c r="K45" s="43">
        <f>Scratch!$R27/K24</f>
        <v>0.30010979614828903</v>
      </c>
    </row>
    <row r="46" spans="2:11" ht="14.25">
      <c r="B46" s="1"/>
      <c r="C46" s="15">
        <f>+DCF!D58</f>
        <v>0.11127878689625735</v>
      </c>
      <c r="D46" s="25">
        <f>Scratch!$R28/D25</f>
        <v>0.23677539620940302</v>
      </c>
      <c r="E46" s="10">
        <f>Scratch!$R28/E25</f>
        <v>0.22530659019132696</v>
      </c>
      <c r="F46" s="10">
        <f>Scratch!$R28/F25</f>
        <v>0.21360376312987522</v>
      </c>
      <c r="G46" s="1"/>
      <c r="H46" s="15">
        <f>+DCF!I58</f>
        <v>0.11127878689625735</v>
      </c>
      <c r="I46" s="9">
        <f>Scratch!$R28/I25</f>
        <v>0.4212520565213419</v>
      </c>
      <c r="J46" s="10">
        <f>Scratch!$R28/J25</f>
        <v>0.35116972651093886</v>
      </c>
      <c r="K46" s="44">
        <f>Scratch!$R28/K25</f>
        <v>0.30108002520440824</v>
      </c>
    </row>
    <row r="47" spans="2:11" ht="14.25">
      <c r="B47" s="1"/>
      <c r="C47" s="16">
        <f>+DCF!D59</f>
        <v>0.13127878689625735</v>
      </c>
      <c r="D47" s="26">
        <f>Scratch!$R29/D26</f>
        <v>0.277396503719892</v>
      </c>
      <c r="E47" s="12">
        <f>Scratch!$R29/E26</f>
        <v>0.26688833720351635</v>
      </c>
      <c r="F47" s="12">
        <f>Scratch!$R29/F26</f>
        <v>0.25617609121334756</v>
      </c>
      <c r="G47" s="1"/>
      <c r="H47" s="16">
        <f>+DCF!I59</f>
        <v>0.13127878689625735</v>
      </c>
      <c r="I47" s="11">
        <f>Scratch!$R29/I26</f>
        <v>0.4223606783274082</v>
      </c>
      <c r="J47" s="12">
        <f>Scratch!$R29/J26</f>
        <v>0.3522061530407319</v>
      </c>
      <c r="K47" s="45">
        <f>Scratch!$R29/K26</f>
        <v>0.30203743685023654</v>
      </c>
    </row>
    <row r="49" spans="2:7" ht="14.25">
      <c r="B49" s="1"/>
      <c r="G49" s="1"/>
    </row>
    <row r="50" spans="2:7" ht="14.25">
      <c r="B50" s="1"/>
      <c r="G50" s="1"/>
    </row>
    <row r="51" spans="2:7" ht="14.25">
      <c r="B51" s="1"/>
      <c r="G51" s="1"/>
    </row>
    <row r="52" spans="2:7" ht="14.25">
      <c r="B52" s="1"/>
      <c r="G52" s="1"/>
    </row>
    <row r="53" spans="2:7" ht="14.25">
      <c r="B53" s="1"/>
      <c r="G53" s="1"/>
    </row>
    <row r="54" spans="2:11" ht="14.25">
      <c r="B54" s="3"/>
      <c r="C54" s="4"/>
      <c r="D54" s="21"/>
      <c r="E54" s="4"/>
      <c r="F54" s="4"/>
      <c r="G54" s="3"/>
      <c r="H54" s="4"/>
      <c r="I54" s="4"/>
      <c r="J54" s="4" t="s">
        <v>82</v>
      </c>
      <c r="K54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2015-05-12T17:19:16Z</dcterms:created>
  <dcterms:modified xsi:type="dcterms:W3CDTF">2015-09-02T01:32:53Z</dcterms:modified>
  <cp:category/>
  <cp:version/>
  <cp:contentType/>
  <cp:contentStatus/>
  <cp:revision>1</cp:revision>
</cp:coreProperties>
</file>