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<sst xmlns="http://schemas.openxmlformats.org/spreadsheetml/2006/main" count="61" uniqueCount="52">
  <si>
    <t>($ Amounts in millions, except per share data)</t>
  </si>
  <si>
    <t>Fiscal Years Ended January 31,</t>
  </si>
  <si>
    <t>Unlevered Free Cash Flow</t>
  </si>
  <si>
    <t>EBIT</t>
  </si>
  <si>
    <t>Deferred Taxes</t>
  </si>
  <si>
    <t>Other</t>
  </si>
  <si>
    <t>Capital Expenditures</t>
  </si>
  <si>
    <t>Tax Rate</t>
  </si>
  <si>
    <t>Taxes</t>
  </si>
  <si>
    <t>Net Present Value Calulation</t>
  </si>
  <si>
    <t>Period</t>
  </si>
  <si>
    <t>Discounted Cash Flow</t>
  </si>
  <si>
    <t>WACC</t>
  </si>
  <si>
    <t>Sum of ULFCF</t>
  </si>
  <si>
    <t>Total Net Present Value</t>
  </si>
  <si>
    <t xml:space="preserve">DCF Terminal EBITDA Method </t>
  </si>
  <si>
    <t xml:space="preserve">Stock Price </t>
  </si>
  <si>
    <t xml:space="preserve">Cost of Capital: </t>
  </si>
  <si>
    <t>EBITDA Method</t>
  </si>
  <si>
    <t xml:space="preserve">Risk Free Rate </t>
  </si>
  <si>
    <t>Exit Year EBITDA</t>
  </si>
  <si>
    <t>Equity Value</t>
  </si>
  <si>
    <t>Multiple</t>
  </si>
  <si>
    <t>Current debt</t>
  </si>
  <si>
    <t xml:space="preserve">Beta </t>
  </si>
  <si>
    <t xml:space="preserve">Terminal Value </t>
  </si>
  <si>
    <t>Cash</t>
  </si>
  <si>
    <t xml:space="preserve">Cost of Equity </t>
  </si>
  <si>
    <t>Net Present Value</t>
  </si>
  <si>
    <t>Minority interest</t>
  </si>
  <si>
    <t>ULFC present value</t>
  </si>
  <si>
    <t>Enterprise value</t>
  </si>
  <si>
    <t>Implied Enterprise Value</t>
  </si>
  <si>
    <t xml:space="preserve">Cost of Debt </t>
  </si>
  <si>
    <t>Equity</t>
  </si>
  <si>
    <t>Implied Equity value</t>
  </si>
  <si>
    <t>Debt</t>
  </si>
  <si>
    <t>Total capitalization</t>
  </si>
  <si>
    <t>Implied share price</t>
  </si>
  <si>
    <t>DCF Perpetuity Method</t>
  </si>
  <si>
    <t>EBITDA Method Sensitivity (WACC vs. Exit Multiple)</t>
  </si>
  <si>
    <t>Growth Rate</t>
  </si>
  <si>
    <t>Terminal Value</t>
  </si>
  <si>
    <t>Perpetuity Method Sensitivity (WACC vs. Growth)</t>
  </si>
  <si>
    <t xml:space="preserve">Equity Risk 
Premium </t>
  </si>
  <si>
    <t>Cost of 
Preferred Stock</t>
  </si>
  <si>
    <t>Shares 
Outstanding</t>
  </si>
  <si>
    <t>Net debt plus Corp. 
adjustments</t>
  </si>
  <si>
    <t>Fully diluted shares 
outstanding</t>
  </si>
  <si>
    <t>Total Unlevered 
Free Cash Flow</t>
  </si>
  <si>
    <t>Depreciation &amp; 
Amortization</t>
  </si>
  <si>
    <t>Changes in 
Working Capital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</si>
</sst>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A"/>
    <numFmt numFmtId="165" formatCode="General\E"/>
    <numFmt numFmtId="166" formatCode="#,##0.0"/>
    <numFmt numFmtId="167" formatCode="&quot;$&quot;#,##0.0_);[Red]\(&quot;$&quot;#,##0.0\)"/>
    <numFmt numFmtId="168" formatCode="0.0\x"/>
    <numFmt numFmtId="16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Palatino Linotype"/>
      <family val="1"/>
    </font>
    <font>
      <sz val="9"/>
      <color indexed="8"/>
      <name val="Palatino Linotype"/>
      <family val="1"/>
    </font>
    <font>
      <b/>
      <sz val="9"/>
      <color indexed="9"/>
      <name val="Palatino Linotype"/>
      <family val="1"/>
    </font>
    <font>
      <sz val="10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9"/>
      <color indexed="17"/>
      <name val="Palatino Linotype"/>
      <family val="1"/>
    </font>
    <font>
      <b/>
      <sz val="9"/>
      <color indexed="8"/>
      <name val="Palatino Linotype"/>
      <family val="1"/>
    </font>
    <font>
      <sz val="9"/>
      <color indexed="10"/>
      <name val="Palatino Linotype"/>
      <family val="1"/>
    </font>
    <font>
      <sz val="9"/>
      <color indexed="12"/>
      <name val="Palatino Linotype"/>
      <family val="1"/>
    </font>
    <font>
      <sz val="9"/>
      <color indexed="9"/>
      <name val="Palatino Linotype"/>
      <family val="1"/>
    </font>
    <font>
      <sz val="9"/>
      <color indexed="57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rgb="FF00B050"/>
      <name val="Palatino Linotype"/>
      <family val="1"/>
    </font>
    <font>
      <b/>
      <sz val="9"/>
      <color theme="1"/>
      <name val="Palatino Linotype"/>
      <family val="1"/>
    </font>
    <font>
      <sz val="9"/>
      <color rgb="FFFF0000"/>
      <name val="Palatino Linotype"/>
      <family val="1"/>
    </font>
    <font>
      <sz val="9"/>
      <color theme="0"/>
      <name val="Palatino Linotype"/>
      <family val="1"/>
    </font>
    <font>
      <sz val="9"/>
      <color rgb="FF0066FF"/>
      <name val="Palatino Linotype"/>
      <family val="1"/>
    </font>
    <font>
      <sz val="9"/>
      <color rgb="FF339933"/>
      <name val="Palatino Linotype"/>
      <family val="1"/>
    </font>
    <font>
      <sz val="9"/>
      <color rgb="FF0000FF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 horizontal="centerContinuous"/>
    </xf>
    <xf numFmtId="0" fontId="48" fillId="33" borderId="12" xfId="0" applyFont="1" applyFill="1" applyBorder="1" applyAlignment="1">
      <alignment/>
    </xf>
    <xf numFmtId="164" fontId="48" fillId="33" borderId="13" xfId="0" applyNumberFormat="1" applyFont="1" applyFill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165" fontId="48" fillId="33" borderId="0" xfId="0" applyNumberFormat="1" applyFont="1" applyFill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6" fillId="0" borderId="14" xfId="55" applyFont="1" applyBorder="1" applyAlignment="1">
      <alignment/>
      <protection/>
    </xf>
    <xf numFmtId="0" fontId="47" fillId="0" borderId="17" xfId="0" applyFont="1" applyBorder="1" applyAlignment="1">
      <alignment/>
    </xf>
    <xf numFmtId="0" fontId="7" fillId="0" borderId="14" xfId="55" applyFont="1" applyBorder="1" applyAlignment="1">
      <alignment horizontal="left" indent="1"/>
      <protection/>
    </xf>
    <xf numFmtId="3" fontId="49" fillId="0" borderId="0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7" fillId="0" borderId="12" xfId="55" applyFont="1" applyBorder="1" applyAlignment="1">
      <alignment horizontal="left" indent="1"/>
      <protection/>
    </xf>
    <xf numFmtId="0" fontId="47" fillId="0" borderId="13" xfId="0" applyFont="1" applyBorder="1" applyAlignment="1">
      <alignment/>
    </xf>
    <xf numFmtId="0" fontId="47" fillId="0" borderId="18" xfId="0" applyFont="1" applyBorder="1" applyAlignment="1">
      <alignment/>
    </xf>
    <xf numFmtId="10" fontId="51" fillId="0" borderId="19" xfId="0" applyNumberFormat="1" applyFont="1" applyBorder="1" applyAlignment="1">
      <alignment/>
    </xf>
    <xf numFmtId="0" fontId="6" fillId="0" borderId="0" xfId="55" applyFont="1" applyBorder="1" applyAlignment="1">
      <alignment/>
      <protection/>
    </xf>
    <xf numFmtId="3" fontId="50" fillId="0" borderId="0" xfId="0" applyNumberFormat="1" applyFont="1" applyBorder="1" applyAlignment="1">
      <alignment/>
    </xf>
    <xf numFmtId="0" fontId="7" fillId="0" borderId="0" xfId="55" applyFont="1" applyBorder="1" applyAlignment="1">
      <alignment horizontal="left" indent="2"/>
      <protection/>
    </xf>
    <xf numFmtId="166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8" fillId="34" borderId="0" xfId="55" applyFont="1" applyFill="1" applyBorder="1" applyAlignment="1">
      <alignment/>
      <protection/>
    </xf>
    <xf numFmtId="0" fontId="52" fillId="34" borderId="0" xfId="0" applyFont="1" applyFill="1" applyBorder="1" applyAlignment="1">
      <alignment/>
    </xf>
    <xf numFmtId="8" fontId="51" fillId="0" borderId="0" xfId="0" applyNumberFormat="1" applyFont="1" applyBorder="1" applyAlignment="1">
      <alignment/>
    </xf>
    <xf numFmtId="37" fontId="51" fillId="0" borderId="13" xfId="0" applyNumberFormat="1" applyFont="1" applyBorder="1" applyAlignment="1">
      <alignment/>
    </xf>
    <xf numFmtId="0" fontId="7" fillId="0" borderId="0" xfId="55" applyFont="1" applyBorder="1" applyAlignment="1">
      <alignment horizontal="left"/>
      <protection/>
    </xf>
    <xf numFmtId="3" fontId="47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/>
    </xf>
    <xf numFmtId="166" fontId="53" fillId="0" borderId="19" xfId="0" applyNumberFormat="1" applyFont="1" applyBorder="1" applyAlignment="1">
      <alignment horizontal="center"/>
    </xf>
    <xf numFmtId="37" fontId="51" fillId="0" borderId="0" xfId="0" applyNumberFormat="1" applyFont="1" applyBorder="1" applyAlignment="1">
      <alignment/>
    </xf>
    <xf numFmtId="0" fontId="7" fillId="0" borderId="13" xfId="55" applyFont="1" applyBorder="1" applyAlignment="1">
      <alignment horizontal="left"/>
      <protection/>
    </xf>
    <xf numFmtId="6" fontId="50" fillId="0" borderId="13" xfId="0" applyNumberFormat="1" applyFont="1" applyBorder="1" applyAlignment="1">
      <alignment/>
    </xf>
    <xf numFmtId="0" fontId="6" fillId="0" borderId="0" xfId="55" applyFont="1" applyBorder="1" applyAlignment="1">
      <alignment horizontal="left"/>
      <protection/>
    </xf>
    <xf numFmtId="6" fontId="50" fillId="0" borderId="0" xfId="0" applyNumberFormat="1" applyFont="1" applyBorder="1" applyAlignment="1">
      <alignment/>
    </xf>
    <xf numFmtId="3" fontId="49" fillId="0" borderId="13" xfId="0" applyNumberFormat="1" applyFont="1" applyBorder="1" applyAlignment="1">
      <alignment/>
    </xf>
    <xf numFmtId="0" fontId="6" fillId="0" borderId="0" xfId="55" applyFont="1" applyBorder="1">
      <alignment/>
      <protection/>
    </xf>
    <xf numFmtId="37" fontId="47" fillId="0" borderId="13" xfId="0" applyNumberFormat="1" applyFont="1" applyBorder="1" applyAlignment="1">
      <alignment/>
    </xf>
    <xf numFmtId="167" fontId="54" fillId="0" borderId="0" xfId="0" applyNumberFormat="1" applyFont="1" applyBorder="1" applyAlignment="1">
      <alignment/>
    </xf>
    <xf numFmtId="9" fontId="47" fillId="0" borderId="0" xfId="0" applyNumberFormat="1" applyFont="1" applyBorder="1" applyAlignment="1">
      <alignment horizontal="left"/>
    </xf>
    <xf numFmtId="9" fontId="47" fillId="0" borderId="13" xfId="0" applyNumberFormat="1" applyFont="1" applyBorder="1" applyAlignment="1">
      <alignment/>
    </xf>
    <xf numFmtId="37" fontId="54" fillId="0" borderId="13" xfId="0" applyNumberFormat="1" applyFont="1" applyBorder="1" applyAlignment="1">
      <alignment/>
    </xf>
    <xf numFmtId="8" fontId="50" fillId="0" borderId="0" xfId="0" applyNumberFormat="1" applyFont="1" applyBorder="1" applyAlignment="1">
      <alignment/>
    </xf>
    <xf numFmtId="0" fontId="52" fillId="34" borderId="0" xfId="55" applyFont="1" applyFill="1" applyBorder="1">
      <alignment/>
      <protection/>
    </xf>
    <xf numFmtId="3" fontId="54" fillId="0" borderId="0" xfId="0" applyNumberFormat="1" applyFont="1" applyBorder="1" applyAlignment="1">
      <alignment/>
    </xf>
    <xf numFmtId="0" fontId="47" fillId="0" borderId="20" xfId="0" applyFont="1" applyBorder="1" applyAlignment="1">
      <alignment horizontal="centerContinuous"/>
    </xf>
    <xf numFmtId="168" fontId="47" fillId="0" borderId="13" xfId="0" applyNumberFormat="1" applyFont="1" applyBorder="1" applyAlignment="1">
      <alignment/>
    </xf>
    <xf numFmtId="169" fontId="47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6" fontId="6" fillId="0" borderId="0" xfId="55" applyNumberFormat="1" applyFont="1" applyBorder="1" applyAlignment="1">
      <alignment horizontal="right"/>
      <protection/>
    </xf>
    <xf numFmtId="37" fontId="49" fillId="0" borderId="13" xfId="0" applyNumberFormat="1" applyFont="1" applyBorder="1" applyAlignment="1">
      <alignment/>
    </xf>
    <xf numFmtId="6" fontId="6" fillId="0" borderId="0" xfId="55" applyNumberFormat="1" applyFont="1" applyBorder="1">
      <alignment/>
      <protection/>
    </xf>
    <xf numFmtId="169" fontId="47" fillId="0" borderId="13" xfId="0" applyNumberFormat="1" applyFont="1" applyBorder="1" applyAlignment="1">
      <alignment/>
    </xf>
    <xf numFmtId="10" fontId="47" fillId="0" borderId="13" xfId="0" applyNumberFormat="1" applyFont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7" fillId="0" borderId="13" xfId="55" applyFont="1" applyBorder="1" applyAlignment="1">
      <alignment wrapText="1"/>
      <protection/>
    </xf>
    <xf numFmtId="0" fontId="7" fillId="0" borderId="13" xfId="55" applyFont="1" applyBorder="1" applyAlignment="1">
      <alignment horizontal="left" wrapText="1"/>
      <protection/>
    </xf>
    <xf numFmtId="0" fontId="6" fillId="0" borderId="0" xfId="55" applyFont="1" applyBorder="1" applyAlignment="1">
      <alignment wrapText="1"/>
      <protection/>
    </xf>
    <xf numFmtId="0" fontId="7" fillId="0" borderId="14" xfId="55" applyFont="1" applyBorder="1" applyAlignment="1">
      <alignment horizontal="left" wrapText="1" indent="1"/>
      <protection/>
    </xf>
    <xf numFmtId="37" fontId="49" fillId="0" borderId="0" xfId="0" applyNumberFormat="1" applyFont="1" applyBorder="1" applyAlignment="1">
      <alignment/>
    </xf>
    <xf numFmtId="37" fontId="49" fillId="0" borderId="17" xfId="0" applyNumberFormat="1" applyFont="1" applyBorder="1" applyAlignment="1">
      <alignment/>
    </xf>
    <xf numFmtId="37" fontId="49" fillId="0" borderId="12" xfId="0" applyNumberFormat="1" applyFont="1" applyBorder="1" applyAlignment="1">
      <alignment/>
    </xf>
    <xf numFmtId="37" fontId="49" fillId="0" borderId="18" xfId="0" applyNumberFormat="1" applyFont="1" applyBorder="1" applyAlignment="1">
      <alignment/>
    </xf>
    <xf numFmtId="169" fontId="55" fillId="0" borderId="19" xfId="0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169" fontId="47" fillId="0" borderId="0" xfId="0" applyNumberFormat="1" applyFont="1" applyBorder="1" applyAlignment="1">
      <alignment/>
    </xf>
    <xf numFmtId="169" fontId="53" fillId="0" borderId="13" xfId="0" applyNumberFormat="1" applyFont="1" applyBorder="1" applyAlignment="1">
      <alignment/>
    </xf>
    <xf numFmtId="169" fontId="50" fillId="0" borderId="0" xfId="58" applyNumberFormat="1" applyFont="1" applyBorder="1" applyAlignment="1">
      <alignment/>
    </xf>
    <xf numFmtId="169" fontId="50" fillId="0" borderId="0" xfId="0" applyNumberFormat="1" applyFont="1" applyBorder="1" applyAlignment="1">
      <alignment/>
    </xf>
    <xf numFmtId="9" fontId="47" fillId="0" borderId="0" xfId="0" applyNumberFormat="1" applyFont="1" applyBorder="1" applyAlignment="1">
      <alignment/>
    </xf>
    <xf numFmtId="9" fontId="55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47" fillId="35" borderId="0" xfId="0" applyNumberFormat="1" applyFont="1" applyFill="1" applyBorder="1" applyAlignment="1">
      <alignment/>
    </xf>
    <xf numFmtId="167" fontId="47" fillId="0" borderId="0" xfId="0" applyNumberFormat="1" applyFont="1" applyBorder="1" applyAlignment="1">
      <alignment/>
    </xf>
    <xf numFmtId="167" fontId="47" fillId="0" borderId="0" xfId="0" applyNumberFormat="1" applyFont="1" applyFill="1" applyBorder="1" applyAlignment="1">
      <alignment/>
    </xf>
    <xf numFmtId="167" fontId="47" fillId="36" borderId="0" xfId="0" applyNumberFormat="1" applyFont="1" applyFill="1" applyBorder="1" applyAlignment="1">
      <alignment/>
    </xf>
    <xf numFmtId="167" fontId="6" fillId="0" borderId="0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ebook%20dcf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st\Downloads\1.%20WallStLogic%20WalMart%20Case_v9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Debt Schedule"/>
      <sheetName val="Depreciation Schedule"/>
      <sheetName val="Working Capital Schedule"/>
      <sheetName val="Valuation"/>
    </sheetNames>
    <sheetDataSet>
      <sheetData sheetId="0">
        <row r="20">
          <cell r="F20">
            <v>2490.052380952381</v>
          </cell>
          <cell r="G20">
            <v>3227.4238095238097</v>
          </cell>
          <cell r="H20">
            <v>4125.438095238095</v>
          </cell>
          <cell r="I20">
            <v>5193.280952380952</v>
          </cell>
          <cell r="J20">
            <v>6431.1238095238095</v>
          </cell>
          <cell r="K20">
            <v>7851.584047110308</v>
          </cell>
        </row>
        <row r="22">
          <cell r="F22">
            <v>11854.64761904762</v>
          </cell>
          <cell r="G22">
            <v>15336.783190476188</v>
          </cell>
          <cell r="H22">
            <v>19179.805884761907</v>
          </cell>
          <cell r="I22">
            <v>22625.920056019047</v>
          </cell>
          <cell r="J22">
            <v>25780.278864636188</v>
          </cell>
          <cell r="K22">
            <v>29432.782694123693</v>
          </cell>
        </row>
      </sheetData>
      <sheetData sheetId="2">
        <row r="10">
          <cell r="E10">
            <v>-65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26">
          <cell r="E26">
            <v>-50.199999999999775</v>
          </cell>
          <cell r="F26">
            <v>-47.7000000000004</v>
          </cell>
          <cell r="G26">
            <v>-68.59999999999987</v>
          </cell>
          <cell r="H26">
            <v>-47.49999999999979</v>
          </cell>
          <cell r="I26">
            <v>-17.500000000000483</v>
          </cell>
          <cell r="J26">
            <v>13.360999999999962</v>
          </cell>
        </row>
        <row r="29">
          <cell r="E29">
            <v>-4160.7</v>
          </cell>
          <cell r="F29">
            <v>-5161.6</v>
          </cell>
          <cell r="G29">
            <v>-6286.1</v>
          </cell>
          <cell r="H29">
            <v>-7474.9</v>
          </cell>
          <cell r="I29">
            <v>-8664.9</v>
          </cell>
          <cell r="J29">
            <v>-9943.221663105493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Wall St. estimates"/>
      <sheetName val="Scenario"/>
      <sheetName val="Income Statement"/>
      <sheetName val="Cash Flow statement"/>
      <sheetName val="Balance Sheet"/>
      <sheetName val="Working Capital schedule"/>
      <sheetName val="Depreciation schedule"/>
      <sheetName val="Debt schedule"/>
      <sheetName val="---&gt; valuation"/>
      <sheetName val="Football field"/>
      <sheetName val="DCF Analysis"/>
      <sheetName val="Comparables"/>
      <sheetName val="COMP vlaution"/>
      <sheetName val="WMT"/>
    </sheetNames>
    <sheetDataSet>
      <sheetData sheetId="3">
        <row r="55">
          <cell r="F55">
            <v>0.3219887898705593</v>
          </cell>
        </row>
      </sheetData>
      <sheetData sheetId="4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2" max="2" width="22.421875" style="0" customWidth="1"/>
    <col min="4" max="4" width="6.8515625" style="0" customWidth="1"/>
    <col min="5" max="5" width="0.9921875" style="0" customWidth="1"/>
    <col min="6" max="6" width="14.57421875" style="0" customWidth="1"/>
    <col min="9" max="9" width="8.28125" style="0" customWidth="1"/>
    <col min="10" max="10" width="13.28125" style="0" customWidth="1"/>
  </cols>
  <sheetData>
    <row r="2" spans="2:12" ht="15.75">
      <c r="B2" s="1" t="s">
        <v>0</v>
      </c>
      <c r="C2" s="2"/>
      <c r="D2" s="2"/>
      <c r="E2" s="2"/>
      <c r="F2" s="2"/>
      <c r="G2" s="2"/>
      <c r="H2" s="3"/>
      <c r="I2" s="2"/>
      <c r="J2" s="2"/>
      <c r="K2" s="3"/>
      <c r="L2" s="4"/>
    </row>
    <row r="3" spans="2:12" ht="15.75"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4"/>
    </row>
    <row r="4" spans="2:12" ht="15.75">
      <c r="B4" s="7"/>
      <c r="C4" s="8"/>
      <c r="D4" s="8"/>
      <c r="E4" s="9">
        <v>2015</v>
      </c>
      <c r="F4" s="10">
        <f aca="true" t="shared" si="0" ref="F4:K4">E4+1</f>
        <v>2016</v>
      </c>
      <c r="G4" s="11">
        <f t="shared" si="0"/>
        <v>2017</v>
      </c>
      <c r="H4" s="11">
        <f t="shared" si="0"/>
        <v>2018</v>
      </c>
      <c r="I4" s="11">
        <f t="shared" si="0"/>
        <v>2019</v>
      </c>
      <c r="J4" s="11">
        <f t="shared" si="0"/>
        <v>2020</v>
      </c>
      <c r="K4" s="11">
        <f t="shared" si="0"/>
        <v>2021</v>
      </c>
      <c r="L4" s="4"/>
    </row>
    <row r="5" spans="2:12" ht="15.75">
      <c r="B5" s="12"/>
      <c r="C5" s="4"/>
      <c r="D5" s="4"/>
      <c r="E5" s="13"/>
      <c r="F5" s="14"/>
      <c r="G5" s="4"/>
      <c r="H5" s="4"/>
      <c r="I5" s="4"/>
      <c r="J5" s="4"/>
      <c r="K5" s="13"/>
      <c r="L5" s="4"/>
    </row>
    <row r="6" spans="2:12" ht="15.75">
      <c r="B6" s="15" t="s">
        <v>2</v>
      </c>
      <c r="C6" s="4"/>
      <c r="D6" s="4"/>
      <c r="E6" s="16"/>
      <c r="F6" s="4"/>
      <c r="G6" s="4"/>
      <c r="H6" s="4"/>
      <c r="I6" s="4"/>
      <c r="J6" s="4"/>
      <c r="K6" s="16"/>
      <c r="L6" s="4"/>
    </row>
    <row r="7" spans="2:12" ht="15.75">
      <c r="B7" s="17" t="s">
        <v>3</v>
      </c>
      <c r="C7" s="4"/>
      <c r="D7" s="4"/>
      <c r="E7" s="16"/>
      <c r="F7" s="18">
        <f>'[1]Income Statement'!F22</f>
        <v>11854.64761904762</v>
      </c>
      <c r="G7" s="18">
        <f>'[1]Income Statement'!G22</f>
        <v>15336.783190476188</v>
      </c>
      <c r="H7" s="18">
        <f>'[1]Income Statement'!H22</f>
        <v>19179.805884761907</v>
      </c>
      <c r="I7" s="18">
        <f>'[1]Income Statement'!I22</f>
        <v>22625.920056019047</v>
      </c>
      <c r="J7" s="18">
        <f>'[1]Income Statement'!J22</f>
        <v>25780.278864636188</v>
      </c>
      <c r="K7" s="19">
        <f>'[1]Income Statement'!K22</f>
        <v>29432.782694123693</v>
      </c>
      <c r="L7" s="4"/>
    </row>
    <row r="8" spans="2:12" ht="28.5">
      <c r="B8" s="67" t="s">
        <v>50</v>
      </c>
      <c r="C8" s="4"/>
      <c r="D8" s="4"/>
      <c r="E8" s="16"/>
      <c r="F8" s="18">
        <f>'[1]Income Statement'!F20</f>
        <v>2490.052380952381</v>
      </c>
      <c r="G8" s="18">
        <f>'[1]Income Statement'!G20</f>
        <v>3227.4238095238097</v>
      </c>
      <c r="H8" s="18">
        <f>'[1]Income Statement'!H20</f>
        <v>4125.438095238095</v>
      </c>
      <c r="I8" s="18">
        <f>'[1]Income Statement'!I20</f>
        <v>5193.280952380952</v>
      </c>
      <c r="J8" s="18">
        <f>'[1]Income Statement'!J20</f>
        <v>6431.1238095238095</v>
      </c>
      <c r="K8" s="19">
        <f>'[1]Income Statement'!K20</f>
        <v>7851.584047110308</v>
      </c>
      <c r="L8" s="4"/>
    </row>
    <row r="9" spans="2:12" ht="15.75">
      <c r="B9" s="17" t="s">
        <v>4</v>
      </c>
      <c r="C9" s="4"/>
      <c r="D9" s="4"/>
      <c r="E9" s="16"/>
      <c r="F9" s="68">
        <f>'[1]Cash Flow Statement'!E10</f>
        <v>-65</v>
      </c>
      <c r="G9" s="18">
        <f>'[1]Cash Flow Statement'!F10</f>
        <v>0</v>
      </c>
      <c r="H9" s="18">
        <f>'[1]Cash Flow Statement'!G10</f>
        <v>0</v>
      </c>
      <c r="I9" s="18">
        <f>'[1]Cash Flow Statement'!H10</f>
        <v>0</v>
      </c>
      <c r="J9" s="18">
        <f>'[1]Cash Flow Statement'!I10</f>
        <v>0</v>
      </c>
      <c r="K9" s="19">
        <f>'[1]Cash Flow Statement'!J10</f>
        <v>0</v>
      </c>
      <c r="L9" s="4"/>
    </row>
    <row r="10" spans="2:12" ht="15.75">
      <c r="B10" s="17" t="s">
        <v>5</v>
      </c>
      <c r="C10" s="4"/>
      <c r="D10" s="4"/>
      <c r="E10" s="16"/>
      <c r="F10" s="18">
        <f>'[2]Cash Flow statement'!F12</f>
        <v>0</v>
      </c>
      <c r="G10" s="18">
        <f>'[2]Cash Flow statement'!G12</f>
        <v>0</v>
      </c>
      <c r="H10" s="18">
        <f>'[2]Cash Flow statement'!H12</f>
        <v>0</v>
      </c>
      <c r="I10" s="18">
        <f>'[2]Cash Flow statement'!I12</f>
        <v>0</v>
      </c>
      <c r="J10" s="18">
        <f>'[2]Cash Flow statement'!J12</f>
        <v>0</v>
      </c>
      <c r="K10" s="19">
        <f>'[2]Cash Flow statement'!K12</f>
        <v>0</v>
      </c>
      <c r="L10" s="4"/>
    </row>
    <row r="11" spans="2:12" ht="28.5">
      <c r="B11" s="67" t="s">
        <v>51</v>
      </c>
      <c r="C11" s="4"/>
      <c r="D11" s="4"/>
      <c r="E11" s="16"/>
      <c r="F11" s="68">
        <f>'[1]Cash Flow Statement'!E26</f>
        <v>-50.199999999999775</v>
      </c>
      <c r="G11" s="68">
        <f>'[1]Cash Flow Statement'!F26</f>
        <v>-47.7000000000004</v>
      </c>
      <c r="H11" s="68">
        <f>'[1]Cash Flow Statement'!G26</f>
        <v>-68.59999999999987</v>
      </c>
      <c r="I11" s="68">
        <f>'[1]Cash Flow Statement'!H26</f>
        <v>-47.49999999999979</v>
      </c>
      <c r="J11" s="68">
        <f>'[1]Cash Flow Statement'!I26</f>
        <v>-17.500000000000483</v>
      </c>
      <c r="K11" s="69">
        <f>'[1]Cash Flow Statement'!J26</f>
        <v>13.360999999999962</v>
      </c>
      <c r="L11" s="4"/>
    </row>
    <row r="12" spans="2:12" ht="15.75">
      <c r="B12" s="17" t="s">
        <v>6</v>
      </c>
      <c r="C12" s="4"/>
      <c r="D12" s="4"/>
      <c r="E12" s="16"/>
      <c r="F12" s="68">
        <f>'[1]Cash Flow Statement'!E29</f>
        <v>-4160.7</v>
      </c>
      <c r="G12" s="68">
        <f>'[1]Cash Flow Statement'!F29</f>
        <v>-5161.6</v>
      </c>
      <c r="H12" s="68">
        <f>'[1]Cash Flow Statement'!G29</f>
        <v>-6286.1</v>
      </c>
      <c r="I12" s="68">
        <f>'[1]Cash Flow Statement'!H29</f>
        <v>-7474.9</v>
      </c>
      <c r="J12" s="68">
        <f>'[1]Cash Flow Statement'!I29</f>
        <v>-8664.9</v>
      </c>
      <c r="K12" s="69">
        <f>'[1]Cash Flow Statement'!J29</f>
        <v>-9943.221663105493</v>
      </c>
      <c r="L12" s="20" t="s">
        <v>7</v>
      </c>
    </row>
    <row r="13" spans="2:12" ht="15.75">
      <c r="B13" s="21" t="s">
        <v>8</v>
      </c>
      <c r="C13" s="22"/>
      <c r="D13" s="22"/>
      <c r="E13" s="23"/>
      <c r="F13" s="70">
        <f aca="true" t="shared" si="1" ref="F13:K13">-F7*$L$13</f>
        <v>-3817.0636411990504</v>
      </c>
      <c r="G13" s="58">
        <f t="shared" si="1"/>
        <v>-4938.2722600085635</v>
      </c>
      <c r="H13" s="58">
        <f t="shared" si="1"/>
        <v>-6175.682486786718</v>
      </c>
      <c r="I13" s="58">
        <f t="shared" si="1"/>
        <v>-7285.29261854559</v>
      </c>
      <c r="J13" s="58">
        <f t="shared" si="1"/>
        <v>-8300.960794149762</v>
      </c>
      <c r="K13" s="71">
        <f t="shared" si="1"/>
        <v>-9477.026082204027</v>
      </c>
      <c r="L13" s="24">
        <f>'[2]Income Statement'!$F$55</f>
        <v>0.3219887898705593</v>
      </c>
    </row>
    <row r="14" spans="2:12" ht="28.5">
      <c r="B14" s="66" t="s">
        <v>49</v>
      </c>
      <c r="C14" s="4"/>
      <c r="D14" s="4"/>
      <c r="E14" s="4"/>
      <c r="F14" s="26">
        <f aca="true" t="shared" si="2" ref="F14:K14">SUM(F7:F13)</f>
        <v>6251.736358800952</v>
      </c>
      <c r="G14" s="26">
        <f t="shared" si="2"/>
        <v>8416.634739991434</v>
      </c>
      <c r="H14" s="26">
        <f t="shared" si="2"/>
        <v>10774.861493213284</v>
      </c>
      <c r="I14" s="26">
        <f t="shared" si="2"/>
        <v>13011.508389854407</v>
      </c>
      <c r="J14" s="26">
        <f t="shared" si="2"/>
        <v>15228.041880010232</v>
      </c>
      <c r="K14" s="26">
        <f t="shared" si="2"/>
        <v>17877.479995924477</v>
      </c>
      <c r="L14" s="4"/>
    </row>
    <row r="15" spans="2:12" ht="15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5.75">
      <c r="B16" s="25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5.75">
      <c r="B17" s="27" t="s">
        <v>10</v>
      </c>
      <c r="C17" s="4"/>
      <c r="D17" s="4"/>
      <c r="E17" s="4"/>
      <c r="F17" s="80">
        <v>0.5</v>
      </c>
      <c r="G17" s="28">
        <f>F17+1</f>
        <v>1.5</v>
      </c>
      <c r="H17" s="28">
        <f>G17+1</f>
        <v>2.5</v>
      </c>
      <c r="I17" s="28">
        <f>H17+1</f>
        <v>3.5</v>
      </c>
      <c r="J17" s="28">
        <f>I17+1</f>
        <v>4.5</v>
      </c>
      <c r="K17" s="28">
        <f>J17+1</f>
        <v>5.5</v>
      </c>
      <c r="L17" s="4"/>
    </row>
    <row r="18" spans="2:12" ht="15.75">
      <c r="B18" s="27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5.75">
      <c r="B19" s="27" t="s">
        <v>12</v>
      </c>
      <c r="C19" s="4"/>
      <c r="D19" s="72">
        <v>0.082</v>
      </c>
      <c r="E19" s="4"/>
      <c r="F19" s="29">
        <f>(F14/(1+$D$19)^F17)</f>
        <v>6010.173714427171</v>
      </c>
      <c r="G19" s="29">
        <f>(G14/(1+$D$19)^G17)</f>
        <v>7478.208837928878</v>
      </c>
      <c r="H19" s="29">
        <f>(H14/(1+$D$19)^H17)</f>
        <v>8847.968019920252</v>
      </c>
      <c r="I19" s="29">
        <f>(I14/(1+$D$19)^I17)</f>
        <v>9874.88924593085</v>
      </c>
      <c r="J19" s="29">
        <f>(J14/(1+$D$19)^J17)</f>
        <v>10681.23300532315</v>
      </c>
      <c r="K19" s="29">
        <f>(K14/(1+$D$19)^K17)</f>
        <v>11589.277621312196</v>
      </c>
      <c r="L19" s="4"/>
    </row>
    <row r="20" spans="2:12" ht="15.75">
      <c r="B20" s="27" t="s">
        <v>13</v>
      </c>
      <c r="C20" s="4"/>
      <c r="D20" s="29">
        <f>SUM(F14:K14)</f>
        <v>71560.26285779479</v>
      </c>
      <c r="E20" s="4"/>
      <c r="F20" s="29"/>
      <c r="G20" s="29"/>
      <c r="H20" s="29"/>
      <c r="I20" s="29"/>
      <c r="J20" s="29"/>
      <c r="K20" s="29"/>
      <c r="L20" s="4"/>
    </row>
    <row r="21" spans="2:12" ht="15.75">
      <c r="B21" s="25" t="s">
        <v>14</v>
      </c>
      <c r="C21" s="4"/>
      <c r="D21" s="26">
        <f>SUM(F19:K19)</f>
        <v>54481.750444842495</v>
      </c>
      <c r="E21" s="4"/>
      <c r="F21" s="4"/>
      <c r="G21" s="4"/>
      <c r="H21" s="4"/>
      <c r="I21" s="4"/>
      <c r="J21" s="4"/>
      <c r="K21" s="4"/>
      <c r="L21" s="4"/>
    </row>
    <row r="22" spans="2:12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15.75">
      <c r="B23" s="30" t="s">
        <v>15</v>
      </c>
      <c r="C23" s="31"/>
      <c r="D23" s="4"/>
      <c r="E23" s="4"/>
      <c r="F23" s="4" t="s">
        <v>16</v>
      </c>
      <c r="G23" s="4"/>
      <c r="H23" s="32">
        <v>119.38</v>
      </c>
      <c r="I23" s="4"/>
      <c r="J23" s="20" t="s">
        <v>17</v>
      </c>
      <c r="K23" s="4"/>
      <c r="L23" s="4"/>
    </row>
    <row r="24" spans="2:12" ht="42.75">
      <c r="B24" s="25" t="s">
        <v>18</v>
      </c>
      <c r="C24" s="4"/>
      <c r="D24" s="4"/>
      <c r="E24" s="4"/>
      <c r="F24" s="63" t="s">
        <v>46</v>
      </c>
      <c r="G24" s="22"/>
      <c r="H24" s="33">
        <v>2920</v>
      </c>
      <c r="I24" s="4"/>
      <c r="J24" s="4" t="s">
        <v>19</v>
      </c>
      <c r="K24" s="73">
        <v>0.0335</v>
      </c>
      <c r="L24" s="4"/>
    </row>
    <row r="25" spans="2:12" ht="28.5">
      <c r="B25" s="34" t="s">
        <v>20</v>
      </c>
      <c r="C25" s="35">
        <f>K7+K8</f>
        <v>37284.366741234</v>
      </c>
      <c r="D25" s="4"/>
      <c r="E25" s="4"/>
      <c r="F25" s="20" t="s">
        <v>21</v>
      </c>
      <c r="G25" s="4"/>
      <c r="H25" s="36">
        <f>H23*H24</f>
        <v>348589.6</v>
      </c>
      <c r="I25" s="4"/>
      <c r="J25" s="62" t="s">
        <v>44</v>
      </c>
      <c r="K25" s="74">
        <f>0.1-K24</f>
        <v>0.0665</v>
      </c>
      <c r="L25" s="4"/>
    </row>
    <row r="26" spans="2:12" ht="15.75">
      <c r="B26" s="34" t="s">
        <v>22</v>
      </c>
      <c r="C26" s="37">
        <v>19.3</v>
      </c>
      <c r="D26" s="4"/>
      <c r="E26" s="4"/>
      <c r="F26" s="4" t="s">
        <v>23</v>
      </c>
      <c r="G26" s="4"/>
      <c r="H26" s="38">
        <v>0</v>
      </c>
      <c r="I26" s="4"/>
      <c r="J26" s="22" t="s">
        <v>24</v>
      </c>
      <c r="K26" s="75">
        <v>0.73</v>
      </c>
      <c r="L26" s="4"/>
    </row>
    <row r="27" spans="2:12" ht="15.75">
      <c r="B27" s="39" t="s">
        <v>25</v>
      </c>
      <c r="C27" s="40">
        <f>C25*C26</f>
        <v>719588.2781058162</v>
      </c>
      <c r="D27" s="4"/>
      <c r="E27" s="4"/>
      <c r="F27" s="4" t="s">
        <v>26</v>
      </c>
      <c r="G27" s="4"/>
      <c r="H27" s="38">
        <v>28432</v>
      </c>
      <c r="I27" s="4"/>
      <c r="J27" s="20" t="s">
        <v>27</v>
      </c>
      <c r="K27" s="76">
        <f>K24+K25*K26</f>
        <v>0.082045</v>
      </c>
      <c r="L27" s="4"/>
    </row>
    <row r="28" spans="2:12" ht="15.75">
      <c r="B28" s="41" t="s">
        <v>28</v>
      </c>
      <c r="C28" s="42">
        <f>C27/(1+D19)^K17</f>
        <v>466481.20036556985</v>
      </c>
      <c r="D28" s="4"/>
      <c r="E28" s="4"/>
      <c r="F28" s="22" t="s">
        <v>29</v>
      </c>
      <c r="G28" s="22"/>
      <c r="H28" s="33">
        <v>0</v>
      </c>
      <c r="I28" s="4"/>
      <c r="J28" s="4"/>
      <c r="K28" s="4"/>
      <c r="L28" s="4"/>
    </row>
    <row r="29" spans="2:12" ht="15.75">
      <c r="B29" s="39" t="s">
        <v>30</v>
      </c>
      <c r="C29" s="43">
        <f>D21</f>
        <v>54481.750444842495</v>
      </c>
      <c r="D29" s="4"/>
      <c r="E29" s="4"/>
      <c r="F29" s="20" t="s">
        <v>31</v>
      </c>
      <c r="G29" s="4"/>
      <c r="H29" s="42">
        <f>H25+H26+H27+H28</f>
        <v>377021.6</v>
      </c>
      <c r="I29" s="4"/>
      <c r="J29" s="4"/>
      <c r="K29" s="4"/>
      <c r="L29" s="4"/>
    </row>
    <row r="30" spans="2:12" ht="15.75">
      <c r="B30" s="44" t="s">
        <v>32</v>
      </c>
      <c r="C30" s="42">
        <f>C28+C29</f>
        <v>520962.95081041235</v>
      </c>
      <c r="D30" s="4"/>
      <c r="E30" s="4"/>
      <c r="F30" s="4"/>
      <c r="G30" s="4"/>
      <c r="H30" s="4"/>
      <c r="I30" s="4"/>
      <c r="J30" s="4" t="s">
        <v>33</v>
      </c>
      <c r="K30" s="78">
        <v>0</v>
      </c>
      <c r="L30" s="4"/>
    </row>
    <row r="31" spans="2:12" ht="42.75">
      <c r="B31" s="64" t="s">
        <v>47</v>
      </c>
      <c r="C31" s="45">
        <f>H26+H27+H28</f>
        <v>28432</v>
      </c>
      <c r="D31" s="4"/>
      <c r="E31" s="4"/>
      <c r="F31" s="4" t="s">
        <v>34</v>
      </c>
      <c r="G31" s="4"/>
      <c r="H31" s="46">
        <f>H25</f>
        <v>348589.6</v>
      </c>
      <c r="I31" s="47">
        <f>H31/H33</f>
        <v>1</v>
      </c>
      <c r="J31" s="63" t="s">
        <v>45</v>
      </c>
      <c r="K31" s="48">
        <v>0</v>
      </c>
      <c r="L31" s="4"/>
    </row>
    <row r="32" spans="2:12" ht="15.75">
      <c r="B32" s="44" t="s">
        <v>35</v>
      </c>
      <c r="C32" s="42">
        <f>C30-C31</f>
        <v>492530.95081041235</v>
      </c>
      <c r="D32" s="4"/>
      <c r="E32" s="4"/>
      <c r="F32" s="22" t="s">
        <v>36</v>
      </c>
      <c r="G32" s="22"/>
      <c r="H32" s="49">
        <v>0</v>
      </c>
      <c r="I32" s="47">
        <f>H32/H33</f>
        <v>0</v>
      </c>
      <c r="J32" s="20" t="s">
        <v>12</v>
      </c>
      <c r="K32" s="77">
        <f>I31*K27+(K30*(1-L13)*I32)</f>
        <v>0.082045</v>
      </c>
      <c r="L32" s="4"/>
    </row>
    <row r="33" spans="2:12" ht="28.5">
      <c r="B33" s="65" t="s">
        <v>48</v>
      </c>
      <c r="C33" s="45">
        <v>2920</v>
      </c>
      <c r="D33" s="4"/>
      <c r="E33" s="4"/>
      <c r="F33" s="20" t="s">
        <v>37</v>
      </c>
      <c r="G33" s="4"/>
      <c r="H33" s="36">
        <f>SUM(H31:H32)</f>
        <v>348589.6</v>
      </c>
      <c r="I33" s="4"/>
      <c r="J33" s="4"/>
      <c r="K33" s="4"/>
      <c r="L33" s="4"/>
    </row>
    <row r="34" spans="2:12" ht="15.75">
      <c r="B34" s="44" t="s">
        <v>38</v>
      </c>
      <c r="C34" s="50">
        <f>C32/C33</f>
        <v>168.6749831542508</v>
      </c>
      <c r="D34" s="4"/>
      <c r="E34" s="4"/>
      <c r="F34" s="4"/>
      <c r="G34" s="4"/>
      <c r="H34" s="4"/>
      <c r="I34" s="4"/>
      <c r="J34" s="4"/>
      <c r="K34" s="4"/>
      <c r="L34" s="4"/>
    </row>
    <row r="35" spans="2:12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5.75">
      <c r="B36" s="30" t="s">
        <v>39</v>
      </c>
      <c r="C36" s="51"/>
      <c r="D36" s="4"/>
      <c r="E36" s="4"/>
      <c r="F36" s="4"/>
      <c r="G36" s="4"/>
      <c r="H36" s="4"/>
      <c r="I36" s="4"/>
      <c r="J36" s="4"/>
      <c r="K36" s="4"/>
      <c r="L36" s="4"/>
    </row>
    <row r="37" spans="2:12" ht="15.75">
      <c r="B37" s="34" t="s">
        <v>2</v>
      </c>
      <c r="C37" s="52">
        <f>K14</f>
        <v>17877.479995924477</v>
      </c>
      <c r="D37" s="4"/>
      <c r="E37" s="4"/>
      <c r="F37" s="4"/>
      <c r="G37" s="53" t="s">
        <v>40</v>
      </c>
      <c r="H37" s="53"/>
      <c r="I37" s="53"/>
      <c r="J37" s="53"/>
      <c r="K37" s="4"/>
      <c r="L37" s="4"/>
    </row>
    <row r="38" spans="2:12" ht="15.75">
      <c r="B38" s="34" t="s">
        <v>41</v>
      </c>
      <c r="C38" s="79">
        <v>0.03</v>
      </c>
      <c r="D38" s="4"/>
      <c r="E38" s="4"/>
      <c r="F38" s="81">
        <f>C34</f>
        <v>168.6749831542508</v>
      </c>
      <c r="G38" s="54">
        <v>18.3</v>
      </c>
      <c r="H38" s="54">
        <v>18.8</v>
      </c>
      <c r="I38" s="54">
        <v>19.3</v>
      </c>
      <c r="J38" s="54">
        <v>19.8</v>
      </c>
      <c r="K38" s="4"/>
      <c r="L38" s="4"/>
    </row>
    <row r="39" spans="2:12" ht="15.75">
      <c r="B39" s="39" t="s">
        <v>42</v>
      </c>
      <c r="C39" s="40">
        <f>C37*(1+C38)/(D19-C38)</f>
        <v>354111.6229961964</v>
      </c>
      <c r="D39" s="4"/>
      <c r="E39" s="4"/>
      <c r="F39" s="55">
        <v>0.072</v>
      </c>
      <c r="G39" s="82">
        <v>168.9265242028575</v>
      </c>
      <c r="H39" s="82">
        <v>173.282070201058</v>
      </c>
      <c r="I39" s="82">
        <v>177.6376161992585</v>
      </c>
      <c r="J39" s="82">
        <v>181.99316219745893</v>
      </c>
      <c r="K39" s="4"/>
      <c r="L39" s="4"/>
    </row>
    <row r="40" spans="2:12" ht="15.75">
      <c r="B40" s="41" t="s">
        <v>28</v>
      </c>
      <c r="C40" s="56">
        <f>C39/(1+D19)^K17</f>
        <v>229556.8451913762</v>
      </c>
      <c r="D40" s="4"/>
      <c r="E40" s="4"/>
      <c r="F40" s="55">
        <v>0.077</v>
      </c>
      <c r="G40" s="82">
        <v>164.59862438956674</v>
      </c>
      <c r="H40" s="82">
        <v>168.8441117860493</v>
      </c>
      <c r="I40" s="82">
        <v>173.08959918253186</v>
      </c>
      <c r="J40" s="82">
        <v>177.33508657901444</v>
      </c>
      <c r="K40" s="4"/>
      <c r="L40" s="4"/>
    </row>
    <row r="41" spans="2:12" ht="15.75">
      <c r="B41" s="39" t="s">
        <v>30</v>
      </c>
      <c r="C41" s="43">
        <f>D21</f>
        <v>54481.750444842495</v>
      </c>
      <c r="D41" s="4"/>
      <c r="E41" s="4"/>
      <c r="F41" s="55">
        <v>0.082</v>
      </c>
      <c r="G41" s="82">
        <v>160.39758233862213</v>
      </c>
      <c r="H41" s="82">
        <v>164.53628274643646</v>
      </c>
      <c r="I41" s="84">
        <v>168.6749831542508</v>
      </c>
      <c r="J41" s="82">
        <v>172.81368356206514</v>
      </c>
      <c r="K41" s="4"/>
      <c r="L41" s="4"/>
    </row>
    <row r="42" spans="2:12" ht="15.75">
      <c r="B42" s="44" t="s">
        <v>32</v>
      </c>
      <c r="C42" s="57">
        <f>C40+C41</f>
        <v>284038.59563621867</v>
      </c>
      <c r="D42" s="4"/>
      <c r="E42" s="4"/>
      <c r="F42" s="55">
        <v>0.087</v>
      </c>
      <c r="G42" s="82">
        <v>156.31909851084964</v>
      </c>
      <c r="H42" s="82">
        <v>160.35417184057013</v>
      </c>
      <c r="I42" s="82">
        <v>164.38924517029062</v>
      </c>
      <c r="J42" s="82">
        <v>168.4243185000111</v>
      </c>
      <c r="K42" s="4"/>
      <c r="L42" s="4"/>
    </row>
    <row r="43" spans="2:12" ht="28.5">
      <c r="B43" s="64" t="s">
        <v>47</v>
      </c>
      <c r="C43" s="58">
        <v>0</v>
      </c>
      <c r="D43" s="4"/>
      <c r="E43" s="4"/>
      <c r="F43" s="55">
        <v>0.092</v>
      </c>
      <c r="G43" s="82">
        <v>152.3590382298377</v>
      </c>
      <c r="H43" s="82">
        <v>156.2935369923063</v>
      </c>
      <c r="I43" s="82">
        <v>160.22803575477485</v>
      </c>
      <c r="J43" s="82">
        <v>164.16253451724347</v>
      </c>
      <c r="K43" s="4"/>
      <c r="L43" s="4"/>
    </row>
    <row r="44" spans="2:12" ht="15.75">
      <c r="B44" s="44" t="s">
        <v>35</v>
      </c>
      <c r="C44" s="59">
        <f>C42-C43</f>
        <v>284038.59563621867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ht="28.5">
      <c r="B45" s="65" t="s">
        <v>48</v>
      </c>
      <c r="C45" s="49">
        <f>C33</f>
        <v>2920</v>
      </c>
      <c r="D45" s="4"/>
      <c r="E45" s="4"/>
      <c r="F45" s="4"/>
      <c r="G45" s="4"/>
      <c r="H45" s="4"/>
      <c r="I45" s="4"/>
      <c r="J45" s="4"/>
      <c r="K45" s="4"/>
      <c r="L45" s="4"/>
    </row>
    <row r="46" spans="2:12" ht="15.75">
      <c r="B46" s="44" t="s">
        <v>38</v>
      </c>
      <c r="C46" s="85">
        <f>C44/C45</f>
        <v>97.27349165623927</v>
      </c>
      <c r="D46" s="4"/>
      <c r="E46" s="4"/>
      <c r="F46" s="4"/>
      <c r="G46" s="53" t="s">
        <v>43</v>
      </c>
      <c r="H46" s="53"/>
      <c r="I46" s="53"/>
      <c r="J46" s="53"/>
      <c r="K46" s="4"/>
      <c r="L46" s="4"/>
    </row>
    <row r="47" spans="2:12" ht="15.75">
      <c r="B47" s="4"/>
      <c r="C47" s="4"/>
      <c r="D47" s="4"/>
      <c r="E47" s="4"/>
      <c r="F47" s="81">
        <f>C46</f>
        <v>97.27349165623927</v>
      </c>
      <c r="G47" s="60">
        <v>0.025</v>
      </c>
      <c r="H47" s="61">
        <v>0.0275</v>
      </c>
      <c r="I47" s="61">
        <v>0.03</v>
      </c>
      <c r="J47" s="61">
        <v>0.0325</v>
      </c>
      <c r="K47" s="4"/>
      <c r="L47" s="4"/>
    </row>
    <row r="48" spans="2:12" ht="15.75">
      <c r="B48" s="4"/>
      <c r="C48" s="4"/>
      <c r="D48" s="4"/>
      <c r="E48" s="4"/>
      <c r="F48" s="55">
        <v>0.072</v>
      </c>
      <c r="G48" s="82">
        <v>110.34208646658816</v>
      </c>
      <c r="H48" s="82">
        <v>115.6942460599149</v>
      </c>
      <c r="I48" s="82">
        <v>121.68356750959008</v>
      </c>
      <c r="J48" s="82">
        <v>128.43103091492029</v>
      </c>
      <c r="K48" s="4"/>
      <c r="L48" s="4"/>
    </row>
    <row r="49" spans="2:12" ht="15.75">
      <c r="B49" s="4"/>
      <c r="C49" s="4"/>
      <c r="D49" s="4"/>
      <c r="E49" s="4"/>
      <c r="F49" s="55">
        <v>0.077</v>
      </c>
      <c r="G49" s="82">
        <v>99.20309322279113</v>
      </c>
      <c r="H49" s="82">
        <v>103.46186385490923</v>
      </c>
      <c r="I49" s="82">
        <v>108.1736951925718</v>
      </c>
      <c r="J49" s="82">
        <v>113.41494578165712</v>
      </c>
      <c r="K49" s="4"/>
      <c r="L49" s="4"/>
    </row>
    <row r="50" spans="2:12" ht="15.75">
      <c r="B50" s="4"/>
      <c r="C50" s="4"/>
      <c r="D50" s="4"/>
      <c r="E50" s="4"/>
      <c r="F50" s="55">
        <v>0.082</v>
      </c>
      <c r="G50" s="82">
        <v>90.02925581110924</v>
      </c>
      <c r="H50" s="83">
        <v>93.48522153539146</v>
      </c>
      <c r="I50" s="84">
        <v>97.27349165623927</v>
      </c>
      <c r="J50" s="82">
        <v>101.44441532464745</v>
      </c>
      <c r="K50" s="4"/>
      <c r="L50" s="4"/>
    </row>
    <row r="51" spans="2:12" ht="15.75">
      <c r="B51" s="4"/>
      <c r="C51" s="4"/>
      <c r="D51" s="4"/>
      <c r="E51" s="4"/>
      <c r="F51" s="55">
        <v>0.087</v>
      </c>
      <c r="G51" s="82">
        <v>82.34487292142614</v>
      </c>
      <c r="H51" s="82">
        <v>85.19537823148866</v>
      </c>
      <c r="I51" s="82">
        <v>88.2959278669952</v>
      </c>
      <c r="J51" s="82">
        <v>91.68093159750237</v>
      </c>
      <c r="K51" s="4"/>
      <c r="L51" s="4"/>
    </row>
    <row r="52" spans="2:12" ht="15.75">
      <c r="B52" s="4"/>
      <c r="C52" s="4"/>
      <c r="D52" s="4"/>
      <c r="E52" s="4"/>
      <c r="F52" s="55">
        <v>0.092</v>
      </c>
      <c r="G52" s="82">
        <v>75.81625108914935</v>
      </c>
      <c r="H52" s="82">
        <v>78.19981646410143</v>
      </c>
      <c r="I52" s="82">
        <v>80.77560485316252</v>
      </c>
      <c r="J52" s="82">
        <v>83.56784604802708</v>
      </c>
      <c r="K52" s="4"/>
      <c r="L52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2016-05-31T17:50:13Z</cp:lastPrinted>
  <dcterms:created xsi:type="dcterms:W3CDTF">2016-05-31T17:05:55Z</dcterms:created>
  <dcterms:modified xsi:type="dcterms:W3CDTF">2016-05-31T17:54:44Z</dcterms:modified>
  <cp:category/>
  <cp:version/>
  <cp:contentType/>
  <cp:contentStatus/>
</cp:coreProperties>
</file>