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se/Desktop/"/>
    </mc:Choice>
  </mc:AlternateContent>
  <xr:revisionPtr revIDLastSave="0" documentId="13_ncr:1_{99B63172-6DDF-DC4F-9C6A-F088A11B48D2}" xr6:coauthVersionLast="36" xr6:coauthVersionMax="36" xr10:uidLastSave="{00000000-0000-0000-0000-000000000000}"/>
  <bookViews>
    <workbookView xWindow="0" yWindow="460" windowWidth="25600" windowHeight="15460" activeTab="2" xr2:uid="{AB04D552-AB89-6A4E-87BE-FA16007B5813}"/>
  </bookViews>
  <sheets>
    <sheet name="Profile - V" sheetId="3" r:id="rId1"/>
    <sheet name="Analysis" sheetId="2" r:id="rId2"/>
    <sheet name="Model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L32" i="2"/>
  <c r="K32" i="2"/>
  <c r="S8" i="2"/>
  <c r="S9" i="2"/>
  <c r="S10" i="2" s="1"/>
  <c r="S13" i="2" s="1"/>
  <c r="S15" i="2" s="1"/>
  <c r="S17" i="2" s="1"/>
  <c r="T8" i="2"/>
  <c r="T9" i="2"/>
  <c r="T10" i="2" s="1"/>
  <c r="T13" i="2" s="1"/>
  <c r="T15" i="2" s="1"/>
  <c r="T17" i="2" s="1"/>
  <c r="U8" i="2"/>
  <c r="U9" i="2" s="1"/>
  <c r="U10" i="2" s="1"/>
  <c r="U13" i="2" s="1"/>
  <c r="U15" i="2" s="1"/>
  <c r="U17" i="2" s="1"/>
  <c r="V8" i="2"/>
  <c r="V9" i="2"/>
  <c r="V10" i="2" s="1"/>
  <c r="V13" i="2" s="1"/>
  <c r="V15" i="2" s="1"/>
  <c r="V17" i="2" s="1"/>
  <c r="W8" i="2"/>
  <c r="W9" i="2"/>
  <c r="W10" i="2" s="1"/>
  <c r="N24" i="2"/>
  <c r="J8" i="2"/>
  <c r="J9" i="2"/>
  <c r="J10" i="2" s="1"/>
  <c r="J13" i="2" s="1"/>
  <c r="J15" i="2" s="1"/>
  <c r="J17" i="2" s="1"/>
  <c r="N8" i="2"/>
  <c r="N9" i="2"/>
  <c r="N10" i="2" s="1"/>
  <c r="N13" i="2" s="1"/>
  <c r="N15" i="2" s="1"/>
  <c r="N17" i="2" s="1"/>
  <c r="K8" i="2"/>
  <c r="K9" i="2"/>
  <c r="K10" i="2" s="1"/>
  <c r="K13" i="2" s="1"/>
  <c r="K15" i="2" s="1"/>
  <c r="K17" i="2" s="1"/>
  <c r="O8" i="2"/>
  <c r="O9" i="2" s="1"/>
  <c r="O10" i="2" s="1"/>
  <c r="P25" i="2"/>
  <c r="L8" i="2"/>
  <c r="L9" i="2"/>
  <c r="L10" i="2" s="1"/>
  <c r="L13" i="2" s="1"/>
  <c r="L15" i="2" s="1"/>
  <c r="L17" i="2" s="1"/>
  <c r="P8" i="2"/>
  <c r="P9" i="2"/>
  <c r="P10" i="2" s="1"/>
  <c r="P23" i="2"/>
  <c r="B6" i="3"/>
  <c r="B7" i="3" s="1"/>
  <c r="M8" i="2"/>
  <c r="M9" i="2" s="1"/>
  <c r="M10" i="2" s="1"/>
  <c r="M19" i="2" s="1"/>
  <c r="Q16" i="2"/>
  <c r="Q8" i="2"/>
  <c r="Q9" i="2" s="1"/>
  <c r="Q10" i="2" s="1"/>
  <c r="B9" i="3"/>
  <c r="B8" i="3"/>
  <c r="W19" i="2" l="1"/>
  <c r="W13" i="2"/>
  <c r="O13" i="2"/>
  <c r="O19" i="2"/>
  <c r="P13" i="2"/>
  <c r="P15" i="2" s="1"/>
  <c r="P17" i="2" s="1"/>
  <c r="P19" i="2"/>
  <c r="P24" i="2"/>
  <c r="M13" i="2"/>
  <c r="B38" i="1"/>
  <c r="B44" i="1"/>
  <c r="D5" i="1"/>
  <c r="D9" i="1" s="1"/>
  <c r="K33" i="2"/>
  <c r="C5" i="1" s="1"/>
  <c r="C9" i="1" s="1"/>
  <c r="L33" i="2"/>
  <c r="M33" i="2"/>
  <c r="E5" i="1" s="1"/>
  <c r="E9" i="1" s="1"/>
  <c r="N33" i="2"/>
  <c r="J33" i="2"/>
  <c r="B5" i="1" s="1"/>
  <c r="B9" i="1" s="1"/>
  <c r="B24" i="1"/>
  <c r="D25" i="3"/>
  <c r="J35" i="2"/>
  <c r="L35" i="2"/>
  <c r="M35" i="2"/>
  <c r="N35" i="2"/>
  <c r="K35" i="2"/>
  <c r="D24" i="3"/>
  <c r="D23" i="3"/>
  <c r="D22" i="3"/>
  <c r="D21" i="3"/>
  <c r="C9" i="3"/>
  <c r="B10" i="3"/>
  <c r="B5" i="3"/>
  <c r="C4" i="3"/>
  <c r="W21" i="2" l="1"/>
  <c r="W15" i="2"/>
  <c r="O21" i="2"/>
  <c r="O15" i="2"/>
  <c r="P20" i="2"/>
  <c r="P21" i="2"/>
  <c r="M21" i="2"/>
  <c r="M15" i="2"/>
  <c r="E3" i="1"/>
  <c r="K19" i="2"/>
  <c r="F5" i="1"/>
  <c r="F9" i="1" s="1"/>
  <c r="Q19" i="2"/>
  <c r="U23" i="2"/>
  <c r="B3" i="1"/>
  <c r="F3" i="1"/>
  <c r="V23" i="2"/>
  <c r="C3" i="1"/>
  <c r="W23" i="2"/>
  <c r="T23" i="2"/>
  <c r="D3" i="1"/>
  <c r="B45" i="1"/>
  <c r="B46" i="1" s="1"/>
  <c r="B32" i="1"/>
  <c r="Q23" i="2"/>
  <c r="U19" i="2"/>
  <c r="V24" i="2"/>
  <c r="O23" i="2"/>
  <c r="N23" i="2"/>
  <c r="M23" i="2"/>
  <c r="L23" i="2"/>
  <c r="K23" i="2"/>
  <c r="J23" i="2"/>
  <c r="I23" i="2"/>
  <c r="H23" i="2"/>
  <c r="G23" i="2"/>
  <c r="I5" i="2"/>
  <c r="H5" i="2"/>
  <c r="G5" i="2"/>
  <c r="F5" i="2"/>
  <c r="E5" i="2"/>
  <c r="D5" i="2"/>
  <c r="C5" i="2"/>
  <c r="G3" i="1" l="1"/>
  <c r="H3" i="1" s="1"/>
  <c r="I3" i="1" s="1"/>
  <c r="J3" i="1" s="1"/>
  <c r="K3" i="1" s="1"/>
  <c r="B47" i="1"/>
  <c r="W20" i="2"/>
  <c r="W17" i="2"/>
  <c r="O20" i="2"/>
  <c r="O17" i="2"/>
  <c r="M20" i="2"/>
  <c r="M17" i="2"/>
  <c r="O24" i="2"/>
  <c r="U24" i="2"/>
  <c r="T24" i="2"/>
  <c r="S19" i="2"/>
  <c r="S21" i="2"/>
  <c r="W24" i="2"/>
  <c r="T19" i="2"/>
  <c r="U21" i="2"/>
  <c r="V19" i="2"/>
  <c r="V21" i="2"/>
  <c r="J19" i="2"/>
  <c r="N19" i="2"/>
  <c r="L19" i="2"/>
  <c r="I10" i="2"/>
  <c r="M24" i="2" s="1"/>
  <c r="C10" i="2"/>
  <c r="C19" i="2" s="1"/>
  <c r="Q13" i="2"/>
  <c r="Q15" i="2" s="1"/>
  <c r="Q24" i="2"/>
  <c r="E10" i="2"/>
  <c r="E19" i="2" s="1"/>
  <c r="G10" i="2"/>
  <c r="G13" i="2" s="1"/>
  <c r="D10" i="2"/>
  <c r="H10" i="2"/>
  <c r="I19" i="2"/>
  <c r="F10" i="2"/>
  <c r="B48" i="1" l="1"/>
  <c r="B50" i="1" s="1"/>
  <c r="B11" i="1" s="1"/>
  <c r="G4" i="1"/>
  <c r="G5" i="1" s="1"/>
  <c r="G9" i="1" s="1"/>
  <c r="G19" i="2"/>
  <c r="H4" i="1"/>
  <c r="H5" i="1" s="1"/>
  <c r="H9" i="1" s="1"/>
  <c r="D4" i="1"/>
  <c r="L34" i="2"/>
  <c r="L36" i="2"/>
  <c r="I4" i="1"/>
  <c r="I5" i="1" s="1"/>
  <c r="I9" i="1" s="1"/>
  <c r="G24" i="2"/>
  <c r="T21" i="2"/>
  <c r="I13" i="2"/>
  <c r="I21" i="2" s="1"/>
  <c r="U20" i="2"/>
  <c r="Q20" i="2"/>
  <c r="Q21" i="2"/>
  <c r="J21" i="2"/>
  <c r="N21" i="2"/>
  <c r="L21" i="2"/>
  <c r="C13" i="2"/>
  <c r="C15" i="2" s="1"/>
  <c r="E13" i="2"/>
  <c r="E15" i="2" s="1"/>
  <c r="K24" i="2"/>
  <c r="I24" i="2"/>
  <c r="J24" i="2"/>
  <c r="L24" i="2"/>
  <c r="G15" i="2"/>
  <c r="G21" i="2"/>
  <c r="F13" i="2"/>
  <c r="F19" i="2"/>
  <c r="H24" i="2"/>
  <c r="H19" i="2"/>
  <c r="H13" i="2"/>
  <c r="D19" i="2"/>
  <c r="D13" i="2"/>
  <c r="G10" i="1" l="1"/>
  <c r="I10" i="1"/>
  <c r="H10" i="1"/>
  <c r="C21" i="2"/>
  <c r="I15" i="2"/>
  <c r="V25" i="2"/>
  <c r="E4" i="1"/>
  <c r="M36" i="2"/>
  <c r="M34" i="2"/>
  <c r="J34" i="2"/>
  <c r="B4" i="1"/>
  <c r="J36" i="2"/>
  <c r="F4" i="1"/>
  <c r="N34" i="2"/>
  <c r="N36" i="2"/>
  <c r="U25" i="2"/>
  <c r="K34" i="2"/>
  <c r="C4" i="1"/>
  <c r="T25" i="2"/>
  <c r="K36" i="2"/>
  <c r="K4" i="1"/>
  <c r="K5" i="1" s="1"/>
  <c r="K9" i="1" s="1"/>
  <c r="J4" i="1"/>
  <c r="J5" i="1" s="1"/>
  <c r="J9" i="1" s="1"/>
  <c r="J10" i="1" s="1"/>
  <c r="S20" i="2"/>
  <c r="W25" i="2"/>
  <c r="T20" i="2"/>
  <c r="V20" i="2"/>
  <c r="J20" i="2"/>
  <c r="N20" i="2"/>
  <c r="K21" i="2"/>
  <c r="K20" i="2"/>
  <c r="L20" i="2"/>
  <c r="E21" i="2"/>
  <c r="F21" i="2"/>
  <c r="F15" i="2"/>
  <c r="Q25" i="2"/>
  <c r="Q17" i="2"/>
  <c r="C20" i="2"/>
  <c r="C17" i="2"/>
  <c r="E20" i="2"/>
  <c r="E17" i="2"/>
  <c r="M25" i="2"/>
  <c r="D15" i="2"/>
  <c r="D21" i="2"/>
  <c r="K25" i="2"/>
  <c r="H15" i="2"/>
  <c r="H21" i="2"/>
  <c r="I25" i="2"/>
  <c r="I20" i="2"/>
  <c r="I17" i="2"/>
  <c r="G25" i="2"/>
  <c r="G20" i="2"/>
  <c r="G17" i="2"/>
  <c r="O25" i="2"/>
  <c r="L9" i="1" l="1"/>
  <c r="L10" i="1" s="1"/>
  <c r="K10" i="1"/>
  <c r="H25" i="2"/>
  <c r="H20" i="2"/>
  <c r="H17" i="2"/>
  <c r="F17" i="2"/>
  <c r="F20" i="2"/>
  <c r="N25" i="2"/>
  <c r="D20" i="2"/>
  <c r="D17" i="2"/>
  <c r="J25" i="2"/>
  <c r="L25" i="2"/>
  <c r="B13" i="1" l="1"/>
  <c r="B15" i="1" s="1"/>
  <c r="B16" i="1" s="1"/>
</calcChain>
</file>

<file path=xl/sharedStrings.xml><?xml version="1.0" encoding="utf-8"?>
<sst xmlns="http://schemas.openxmlformats.org/spreadsheetml/2006/main" count="160" uniqueCount="146">
  <si>
    <t>Q115</t>
  </si>
  <si>
    <t>Q215</t>
  </si>
  <si>
    <t>Q315</t>
  </si>
  <si>
    <t>Q415(FY)</t>
  </si>
  <si>
    <t>Q116</t>
  </si>
  <si>
    <t>Q216</t>
  </si>
  <si>
    <t>Q316</t>
  </si>
  <si>
    <t>Income Statement</t>
  </si>
  <si>
    <t>Revenue</t>
  </si>
  <si>
    <t>Operating Profits</t>
  </si>
  <si>
    <t>Pretax Income (EBT)</t>
  </si>
  <si>
    <t>Taxes</t>
  </si>
  <si>
    <t>Net Income</t>
  </si>
  <si>
    <t>Shares (Diluted)</t>
  </si>
  <si>
    <t>EPS (Diluted)</t>
  </si>
  <si>
    <t>Operating Margin %</t>
  </si>
  <si>
    <t>Net Margin %</t>
  </si>
  <si>
    <t>Tax Rate</t>
  </si>
  <si>
    <t>Revenue Y/Y</t>
  </si>
  <si>
    <t>Operating Profit Y/Y</t>
  </si>
  <si>
    <t>Net Income Y/Y</t>
  </si>
  <si>
    <t>Company</t>
  </si>
  <si>
    <t>Ticker</t>
  </si>
  <si>
    <t>Price</t>
  </si>
  <si>
    <t>Div</t>
  </si>
  <si>
    <t>Yield</t>
  </si>
  <si>
    <t>S/O</t>
  </si>
  <si>
    <t>MC</t>
  </si>
  <si>
    <t>Cash</t>
  </si>
  <si>
    <t>Debt</t>
  </si>
  <si>
    <t>EV</t>
  </si>
  <si>
    <t>Performance</t>
  </si>
  <si>
    <t>YTD</t>
  </si>
  <si>
    <t>52 W</t>
  </si>
  <si>
    <t>Upcoming Events</t>
  </si>
  <si>
    <t>Target Price</t>
  </si>
  <si>
    <t>Firm</t>
  </si>
  <si>
    <t>Target</t>
  </si>
  <si>
    <t>Rating</t>
  </si>
  <si>
    <t>Upside</t>
  </si>
  <si>
    <t>Date of TP</t>
  </si>
  <si>
    <t>Notes</t>
  </si>
  <si>
    <t>CFRA</t>
  </si>
  <si>
    <t>Buy</t>
  </si>
  <si>
    <t>Morgan Stanley</t>
  </si>
  <si>
    <t>Citigroup</t>
  </si>
  <si>
    <t>Top Investor</t>
  </si>
  <si>
    <t>The Vanguard Group</t>
  </si>
  <si>
    <t>Strong Buy</t>
  </si>
  <si>
    <t>BlackRock</t>
  </si>
  <si>
    <t xml:space="preserve">Fidelity Management </t>
  </si>
  <si>
    <t>Hold</t>
  </si>
  <si>
    <t>Sell</t>
  </si>
  <si>
    <t>Profile</t>
  </si>
  <si>
    <t>Q12020</t>
  </si>
  <si>
    <t>Other Expenses</t>
  </si>
  <si>
    <t>Interest expense</t>
  </si>
  <si>
    <t xml:space="preserve">Other income </t>
  </si>
  <si>
    <t>Q32019</t>
  </si>
  <si>
    <t>Q22019</t>
  </si>
  <si>
    <t>Q12019</t>
  </si>
  <si>
    <t>Q42018</t>
  </si>
  <si>
    <t>Q32018</t>
  </si>
  <si>
    <t>Q42019(FY)</t>
  </si>
  <si>
    <t>Q22018</t>
  </si>
  <si>
    <t>FY2018</t>
  </si>
  <si>
    <t>FY2019</t>
  </si>
  <si>
    <t>FY2017</t>
  </si>
  <si>
    <t>FY2016</t>
  </si>
  <si>
    <t>Cash Flow Statement</t>
  </si>
  <si>
    <t xml:space="preserve">Cash Flow by Operating </t>
  </si>
  <si>
    <t>Capital Expenditures</t>
  </si>
  <si>
    <t>Net Borrowings</t>
  </si>
  <si>
    <t>FCFE</t>
  </si>
  <si>
    <t>FY2015</t>
  </si>
  <si>
    <t>Income Statement Numbers</t>
  </si>
  <si>
    <t>Assumptions</t>
  </si>
  <si>
    <t>Revenue Growth Rate</t>
  </si>
  <si>
    <t>Personal</t>
  </si>
  <si>
    <t>Analyst Est.</t>
  </si>
  <si>
    <t>Yahoo</t>
  </si>
  <si>
    <t>Average Analyst Est.</t>
  </si>
  <si>
    <t>Net Income Margin Average</t>
  </si>
  <si>
    <t>Free Cash Flow</t>
  </si>
  <si>
    <t>FCFE (simple)</t>
  </si>
  <si>
    <t>FCFE (simple) Rate</t>
  </si>
  <si>
    <t>Free Cash Flow (ES)</t>
  </si>
  <si>
    <t>Discounted Free Cash Flow Valuation</t>
  </si>
  <si>
    <t>2015A</t>
  </si>
  <si>
    <t>2016A</t>
  </si>
  <si>
    <t>2017A</t>
  </si>
  <si>
    <t>2018A</t>
  </si>
  <si>
    <t>2019A</t>
  </si>
  <si>
    <t>2020E</t>
  </si>
  <si>
    <t>2021E</t>
  </si>
  <si>
    <t>2022E</t>
  </si>
  <si>
    <t>2023E</t>
  </si>
  <si>
    <t>2024E</t>
  </si>
  <si>
    <t>WACC</t>
  </si>
  <si>
    <t>Cost of debt</t>
  </si>
  <si>
    <t>Total debt</t>
  </si>
  <si>
    <t>Cost of Equity</t>
  </si>
  <si>
    <t>Risk Free Rate</t>
  </si>
  <si>
    <t>10 year Treasury rate</t>
  </si>
  <si>
    <t>Beta</t>
  </si>
  <si>
    <t>Expected Return</t>
  </si>
  <si>
    <t>of Market</t>
  </si>
  <si>
    <t>Weights</t>
  </si>
  <si>
    <t>Total Debt</t>
  </si>
  <si>
    <t>Market Cap</t>
  </si>
  <si>
    <t xml:space="preserve">Total Capital </t>
  </si>
  <si>
    <t>Debt Weight</t>
  </si>
  <si>
    <t>Equity Weight</t>
  </si>
  <si>
    <t>PV of Free Cash Flow</t>
  </si>
  <si>
    <t>Required Return</t>
  </si>
  <si>
    <t>Perpetual Growth Rate</t>
  </si>
  <si>
    <t>Today's Value</t>
  </si>
  <si>
    <t>Shares Out</t>
  </si>
  <si>
    <t>Terminal Value</t>
  </si>
  <si>
    <t>Intrinsic Value</t>
  </si>
  <si>
    <t>Visa Inc</t>
  </si>
  <si>
    <t>V</t>
  </si>
  <si>
    <t>Earnings 4/22/2020</t>
  </si>
  <si>
    <t>Raised from 190</t>
  </si>
  <si>
    <t>Nomura</t>
  </si>
  <si>
    <t>Cut from 233</t>
  </si>
  <si>
    <t>Overweight</t>
  </si>
  <si>
    <t>Raised from 172</t>
  </si>
  <si>
    <t>Oppenheimer</t>
  </si>
  <si>
    <t>Outperform</t>
  </si>
  <si>
    <t>Cut from 210</t>
  </si>
  <si>
    <t>T Rowe Price</t>
  </si>
  <si>
    <t>Visa is a payments technology company that connects consumers, merchants, financial institutions, buisnesses, and government entities to electronic payments</t>
  </si>
  <si>
    <t>VisaNet - propretary network</t>
  </si>
  <si>
    <t>How does Visa make money - Net revenues consist of the following:</t>
  </si>
  <si>
    <t>Data Processng  (35%) - Earned for authorization, clearing, settlement, network access and other maintenenace support services that facilitate transaction and information processing among clients</t>
  </si>
  <si>
    <t>Other (4%) - value added services, license fees for use of Visa brand</t>
  </si>
  <si>
    <t>Service Revenues (34%) - Earned for services provided in support of client usage of Visa products. Reflect payments by customers (merchants) for their participation in card programs carrying Visa brand</t>
  </si>
  <si>
    <t>International transactions (27%) - Earned for cross-border transaction processing and currency conversion activities</t>
  </si>
  <si>
    <t>Personnel</t>
  </si>
  <si>
    <t>Marketing</t>
  </si>
  <si>
    <t>Network and processing</t>
  </si>
  <si>
    <t>Professional fees</t>
  </si>
  <si>
    <t>Total operating exp</t>
  </si>
  <si>
    <t>Master Card</t>
  </si>
  <si>
    <t>Margin of Safety (Price)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</si>
</sst>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yy;@"/>
    <numFmt numFmtId="165" formatCode="0.0%"/>
    <numFmt numFmtId="166" formatCode="_(* #,##0_);_(* \(#,##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9" fontId="3" fillId="0" borderId="0" xfId="0" applyNumberFormat="1" applyFont="1"/>
    <xf numFmtId="2" fontId="3" fillId="0" borderId="0" xfId="0" applyNumberFormat="1" applyFont="1"/>
    <xf numFmtId="10" fontId="0" fillId="0" borderId="0" xfId="2" applyNumberFormat="1" applyFont="1"/>
    <xf numFmtId="14" fontId="0" fillId="0" borderId="0" xfId="0" applyNumberFormat="1"/>
    <xf numFmtId="43" fontId="0" fillId="0" borderId="0" xfId="0" applyNumberFormat="1"/>
    <xf numFmtId="0" fontId="2" fillId="0" borderId="0" xfId="0" applyFont="1"/>
    <xf numFmtId="14" fontId="0" fillId="0" borderId="0" xfId="2" applyNumberFormat="1" applyFont="1"/>
    <xf numFmtId="10" fontId="0" fillId="0" borderId="0" xfId="0" applyNumberFormat="1"/>
    <xf numFmtId="165" fontId="0" fillId="0" borderId="0" xfId="2" applyNumberFormat="1" applyFont="1"/>
    <xf numFmtId="166" fontId="0" fillId="0" borderId="0" xfId="1" applyNumberFormat="1" applyFont="1"/>
    <xf numFmtId="0" fontId="0" fillId="0" borderId="0" xfId="0" applyAlignment="1"/>
    <xf numFmtId="37" fontId="3" fillId="0" borderId="0" xfId="0" applyNumberFormat="1" applyFont="1"/>
    <xf numFmtId="9" fontId="3" fillId="0" borderId="0" xfId="2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3" fontId="0" fillId="0" borderId="0" xfId="0" applyNumberFormat="1"/>
    <xf numFmtId="9" fontId="0" fillId="0" borderId="0" xfId="2" applyFont="1"/>
    <xf numFmtId="9" fontId="4" fillId="0" borderId="0" xfId="2" applyNumberFormat="1" applyFont="1"/>
    <xf numFmtId="9" fontId="3" fillId="0" borderId="0" xfId="2" applyNumberFormat="1" applyFont="1"/>
    <xf numFmtId="9" fontId="0" fillId="0" borderId="0" xfId="0" applyNumberFormat="1"/>
    <xf numFmtId="2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0" xfId="0" applyFont="1" applyBorder="1"/>
    <xf numFmtId="43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596900</xdr:colOff>
      <xdr:row>33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72351A-2B26-5A41-8BEC-46BC8C79F36E}"/>
            </a:ext>
          </a:extLst>
        </xdr:cNvPr>
        <xdr:cNvSpPr txBox="1"/>
      </xdr:nvSpPr>
      <xdr:spPr>
        <a:xfrm>
          <a:off x="596900" y="683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073A-556F-4F48-B5B8-97400B5D2881}">
  <dimension ref="A1:K40"/>
  <sheetViews>
    <sheetView workbookViewId="0">
      <selection activeCell="G21" sqref="G21"/>
    </sheetView>
  </sheetViews>
  <sheetFormatPr baseColWidth="10" defaultRowHeight="16" x14ac:dyDescent="0.2"/>
  <cols>
    <col min="1" max="1" width="20.83203125" customWidth="1"/>
    <col min="2" max="2" width="12" customWidth="1"/>
    <col min="3" max="3" width="11.6640625" customWidth="1"/>
    <col min="5" max="5" width="13.1640625" customWidth="1"/>
    <col min="9" max="9" width="10.83203125" customWidth="1"/>
  </cols>
  <sheetData>
    <row r="1" spans="1:3" x14ac:dyDescent="0.2">
      <c r="A1" t="s">
        <v>21</v>
      </c>
      <c r="B1" t="s">
        <v>120</v>
      </c>
    </row>
    <row r="2" spans="1:3" x14ac:dyDescent="0.2">
      <c r="A2" t="s">
        <v>22</v>
      </c>
      <c r="B2" t="s">
        <v>121</v>
      </c>
    </row>
    <row r="3" spans="1:3" x14ac:dyDescent="0.2">
      <c r="A3" t="s">
        <v>23</v>
      </c>
      <c r="B3">
        <v>173.68</v>
      </c>
    </row>
    <row r="4" spans="1:3" x14ac:dyDescent="0.2">
      <c r="A4" t="s">
        <v>24</v>
      </c>
      <c r="B4">
        <v>1.2</v>
      </c>
      <c r="C4">
        <f>B4/4</f>
        <v>0.3</v>
      </c>
    </row>
    <row r="5" spans="1:3" x14ac:dyDescent="0.2">
      <c r="A5" t="s">
        <v>25</v>
      </c>
      <c r="B5" s="9">
        <f>B4/B3</f>
        <v>6.9092584062643934E-3</v>
      </c>
    </row>
    <row r="6" spans="1:3" x14ac:dyDescent="0.2">
      <c r="A6" t="s">
        <v>26</v>
      </c>
      <c r="B6" s="32">
        <f>1706.024</f>
        <v>1706.0239999999999</v>
      </c>
      <c r="C6" s="10">
        <v>43830</v>
      </c>
    </row>
    <row r="7" spans="1:3" x14ac:dyDescent="0.2">
      <c r="A7" t="s">
        <v>27</v>
      </c>
      <c r="B7" s="32">
        <f>B6*B3</f>
        <v>296302.24832000001</v>
      </c>
    </row>
    <row r="8" spans="1:3" x14ac:dyDescent="0.2">
      <c r="A8" t="s">
        <v>28</v>
      </c>
      <c r="B8" s="32">
        <f>8768+3902+1719</f>
        <v>14389</v>
      </c>
    </row>
    <row r="9" spans="1:3" x14ac:dyDescent="0.2">
      <c r="A9" t="s">
        <v>29</v>
      </c>
      <c r="B9" s="32">
        <f>3000+13688</f>
        <v>16688</v>
      </c>
      <c r="C9" s="11">
        <f>B8-B9</f>
        <v>-2299</v>
      </c>
    </row>
    <row r="10" spans="1:3" x14ac:dyDescent="0.2">
      <c r="A10" t="s">
        <v>30</v>
      </c>
      <c r="B10" s="32">
        <f>B7-B8+B9</f>
        <v>298601.24832000001</v>
      </c>
    </row>
    <row r="12" spans="1:3" x14ac:dyDescent="0.2">
      <c r="A12" s="12" t="s">
        <v>31</v>
      </c>
    </row>
    <row r="13" spans="1:3" x14ac:dyDescent="0.2">
      <c r="A13" t="s">
        <v>32</v>
      </c>
      <c r="B13" s="9">
        <v>-7.5999999999999998E-2</v>
      </c>
    </row>
    <row r="14" spans="1:3" x14ac:dyDescent="0.2">
      <c r="A14" t="s">
        <v>33</v>
      </c>
      <c r="B14" s="9">
        <v>8.7999999999999995E-2</v>
      </c>
    </row>
    <row r="15" spans="1:3" x14ac:dyDescent="0.2">
      <c r="B15" s="9"/>
    </row>
    <row r="16" spans="1:3" x14ac:dyDescent="0.2">
      <c r="A16" t="s">
        <v>34</v>
      </c>
      <c r="B16" s="9"/>
    </row>
    <row r="17" spans="1:6" x14ac:dyDescent="0.2">
      <c r="A17" t="s">
        <v>122</v>
      </c>
      <c r="B17" s="9"/>
    </row>
    <row r="19" spans="1:6" x14ac:dyDescent="0.2">
      <c r="A19" s="12" t="s">
        <v>35</v>
      </c>
    </row>
    <row r="20" spans="1:6" x14ac:dyDescent="0.2">
      <c r="A20" t="s">
        <v>36</v>
      </c>
      <c r="B20" t="s">
        <v>37</v>
      </c>
      <c r="C20" t="s">
        <v>38</v>
      </c>
      <c r="D20" t="s">
        <v>39</v>
      </c>
      <c r="E20" t="s">
        <v>40</v>
      </c>
      <c r="F20" t="s">
        <v>41</v>
      </c>
    </row>
    <row r="21" spans="1:6" x14ac:dyDescent="0.2">
      <c r="A21" t="s">
        <v>42</v>
      </c>
      <c r="B21">
        <v>225</v>
      </c>
      <c r="C21" t="s">
        <v>43</v>
      </c>
      <c r="D21" s="9">
        <f>(B21-B3)/B3</f>
        <v>0.29548595117457388</v>
      </c>
      <c r="E21" s="13">
        <v>43932</v>
      </c>
    </row>
    <row r="22" spans="1:6" x14ac:dyDescent="0.2">
      <c r="A22" t="s">
        <v>44</v>
      </c>
      <c r="B22">
        <v>183</v>
      </c>
      <c r="C22" t="s">
        <v>126</v>
      </c>
      <c r="D22" s="9">
        <f>(B22-B3)/B3</f>
        <v>5.3661906955320089E-2</v>
      </c>
      <c r="E22" s="10">
        <v>43929</v>
      </c>
      <c r="F22" t="s">
        <v>127</v>
      </c>
    </row>
    <row r="23" spans="1:6" x14ac:dyDescent="0.2">
      <c r="A23" t="s">
        <v>124</v>
      </c>
      <c r="B23">
        <v>214</v>
      </c>
      <c r="C23" t="s">
        <v>43</v>
      </c>
      <c r="D23" s="9">
        <f>(B23-B3)/B3</f>
        <v>0.2321510824504836</v>
      </c>
      <c r="E23" s="10">
        <v>43930</v>
      </c>
      <c r="F23" t="s">
        <v>125</v>
      </c>
    </row>
    <row r="24" spans="1:6" x14ac:dyDescent="0.2">
      <c r="A24" t="s">
        <v>45</v>
      </c>
      <c r="B24">
        <v>194</v>
      </c>
      <c r="C24" t="s">
        <v>43</v>
      </c>
      <c r="D24" s="9">
        <f>(B24-B3)/B3</f>
        <v>0.11699677567941037</v>
      </c>
      <c r="E24" s="10">
        <v>43930</v>
      </c>
      <c r="F24" t="s">
        <v>123</v>
      </c>
    </row>
    <row r="25" spans="1:6" x14ac:dyDescent="0.2">
      <c r="A25" t="s">
        <v>128</v>
      </c>
      <c r="B25">
        <v>175</v>
      </c>
      <c r="C25" t="s">
        <v>129</v>
      </c>
      <c r="D25" s="9">
        <f>(B25-B3)/B3</f>
        <v>7.6001842468907945E-3</v>
      </c>
      <c r="E25" s="10">
        <v>43922</v>
      </c>
      <c r="F25" t="s">
        <v>130</v>
      </c>
    </row>
    <row r="27" spans="1:6" x14ac:dyDescent="0.2">
      <c r="A27" s="12" t="s">
        <v>46</v>
      </c>
      <c r="D27" s="14"/>
    </row>
    <row r="28" spans="1:6" x14ac:dyDescent="0.2">
      <c r="A28" t="s">
        <v>47</v>
      </c>
      <c r="B28" s="15">
        <v>8.5999999999999993E-2</v>
      </c>
      <c r="D28" t="s">
        <v>48</v>
      </c>
      <c r="E28" s="16">
        <v>14</v>
      </c>
    </row>
    <row r="29" spans="1:6" x14ac:dyDescent="0.2">
      <c r="A29" t="s">
        <v>50</v>
      </c>
      <c r="B29" s="15">
        <v>5.0099999999999999E-2</v>
      </c>
      <c r="D29" t="s">
        <v>43</v>
      </c>
      <c r="E29" s="16">
        <v>20</v>
      </c>
    </row>
    <row r="30" spans="1:6" x14ac:dyDescent="0.2">
      <c r="A30" t="s">
        <v>49</v>
      </c>
      <c r="B30" s="15">
        <v>0.05</v>
      </c>
      <c r="D30" t="s">
        <v>51</v>
      </c>
      <c r="E30" s="16">
        <v>2</v>
      </c>
    </row>
    <row r="31" spans="1:6" x14ac:dyDescent="0.2">
      <c r="A31" t="s">
        <v>131</v>
      </c>
      <c r="B31" s="15">
        <v>4.9100000000000005E-2</v>
      </c>
      <c r="D31" t="s">
        <v>52</v>
      </c>
      <c r="E31" s="16">
        <v>0</v>
      </c>
    </row>
    <row r="32" spans="1:6" x14ac:dyDescent="0.2">
      <c r="B32" s="15"/>
      <c r="E32" s="16"/>
    </row>
    <row r="33" spans="1:11" x14ac:dyDescent="0.2">
      <c r="A33" s="12" t="s">
        <v>53</v>
      </c>
    </row>
    <row r="34" spans="1:11" x14ac:dyDescent="0.2">
      <c r="A34" s="17" t="s">
        <v>132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2">
      <c r="A35" s="17" t="s">
        <v>133</v>
      </c>
    </row>
    <row r="36" spans="1:11" x14ac:dyDescent="0.2">
      <c r="A36" s="17" t="s">
        <v>134</v>
      </c>
    </row>
    <row r="37" spans="1:11" x14ac:dyDescent="0.2">
      <c r="A37" s="17" t="s">
        <v>137</v>
      </c>
    </row>
    <row r="38" spans="1:11" x14ac:dyDescent="0.2">
      <c r="A38" s="17" t="s">
        <v>135</v>
      </c>
    </row>
    <row r="39" spans="1:11" x14ac:dyDescent="0.2">
      <c r="A39" s="17" t="s">
        <v>138</v>
      </c>
    </row>
    <row r="40" spans="1:11" x14ac:dyDescent="0.2">
      <c r="A40" s="17" t="s">
        <v>136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88C5-EF3C-F14E-9A37-FAED6B535DD6}">
  <dimension ref="A1:AB36"/>
  <sheetViews>
    <sheetView topLeftCell="A7" workbookViewId="0">
      <selection activeCell="U20" sqref="U20"/>
    </sheetView>
  </sheetViews>
  <sheetFormatPr baseColWidth="10" defaultRowHeight="16" x14ac:dyDescent="0.2"/>
  <cols>
    <col min="1" max="1" width="10.83203125" style="1"/>
    <col min="2" max="2" width="24.1640625" style="1" customWidth="1"/>
    <col min="3" max="9" width="10.83203125" style="1" hidden="1" customWidth="1"/>
    <col min="10" max="12" width="10.83203125" style="1" customWidth="1"/>
    <col min="13" max="17" width="13.33203125" style="1" customWidth="1"/>
    <col min="18" max="18" width="4.33203125" style="1" customWidth="1"/>
    <col min="19" max="23" width="13.33203125" style="1" customWidth="1"/>
    <col min="24" max="16384" width="10.83203125" style="1"/>
  </cols>
  <sheetData>
    <row r="1" spans="1:28" x14ac:dyDescent="0.2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64</v>
      </c>
      <c r="K1" s="2" t="s">
        <v>62</v>
      </c>
      <c r="L1" s="2" t="s">
        <v>61</v>
      </c>
      <c r="M1" s="2" t="s">
        <v>60</v>
      </c>
      <c r="N1" s="2" t="s">
        <v>59</v>
      </c>
      <c r="O1" s="2" t="s">
        <v>58</v>
      </c>
      <c r="P1" s="2" t="s">
        <v>63</v>
      </c>
      <c r="Q1" s="2" t="s">
        <v>54</v>
      </c>
    </row>
    <row r="2" spans="1:28" x14ac:dyDescent="0.2">
      <c r="B2" s="1" t="s">
        <v>7</v>
      </c>
      <c r="C2" s="3">
        <v>42000</v>
      </c>
      <c r="D2" s="3">
        <v>42091</v>
      </c>
      <c r="E2" s="3">
        <v>42182</v>
      </c>
      <c r="F2" s="3">
        <v>42273</v>
      </c>
      <c r="G2" s="3">
        <v>42364</v>
      </c>
      <c r="H2" s="3">
        <v>42455</v>
      </c>
      <c r="I2" s="3">
        <v>42546</v>
      </c>
      <c r="J2" s="3">
        <v>43184</v>
      </c>
      <c r="K2" s="3">
        <v>43281</v>
      </c>
      <c r="L2" s="3">
        <v>43373</v>
      </c>
      <c r="M2" s="3">
        <v>43464</v>
      </c>
      <c r="N2" s="3">
        <v>43555</v>
      </c>
      <c r="O2" s="3">
        <v>43646</v>
      </c>
      <c r="P2" s="3">
        <v>43738</v>
      </c>
      <c r="Q2" s="3">
        <v>43830</v>
      </c>
      <c r="S2" s="1" t="s">
        <v>74</v>
      </c>
      <c r="T2" s="1" t="s">
        <v>68</v>
      </c>
      <c r="U2" s="1" t="s">
        <v>67</v>
      </c>
      <c r="V2" s="1" t="s">
        <v>65</v>
      </c>
      <c r="W2" s="1" t="s">
        <v>66</v>
      </c>
    </row>
    <row r="3" spans="1:28" x14ac:dyDescent="0.2">
      <c r="B3" s="4" t="s">
        <v>8</v>
      </c>
      <c r="C3" s="5">
        <v>74599</v>
      </c>
      <c r="D3" s="5">
        <v>58010</v>
      </c>
      <c r="E3" s="5">
        <v>49605</v>
      </c>
      <c r="F3" s="5">
        <v>51501</v>
      </c>
      <c r="G3" s="5">
        <v>75872</v>
      </c>
      <c r="H3" s="5">
        <v>50557</v>
      </c>
      <c r="I3" s="5">
        <v>42358</v>
      </c>
      <c r="J3" s="5">
        <v>5073</v>
      </c>
      <c r="K3" s="5">
        <v>5240</v>
      </c>
      <c r="L3" s="5">
        <v>5434</v>
      </c>
      <c r="M3" s="5">
        <v>5506</v>
      </c>
      <c r="N3" s="5">
        <v>5494</v>
      </c>
      <c r="O3" s="5">
        <v>5840</v>
      </c>
      <c r="P3" s="5">
        <v>6137</v>
      </c>
      <c r="Q3" s="5">
        <v>6054</v>
      </c>
      <c r="R3" s="5"/>
      <c r="S3" s="5">
        <v>13880</v>
      </c>
      <c r="T3" s="5">
        <v>15082</v>
      </c>
      <c r="U3" s="5">
        <v>18358</v>
      </c>
      <c r="V3" s="5">
        <v>20609</v>
      </c>
      <c r="W3" s="5">
        <v>22977</v>
      </c>
      <c r="X3" s="5"/>
      <c r="Y3" s="5"/>
      <c r="Z3" s="5"/>
      <c r="AA3" s="5"/>
      <c r="AB3" s="5"/>
    </row>
    <row r="4" spans="1:28" x14ac:dyDescent="0.2">
      <c r="B4" s="1" t="s">
        <v>139</v>
      </c>
      <c r="C4" s="6">
        <v>44858</v>
      </c>
      <c r="D4" s="6">
        <v>34354</v>
      </c>
      <c r="E4" s="6">
        <v>29924</v>
      </c>
      <c r="F4" s="6">
        <v>30953</v>
      </c>
      <c r="G4" s="6">
        <v>45449</v>
      </c>
      <c r="H4" s="6">
        <v>30636</v>
      </c>
      <c r="I4" s="6">
        <v>26252</v>
      </c>
      <c r="J4" s="6">
        <v>824</v>
      </c>
      <c r="K4" s="6">
        <v>852</v>
      </c>
      <c r="L4" s="6">
        <v>815</v>
      </c>
      <c r="M4" s="6">
        <v>807</v>
      </c>
      <c r="N4" s="6">
        <v>894</v>
      </c>
      <c r="O4" s="6">
        <v>872</v>
      </c>
      <c r="P4" s="6">
        <v>871</v>
      </c>
      <c r="Q4" s="6">
        <v>982</v>
      </c>
      <c r="R4" s="6"/>
      <c r="S4" s="6">
        <v>2079</v>
      </c>
      <c r="T4" s="6">
        <v>2226</v>
      </c>
      <c r="U4" s="6">
        <v>2628</v>
      </c>
      <c r="V4" s="6">
        <v>3170</v>
      </c>
      <c r="W4" s="6">
        <v>3444</v>
      </c>
      <c r="X4" s="24"/>
      <c r="Y4" s="24"/>
      <c r="Z4" s="24"/>
      <c r="AA4" s="6"/>
      <c r="AB4" s="6"/>
    </row>
    <row r="5" spans="1:28" x14ac:dyDescent="0.2">
      <c r="B5" s="1" t="s">
        <v>140</v>
      </c>
      <c r="C5" s="5">
        <f t="shared" ref="C5:I5" si="0">C3-C4</f>
        <v>29741</v>
      </c>
      <c r="D5" s="5">
        <f t="shared" si="0"/>
        <v>23656</v>
      </c>
      <c r="E5" s="5">
        <f t="shared" si="0"/>
        <v>19681</v>
      </c>
      <c r="F5" s="5">
        <f t="shared" si="0"/>
        <v>20548</v>
      </c>
      <c r="G5" s="5">
        <f t="shared" si="0"/>
        <v>30423</v>
      </c>
      <c r="H5" s="5">
        <f t="shared" si="0"/>
        <v>19921</v>
      </c>
      <c r="I5" s="5">
        <f t="shared" si="0"/>
        <v>16106</v>
      </c>
      <c r="J5" s="6">
        <v>261</v>
      </c>
      <c r="K5" s="6">
        <v>240</v>
      </c>
      <c r="L5" s="6">
        <v>264</v>
      </c>
      <c r="M5" s="6">
        <v>276</v>
      </c>
      <c r="N5" s="6">
        <v>241</v>
      </c>
      <c r="O5" s="6">
        <v>282</v>
      </c>
      <c r="P5" s="6">
        <v>306</v>
      </c>
      <c r="Q5" s="6">
        <v>274</v>
      </c>
      <c r="R5" s="6"/>
      <c r="S5" s="6">
        <v>872</v>
      </c>
      <c r="T5" s="6">
        <v>869</v>
      </c>
      <c r="U5" s="6">
        <v>922</v>
      </c>
      <c r="V5" s="6">
        <v>988</v>
      </c>
      <c r="W5" s="6">
        <v>1105</v>
      </c>
      <c r="X5" s="6"/>
      <c r="Y5" s="6"/>
      <c r="Z5" s="6"/>
      <c r="AA5" s="6"/>
      <c r="AB5" s="6"/>
    </row>
    <row r="6" spans="1:28" x14ac:dyDescent="0.2">
      <c r="B6" s="1" t="s">
        <v>141</v>
      </c>
      <c r="C6" s="6">
        <v>1895</v>
      </c>
      <c r="D6" s="6">
        <v>1918</v>
      </c>
      <c r="E6" s="6">
        <v>2034</v>
      </c>
      <c r="F6" s="6">
        <v>2220</v>
      </c>
      <c r="G6" s="6">
        <v>2404</v>
      </c>
      <c r="H6" s="6">
        <v>2511</v>
      </c>
      <c r="I6" s="6">
        <v>2560</v>
      </c>
      <c r="J6" s="6">
        <v>169</v>
      </c>
      <c r="K6" s="6">
        <v>169</v>
      </c>
      <c r="L6" s="6">
        <v>188</v>
      </c>
      <c r="M6" s="6">
        <v>173</v>
      </c>
      <c r="N6" s="6">
        <v>171</v>
      </c>
      <c r="O6" s="6">
        <v>184</v>
      </c>
      <c r="P6" s="6">
        <v>193</v>
      </c>
      <c r="Q6" s="6">
        <v>181</v>
      </c>
      <c r="R6" s="6"/>
      <c r="S6" s="6">
        <v>474</v>
      </c>
      <c r="T6" s="6">
        <v>538</v>
      </c>
      <c r="U6" s="6">
        <v>620</v>
      </c>
      <c r="V6" s="6">
        <v>686</v>
      </c>
      <c r="W6" s="6">
        <v>721</v>
      </c>
      <c r="X6" s="6"/>
      <c r="Y6" s="6"/>
      <c r="Z6" s="6"/>
      <c r="AA6" s="6"/>
      <c r="AB6" s="6"/>
    </row>
    <row r="7" spans="1:28" x14ac:dyDescent="0.2">
      <c r="B7" s="1" t="s">
        <v>142</v>
      </c>
      <c r="C7" s="6">
        <v>3600</v>
      </c>
      <c r="D7" s="6">
        <v>3460</v>
      </c>
      <c r="E7" s="6">
        <v>3564</v>
      </c>
      <c r="F7" s="6">
        <v>3705</v>
      </c>
      <c r="G7" s="6">
        <v>3848</v>
      </c>
      <c r="H7" s="6">
        <v>3423</v>
      </c>
      <c r="I7" s="6">
        <v>3441</v>
      </c>
      <c r="J7" s="6">
        <v>108</v>
      </c>
      <c r="K7" s="6">
        <v>112</v>
      </c>
      <c r="L7" s="6">
        <v>134</v>
      </c>
      <c r="M7" s="6">
        <v>91</v>
      </c>
      <c r="N7" s="6">
        <v>101</v>
      </c>
      <c r="O7" s="6">
        <v>113</v>
      </c>
      <c r="P7" s="6">
        <v>149</v>
      </c>
      <c r="Q7" s="6">
        <v>106</v>
      </c>
      <c r="R7" s="6"/>
      <c r="S7" s="6">
        <v>336</v>
      </c>
      <c r="T7" s="6">
        <v>389</v>
      </c>
      <c r="U7" s="6">
        <v>409</v>
      </c>
      <c r="V7" s="6">
        <v>446</v>
      </c>
      <c r="W7" s="6">
        <v>454</v>
      </c>
      <c r="X7" s="6"/>
      <c r="Y7" s="6"/>
      <c r="Z7" s="6"/>
      <c r="AA7" s="6"/>
      <c r="AB7" s="6"/>
    </row>
    <row r="8" spans="1:28" x14ac:dyDescent="0.2">
      <c r="B8" s="1" t="s">
        <v>55</v>
      </c>
      <c r="C8" s="6"/>
      <c r="D8" s="6"/>
      <c r="E8" s="6"/>
      <c r="F8" s="6"/>
      <c r="G8" s="6"/>
      <c r="H8" s="6"/>
      <c r="I8" s="6"/>
      <c r="J8" s="6">
        <f>153+222</f>
        <v>375</v>
      </c>
      <c r="K8" s="6">
        <f>152+230+600</f>
        <v>982</v>
      </c>
      <c r="L8" s="6">
        <f>163+457+7</f>
        <v>627</v>
      </c>
      <c r="M8" s="6">
        <f>159+276+7</f>
        <v>442</v>
      </c>
      <c r="N8" s="6">
        <f>160+264+22</f>
        <v>446</v>
      </c>
      <c r="O8" s="6">
        <f>165+315+1</f>
        <v>481</v>
      </c>
      <c r="P8" s="6">
        <f>172+341+370</f>
        <v>883</v>
      </c>
      <c r="Q8" s="6">
        <f>182+313</f>
        <v>495</v>
      </c>
      <c r="R8" s="6"/>
      <c r="S8" s="6">
        <f>494+547+14</f>
        <v>1055</v>
      </c>
      <c r="T8" s="6">
        <f>502+796+2+1877</f>
        <v>3177</v>
      </c>
      <c r="U8" s="6">
        <f>556+1060+19</f>
        <v>1635</v>
      </c>
      <c r="V8" s="6">
        <f>613+1145+607</f>
        <v>2365</v>
      </c>
      <c r="W8" s="6">
        <f>656+1196+400</f>
        <v>2252</v>
      </c>
      <c r="X8" s="6"/>
      <c r="Y8" s="6"/>
      <c r="Z8" s="6"/>
      <c r="AA8" s="6"/>
      <c r="AB8" s="6"/>
    </row>
    <row r="9" spans="1:28" x14ac:dyDescent="0.2">
      <c r="B9" s="1" t="s">
        <v>143</v>
      </c>
      <c r="C9" s="6"/>
      <c r="D9" s="6"/>
      <c r="E9" s="6"/>
      <c r="F9" s="6"/>
      <c r="G9" s="6"/>
      <c r="H9" s="6"/>
      <c r="I9" s="6"/>
      <c r="J9" s="6">
        <f t="shared" ref="J9:Q9" si="1">SUM(J4:J8)</f>
        <v>1737</v>
      </c>
      <c r="K9" s="6">
        <f t="shared" si="1"/>
        <v>2355</v>
      </c>
      <c r="L9" s="6">
        <f t="shared" si="1"/>
        <v>2028</v>
      </c>
      <c r="M9" s="6">
        <f t="shared" si="1"/>
        <v>1789</v>
      </c>
      <c r="N9" s="6">
        <f t="shared" si="1"/>
        <v>1853</v>
      </c>
      <c r="O9" s="6">
        <f t="shared" si="1"/>
        <v>1932</v>
      </c>
      <c r="P9" s="6">
        <f t="shared" si="1"/>
        <v>2402</v>
      </c>
      <c r="Q9" s="6">
        <f t="shared" si="1"/>
        <v>2038</v>
      </c>
      <c r="R9" s="6"/>
      <c r="S9" s="6">
        <f>SUM(S4:S8)</f>
        <v>4816</v>
      </c>
      <c r="T9" s="6">
        <f>SUM(T4:T8)</f>
        <v>7199</v>
      </c>
      <c r="U9" s="6">
        <f>SUM(U4:U8)</f>
        <v>6214</v>
      </c>
      <c r="V9" s="6">
        <f>SUM(V4:V8)</f>
        <v>7655</v>
      </c>
      <c r="W9" s="6">
        <f>SUM(W4:W8)</f>
        <v>7976</v>
      </c>
      <c r="X9" s="6"/>
      <c r="Y9" s="6"/>
      <c r="Z9" s="6"/>
      <c r="AA9" s="6"/>
      <c r="AB9" s="6"/>
    </row>
    <row r="10" spans="1:28" x14ac:dyDescent="0.2">
      <c r="B10" s="4" t="s">
        <v>9</v>
      </c>
      <c r="C10" s="5" t="e">
        <f>C5-#REF!</f>
        <v>#REF!</v>
      </c>
      <c r="D10" s="5" t="e">
        <f>D5-#REF!</f>
        <v>#REF!</v>
      </c>
      <c r="E10" s="5" t="e">
        <f>E5-#REF!</f>
        <v>#REF!</v>
      </c>
      <c r="F10" s="5" t="e">
        <f>F5-#REF!</f>
        <v>#REF!</v>
      </c>
      <c r="G10" s="5" t="e">
        <f>G5-#REF!</f>
        <v>#REF!</v>
      </c>
      <c r="H10" s="5" t="e">
        <f>H5-#REF!</f>
        <v>#REF!</v>
      </c>
      <c r="I10" s="5" t="e">
        <f>I5-#REF!</f>
        <v>#REF!</v>
      </c>
      <c r="J10" s="5">
        <f t="shared" ref="J10:Q10" si="2">J3-J9</f>
        <v>3336</v>
      </c>
      <c r="K10" s="5">
        <f t="shared" si="2"/>
        <v>2885</v>
      </c>
      <c r="L10" s="5">
        <f t="shared" si="2"/>
        <v>3406</v>
      </c>
      <c r="M10" s="5">
        <f t="shared" si="2"/>
        <v>3717</v>
      </c>
      <c r="N10" s="5">
        <f t="shared" si="2"/>
        <v>3641</v>
      </c>
      <c r="O10" s="5">
        <f t="shared" si="2"/>
        <v>3908</v>
      </c>
      <c r="P10" s="5">
        <f t="shared" si="2"/>
        <v>3735</v>
      </c>
      <c r="Q10" s="5">
        <f t="shared" si="2"/>
        <v>4016</v>
      </c>
      <c r="R10" s="5"/>
      <c r="S10" s="5">
        <f>S3-S9</f>
        <v>9064</v>
      </c>
      <c r="T10" s="5">
        <f>T3-T9</f>
        <v>7883</v>
      </c>
      <c r="U10" s="5">
        <f>U3-U9</f>
        <v>12144</v>
      </c>
      <c r="V10" s="5">
        <f>V3-V9</f>
        <v>12954</v>
      </c>
      <c r="W10" s="5">
        <f>W3-W9</f>
        <v>15001</v>
      </c>
      <c r="X10" s="5"/>
      <c r="Y10" s="5"/>
      <c r="Z10" s="5"/>
      <c r="AA10" s="5"/>
      <c r="AB10" s="5"/>
    </row>
    <row r="11" spans="1:28" x14ac:dyDescent="0.2">
      <c r="B11" s="1" t="s">
        <v>56</v>
      </c>
      <c r="C11" s="5"/>
      <c r="D11" s="5"/>
      <c r="E11" s="5"/>
      <c r="F11" s="5"/>
      <c r="G11" s="5"/>
      <c r="H11" s="5"/>
      <c r="I11" s="5"/>
      <c r="J11" s="18">
        <v>-153</v>
      </c>
      <c r="K11" s="18">
        <v>-155</v>
      </c>
      <c r="L11" s="18">
        <v>-150</v>
      </c>
      <c r="M11" s="18">
        <v>-145</v>
      </c>
      <c r="N11" s="18">
        <v>-140</v>
      </c>
      <c r="O11" s="18">
        <v>-128</v>
      </c>
      <c r="P11" s="18">
        <v>-120</v>
      </c>
      <c r="Q11" s="18">
        <v>-111</v>
      </c>
      <c r="R11" s="5"/>
      <c r="S11" s="18">
        <v>-3</v>
      </c>
      <c r="T11" s="18">
        <v>-427</v>
      </c>
      <c r="U11" s="18">
        <v>-563</v>
      </c>
      <c r="V11" s="18">
        <v>-612</v>
      </c>
      <c r="W11" s="18">
        <v>-533</v>
      </c>
      <c r="X11" s="5"/>
      <c r="Y11" s="5"/>
      <c r="Z11" s="5"/>
      <c r="AA11" s="5"/>
      <c r="AB11" s="5"/>
    </row>
    <row r="12" spans="1:28" x14ac:dyDescent="0.2">
      <c r="B12" s="1" t="s">
        <v>57</v>
      </c>
      <c r="C12" s="6">
        <v>170</v>
      </c>
      <c r="D12" s="6">
        <v>286</v>
      </c>
      <c r="E12" s="6">
        <v>390</v>
      </c>
      <c r="F12" s="6">
        <v>439</v>
      </c>
      <c r="G12" s="6">
        <v>402</v>
      </c>
      <c r="H12" s="6">
        <v>155</v>
      </c>
      <c r="I12" s="6">
        <v>364</v>
      </c>
      <c r="J12" s="6">
        <v>34</v>
      </c>
      <c r="K12" s="6">
        <v>82</v>
      </c>
      <c r="L12" s="6">
        <v>282</v>
      </c>
      <c r="M12" s="6">
        <v>58</v>
      </c>
      <c r="N12" s="6">
        <v>176</v>
      </c>
      <c r="O12" s="6">
        <v>86</v>
      </c>
      <c r="P12" s="6">
        <v>96</v>
      </c>
      <c r="Q12" s="6">
        <v>69</v>
      </c>
      <c r="R12" s="6"/>
      <c r="S12" s="6">
        <v>-66</v>
      </c>
      <c r="T12" s="6">
        <v>556</v>
      </c>
      <c r="U12" s="6">
        <v>113</v>
      </c>
      <c r="V12" s="6">
        <v>464</v>
      </c>
      <c r="W12" s="6">
        <v>416</v>
      </c>
      <c r="X12" s="6"/>
      <c r="Y12" s="6"/>
      <c r="Z12" s="6"/>
      <c r="AA12" s="6"/>
      <c r="AB12" s="6"/>
    </row>
    <row r="13" spans="1:28" x14ac:dyDescent="0.2">
      <c r="A13" s="4"/>
      <c r="B13" s="4" t="s">
        <v>10</v>
      </c>
      <c r="C13" s="5" t="e">
        <f t="shared" ref="C13:Q13" si="3">SUM(C10:C12)</f>
        <v>#REF!</v>
      </c>
      <c r="D13" s="5" t="e">
        <f t="shared" si="3"/>
        <v>#REF!</v>
      </c>
      <c r="E13" s="5" t="e">
        <f t="shared" si="3"/>
        <v>#REF!</v>
      </c>
      <c r="F13" s="5" t="e">
        <f t="shared" si="3"/>
        <v>#REF!</v>
      </c>
      <c r="G13" s="5" t="e">
        <f t="shared" si="3"/>
        <v>#REF!</v>
      </c>
      <c r="H13" s="5" t="e">
        <f t="shared" si="3"/>
        <v>#REF!</v>
      </c>
      <c r="I13" s="5" t="e">
        <f t="shared" si="3"/>
        <v>#REF!</v>
      </c>
      <c r="J13" s="5">
        <f t="shared" si="3"/>
        <v>3217</v>
      </c>
      <c r="K13" s="5">
        <f t="shared" si="3"/>
        <v>2812</v>
      </c>
      <c r="L13" s="5">
        <f t="shared" si="3"/>
        <v>3538</v>
      </c>
      <c r="M13" s="5">
        <f t="shared" ref="M13:N13" si="4">SUM(M10:M12)</f>
        <v>3630</v>
      </c>
      <c r="N13" s="5">
        <f t="shared" si="4"/>
        <v>3677</v>
      </c>
      <c r="O13" s="5">
        <f t="shared" ref="O13:P13" si="5">SUM(O10:O12)</f>
        <v>3866</v>
      </c>
      <c r="P13" s="5">
        <f t="shared" si="5"/>
        <v>3711</v>
      </c>
      <c r="Q13" s="5">
        <f t="shared" si="3"/>
        <v>3974</v>
      </c>
      <c r="R13" s="4"/>
      <c r="S13" s="5">
        <f t="shared" ref="S13" si="6">SUM(S10:S12)</f>
        <v>8995</v>
      </c>
      <c r="T13" s="5">
        <f t="shared" ref="T13:U13" si="7">SUM(T10:T12)</f>
        <v>8012</v>
      </c>
      <c r="U13" s="5">
        <f t="shared" si="7"/>
        <v>11694</v>
      </c>
      <c r="V13" s="5">
        <f t="shared" ref="V13:W13" si="8">SUM(V10:V12)</f>
        <v>12806</v>
      </c>
      <c r="W13" s="5">
        <f t="shared" si="8"/>
        <v>14884</v>
      </c>
    </row>
    <row r="14" spans="1:28" x14ac:dyDescent="0.2">
      <c r="B14" s="1" t="s">
        <v>11</v>
      </c>
      <c r="C14" s="6">
        <v>6392</v>
      </c>
      <c r="D14" s="6">
        <v>4995</v>
      </c>
      <c r="E14" s="6">
        <v>3796</v>
      </c>
      <c r="F14" s="6">
        <v>3938</v>
      </c>
      <c r="G14" s="6">
        <v>6212</v>
      </c>
      <c r="H14" s="6">
        <v>3626</v>
      </c>
      <c r="I14" s="6">
        <v>2673</v>
      </c>
      <c r="J14" s="18">
        <v>612</v>
      </c>
      <c r="K14" s="18">
        <v>483</v>
      </c>
      <c r="L14" s="18">
        <v>693</v>
      </c>
      <c r="M14" s="18">
        <v>653</v>
      </c>
      <c r="N14" s="18">
        <v>700</v>
      </c>
      <c r="O14" s="18">
        <v>765</v>
      </c>
      <c r="P14" s="18">
        <v>686</v>
      </c>
      <c r="Q14" s="18">
        <v>702</v>
      </c>
      <c r="R14" s="6"/>
      <c r="S14" s="18">
        <v>2667</v>
      </c>
      <c r="T14" s="18">
        <v>2021</v>
      </c>
      <c r="U14" s="18">
        <v>4995</v>
      </c>
      <c r="V14" s="18">
        <v>2505</v>
      </c>
      <c r="W14" s="18">
        <v>2804</v>
      </c>
      <c r="X14" s="6"/>
      <c r="Y14" s="6"/>
      <c r="Z14" s="6"/>
      <c r="AA14" s="6"/>
      <c r="AB14" s="6"/>
    </row>
    <row r="15" spans="1:28" x14ac:dyDescent="0.2">
      <c r="B15" s="4" t="s">
        <v>12</v>
      </c>
      <c r="C15" s="5" t="e">
        <f t="shared" ref="C15:I15" si="9">C13-C14</f>
        <v>#REF!</v>
      </c>
      <c r="D15" s="5" t="e">
        <f t="shared" si="9"/>
        <v>#REF!</v>
      </c>
      <c r="E15" s="5" t="e">
        <f t="shared" si="9"/>
        <v>#REF!</v>
      </c>
      <c r="F15" s="5" t="e">
        <f t="shared" si="9"/>
        <v>#REF!</v>
      </c>
      <c r="G15" s="5" t="e">
        <f t="shared" si="9"/>
        <v>#REF!</v>
      </c>
      <c r="H15" s="5" t="e">
        <f t="shared" si="9"/>
        <v>#REF!</v>
      </c>
      <c r="I15" s="5" t="e">
        <f t="shared" si="9"/>
        <v>#REF!</v>
      </c>
      <c r="J15" s="5">
        <f t="shared" ref="J15:Q15" si="10">J13-J14</f>
        <v>2605</v>
      </c>
      <c r="K15" s="5">
        <f t="shared" si="10"/>
        <v>2329</v>
      </c>
      <c r="L15" s="5">
        <f t="shared" si="10"/>
        <v>2845</v>
      </c>
      <c r="M15" s="5">
        <f t="shared" si="10"/>
        <v>2977</v>
      </c>
      <c r="N15" s="5">
        <f t="shared" si="10"/>
        <v>2977</v>
      </c>
      <c r="O15" s="5">
        <f t="shared" si="10"/>
        <v>3101</v>
      </c>
      <c r="P15" s="5">
        <f t="shared" si="10"/>
        <v>3025</v>
      </c>
      <c r="Q15" s="5">
        <f t="shared" si="10"/>
        <v>3272</v>
      </c>
      <c r="R15" s="4"/>
      <c r="S15" s="5">
        <f>S13-S14</f>
        <v>6328</v>
      </c>
      <c r="T15" s="5">
        <f>T13-T14</f>
        <v>5991</v>
      </c>
      <c r="U15" s="5">
        <f>U13-U14</f>
        <v>6699</v>
      </c>
      <c r="V15" s="5">
        <f>V13-V14</f>
        <v>10301</v>
      </c>
      <c r="W15" s="5">
        <f>W13-W14</f>
        <v>12080</v>
      </c>
      <c r="X15" s="4"/>
      <c r="Y15" s="4"/>
      <c r="Z15" s="4"/>
      <c r="AA15" s="4"/>
      <c r="AB15" s="4"/>
    </row>
    <row r="16" spans="1:28" x14ac:dyDescent="0.2">
      <c r="B16" s="1" t="s">
        <v>13</v>
      </c>
      <c r="C16" s="6">
        <v>5881.8029999999999</v>
      </c>
      <c r="D16" s="6">
        <v>5834.8580000000002</v>
      </c>
      <c r="E16" s="6">
        <v>5773.0990000000002</v>
      </c>
      <c r="F16" s="6">
        <v>5682.5190000000002</v>
      </c>
      <c r="G16" s="6">
        <v>5594.1270000000004</v>
      </c>
      <c r="H16" s="6">
        <v>5540.8860000000004</v>
      </c>
      <c r="I16" s="6">
        <v>5472.7809999999999</v>
      </c>
      <c r="J16" s="6">
        <v>2337</v>
      </c>
      <c r="K16" s="6">
        <v>2321</v>
      </c>
      <c r="L16" s="6">
        <v>2306</v>
      </c>
      <c r="M16" s="6">
        <v>2291</v>
      </c>
      <c r="N16" s="6">
        <v>2279</v>
      </c>
      <c r="O16" s="6">
        <v>2265</v>
      </c>
      <c r="P16" s="6">
        <v>2253</v>
      </c>
      <c r="Q16" s="6">
        <f>2240+245+11</f>
        <v>2496</v>
      </c>
      <c r="S16" s="6">
        <v>2457</v>
      </c>
      <c r="T16" s="6">
        <v>2414</v>
      </c>
      <c r="U16" s="6">
        <v>2395</v>
      </c>
      <c r="V16" s="6">
        <v>2329</v>
      </c>
      <c r="W16" s="6">
        <v>2272</v>
      </c>
    </row>
    <row r="17" spans="2:26" x14ac:dyDescent="0.2">
      <c r="B17" s="1" t="s">
        <v>14</v>
      </c>
      <c r="C17" s="8" t="e">
        <f t="shared" ref="C17:Q17" si="11">C15/C16</f>
        <v>#REF!</v>
      </c>
      <c r="D17" s="8" t="e">
        <f t="shared" si="11"/>
        <v>#REF!</v>
      </c>
      <c r="E17" s="8" t="e">
        <f t="shared" si="11"/>
        <v>#REF!</v>
      </c>
      <c r="F17" s="8" t="e">
        <f t="shared" si="11"/>
        <v>#REF!</v>
      </c>
      <c r="G17" s="8" t="e">
        <f t="shared" si="11"/>
        <v>#REF!</v>
      </c>
      <c r="H17" s="8" t="e">
        <f t="shared" si="11"/>
        <v>#REF!</v>
      </c>
      <c r="I17" s="8" t="e">
        <f t="shared" si="11"/>
        <v>#REF!</v>
      </c>
      <c r="J17" s="8">
        <f t="shared" si="11"/>
        <v>1.1146769362430466</v>
      </c>
      <c r="K17" s="8">
        <f t="shared" si="11"/>
        <v>1.003446790176648</v>
      </c>
      <c r="L17" s="8">
        <f t="shared" si="11"/>
        <v>1.2337380745880313</v>
      </c>
      <c r="M17" s="8">
        <f t="shared" si="11"/>
        <v>1.2994325621999128</v>
      </c>
      <c r="N17" s="8">
        <f t="shared" si="11"/>
        <v>1.3062746818780167</v>
      </c>
      <c r="O17" s="8">
        <f t="shared" si="11"/>
        <v>1.3690949227373068</v>
      </c>
      <c r="P17" s="8">
        <f t="shared" si="11"/>
        <v>1.3426542387927207</v>
      </c>
      <c r="Q17" s="8">
        <f t="shared" si="11"/>
        <v>1.3108974358974359</v>
      </c>
      <c r="S17" s="8">
        <f>S15/S16</f>
        <v>2.5754985754985755</v>
      </c>
      <c r="T17" s="8">
        <f>T15/T16</f>
        <v>2.4817729908864954</v>
      </c>
      <c r="U17" s="8">
        <f>U15/U16</f>
        <v>2.7970772442588725</v>
      </c>
      <c r="V17" s="8">
        <f>V15/V16</f>
        <v>4.4229282954057538</v>
      </c>
      <c r="W17" s="8">
        <f>W15/W16</f>
        <v>5.316901408450704</v>
      </c>
    </row>
    <row r="19" spans="2:26" x14ac:dyDescent="0.2">
      <c r="B19" s="1" t="s">
        <v>15</v>
      </c>
      <c r="C19" s="7" t="e">
        <f t="shared" ref="C19:Q19" si="12">C10/C3</f>
        <v>#REF!</v>
      </c>
      <c r="D19" s="7" t="e">
        <f t="shared" si="12"/>
        <v>#REF!</v>
      </c>
      <c r="E19" s="7" t="e">
        <f t="shared" si="12"/>
        <v>#REF!</v>
      </c>
      <c r="F19" s="7" t="e">
        <f t="shared" si="12"/>
        <v>#REF!</v>
      </c>
      <c r="G19" s="7" t="e">
        <f t="shared" si="12"/>
        <v>#REF!</v>
      </c>
      <c r="H19" s="7" t="e">
        <f t="shared" si="12"/>
        <v>#REF!</v>
      </c>
      <c r="I19" s="7" t="e">
        <f t="shared" si="12"/>
        <v>#REF!</v>
      </c>
      <c r="J19" s="7">
        <f t="shared" si="12"/>
        <v>0.65759905381431105</v>
      </c>
      <c r="K19" s="7">
        <f t="shared" si="12"/>
        <v>0.55057251908396942</v>
      </c>
      <c r="L19" s="7">
        <f t="shared" si="12"/>
        <v>0.62679425837320579</v>
      </c>
      <c r="M19" s="7">
        <f t="shared" ref="M19" si="13">M10/M3</f>
        <v>0.6750817290228841</v>
      </c>
      <c r="N19" s="7">
        <f t="shared" si="12"/>
        <v>0.66272297051328721</v>
      </c>
      <c r="O19" s="7">
        <f t="shared" ref="O19" si="14">O10/O3</f>
        <v>0.66917808219178088</v>
      </c>
      <c r="P19" s="7">
        <f t="shared" si="12"/>
        <v>0.60860355222421381</v>
      </c>
      <c r="Q19" s="7">
        <f t="shared" si="12"/>
        <v>0.66336306574165838</v>
      </c>
      <c r="S19" s="7">
        <f>S10/S3</f>
        <v>0.65302593659942365</v>
      </c>
      <c r="T19" s="7">
        <f>T10/T3</f>
        <v>0.52267603766078774</v>
      </c>
      <c r="U19" s="7">
        <f>U10/U3</f>
        <v>0.66150996840614451</v>
      </c>
      <c r="V19" s="7">
        <f>V10/V3</f>
        <v>0.62856033771653164</v>
      </c>
      <c r="W19" s="7">
        <f t="shared" ref="W19" si="15">W10/W3</f>
        <v>0.65287026156591377</v>
      </c>
    </row>
    <row r="20" spans="2:26" x14ac:dyDescent="0.2">
      <c r="B20" s="1" t="s">
        <v>16</v>
      </c>
      <c r="C20" s="7" t="e">
        <f t="shared" ref="C20:Q20" si="16">C15/C3</f>
        <v>#REF!</v>
      </c>
      <c r="D20" s="7" t="e">
        <f t="shared" si="16"/>
        <v>#REF!</v>
      </c>
      <c r="E20" s="7" t="e">
        <f t="shared" si="16"/>
        <v>#REF!</v>
      </c>
      <c r="F20" s="7" t="e">
        <f t="shared" si="16"/>
        <v>#REF!</v>
      </c>
      <c r="G20" s="7" t="e">
        <f t="shared" si="16"/>
        <v>#REF!</v>
      </c>
      <c r="H20" s="7" t="e">
        <f t="shared" si="16"/>
        <v>#REF!</v>
      </c>
      <c r="I20" s="7" t="e">
        <f t="shared" si="16"/>
        <v>#REF!</v>
      </c>
      <c r="J20" s="7">
        <f t="shared" si="16"/>
        <v>0.51350285826926867</v>
      </c>
      <c r="K20" s="7">
        <f t="shared" si="16"/>
        <v>0.44446564885496181</v>
      </c>
      <c r="L20" s="7">
        <f t="shared" si="16"/>
        <v>0.52355539197644463</v>
      </c>
      <c r="M20" s="7">
        <f t="shared" ref="M20" si="17">M15/M3</f>
        <v>0.54068289139120962</v>
      </c>
      <c r="N20" s="7">
        <f t="shared" si="16"/>
        <v>0.54186385147433569</v>
      </c>
      <c r="O20" s="7">
        <f t="shared" ref="O20" si="18">O15/O3</f>
        <v>0.53099315068493147</v>
      </c>
      <c r="P20" s="7">
        <f t="shared" si="16"/>
        <v>0.49291184617891476</v>
      </c>
      <c r="Q20" s="7">
        <f t="shared" si="16"/>
        <v>0.54046911133135123</v>
      </c>
      <c r="S20" s="7">
        <f>S15/S3</f>
        <v>0.45590778097982709</v>
      </c>
      <c r="T20" s="7">
        <f>T15/T3</f>
        <v>0.39722848428590374</v>
      </c>
      <c r="U20" s="7">
        <f>U15/U3</f>
        <v>0.36490903148491122</v>
      </c>
      <c r="V20" s="7">
        <f>V15/V3</f>
        <v>0.49983017128439033</v>
      </c>
      <c r="W20" s="7">
        <f t="shared" ref="W20" si="19">W15/W3</f>
        <v>0.52574313443878662</v>
      </c>
      <c r="X20" s="25"/>
    </row>
    <row r="21" spans="2:26" x14ac:dyDescent="0.2">
      <c r="B21" s="1" t="s">
        <v>17</v>
      </c>
      <c r="C21" s="7" t="e">
        <f t="shared" ref="C21:I21" si="20">C14/C13</f>
        <v>#REF!</v>
      </c>
      <c r="D21" s="7" t="e">
        <f t="shared" si="20"/>
        <v>#REF!</v>
      </c>
      <c r="E21" s="7" t="e">
        <f t="shared" si="20"/>
        <v>#REF!</v>
      </c>
      <c r="F21" s="7" t="e">
        <f t="shared" si="20"/>
        <v>#REF!</v>
      </c>
      <c r="G21" s="7" t="e">
        <f t="shared" si="20"/>
        <v>#REF!</v>
      </c>
      <c r="H21" s="7" t="e">
        <f t="shared" si="20"/>
        <v>#REF!</v>
      </c>
      <c r="I21" s="7" t="e">
        <f t="shared" si="20"/>
        <v>#REF!</v>
      </c>
      <c r="J21" s="7">
        <f t="shared" ref="J21:Q21" si="21">J14/J13</f>
        <v>0.19023935343487722</v>
      </c>
      <c r="K21" s="7">
        <f t="shared" si="21"/>
        <v>0.17176386913229019</v>
      </c>
      <c r="L21" s="7">
        <f t="shared" si="21"/>
        <v>0.19587337478801584</v>
      </c>
      <c r="M21" s="7">
        <f t="shared" ref="M21" si="22">M14/M13</f>
        <v>0.17988980716253444</v>
      </c>
      <c r="N21" s="7">
        <f t="shared" si="21"/>
        <v>0.19037258634756596</v>
      </c>
      <c r="O21" s="7">
        <f t="shared" ref="O21" si="23">O14/O13</f>
        <v>0.19787894464562855</v>
      </c>
      <c r="P21" s="7">
        <f t="shared" si="21"/>
        <v>0.1848558340070062</v>
      </c>
      <c r="Q21" s="7">
        <f t="shared" si="21"/>
        <v>0.17664821338701561</v>
      </c>
      <c r="S21" s="7">
        <f>S14/S13</f>
        <v>0.29649805447470817</v>
      </c>
      <c r="T21" s="7">
        <f>T14/T13</f>
        <v>0.2522466300549176</v>
      </c>
      <c r="U21" s="7">
        <f>U14/U13</f>
        <v>0.42714212416623909</v>
      </c>
      <c r="V21" s="7">
        <f>V14/V13</f>
        <v>0.19561143214118382</v>
      </c>
      <c r="W21" s="7">
        <f t="shared" ref="W21" si="24">W14/W13</f>
        <v>0.18839021768341843</v>
      </c>
    </row>
    <row r="23" spans="2:26" x14ac:dyDescent="0.2">
      <c r="B23" s="1" t="s">
        <v>18</v>
      </c>
      <c r="G23" s="7">
        <f t="shared" ref="G23:Q23" si="25">G3/C3-1</f>
        <v>1.7064571911151516E-2</v>
      </c>
      <c r="H23" s="7">
        <f t="shared" si="25"/>
        <v>-0.12847784864678502</v>
      </c>
      <c r="I23" s="7">
        <f t="shared" si="25"/>
        <v>-0.14609414373551055</v>
      </c>
      <c r="J23" s="7">
        <f t="shared" si="25"/>
        <v>-0.90149705830954741</v>
      </c>
      <c r="K23" s="7">
        <f t="shared" si="25"/>
        <v>-0.93093631379164909</v>
      </c>
      <c r="L23" s="7">
        <f t="shared" si="25"/>
        <v>-0.89251735664695298</v>
      </c>
      <c r="M23" s="7">
        <f t="shared" si="25"/>
        <v>-0.87001274847726517</v>
      </c>
      <c r="N23" s="7">
        <f t="shared" si="25"/>
        <v>8.2988369800906847E-2</v>
      </c>
      <c r="O23" s="7">
        <f t="shared" si="25"/>
        <v>0.11450381679389321</v>
      </c>
      <c r="P23" s="7">
        <f t="shared" si="25"/>
        <v>0.12937062937062938</v>
      </c>
      <c r="Q23" s="7">
        <f t="shared" si="25"/>
        <v>9.9527787867780493E-2</v>
      </c>
      <c r="T23" s="7">
        <f>T3/S3-1</f>
        <v>8.6599423631123829E-2</v>
      </c>
      <c r="U23" s="7">
        <f>U3/T3-1</f>
        <v>0.21721257127701898</v>
      </c>
      <c r="V23" s="7">
        <f>V3/U3-1</f>
        <v>0.12261684279333251</v>
      </c>
      <c r="W23" s="7">
        <f>W3/V3-1</f>
        <v>0.1149012567324954</v>
      </c>
      <c r="X23" s="19"/>
      <c r="Y23" s="19"/>
      <c r="Z23" s="19"/>
    </row>
    <row r="24" spans="2:26" x14ac:dyDescent="0.2">
      <c r="B24" s="1" t="s">
        <v>19</v>
      </c>
      <c r="G24" s="7" t="e">
        <f t="shared" ref="G24:Q24" si="26">G10/C10-1</f>
        <v>#REF!</v>
      </c>
      <c r="H24" s="7" t="e">
        <f t="shared" si="26"/>
        <v>#REF!</v>
      </c>
      <c r="I24" s="7" t="e">
        <f t="shared" si="26"/>
        <v>#REF!</v>
      </c>
      <c r="J24" s="7" t="e">
        <f t="shared" si="26"/>
        <v>#REF!</v>
      </c>
      <c r="K24" s="7" t="e">
        <f t="shared" si="26"/>
        <v>#REF!</v>
      </c>
      <c r="L24" s="7" t="e">
        <f t="shared" si="26"/>
        <v>#REF!</v>
      </c>
      <c r="M24" s="7" t="e">
        <f t="shared" si="26"/>
        <v>#REF!</v>
      </c>
      <c r="N24" s="7">
        <f t="shared" si="26"/>
        <v>9.1426858513189435E-2</v>
      </c>
      <c r="O24" s="7">
        <f t="shared" si="26"/>
        <v>0.35459272097053729</v>
      </c>
      <c r="P24" s="7">
        <f t="shared" si="26"/>
        <v>9.659424544920725E-2</v>
      </c>
      <c r="Q24" s="7">
        <f t="shared" si="26"/>
        <v>8.0441216034436325E-2</v>
      </c>
      <c r="T24" s="7">
        <f>T10/S10-1</f>
        <v>-0.13029567519858787</v>
      </c>
      <c r="U24" s="7">
        <f>U10/T10-1</f>
        <v>0.54053025497906892</v>
      </c>
      <c r="V24" s="7">
        <f>V10/U10-1</f>
        <v>6.6699604743083007E-2</v>
      </c>
      <c r="W24" s="7">
        <f>W10/V10-1</f>
        <v>0.15802068859039675</v>
      </c>
    </row>
    <row r="25" spans="2:26" x14ac:dyDescent="0.2">
      <c r="B25" s="1" t="s">
        <v>20</v>
      </c>
      <c r="G25" s="7" t="e">
        <f t="shared" ref="G25:Q25" si="27">G15/C15-1</f>
        <v>#REF!</v>
      </c>
      <c r="H25" s="7" t="e">
        <f t="shared" si="27"/>
        <v>#REF!</v>
      </c>
      <c r="I25" s="7" t="e">
        <f t="shared" si="27"/>
        <v>#REF!</v>
      </c>
      <c r="J25" s="7" t="e">
        <f t="shared" si="27"/>
        <v>#REF!</v>
      </c>
      <c r="K25" s="7" t="e">
        <f t="shared" si="27"/>
        <v>#REF!</v>
      </c>
      <c r="L25" s="7" t="e">
        <f t="shared" si="27"/>
        <v>#REF!</v>
      </c>
      <c r="M25" s="7" t="e">
        <f t="shared" si="27"/>
        <v>#REF!</v>
      </c>
      <c r="N25" s="7">
        <f t="shared" si="27"/>
        <v>0.14280230326295595</v>
      </c>
      <c r="O25" s="7">
        <f t="shared" si="27"/>
        <v>0.33147273507943331</v>
      </c>
      <c r="P25" s="7">
        <f t="shared" si="27"/>
        <v>6.3268892794376086E-2</v>
      </c>
      <c r="Q25" s="7">
        <f t="shared" si="27"/>
        <v>9.9093046691300035E-2</v>
      </c>
      <c r="T25" s="7">
        <f>T15/S15-1</f>
        <v>-5.3255372945638424E-2</v>
      </c>
      <c r="U25" s="7">
        <f>U15/T15-1</f>
        <v>0.11817726589884825</v>
      </c>
      <c r="V25" s="7">
        <f>V15/U15-1</f>
        <v>0.53769219286460657</v>
      </c>
      <c r="W25" s="7">
        <f>W15/V15-1</f>
        <v>0.17270167944859716</v>
      </c>
    </row>
    <row r="28" spans="2:26" x14ac:dyDescent="0.2">
      <c r="B28" s="1" t="s">
        <v>69</v>
      </c>
    </row>
    <row r="29" spans="2:26" x14ac:dyDescent="0.2">
      <c r="J29" s="1" t="s">
        <v>74</v>
      </c>
      <c r="K29" s="1" t="s">
        <v>68</v>
      </c>
      <c r="L29" s="1" t="s">
        <v>67</v>
      </c>
      <c r="M29" s="1" t="s">
        <v>65</v>
      </c>
      <c r="N29" s="1" t="s">
        <v>66</v>
      </c>
    </row>
    <row r="30" spans="2:26" x14ac:dyDescent="0.2">
      <c r="B30" s="1" t="s">
        <v>70</v>
      </c>
      <c r="J30" s="6">
        <v>6584</v>
      </c>
      <c r="K30" s="6">
        <v>5574</v>
      </c>
      <c r="L30" s="6">
        <v>9317</v>
      </c>
      <c r="M30" s="6">
        <v>12941</v>
      </c>
      <c r="N30" s="6">
        <v>12784</v>
      </c>
    </row>
    <row r="31" spans="2:26" x14ac:dyDescent="0.2">
      <c r="B31" s="1" t="s">
        <v>71</v>
      </c>
      <c r="J31" s="18">
        <v>-414</v>
      </c>
      <c r="K31" s="18">
        <v>-523</v>
      </c>
      <c r="L31" s="18">
        <v>-707</v>
      </c>
      <c r="M31" s="18">
        <v>-718</v>
      </c>
      <c r="N31" s="18">
        <v>-756</v>
      </c>
    </row>
    <row r="32" spans="2:26" x14ac:dyDescent="0.2">
      <c r="B32" s="1" t="s">
        <v>72</v>
      </c>
      <c r="J32" s="6">
        <v>0</v>
      </c>
      <c r="K32" s="6">
        <f>15971-98</f>
        <v>15873</v>
      </c>
      <c r="L32" s="6">
        <f>2488-15</f>
        <v>2473</v>
      </c>
      <c r="M32" s="6">
        <v>-1750</v>
      </c>
      <c r="N32" s="18">
        <v>0</v>
      </c>
    </row>
    <row r="33" spans="2:14" x14ac:dyDescent="0.2">
      <c r="B33" s="1" t="s">
        <v>84</v>
      </c>
      <c r="J33" s="6">
        <f>J30+J31</f>
        <v>6170</v>
      </c>
      <c r="K33" s="6">
        <f t="shared" ref="K33:N33" si="28">K30+K31</f>
        <v>5051</v>
      </c>
      <c r="L33" s="6">
        <f t="shared" si="28"/>
        <v>8610</v>
      </c>
      <c r="M33" s="6">
        <f t="shared" si="28"/>
        <v>12223</v>
      </c>
      <c r="N33" s="6">
        <f t="shared" si="28"/>
        <v>12028</v>
      </c>
    </row>
    <row r="34" spans="2:14" x14ac:dyDescent="0.2">
      <c r="J34" s="19">
        <f>J33/S15</f>
        <v>0.97503160556257906</v>
      </c>
      <c r="K34" s="19">
        <f>K33/T15</f>
        <v>0.84309798030378902</v>
      </c>
      <c r="L34" s="19">
        <f>L33/U15</f>
        <v>1.2852664576802508</v>
      </c>
      <c r="M34" s="19">
        <f>M33/V15</f>
        <v>1.1865838268129307</v>
      </c>
      <c r="N34" s="19">
        <f>N33/W15</f>
        <v>0.99569536423841054</v>
      </c>
    </row>
    <row r="35" spans="2:14" x14ac:dyDescent="0.2">
      <c r="B35" s="1" t="s">
        <v>73</v>
      </c>
      <c r="J35" s="18">
        <f>J30+J31+J32</f>
        <v>6170</v>
      </c>
      <c r="K35" s="18">
        <f>K30+K31+K32</f>
        <v>20924</v>
      </c>
      <c r="L35" s="18">
        <f>L30+L31+L32</f>
        <v>11083</v>
      </c>
      <c r="M35" s="18">
        <f>M30+M31+M32</f>
        <v>10473</v>
      </c>
      <c r="N35" s="18">
        <f>N30+N31+N32</f>
        <v>12028</v>
      </c>
    </row>
    <row r="36" spans="2:14" x14ac:dyDescent="0.2">
      <c r="J36" s="19">
        <f>J35/S15</f>
        <v>0.97503160556257906</v>
      </c>
      <c r="K36" s="19">
        <f>K35/T15</f>
        <v>3.4925721916207646</v>
      </c>
      <c r="L36" s="19">
        <f>L35/U15</f>
        <v>1.6544260337363785</v>
      </c>
      <c r="M36" s="19">
        <f>M35/V15</f>
        <v>1.0166974080186391</v>
      </c>
      <c r="N36" s="19">
        <f>N35/W15</f>
        <v>0.99569536423841054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E93F-23D9-524E-B760-E5A3FE645156}">
  <dimension ref="A2:L50"/>
  <sheetViews>
    <sheetView tabSelected="1" workbookViewId="0">
      <selection activeCell="E16" sqref="E16:E17"/>
    </sheetView>
  </sheetViews>
  <sheetFormatPr baseColWidth="10" defaultRowHeight="16" x14ac:dyDescent="0.2"/>
  <cols>
    <col min="1" max="1" width="26.1640625" customWidth="1"/>
    <col min="2" max="2" width="10.83203125" customWidth="1"/>
    <col min="7" max="7" width="12.1640625" bestFit="1" customWidth="1"/>
    <col min="12" max="12" width="13.6640625" bestFit="1" customWidth="1"/>
  </cols>
  <sheetData>
    <row r="2" spans="1:12" x14ac:dyDescent="0.2">
      <c r="A2" t="s">
        <v>75</v>
      </c>
      <c r="B2">
        <v>2015</v>
      </c>
      <c r="C2">
        <v>2016</v>
      </c>
      <c r="D2">
        <v>2017</v>
      </c>
      <c r="E2">
        <v>2018</v>
      </c>
      <c r="F2">
        <v>2019</v>
      </c>
      <c r="G2">
        <v>2020</v>
      </c>
      <c r="H2">
        <v>2021</v>
      </c>
      <c r="I2">
        <v>2022</v>
      </c>
      <c r="J2">
        <v>2023</v>
      </c>
      <c r="K2">
        <v>2024</v>
      </c>
    </row>
    <row r="3" spans="1:12" x14ac:dyDescent="0.2">
      <c r="A3" s="21" t="s">
        <v>8</v>
      </c>
      <c r="B3" s="22">
        <f>Analysis!S3</f>
        <v>13880</v>
      </c>
      <c r="C3" s="22">
        <f>Analysis!T3</f>
        <v>15082</v>
      </c>
      <c r="D3" s="22">
        <f>Analysis!U3</f>
        <v>18358</v>
      </c>
      <c r="E3" s="22">
        <f>Analysis!V3</f>
        <v>20609</v>
      </c>
      <c r="F3" s="22">
        <f>Analysis!W3</f>
        <v>22977</v>
      </c>
      <c r="G3" s="22">
        <f>F3*(1+$B$20)</f>
        <v>25274.7</v>
      </c>
      <c r="H3" s="22">
        <f>G3*(1+$B$20)</f>
        <v>27802.170000000002</v>
      </c>
      <c r="I3" s="22">
        <f>H3*(1+$B$20)</f>
        <v>30582.387000000006</v>
      </c>
      <c r="J3" s="22">
        <f>I3*(1+$B$20)</f>
        <v>33640.625700000011</v>
      </c>
      <c r="K3" s="22">
        <f>J3*(1+$B$20)</f>
        <v>37004.688270000013</v>
      </c>
    </row>
    <row r="4" spans="1:12" x14ac:dyDescent="0.2">
      <c r="A4" s="21" t="s">
        <v>12</v>
      </c>
      <c r="B4" s="22">
        <f>Analysis!S15</f>
        <v>6328</v>
      </c>
      <c r="C4" s="22">
        <f>Analysis!T15</f>
        <v>5991</v>
      </c>
      <c r="D4" s="22">
        <f>Analysis!U15</f>
        <v>6699</v>
      </c>
      <c r="E4" s="22">
        <f>Analysis!V15</f>
        <v>10301</v>
      </c>
      <c r="F4" s="22">
        <f>Analysis!W15</f>
        <v>12080</v>
      </c>
      <c r="G4" s="22">
        <f>G3*$B$26</f>
        <v>11373.615</v>
      </c>
      <c r="H4" s="22">
        <f t="shared" ref="H4:K4" si="0">H3*$B$26</f>
        <v>12510.976500000001</v>
      </c>
      <c r="I4" s="22">
        <f t="shared" si="0"/>
        <v>13762.074150000002</v>
      </c>
      <c r="J4" s="22">
        <f t="shared" si="0"/>
        <v>15138.281565000005</v>
      </c>
      <c r="K4" s="22">
        <f t="shared" si="0"/>
        <v>16652.109721500008</v>
      </c>
    </row>
    <row r="5" spans="1:12" x14ac:dyDescent="0.2">
      <c r="A5" t="s">
        <v>86</v>
      </c>
      <c r="B5" s="22">
        <f>Analysis!J33</f>
        <v>6170</v>
      </c>
      <c r="C5" s="22">
        <f>Analysis!K33</f>
        <v>5051</v>
      </c>
      <c r="D5" s="22">
        <f>Analysis!L33</f>
        <v>8610</v>
      </c>
      <c r="E5" s="22">
        <f>Analysis!M33</f>
        <v>12223</v>
      </c>
      <c r="F5" s="22">
        <f>Analysis!N33</f>
        <v>12028</v>
      </c>
      <c r="G5" s="22">
        <f>G4*$B$29</f>
        <v>11373.615</v>
      </c>
      <c r="H5" s="22">
        <f t="shared" ref="H5:K5" si="1">H4*$B$29</f>
        <v>12510.976500000001</v>
      </c>
      <c r="I5" s="22">
        <f t="shared" si="1"/>
        <v>13762.074150000002</v>
      </c>
      <c r="J5" s="22">
        <f t="shared" si="1"/>
        <v>15138.281565000005</v>
      </c>
      <c r="K5" s="22">
        <f t="shared" si="1"/>
        <v>16652.109721500008</v>
      </c>
    </row>
    <row r="7" spans="1:12" x14ac:dyDescent="0.2">
      <c r="A7" t="s">
        <v>87</v>
      </c>
    </row>
    <row r="8" spans="1:12" x14ac:dyDescent="0.2">
      <c r="B8" s="20" t="s">
        <v>88</v>
      </c>
      <c r="C8" s="20" t="s">
        <v>89</v>
      </c>
      <c r="D8" s="20" t="s">
        <v>90</v>
      </c>
      <c r="E8" s="20" t="s">
        <v>91</v>
      </c>
      <c r="F8" s="20" t="s">
        <v>92</v>
      </c>
      <c r="G8" s="20" t="s">
        <v>93</v>
      </c>
      <c r="H8" s="20" t="s">
        <v>94</v>
      </c>
      <c r="I8" s="20" t="s">
        <v>95</v>
      </c>
      <c r="J8" s="20" t="s">
        <v>96</v>
      </c>
      <c r="K8" s="20" t="s">
        <v>97</v>
      </c>
      <c r="L8" s="20" t="s">
        <v>118</v>
      </c>
    </row>
    <row r="9" spans="1:12" x14ac:dyDescent="0.2">
      <c r="A9" t="s">
        <v>83</v>
      </c>
      <c r="B9" s="22">
        <f>B5</f>
        <v>6170</v>
      </c>
      <c r="C9" s="22">
        <f t="shared" ref="C9:K9" si="2">C5</f>
        <v>5051</v>
      </c>
      <c r="D9" s="22">
        <f t="shared" si="2"/>
        <v>8610</v>
      </c>
      <c r="E9" s="22">
        <f t="shared" si="2"/>
        <v>12223</v>
      </c>
      <c r="F9" s="22">
        <f t="shared" si="2"/>
        <v>12028</v>
      </c>
      <c r="G9" s="22">
        <f t="shared" si="2"/>
        <v>11373.615</v>
      </c>
      <c r="H9" s="22">
        <f t="shared" si="2"/>
        <v>12510.976500000001</v>
      </c>
      <c r="I9" s="22">
        <f t="shared" si="2"/>
        <v>13762.074150000002</v>
      </c>
      <c r="J9" s="22">
        <f t="shared" si="2"/>
        <v>15138.281565000005</v>
      </c>
      <c r="K9" s="22">
        <f t="shared" si="2"/>
        <v>16652.109721500008</v>
      </c>
      <c r="L9" s="22">
        <f>K9*(1+B12)/(B11-B12)</f>
        <v>274174.60956591624</v>
      </c>
    </row>
    <row r="10" spans="1:12" x14ac:dyDescent="0.2">
      <c r="A10" t="s">
        <v>113</v>
      </c>
      <c r="G10" s="22">
        <f>G9/(1+B11)</f>
        <v>10512.143503569407</v>
      </c>
      <c r="H10" s="22">
        <f>H9/(1+B11)^2</f>
        <v>10687.514668256323</v>
      </c>
      <c r="I10" s="22">
        <f>I9/(1+B11)^3</f>
        <v>10865.811501280359</v>
      </c>
      <c r="J10" s="22">
        <f>J9/(1+B11)^4</f>
        <v>11047.082810752208</v>
      </c>
      <c r="K10" s="22">
        <f>K9/(1+B11)^5</f>
        <v>11231.378219034699</v>
      </c>
      <c r="L10" s="22">
        <f>L9/(1+B11)^5</f>
        <v>184923.03915792287</v>
      </c>
    </row>
    <row r="11" spans="1:12" x14ac:dyDescent="0.2">
      <c r="A11" t="s">
        <v>114</v>
      </c>
      <c r="B11" s="14">
        <f>B50</f>
        <v>8.195012712089407E-2</v>
      </c>
    </row>
    <row r="12" spans="1:12" x14ac:dyDescent="0.2">
      <c r="A12" t="s">
        <v>115</v>
      </c>
      <c r="B12" s="14">
        <v>0.02</v>
      </c>
    </row>
    <row r="13" spans="1:12" x14ac:dyDescent="0.2">
      <c r="A13" t="s">
        <v>116</v>
      </c>
      <c r="B13" s="22">
        <f>SUM(G10:L10)</f>
        <v>239266.96986081588</v>
      </c>
    </row>
    <row r="14" spans="1:12" x14ac:dyDescent="0.2">
      <c r="A14" t="s">
        <v>117</v>
      </c>
      <c r="B14" s="22">
        <v>1141.8440000000001</v>
      </c>
    </row>
    <row r="15" spans="1:12" x14ac:dyDescent="0.2">
      <c r="A15" t="s">
        <v>119</v>
      </c>
      <c r="B15" s="27">
        <f>B13/B14</f>
        <v>209.54435970309066</v>
      </c>
      <c r="D15" s="27"/>
    </row>
    <row r="16" spans="1:12" x14ac:dyDescent="0.2">
      <c r="A16" t="s">
        <v>145</v>
      </c>
      <c r="B16" s="27">
        <f>B15*(1-0.2)</f>
        <v>167.63548776247254</v>
      </c>
    </row>
    <row r="17" spans="1:3" x14ac:dyDescent="0.2">
      <c r="B17" s="27"/>
    </row>
    <row r="18" spans="1:3" x14ac:dyDescent="0.2">
      <c r="A18" s="12" t="s">
        <v>76</v>
      </c>
    </row>
    <row r="19" spans="1:3" x14ac:dyDescent="0.2">
      <c r="A19" s="31" t="s">
        <v>77</v>
      </c>
    </row>
    <row r="20" spans="1:3" x14ac:dyDescent="0.2">
      <c r="A20" s="21" t="s">
        <v>78</v>
      </c>
      <c r="B20" s="9">
        <v>0.1</v>
      </c>
    </row>
    <row r="21" spans="1:3" x14ac:dyDescent="0.2">
      <c r="A21" s="21" t="s">
        <v>79</v>
      </c>
      <c r="B21" s="9"/>
    </row>
    <row r="22" spans="1:3" x14ac:dyDescent="0.2">
      <c r="A22" s="20" t="s">
        <v>80</v>
      </c>
      <c r="B22" s="9">
        <v>0.14149999999999999</v>
      </c>
    </row>
    <row r="23" spans="1:3" x14ac:dyDescent="0.2">
      <c r="A23" s="20" t="s">
        <v>42</v>
      </c>
      <c r="B23" s="9">
        <v>0.15</v>
      </c>
    </row>
    <row r="24" spans="1:3" x14ac:dyDescent="0.2">
      <c r="A24" s="20" t="s">
        <v>81</v>
      </c>
      <c r="B24" s="14">
        <f>AVERAGE(B22:B23)</f>
        <v>0.14574999999999999</v>
      </c>
    </row>
    <row r="26" spans="1:3" x14ac:dyDescent="0.2">
      <c r="A26" s="28" t="s">
        <v>82</v>
      </c>
      <c r="B26" s="14">
        <v>0.45</v>
      </c>
      <c r="C26">
        <v>0.52</v>
      </c>
    </row>
    <row r="27" spans="1:3" x14ac:dyDescent="0.2">
      <c r="A27" s="20" t="s">
        <v>144</v>
      </c>
      <c r="B27" s="14">
        <v>0.4</v>
      </c>
      <c r="C27">
        <v>0.48</v>
      </c>
    </row>
    <row r="29" spans="1:3" x14ac:dyDescent="0.2">
      <c r="A29" s="29" t="s">
        <v>85</v>
      </c>
      <c r="B29" s="9">
        <v>1</v>
      </c>
    </row>
    <row r="31" spans="1:3" x14ac:dyDescent="0.2">
      <c r="A31" s="30" t="s">
        <v>98</v>
      </c>
    </row>
    <row r="32" spans="1:3" x14ac:dyDescent="0.2">
      <c r="A32" t="s">
        <v>99</v>
      </c>
      <c r="B32" s="9">
        <f>B35*(1-B36)</f>
        <v>2.7258054874768369E-2</v>
      </c>
    </row>
    <row r="33" spans="1:3" x14ac:dyDescent="0.2">
      <c r="A33" t="s">
        <v>56</v>
      </c>
      <c r="B33">
        <v>570</v>
      </c>
    </row>
    <row r="34" spans="1:3" x14ac:dyDescent="0.2">
      <c r="A34" t="s">
        <v>100</v>
      </c>
      <c r="B34" s="22">
        <v>16729</v>
      </c>
    </row>
    <row r="35" spans="1:3" x14ac:dyDescent="0.2">
      <c r="B35" s="9">
        <f>B33/B34</f>
        <v>3.4072568593460459E-2</v>
      </c>
    </row>
    <row r="36" spans="1:3" x14ac:dyDescent="0.2">
      <c r="A36" t="s">
        <v>17</v>
      </c>
      <c r="B36" s="23">
        <v>0.2</v>
      </c>
    </row>
    <row r="38" spans="1:3" x14ac:dyDescent="0.2">
      <c r="A38" t="s">
        <v>101</v>
      </c>
      <c r="B38" s="9">
        <f>B39+B40*(B41-B39)</f>
        <v>8.5037999999999989E-2</v>
      </c>
    </row>
    <row r="39" spans="1:3" x14ac:dyDescent="0.2">
      <c r="A39" t="s">
        <v>102</v>
      </c>
      <c r="B39" s="9">
        <v>7.3000000000000001E-3</v>
      </c>
      <c r="C39" t="s">
        <v>103</v>
      </c>
    </row>
    <row r="40" spans="1:3" x14ac:dyDescent="0.2">
      <c r="A40" t="s">
        <v>104</v>
      </c>
      <c r="B40">
        <v>0.94</v>
      </c>
    </row>
    <row r="41" spans="1:3" x14ac:dyDescent="0.2">
      <c r="A41" t="s">
        <v>105</v>
      </c>
      <c r="B41" s="23">
        <v>0.09</v>
      </c>
      <c r="C41" t="s">
        <v>106</v>
      </c>
    </row>
    <row r="43" spans="1:3" x14ac:dyDescent="0.2">
      <c r="A43" t="s">
        <v>107</v>
      </c>
    </row>
    <row r="44" spans="1:3" x14ac:dyDescent="0.2">
      <c r="A44" t="s">
        <v>108</v>
      </c>
      <c r="B44" s="22">
        <f>B34</f>
        <v>16729</v>
      </c>
    </row>
    <row r="45" spans="1:3" x14ac:dyDescent="0.2">
      <c r="A45" t="s">
        <v>109</v>
      </c>
      <c r="B45" s="22">
        <f>'Profile - V'!B7</f>
        <v>296302.24832000001</v>
      </c>
    </row>
    <row r="46" spans="1:3" x14ac:dyDescent="0.2">
      <c r="A46" t="s">
        <v>110</v>
      </c>
      <c r="B46" s="22">
        <f>B44+B45</f>
        <v>313031.24832000001</v>
      </c>
    </row>
    <row r="47" spans="1:3" x14ac:dyDescent="0.2">
      <c r="A47" t="s">
        <v>111</v>
      </c>
      <c r="B47" s="23">
        <f>B44/B46</f>
        <v>5.3441948974048033E-2</v>
      </c>
    </row>
    <row r="48" spans="1:3" x14ac:dyDescent="0.2">
      <c r="A48" t="s">
        <v>112</v>
      </c>
      <c r="B48" s="26">
        <f>1-B47</f>
        <v>0.94655805102595192</v>
      </c>
    </row>
    <row r="50" spans="1:2" x14ac:dyDescent="0.2">
      <c r="A50" t="s">
        <v>98</v>
      </c>
      <c r="B50" s="14">
        <f>B47*(B32)+B48*(B38)</f>
        <v>8.195012712089407E-2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Profile - V</vt:lpstr>
      <vt:lpstr>Analysis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2020-04-11T17:09:37Z</dcterms:created>
  <dcterms:modified xsi:type="dcterms:W3CDTF">2020-04-14T00:46:46Z</dcterms:modified>
</cp:coreProperties>
</file>