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95" activeTab="1"/>
  </bookViews>
  <sheets>
    <sheet name="Project Case" sheetId="1" r:id="rId1"/>
    <sheet name="Model" sheetId="2" r:id="rId2"/>
    <sheet name="Amortization Table" sheetId="3" r:id="rId3"/>
  </sheets>
  <definedNames>
    <definedName name="_xlfn.IFERROR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<sst xmlns="http://schemas.openxmlformats.org/spreadsheetml/2006/main" count="366" uniqueCount="245">
  <si>
    <t>The Project</t>
  </si>
  <si>
    <t>The power plant is expected to generate a power energy of 39,631680 KWHr on its first year of operation with an annual attenuation (reduced generation) rate of 0.50% per annum on its succeeding year of operation</t>
  </si>
  <si>
    <t>Estimated Project Cost</t>
  </si>
  <si>
    <t>The estimated cost for the proposed project is approximately USD 1,796 per KW. The unit cost involves an all-inclusive costs for construction of the proposed power plant prior to its operation.</t>
  </si>
  <si>
    <t>Operation and Maintenance (O&amp;M) Cost</t>
  </si>
  <si>
    <t>The proposed power plant is expected to be constructed within a year and operate for 25 years based on its economic life. The annual O&amp;M Cost for the first year of operation is USD 0.01225 per KWHr.</t>
  </si>
  <si>
    <t>Annual increase in O&amp;M is assumed to be at 7%</t>
  </si>
  <si>
    <t>Other operating expenses are, as follows;</t>
  </si>
  <si>
    <t>Insurance</t>
  </si>
  <si>
    <t>Particulars</t>
  </si>
  <si>
    <t>0.50% of net book value of the plant</t>
  </si>
  <si>
    <t>Cost</t>
  </si>
  <si>
    <t>Provision for community services</t>
  </si>
  <si>
    <t>Business Local tax</t>
  </si>
  <si>
    <t>Real property tax</t>
  </si>
  <si>
    <t>Provision for ER-1-94</t>
  </si>
  <si>
    <t>Government Share</t>
  </si>
  <si>
    <t>Grid Connection Fee</t>
  </si>
  <si>
    <t>Sources of Revenue</t>
  </si>
  <si>
    <t>No escalation of the power tariff is expected.</t>
  </si>
  <si>
    <t>Financing Assumptions</t>
  </si>
  <si>
    <t>BEC intends to use a mixed financing, through loan and equity</t>
  </si>
  <si>
    <t>A local bank is offering a project financing loan of up to 70% of the total project cost. The drawdown will be based on the actual construction of the project.</t>
  </si>
  <si>
    <t>The loan tenor is up to 12 years from the date of drawdown, inclusive of 18 months grace period on principal.</t>
  </si>
  <si>
    <t xml:space="preserve">The principal repayment is payable in 42 equal quarterly amortizations with 35% balloon payment due at maturity date. </t>
  </si>
  <si>
    <t>Principal repayment to commence after the grace period.</t>
  </si>
  <si>
    <t>BEC has to renew the ballooned balance for the remaining economic life of the project</t>
  </si>
  <si>
    <t>Cost of money for the loan and equity are 6% p.a. and 16% p.a. respectively.</t>
  </si>
  <si>
    <t>Other Assumptions</t>
  </si>
  <si>
    <t>Assume the straight-line depreciation method will be used for this project. Salvage value is zero at the end of the plant's economic life</t>
  </si>
  <si>
    <t>Assume forex of USDPHP 51.00</t>
  </si>
  <si>
    <t>Requirements</t>
  </si>
  <si>
    <t>1. Prepare the financial spreadsheets and compute for the following:</t>
  </si>
  <si>
    <t>Project IRR</t>
  </si>
  <si>
    <t>NPV on Project</t>
  </si>
  <si>
    <t>Equity IRR</t>
  </si>
  <si>
    <t>NPV on Equity</t>
  </si>
  <si>
    <t>ROI</t>
  </si>
  <si>
    <t>Debt Service Coverage Ratio (DSCR)</t>
  </si>
  <si>
    <t>2. What is the project's WACC? Use this WACC as the discount rate for determining the NPV's</t>
  </si>
  <si>
    <t>3. Is the project viable and attractive from the perspective of BEC? Explain using the resulting financial indicators.</t>
  </si>
  <si>
    <t>4. Prepare a sensitivity analysis table to determine the project's viability (project and equity), in case of the following;</t>
  </si>
  <si>
    <t>a. 20% increase / decrease in project cost</t>
  </si>
  <si>
    <t>b. 20% increase / decrease in power tariff</t>
  </si>
  <si>
    <t>c. Combination of Items a and b</t>
  </si>
  <si>
    <t>Explain using the resulting financial indicators.</t>
  </si>
  <si>
    <t>0.50% of gross revenue</t>
  </si>
  <si>
    <t>1% of gross revenue</t>
  </si>
  <si>
    <t>1.5% of net book value of the plant</t>
  </si>
  <si>
    <t>Php 3M per annum (fixed)</t>
  </si>
  <si>
    <t>Construction Cost</t>
  </si>
  <si>
    <t>Total Cash Flow</t>
  </si>
  <si>
    <t>WACC</t>
  </si>
  <si>
    <t>Project NPV</t>
  </si>
  <si>
    <t>Equity NPV</t>
  </si>
  <si>
    <t>1st Year Power Generation (KWHr)</t>
  </si>
  <si>
    <t>Power Generation Fee (Php / KWHr)</t>
  </si>
  <si>
    <t>Power Generation (KWHr)</t>
  </si>
  <si>
    <t>Revenue</t>
  </si>
  <si>
    <t>Gross Revenue (Php)</t>
  </si>
  <si>
    <t>Project Type</t>
  </si>
  <si>
    <t>Solar PV Farm</t>
  </si>
  <si>
    <t>Power Project</t>
  </si>
  <si>
    <t>Energy Type</t>
  </si>
  <si>
    <t>Generation (KW)</t>
  </si>
  <si>
    <t>Unit Cost (USD / KW)</t>
  </si>
  <si>
    <t>USDPHP Rate</t>
  </si>
  <si>
    <t>Value</t>
  </si>
  <si>
    <t>Php per KWHr</t>
  </si>
  <si>
    <t>Assumption</t>
  </si>
  <si>
    <t>Income Statement</t>
  </si>
  <si>
    <t>Operating and Maintenance (O&amp;M) Expense</t>
  </si>
  <si>
    <t>Interest Expense</t>
  </si>
  <si>
    <t>EBT</t>
  </si>
  <si>
    <t>Corporate Tax Rate</t>
  </si>
  <si>
    <t>Additional Cost Assumptions</t>
  </si>
  <si>
    <t>Provision for Corporate Income Taxes</t>
  </si>
  <si>
    <t>Net Income</t>
  </si>
  <si>
    <t>O&amp;M Assumptions</t>
  </si>
  <si>
    <t>1st Year O&amp;M Cost (USD / KWHr)</t>
  </si>
  <si>
    <t>1st Year O&amp;M Cost (PHP / KWHr)</t>
  </si>
  <si>
    <t>Annual O&amp;M Increase (%)</t>
  </si>
  <si>
    <t>Additional O&amp;M Expense</t>
  </si>
  <si>
    <t>Main O&amp;M Expense</t>
  </si>
  <si>
    <t xml:space="preserve">Operation and Maintenance </t>
  </si>
  <si>
    <t>Total Additional O&amp;M Expense</t>
  </si>
  <si>
    <t>Total Operation and Maintenance Expense</t>
  </si>
  <si>
    <t>REVENUE</t>
  </si>
  <si>
    <t>INCOME STATEMENT</t>
  </si>
  <si>
    <t>PROJECT DETAILS AND PROJECT COST</t>
  </si>
  <si>
    <t>DEPRECIATION SCHEDULE</t>
  </si>
  <si>
    <t>FINANCIAL METRICS</t>
  </si>
  <si>
    <t>SENSITIVITY ANALYSIS</t>
  </si>
  <si>
    <t>PREMIUM COST ANALYSIS</t>
  </si>
  <si>
    <t>% Earnings Before Taxes (EBT)</t>
  </si>
  <si>
    <t xml:space="preserve">% Net plant book value </t>
  </si>
  <si>
    <t>% Gross revenue</t>
  </si>
  <si>
    <t>Plant Economic Life (Years)</t>
  </si>
  <si>
    <t>Salvage Value</t>
  </si>
  <si>
    <t>Initial Book Value</t>
  </si>
  <si>
    <t>Depreciation and Amortization</t>
  </si>
  <si>
    <t>EBITDA</t>
  </si>
  <si>
    <t>Operating Income (EBIT)</t>
  </si>
  <si>
    <t>Depreciation</t>
  </si>
  <si>
    <t>Book Value</t>
  </si>
  <si>
    <t>Ending / Net Book Value</t>
  </si>
  <si>
    <t>Depreciation Method</t>
  </si>
  <si>
    <t>Straight-Line</t>
  </si>
  <si>
    <t>OPERATION AND MAINTENANCE SCHEDULE</t>
  </si>
  <si>
    <t>REVENUE AND GENERATION ASSUMPTIONS</t>
  </si>
  <si>
    <t>Increase / Decrease in Project Cost</t>
  </si>
  <si>
    <t>Increase / Decrease in Project Tariff</t>
  </si>
  <si>
    <t>% Increase / Decrease</t>
  </si>
  <si>
    <t>DSCR</t>
  </si>
  <si>
    <t>REVENUE AND GENERATION SCHEDULE (in 000's of PHP)</t>
  </si>
  <si>
    <t>(in 000's of PHP)</t>
  </si>
  <si>
    <t>Effective 1st Year O&amp;M Cost (in 000's of PHP)</t>
  </si>
  <si>
    <t>Project Cost (000's Php)</t>
  </si>
  <si>
    <t>Project Tariff (000's Php)</t>
  </si>
  <si>
    <t>Initial Book Value (in 000's Php)</t>
  </si>
  <si>
    <t>Fixed (in Php)</t>
  </si>
  <si>
    <t>Annual Depreciation (in 000's Php)</t>
  </si>
  <si>
    <t>DEBT SCHEDULE</t>
  </si>
  <si>
    <t>Construction Period (Months)</t>
  </si>
  <si>
    <t>Estimated Construction Cost (in 000's of PHP)</t>
  </si>
  <si>
    <t>Monthly Construction Cost (in 000's of PHP)</t>
  </si>
  <si>
    <t>Net Cash Flow</t>
  </si>
  <si>
    <t>Balloon Payment Portion (%)</t>
  </si>
  <si>
    <t>Payment</t>
  </si>
  <si>
    <t>Quarter</t>
  </si>
  <si>
    <t>Beginning Balance</t>
  </si>
  <si>
    <t>Interest</t>
  </si>
  <si>
    <t>Ending Balance</t>
  </si>
  <si>
    <t>Loan Amount (in 000's PHP)</t>
  </si>
  <si>
    <t>Loan Tenor (Yrs)</t>
  </si>
  <si>
    <t>Loan Tenor (Qtr)</t>
  </si>
  <si>
    <t>Grace Period (Qtr)</t>
  </si>
  <si>
    <t>Amortization Period (Qtr)</t>
  </si>
  <si>
    <t>Annual Interest Rate</t>
  </si>
  <si>
    <t>Drawdown / Renewal</t>
  </si>
  <si>
    <t>Initial Quarterly Interest Rate</t>
  </si>
  <si>
    <t>Loan Component (%)</t>
  </si>
  <si>
    <t>Project Cost (in 000's PHP)</t>
  </si>
  <si>
    <t>Balloon Payment Amount (in 000's PHP)</t>
  </si>
  <si>
    <t>Remaining Balance (in 000's PHP)</t>
  </si>
  <si>
    <t>Initial Loan Payment Amount (in 000's PHP)</t>
  </si>
  <si>
    <t>Quarterly Amortization</t>
  </si>
  <si>
    <t>Annual Amortization Summary</t>
  </si>
  <si>
    <t>Principal Payment</t>
  </si>
  <si>
    <t>Taxes</t>
  </si>
  <si>
    <t>Delta Working Capital</t>
  </si>
  <si>
    <t>Capex</t>
  </si>
  <si>
    <t xml:space="preserve">Operating Cash Flow </t>
  </si>
  <si>
    <t>Interest expenses</t>
  </si>
  <si>
    <t>Increase of equity</t>
  </si>
  <si>
    <t>in 000's Php</t>
  </si>
  <si>
    <t>CASH FLOW STATEMENT AND FINANCING</t>
  </si>
  <si>
    <t>Equity Financing</t>
  </si>
  <si>
    <t>DISCOUNTED CASH FLOW</t>
  </si>
  <si>
    <t>Tax rate</t>
  </si>
  <si>
    <t>Risk-free rate in the Philippines</t>
  </si>
  <si>
    <t>Market risk premium in the Philippines</t>
  </si>
  <si>
    <t>Debt Financing</t>
  </si>
  <si>
    <t>Equity Financing %</t>
  </si>
  <si>
    <t>Debt Financing %</t>
  </si>
  <si>
    <t>Total Financing</t>
  </si>
  <si>
    <t>Company Leverage</t>
  </si>
  <si>
    <t>Refinancing Tenor / Amortization (Qtr)</t>
  </si>
  <si>
    <t>Refinancing Payment Amount (in 000's PHP)</t>
  </si>
  <si>
    <t>Project Beta</t>
  </si>
  <si>
    <t>Debt / Equity</t>
  </si>
  <si>
    <t>Beta Unlevered</t>
  </si>
  <si>
    <t>Cost of Equity</t>
  </si>
  <si>
    <t>Cost of debt (Annual)</t>
  </si>
  <si>
    <t>WACC CALCULATION</t>
  </si>
  <si>
    <t>Discounted Cash Flow</t>
  </si>
  <si>
    <t>Residual / Salvage Value</t>
  </si>
  <si>
    <t>PROJECT IRR</t>
  </si>
  <si>
    <t>Balloon Refinance Rate (Quarterly)</t>
  </si>
  <si>
    <t xml:space="preserve"> </t>
  </si>
  <si>
    <t>(Note: Research on BEC's required rate of return)</t>
  </si>
  <si>
    <t>Project NPV (in 000's of PHP)</t>
  </si>
  <si>
    <t>NET CASH FLOW</t>
  </si>
  <si>
    <t>Generation Income</t>
  </si>
  <si>
    <t>Sale / Salvage Value</t>
  </si>
  <si>
    <t>Loan Drawdown</t>
  </si>
  <si>
    <t>Equity Contribution</t>
  </si>
  <si>
    <t>Interest + Principal Payment</t>
  </si>
  <si>
    <t>Cash Flow to Equity Holders</t>
  </si>
  <si>
    <t xml:space="preserve">Net Cash Flow </t>
  </si>
  <si>
    <t>PROJECT CASH FLOW</t>
  </si>
  <si>
    <t>FINANCING CASH FLOW</t>
  </si>
  <si>
    <t>(in % and 000's of PHP)</t>
  </si>
  <si>
    <t>Year</t>
  </si>
  <si>
    <t>PV of Cumulative Cash Flows</t>
  </si>
  <si>
    <t>Total Debt Service</t>
  </si>
  <si>
    <t>Principal Payments</t>
  </si>
  <si>
    <t>Average DSCR</t>
  </si>
  <si>
    <t>Project Cost</t>
  </si>
  <si>
    <t>Project Tariff</t>
  </si>
  <si>
    <t>EQUITY IRR</t>
  </si>
  <si>
    <t>PROJECT NPV</t>
  </si>
  <si>
    <t>EQUITY NPV</t>
  </si>
  <si>
    <t>Minimum Financial Target by Management</t>
  </si>
  <si>
    <t>Equity NPV (in 000's of PHP)</t>
  </si>
  <si>
    <t>REQUIRED RATE OF RETURN (WACC Average)</t>
  </si>
  <si>
    <t>Premium Cost (USD 000's)</t>
  </si>
  <si>
    <t>USD PHP Exchange Rate</t>
  </si>
  <si>
    <t>Premium Cost (PHP 000's)</t>
  </si>
  <si>
    <t>Project Construction Cost (PHP 000's)</t>
  </si>
  <si>
    <t>Total Cost Plus Premium (PHP 000's)</t>
  </si>
  <si>
    <t>Legend:</t>
  </si>
  <si>
    <t>Input Variable</t>
  </si>
  <si>
    <t>Value (Hardcoded)</t>
  </si>
  <si>
    <t>Output Variable</t>
  </si>
  <si>
    <t>Formula (Pls. Do not hardcode)</t>
  </si>
  <si>
    <t>Interpretation</t>
  </si>
  <si>
    <t xml:space="preserve">Taking into account the minimum financial metric requirements of the management, most financial metrics (IRR, NPV, ROI) do not meet profitability </t>
  </si>
  <si>
    <t>standards with the exception of the minimum ballpark value of 1.2 for the 25 year average DSCR</t>
  </si>
  <si>
    <t>Percentage Stake Acquired</t>
  </si>
  <si>
    <t>A 60% stake of project entitles us to shoulder 60% of project cost and entitles us to receive 60% of profits / cash flow.</t>
  </si>
  <si>
    <t>(Project cost x 0.6) + Market Premium 
-&gt; NPV IRR ROI -&gt; Value deemed acceptable by management</t>
  </si>
  <si>
    <t>Given Parameters:</t>
  </si>
  <si>
    <t>Required NPV, IRR, ROI</t>
  </si>
  <si>
    <t>Project Cost x 60%</t>
  </si>
  <si>
    <t>Cash flow x 60%</t>
  </si>
  <si>
    <t>Unknown:</t>
  </si>
  <si>
    <t>Acquisition Premium - AP</t>
  </si>
  <si>
    <t>Total Project Cost (000's PHP)</t>
  </si>
  <si>
    <t>10 - Year PSE CAGR Return</t>
  </si>
  <si>
    <t>Required NPV</t>
  </si>
  <si>
    <t>Project Cost Excluding Premium (000's PHP)</t>
  </si>
  <si>
    <t>Instructions: Encode desired financial metric value below for data table to highlight desirable financial scenarios (Highlighted in green)</t>
  </si>
  <si>
    <t>60% Net Cash Flow  to Equity Holders</t>
  </si>
  <si>
    <t>60% Total Cash Flow</t>
  </si>
  <si>
    <t>Sum of PV Cash Flows</t>
  </si>
  <si>
    <t>Annual Attenuation Rate</t>
  </si>
  <si>
    <t>X Company is offering to sell 100% business interest to Company A in a 26,880 KW solar PV farm power project.</t>
  </si>
  <si>
    <t>During operation period of the plant, Company A, will be paid by a distribution utility on a fixed amount of Php 8.54 per KWHr for the power energy produced.</t>
  </si>
  <si>
    <t>On the corporate income tax rate, assume it to be 10%.</t>
  </si>
  <si>
    <t>5. Since Company A has invited to acquire 100% stake of the project, a premium cost for the development of the project is being charged by X Company amounting to USD 15 million.</t>
  </si>
  <si>
    <t>At Company A's point-of-view, is the project still viable to pursue? Explain using the resulting financial indicators.</t>
  </si>
  <si>
    <t xml:space="preserve">6. However, Company A decided to acquire only 60% stake of the project. How much would be an equitable and reasonable premium that Company A have to pay to the X Company? </t>
  </si>
  <si>
    <t>Company Beta (Company A)</t>
  </si>
  <si>
    <t>Based on the highlighted financial metrics above, it is not feasible for Company A to pursue the project given the additional cost premium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</si>
</sst>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ar&quot;\ 0"/>
    <numFmt numFmtId="165" formatCode="0.0%"/>
    <numFmt numFmtId="166" formatCode="&quot;Y&quot;\ 0"/>
    <numFmt numFmtId="167" formatCode="#,##0,"/>
    <numFmt numFmtId="168" formatCode="_(* #,##0_);_(* \(#,##0\);_(* &quot;-&quot;??_);_(@_)"/>
    <numFmt numFmtId="169" formatCode="\Q0"/>
    <numFmt numFmtId="170" formatCode="&quot;Y&quot;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56"/>
      <name val="Calibri"/>
      <family val="2"/>
    </font>
    <font>
      <b/>
      <sz val="11"/>
      <name val="Calibri"/>
      <family val="2"/>
    </font>
    <font>
      <sz val="11"/>
      <color indexed="6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sz val="11"/>
      <color theme="4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2060"/>
      <name val="Arial"/>
      <family val="2"/>
    </font>
    <font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1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 indent="2"/>
    </xf>
    <xf numFmtId="0" fontId="0" fillId="33" borderId="12" xfId="0" applyFill="1" applyBorder="1" applyAlignment="1">
      <alignment/>
    </xf>
    <xf numFmtId="164" fontId="41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3" fontId="41" fillId="33" borderId="0" xfId="0" applyNumberFormat="1" applyFont="1" applyFill="1" applyAlignment="1">
      <alignment/>
    </xf>
    <xf numFmtId="166" fontId="41" fillId="33" borderId="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41" fillId="33" borderId="0" xfId="0" applyFont="1" applyFill="1" applyBorder="1" applyAlignment="1">
      <alignment/>
    </xf>
    <xf numFmtId="0" fontId="0" fillId="33" borderId="0" xfId="0" applyFill="1" applyAlignment="1">
      <alignment horizontal="left" indent="1"/>
    </xf>
    <xf numFmtId="0" fontId="41" fillId="33" borderId="10" xfId="0" applyFont="1" applyFill="1" applyBorder="1" applyAlignment="1">
      <alignment horizontal="left"/>
    </xf>
    <xf numFmtId="0" fontId="41" fillId="33" borderId="12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Alignment="1">
      <alignment horizontal="left"/>
    </xf>
    <xf numFmtId="0" fontId="0" fillId="33" borderId="0" xfId="0" applyFont="1" applyFill="1" applyAlignment="1">
      <alignment horizontal="left" indent="1"/>
    </xf>
    <xf numFmtId="0" fontId="0" fillId="34" borderId="0" xfId="0" applyFill="1" applyAlignment="1">
      <alignment/>
    </xf>
    <xf numFmtId="0" fontId="29" fillId="34" borderId="0" xfId="0" applyFont="1" applyFill="1" applyAlignment="1">
      <alignment/>
    </xf>
    <xf numFmtId="0" fontId="0" fillId="35" borderId="0" xfId="0" applyFill="1" applyBorder="1" applyAlignment="1">
      <alignment/>
    </xf>
    <xf numFmtId="0" fontId="29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horizontal="center"/>
    </xf>
    <xf numFmtId="3" fontId="0" fillId="33" borderId="0" xfId="0" applyNumberFormat="1" applyFill="1" applyAlignment="1">
      <alignment horizontal="left"/>
    </xf>
    <xf numFmtId="0" fontId="0" fillId="33" borderId="0" xfId="0" applyFill="1" applyBorder="1" applyAlignment="1">
      <alignment horizontal="left" indent="1"/>
    </xf>
    <xf numFmtId="164" fontId="43" fillId="33" borderId="0" xfId="0" applyNumberFormat="1" applyFont="1" applyFill="1" applyBorder="1" applyAlignment="1">
      <alignment horizontal="center"/>
    </xf>
    <xf numFmtId="3" fontId="0" fillId="33" borderId="0" xfId="58" applyNumberFormat="1" applyFont="1" applyFill="1" applyAlignment="1">
      <alignment horizontal="right"/>
    </xf>
    <xf numFmtId="0" fontId="41" fillId="33" borderId="0" xfId="0" applyFont="1" applyFill="1" applyAlignment="1">
      <alignment horizontal="left" indent="2"/>
    </xf>
    <xf numFmtId="0" fontId="0" fillId="35" borderId="10" xfId="0" applyFill="1" applyBorder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4" fontId="41" fillId="33" borderId="0" xfId="0" applyNumberFormat="1" applyFont="1" applyFill="1" applyAlignment="1">
      <alignment horizontal="center"/>
    </xf>
    <xf numFmtId="2" fontId="41" fillId="33" borderId="0" xfId="0" applyNumberFormat="1" applyFont="1" applyFill="1" applyAlignment="1">
      <alignment horizontal="center"/>
    </xf>
    <xf numFmtId="167" fontId="0" fillId="33" borderId="0" xfId="0" applyNumberFormat="1" applyFill="1" applyAlignment="1">
      <alignment/>
    </xf>
    <xf numFmtId="167" fontId="41" fillId="33" borderId="0" xfId="0" applyNumberFormat="1" applyFont="1" applyFill="1" applyBorder="1" applyAlignment="1">
      <alignment/>
    </xf>
    <xf numFmtId="167" fontId="41" fillId="33" borderId="10" xfId="0" applyNumberFormat="1" applyFont="1" applyFill="1" applyBorder="1" applyAlignment="1">
      <alignment/>
    </xf>
    <xf numFmtId="167" fontId="0" fillId="33" borderId="10" xfId="0" applyNumberFormat="1" applyFill="1" applyBorder="1" applyAlignment="1">
      <alignment/>
    </xf>
    <xf numFmtId="167" fontId="0" fillId="33" borderId="12" xfId="0" applyNumberForma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0" fillId="33" borderId="0" xfId="0" applyNumberFormat="1" applyFill="1" applyAlignment="1">
      <alignment/>
    </xf>
    <xf numFmtId="167" fontId="0" fillId="33" borderId="10" xfId="0" applyNumberFormat="1" applyFill="1" applyBorder="1" applyAlignment="1">
      <alignment/>
    </xf>
    <xf numFmtId="167" fontId="41" fillId="33" borderId="0" xfId="0" applyNumberFormat="1" applyFont="1" applyFill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3" fontId="43" fillId="32" borderId="18" xfId="0" applyNumberFormat="1" applyFont="1" applyFill="1" applyBorder="1" applyAlignment="1">
      <alignment horizontal="left"/>
    </xf>
    <xf numFmtId="3" fontId="43" fillId="32" borderId="19" xfId="0" applyNumberFormat="1" applyFont="1" applyFill="1" applyBorder="1" applyAlignment="1">
      <alignment horizontal="left"/>
    </xf>
    <xf numFmtId="0" fontId="0" fillId="35" borderId="14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167" fontId="0" fillId="32" borderId="18" xfId="0" applyNumberFormat="1" applyFill="1" applyBorder="1" applyAlignment="1">
      <alignment horizontal="left"/>
    </xf>
    <xf numFmtId="10" fontId="43" fillId="32" borderId="20" xfId="58" applyNumberFormat="1" applyFont="1" applyFill="1" applyBorder="1" applyAlignment="1">
      <alignment horizontal="left"/>
    </xf>
    <xf numFmtId="10" fontId="43" fillId="32" borderId="18" xfId="58" applyNumberFormat="1" applyFont="1" applyFill="1" applyBorder="1" applyAlignment="1">
      <alignment horizontal="center"/>
    </xf>
    <xf numFmtId="10" fontId="43" fillId="32" borderId="19" xfId="58" applyNumberFormat="1" applyFont="1" applyFill="1" applyBorder="1" applyAlignment="1">
      <alignment horizontal="center"/>
    </xf>
    <xf numFmtId="4" fontId="43" fillId="32" borderId="19" xfId="0" applyNumberFormat="1" applyFont="1" applyFill="1" applyBorder="1" applyAlignment="1">
      <alignment horizontal="center"/>
    </xf>
    <xf numFmtId="3" fontId="43" fillId="32" borderId="20" xfId="0" applyNumberFormat="1" applyFont="1" applyFill="1" applyBorder="1" applyAlignment="1">
      <alignment horizontal="center"/>
    </xf>
    <xf numFmtId="9" fontId="43" fillId="32" borderId="13" xfId="58" applyFont="1" applyFill="1" applyBorder="1" applyAlignment="1">
      <alignment horizontal="center"/>
    </xf>
    <xf numFmtId="3" fontId="0" fillId="32" borderId="18" xfId="0" applyNumberFormat="1" applyFill="1" applyBorder="1" applyAlignment="1">
      <alignment horizontal="right"/>
    </xf>
    <xf numFmtId="167" fontId="0" fillId="32" borderId="19" xfId="0" applyNumberFormat="1" applyFill="1" applyBorder="1" applyAlignment="1">
      <alignment/>
    </xf>
    <xf numFmtId="0" fontId="0" fillId="32" borderId="20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44" fillId="32" borderId="18" xfId="0" applyFont="1" applyFill="1" applyBorder="1" applyAlignment="1">
      <alignment/>
    </xf>
    <xf numFmtId="167" fontId="0" fillId="32" borderId="20" xfId="0" applyNumberFormat="1" applyFill="1" applyBorder="1" applyAlignment="1">
      <alignment/>
    </xf>
    <xf numFmtId="0" fontId="0" fillId="35" borderId="23" xfId="0" applyFill="1" applyBorder="1" applyAlignment="1">
      <alignment/>
    </xf>
    <xf numFmtId="0" fontId="0" fillId="32" borderId="20" xfId="58" applyNumberFormat="1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 indent="2"/>
    </xf>
    <xf numFmtId="0" fontId="0" fillId="35" borderId="10" xfId="0" applyFont="1" applyFill="1" applyBorder="1" applyAlignment="1">
      <alignment horizontal="left" indent="2"/>
    </xf>
    <xf numFmtId="0" fontId="0" fillId="35" borderId="15" xfId="0" applyFont="1" applyFill="1" applyBorder="1" applyAlignment="1">
      <alignment horizontal="left" indent="2"/>
    </xf>
    <xf numFmtId="0" fontId="0" fillId="35" borderId="0" xfId="0" applyFont="1" applyFill="1" applyBorder="1" applyAlignment="1">
      <alignment horizontal="left" indent="2"/>
    </xf>
    <xf numFmtId="0" fontId="0" fillId="35" borderId="16" xfId="0" applyFont="1" applyFill="1" applyBorder="1" applyAlignment="1">
      <alignment horizontal="left" indent="2"/>
    </xf>
    <xf numFmtId="0" fontId="0" fillId="35" borderId="17" xfId="0" applyFont="1" applyFill="1" applyBorder="1" applyAlignment="1">
      <alignment horizontal="left" indent="2"/>
    </xf>
    <xf numFmtId="9" fontId="0" fillId="32" borderId="13" xfId="58" applyFont="1" applyFill="1" applyBorder="1" applyAlignment="1">
      <alignment horizontal="center"/>
    </xf>
    <xf numFmtId="0" fontId="41" fillId="35" borderId="19" xfId="0" applyFont="1" applyFill="1" applyBorder="1" applyAlignment="1">
      <alignment/>
    </xf>
    <xf numFmtId="0" fontId="41" fillId="35" borderId="20" xfId="0" applyFont="1" applyFill="1" applyBorder="1" applyAlignment="1">
      <alignment/>
    </xf>
    <xf numFmtId="167" fontId="41" fillId="33" borderId="0" xfId="0" applyNumberFormat="1" applyFont="1" applyFill="1" applyBorder="1" applyAlignment="1">
      <alignment horizontal="left"/>
    </xf>
    <xf numFmtId="10" fontId="43" fillId="32" borderId="19" xfId="58" applyNumberFormat="1" applyFont="1" applyFill="1" applyBorder="1" applyAlignment="1">
      <alignment horizontal="left"/>
    </xf>
    <xf numFmtId="4" fontId="43" fillId="32" borderId="19" xfId="0" applyNumberFormat="1" applyFont="1" applyFill="1" applyBorder="1" applyAlignment="1">
      <alignment horizontal="left"/>
    </xf>
    <xf numFmtId="3" fontId="43" fillId="32" borderId="20" xfId="0" applyNumberFormat="1" applyFont="1" applyFill="1" applyBorder="1" applyAlignment="1">
      <alignment horizontal="left"/>
    </xf>
    <xf numFmtId="168" fontId="45" fillId="33" borderId="0" xfId="42" applyNumberFormat="1" applyFont="1" applyFill="1" applyBorder="1" applyAlignment="1">
      <alignment/>
    </xf>
    <xf numFmtId="9" fontId="45" fillId="33" borderId="0" xfId="58" applyFont="1" applyFill="1" applyBorder="1" applyAlignment="1">
      <alignment/>
    </xf>
    <xf numFmtId="3" fontId="0" fillId="33" borderId="0" xfId="58" applyNumberFormat="1" applyFont="1" applyFill="1" applyBorder="1" applyAlignment="1">
      <alignment horizontal="right"/>
    </xf>
    <xf numFmtId="9" fontId="0" fillId="32" borderId="19" xfId="58" applyFont="1" applyFill="1" applyBorder="1" applyAlignment="1">
      <alignment/>
    </xf>
    <xf numFmtId="0" fontId="0" fillId="32" borderId="19" xfId="0" applyFill="1" applyBorder="1" applyAlignment="1">
      <alignment/>
    </xf>
    <xf numFmtId="0" fontId="0" fillId="33" borderId="0" xfId="0" applyFill="1" applyAlignment="1">
      <alignment horizontal="left" indent="3"/>
    </xf>
    <xf numFmtId="167" fontId="0" fillId="32" borderId="18" xfId="0" applyNumberFormat="1" applyFill="1" applyBorder="1" applyAlignment="1">
      <alignment/>
    </xf>
    <xf numFmtId="10" fontId="0" fillId="32" borderId="19" xfId="58" applyNumberFormat="1" applyFont="1" applyFill="1" applyBorder="1" applyAlignment="1">
      <alignment/>
    </xf>
    <xf numFmtId="9" fontId="0" fillId="32" borderId="18" xfId="58" applyFont="1" applyFill="1" applyBorder="1" applyAlignment="1">
      <alignment/>
    </xf>
    <xf numFmtId="0" fontId="0" fillId="33" borderId="0" xfId="0" applyFill="1" applyAlignment="1">
      <alignment horizontal="left" indent="5"/>
    </xf>
    <xf numFmtId="0" fontId="41" fillId="33" borderId="10" xfId="0" applyFont="1" applyFill="1" applyBorder="1" applyAlignment="1">
      <alignment horizontal="left" indent="2"/>
    </xf>
    <xf numFmtId="170" fontId="41" fillId="33" borderId="0" xfId="0" applyNumberFormat="1" applyFont="1" applyFill="1" applyAlignment="1">
      <alignment horizontal="center"/>
    </xf>
    <xf numFmtId="169" fontId="41" fillId="33" borderId="0" xfId="0" applyNumberFormat="1" applyFont="1" applyFill="1" applyAlignment="1">
      <alignment horizontal="center"/>
    </xf>
    <xf numFmtId="168" fontId="46" fillId="33" borderId="10" xfId="0" applyNumberFormat="1" applyFont="1" applyFill="1" applyBorder="1" applyAlignment="1">
      <alignment/>
    </xf>
    <xf numFmtId="168" fontId="47" fillId="33" borderId="0" xfId="0" applyNumberFormat="1" applyFont="1" applyFill="1" applyBorder="1" applyAlignment="1">
      <alignment/>
    </xf>
    <xf numFmtId="168" fontId="45" fillId="33" borderId="10" xfId="42" applyNumberFormat="1" applyFont="1" applyFill="1" applyBorder="1" applyAlignment="1">
      <alignment/>
    </xf>
    <xf numFmtId="168" fontId="47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0" fillId="33" borderId="0" xfId="0" applyFont="1" applyFill="1" applyBorder="1" applyAlignment="1">
      <alignment/>
    </xf>
    <xf numFmtId="0" fontId="29" fillId="33" borderId="10" xfId="0" applyFont="1" applyFill="1" applyBorder="1" applyAlignment="1">
      <alignment/>
    </xf>
    <xf numFmtId="10" fontId="0" fillId="32" borderId="18" xfId="0" applyNumberFormat="1" applyFill="1" applyBorder="1" applyAlignment="1">
      <alignment/>
    </xf>
    <xf numFmtId="9" fontId="45" fillId="35" borderId="0" xfId="58" applyFont="1" applyFill="1" applyBorder="1" applyAlignment="1">
      <alignment/>
    </xf>
    <xf numFmtId="168" fontId="45" fillId="35" borderId="14" xfId="42" applyNumberFormat="1" applyFont="1" applyFill="1" applyBorder="1" applyAlignment="1">
      <alignment/>
    </xf>
    <xf numFmtId="9" fontId="45" fillId="35" borderId="10" xfId="58" applyFont="1" applyFill="1" applyBorder="1" applyAlignment="1">
      <alignment/>
    </xf>
    <xf numFmtId="168" fontId="45" fillId="35" borderId="15" xfId="42" applyNumberFormat="1" applyFont="1" applyFill="1" applyBorder="1" applyAlignment="1">
      <alignment/>
    </xf>
    <xf numFmtId="168" fontId="45" fillId="35" borderId="16" xfId="42" applyNumberFormat="1" applyFont="1" applyFill="1" applyBorder="1" applyAlignment="1">
      <alignment/>
    </xf>
    <xf numFmtId="9" fontId="45" fillId="35" borderId="17" xfId="58" applyFont="1" applyFill="1" applyBorder="1" applyAlignment="1">
      <alignment/>
    </xf>
    <xf numFmtId="9" fontId="0" fillId="33" borderId="0" xfId="58" applyFont="1" applyFill="1" applyBorder="1" applyAlignment="1">
      <alignment/>
    </xf>
    <xf numFmtId="169" fontId="41" fillId="33" borderId="0" xfId="0" applyNumberFormat="1" applyFont="1" applyFill="1" applyBorder="1" applyAlignment="1">
      <alignment horizontal="center"/>
    </xf>
    <xf numFmtId="0" fontId="41" fillId="33" borderId="0" xfId="0" applyFont="1" applyFill="1" applyBorder="1" applyAlignment="1">
      <alignment horizontal="left" indent="2"/>
    </xf>
    <xf numFmtId="0" fontId="0" fillId="33" borderId="0" xfId="0" applyFont="1" applyFill="1" applyBorder="1" applyAlignment="1">
      <alignment horizontal="left" indent="2"/>
    </xf>
    <xf numFmtId="4" fontId="41" fillId="33" borderId="0" xfId="58" applyNumberFormat="1" applyFont="1" applyFill="1" applyBorder="1" applyAlignment="1">
      <alignment/>
    </xf>
    <xf numFmtId="165" fontId="41" fillId="33" borderId="0" xfId="58" applyNumberFormat="1" applyFont="1" applyFill="1" applyBorder="1" applyAlignment="1">
      <alignment/>
    </xf>
    <xf numFmtId="4" fontId="41" fillId="33" borderId="10" xfId="58" applyNumberFormat="1" applyFont="1" applyFill="1" applyBorder="1" applyAlignment="1">
      <alignment/>
    </xf>
    <xf numFmtId="10" fontId="48" fillId="32" borderId="19" xfId="52" applyNumberFormat="1" applyFont="1" applyFill="1" applyBorder="1" applyAlignment="1">
      <alignment/>
    </xf>
    <xf numFmtId="10" fontId="48" fillId="32" borderId="20" xfId="52" applyNumberFormat="1" applyFont="1" applyFill="1" applyBorder="1" applyAlignment="1">
      <alignment/>
    </xf>
    <xf numFmtId="10" fontId="41" fillId="33" borderId="0" xfId="58" applyNumberFormat="1" applyFont="1" applyFill="1" applyBorder="1" applyAlignment="1">
      <alignment/>
    </xf>
    <xf numFmtId="0" fontId="41" fillId="33" borderId="11" xfId="0" applyFont="1" applyFill="1" applyBorder="1" applyAlignment="1">
      <alignment horizontal="left"/>
    </xf>
    <xf numFmtId="10" fontId="0" fillId="33" borderId="11" xfId="58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9" fontId="0" fillId="33" borderId="0" xfId="58" applyFont="1" applyFill="1" applyAlignment="1">
      <alignment/>
    </xf>
    <xf numFmtId="10" fontId="0" fillId="33" borderId="0" xfId="58" applyNumberFormat="1" applyFont="1" applyFill="1" applyAlignment="1">
      <alignment/>
    </xf>
    <xf numFmtId="0" fontId="0" fillId="35" borderId="11" xfId="0" applyFill="1" applyBorder="1" applyAlignment="1">
      <alignment/>
    </xf>
    <xf numFmtId="0" fontId="0" fillId="35" borderId="24" xfId="0" applyFill="1" applyBorder="1" applyAlignment="1">
      <alignment/>
    </xf>
    <xf numFmtId="168" fontId="46" fillId="35" borderId="25" xfId="42" applyNumberFormat="1" applyFont="1" applyFill="1" applyBorder="1" applyAlignment="1">
      <alignment/>
    </xf>
    <xf numFmtId="9" fontId="46" fillId="35" borderId="11" xfId="58" applyFont="1" applyFill="1" applyBorder="1" applyAlignment="1">
      <alignment/>
    </xf>
    <xf numFmtId="8" fontId="0" fillId="33" borderId="0" xfId="0" applyNumberFormat="1" applyFill="1" applyAlignment="1">
      <alignment/>
    </xf>
    <xf numFmtId="0" fontId="0" fillId="33" borderId="0" xfId="0" applyFill="1" applyBorder="1" applyAlignment="1">
      <alignment horizontal="left" indent="2"/>
    </xf>
    <xf numFmtId="0" fontId="0" fillId="33" borderId="0" xfId="0" applyFont="1" applyFill="1" applyAlignment="1">
      <alignment horizontal="left" indent="2"/>
    </xf>
    <xf numFmtId="10" fontId="41" fillId="33" borderId="0" xfId="0" applyNumberFormat="1" applyFont="1" applyFill="1" applyBorder="1" applyAlignment="1">
      <alignment/>
    </xf>
    <xf numFmtId="165" fontId="41" fillId="33" borderId="0" xfId="0" applyNumberFormat="1" applyFont="1" applyFill="1" applyAlignment="1">
      <alignment/>
    </xf>
    <xf numFmtId="164" fontId="43" fillId="33" borderId="10" xfId="0" applyNumberFormat="1" applyFont="1" applyFill="1" applyBorder="1" applyAlignment="1">
      <alignment horizontal="center"/>
    </xf>
    <xf numFmtId="164" fontId="41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 indent="4"/>
    </xf>
    <xf numFmtId="0" fontId="0" fillId="33" borderId="10" xfId="0" applyFont="1" applyFill="1" applyBorder="1" applyAlignment="1">
      <alignment horizontal="left" indent="2"/>
    </xf>
    <xf numFmtId="2" fontId="41" fillId="33" borderId="0" xfId="0" applyNumberFormat="1" applyFont="1" applyFill="1" applyAlignment="1">
      <alignment/>
    </xf>
    <xf numFmtId="2" fontId="41" fillId="33" borderId="0" xfId="0" applyNumberFormat="1" applyFont="1" applyFill="1" applyAlignment="1">
      <alignment horizontal="right"/>
    </xf>
    <xf numFmtId="4" fontId="41" fillId="33" borderId="0" xfId="0" applyNumberFormat="1" applyFont="1" applyFill="1" applyAlignment="1">
      <alignment horizontal="right"/>
    </xf>
    <xf numFmtId="0" fontId="0" fillId="35" borderId="13" xfId="0" applyFont="1" applyFill="1" applyBorder="1" applyAlignment="1">
      <alignment horizontal="left" indent="1"/>
    </xf>
    <xf numFmtId="167" fontId="0" fillId="32" borderId="18" xfId="58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 indent="1"/>
    </xf>
    <xf numFmtId="167" fontId="0" fillId="33" borderId="0" xfId="58" applyNumberFormat="1" applyFont="1" applyFill="1" applyBorder="1" applyAlignment="1">
      <alignment horizontal="center"/>
    </xf>
    <xf numFmtId="10" fontId="0" fillId="33" borderId="14" xfId="0" applyNumberFormat="1" applyFill="1" applyBorder="1" applyAlignment="1">
      <alignment horizontal="center"/>
    </xf>
    <xf numFmtId="167" fontId="0" fillId="33" borderId="10" xfId="0" applyNumberFormat="1" applyFill="1" applyBorder="1" applyAlignment="1">
      <alignment horizontal="center"/>
    </xf>
    <xf numFmtId="165" fontId="0" fillId="33" borderId="10" xfId="0" applyNumberFormat="1" applyFill="1" applyBorder="1" applyAlignment="1">
      <alignment horizontal="center"/>
    </xf>
    <xf numFmtId="10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0" fillId="35" borderId="25" xfId="0" applyFont="1" applyFill="1" applyBorder="1" applyAlignment="1">
      <alignment horizontal="left" indent="1"/>
    </xf>
    <xf numFmtId="9" fontId="0" fillId="32" borderId="24" xfId="58" applyFont="1" applyFill="1" applyBorder="1" applyAlignment="1">
      <alignment horizontal="center"/>
    </xf>
    <xf numFmtId="0" fontId="0" fillId="35" borderId="25" xfId="0" applyFill="1" applyBorder="1" applyAlignment="1">
      <alignment/>
    </xf>
    <xf numFmtId="0" fontId="41" fillId="33" borderId="0" xfId="0" applyFont="1" applyFill="1" applyAlignment="1">
      <alignment horizontal="right"/>
    </xf>
    <xf numFmtId="10" fontId="0" fillId="33" borderId="0" xfId="0" applyNumberFormat="1" applyFill="1" applyAlignment="1">
      <alignment horizontal="center"/>
    </xf>
    <xf numFmtId="10" fontId="0" fillId="33" borderId="0" xfId="0" applyNumberFormat="1" applyFill="1" applyAlignment="1">
      <alignment horizontal="right"/>
    </xf>
    <xf numFmtId="167" fontId="41" fillId="33" borderId="0" xfId="0" applyNumberFormat="1" applyFont="1" applyFill="1" applyAlignment="1">
      <alignment horizontal="right"/>
    </xf>
    <xf numFmtId="167" fontId="0" fillId="33" borderId="0" xfId="0" applyNumberFormat="1" applyFont="1" applyFill="1" applyAlignment="1">
      <alignment horizontal="right"/>
    </xf>
    <xf numFmtId="10" fontId="0" fillId="33" borderId="0" xfId="58" applyNumberFormat="1" applyFont="1" applyFill="1" applyAlignment="1">
      <alignment horizontal="right"/>
    </xf>
    <xf numFmtId="2" fontId="0" fillId="33" borderId="0" xfId="58" applyNumberFormat="1" applyFont="1" applyFill="1" applyAlignment="1">
      <alignment horizontal="right"/>
    </xf>
    <xf numFmtId="9" fontId="0" fillId="32" borderId="18" xfId="58" applyFont="1" applyFill="1" applyBorder="1" applyAlignment="1">
      <alignment horizontal="center"/>
    </xf>
    <xf numFmtId="167" fontId="0" fillId="32" borderId="19" xfId="58" applyNumberFormat="1" applyFont="1" applyFill="1" applyBorder="1" applyAlignment="1">
      <alignment horizontal="center"/>
    </xf>
    <xf numFmtId="9" fontId="0" fillId="32" borderId="20" xfId="58" applyFont="1" applyFill="1" applyBorder="1" applyAlignment="1">
      <alignment horizontal="center"/>
    </xf>
    <xf numFmtId="9" fontId="0" fillId="32" borderId="19" xfId="58" applyFont="1" applyFill="1" applyBorder="1" applyAlignment="1">
      <alignment horizontal="center"/>
    </xf>
    <xf numFmtId="2" fontId="0" fillId="33" borderId="21" xfId="0" applyNumberForma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10" fontId="0" fillId="33" borderId="16" xfId="0" applyNumberFormat="1" applyFill="1" applyBorder="1" applyAlignment="1">
      <alignment horizontal="center"/>
    </xf>
    <xf numFmtId="167" fontId="0" fillId="33" borderId="17" xfId="0" applyNumberFormat="1" applyFill="1" applyBorder="1" applyAlignment="1">
      <alignment horizontal="center"/>
    </xf>
    <xf numFmtId="165" fontId="0" fillId="33" borderId="17" xfId="0" applyNumberFormat="1" applyFill="1" applyBorder="1" applyAlignment="1">
      <alignment horizontal="center"/>
    </xf>
    <xf numFmtId="10" fontId="0" fillId="33" borderId="17" xfId="0" applyNumberFormat="1" applyFill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10" fontId="0" fillId="33" borderId="21" xfId="0" applyNumberFormat="1" applyFill="1" applyBorder="1" applyAlignment="1">
      <alignment horizontal="center"/>
    </xf>
    <xf numFmtId="10" fontId="0" fillId="33" borderId="23" xfId="0" applyNumberFormat="1" applyFill="1" applyBorder="1" applyAlignment="1">
      <alignment horizontal="center"/>
    </xf>
    <xf numFmtId="10" fontId="0" fillId="33" borderId="22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167" fontId="0" fillId="33" borderId="14" xfId="0" applyNumberFormat="1" applyFill="1" applyBorder="1" applyAlignment="1">
      <alignment horizontal="center"/>
    </xf>
    <xf numFmtId="167" fontId="0" fillId="33" borderId="21" xfId="0" applyNumberFormat="1" applyFill="1" applyBorder="1" applyAlignment="1">
      <alignment horizontal="center"/>
    </xf>
    <xf numFmtId="167" fontId="0" fillId="33" borderId="15" xfId="0" applyNumberFormat="1" applyFill="1" applyBorder="1" applyAlignment="1">
      <alignment horizontal="center"/>
    </xf>
    <xf numFmtId="167" fontId="0" fillId="33" borderId="23" xfId="0" applyNumberFormat="1" applyFill="1" applyBorder="1" applyAlignment="1">
      <alignment horizontal="center"/>
    </xf>
    <xf numFmtId="167" fontId="0" fillId="33" borderId="16" xfId="0" applyNumberFormat="1" applyFill="1" applyBorder="1" applyAlignment="1">
      <alignment horizontal="center"/>
    </xf>
    <xf numFmtId="167" fontId="0" fillId="33" borderId="2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21" xfId="0" applyNumberFormat="1" applyFill="1" applyBorder="1" applyAlignment="1">
      <alignment horizontal="center"/>
    </xf>
    <xf numFmtId="165" fontId="0" fillId="33" borderId="15" xfId="0" applyNumberFormat="1" applyFill="1" applyBorder="1" applyAlignment="1">
      <alignment horizontal="center"/>
    </xf>
    <xf numFmtId="165" fontId="0" fillId="33" borderId="23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22" xfId="0" applyNumberFormat="1" applyFill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10" fontId="0" fillId="33" borderId="26" xfId="0" applyNumberFormat="1" applyFill="1" applyBorder="1" applyAlignment="1">
      <alignment horizontal="center"/>
    </xf>
    <xf numFmtId="167" fontId="0" fillId="33" borderId="27" xfId="0" applyNumberFormat="1" applyFill="1" applyBorder="1" applyAlignment="1">
      <alignment horizontal="center"/>
    </xf>
    <xf numFmtId="165" fontId="0" fillId="33" borderId="27" xfId="0" applyNumberFormat="1" applyFill="1" applyBorder="1" applyAlignment="1">
      <alignment horizontal="center"/>
    </xf>
    <xf numFmtId="10" fontId="0" fillId="33" borderId="27" xfId="0" applyNumberFormat="1" applyFill="1" applyBorder="1" applyAlignment="1">
      <alignment horizontal="center"/>
    </xf>
    <xf numFmtId="2" fontId="0" fillId="33" borderId="28" xfId="0" applyNumberFormat="1" applyFill="1" applyBorder="1" applyAlignment="1">
      <alignment horizontal="center"/>
    </xf>
    <xf numFmtId="10" fontId="0" fillId="33" borderId="28" xfId="0" applyNumberFormat="1" applyFill="1" applyBorder="1" applyAlignment="1">
      <alignment horizontal="center"/>
    </xf>
    <xf numFmtId="165" fontId="0" fillId="33" borderId="26" xfId="0" applyNumberFormat="1" applyFill="1" applyBorder="1" applyAlignment="1">
      <alignment horizontal="center"/>
    </xf>
    <xf numFmtId="165" fontId="0" fillId="33" borderId="28" xfId="0" applyNumberFormat="1" applyFill="1" applyBorder="1" applyAlignment="1">
      <alignment horizontal="center"/>
    </xf>
    <xf numFmtId="167" fontId="0" fillId="33" borderId="26" xfId="0" applyNumberFormat="1" applyFill="1" applyBorder="1" applyAlignment="1">
      <alignment horizontal="center"/>
    </xf>
    <xf numFmtId="167" fontId="0" fillId="33" borderId="28" xfId="0" applyNumberFormat="1" applyFill="1" applyBorder="1" applyAlignment="1">
      <alignment horizontal="center"/>
    </xf>
    <xf numFmtId="2" fontId="0" fillId="33" borderId="26" xfId="0" applyNumberFormat="1" applyFill="1" applyBorder="1" applyAlignment="1">
      <alignment horizontal="center"/>
    </xf>
    <xf numFmtId="2" fontId="0" fillId="33" borderId="27" xfId="0" applyNumberFormat="1" applyFill="1" applyBorder="1" applyAlignment="1">
      <alignment horizontal="center"/>
    </xf>
    <xf numFmtId="0" fontId="41" fillId="35" borderId="14" xfId="0" applyFont="1" applyFill="1" applyBorder="1" applyAlignment="1">
      <alignment horizontal="left"/>
    </xf>
    <xf numFmtId="0" fontId="41" fillId="35" borderId="15" xfId="0" applyFont="1" applyFill="1" applyBorder="1" applyAlignment="1">
      <alignment horizontal="left"/>
    </xf>
    <xf numFmtId="0" fontId="41" fillId="35" borderId="16" xfId="0" applyFont="1" applyFill="1" applyBorder="1" applyAlignment="1">
      <alignment horizontal="left"/>
    </xf>
    <xf numFmtId="167" fontId="0" fillId="32" borderId="18" xfId="0" applyNumberFormat="1" applyFill="1" applyBorder="1" applyAlignment="1">
      <alignment horizontal="center"/>
    </xf>
    <xf numFmtId="167" fontId="41" fillId="10" borderId="19" xfId="0" applyNumberFormat="1" applyFont="1" applyFill="1" applyBorder="1" applyAlignment="1">
      <alignment horizontal="left"/>
    </xf>
    <xf numFmtId="167" fontId="41" fillId="10" borderId="20" xfId="0" applyNumberFormat="1" applyFont="1" applyFill="1" applyBorder="1" applyAlignment="1">
      <alignment horizontal="left"/>
    </xf>
    <xf numFmtId="0" fontId="0" fillId="10" borderId="20" xfId="0" applyFill="1" applyBorder="1" applyAlignment="1">
      <alignment horizontal="left"/>
    </xf>
    <xf numFmtId="167" fontId="0" fillId="10" borderId="19" xfId="0" applyNumberFormat="1" applyFill="1" applyBorder="1" applyAlignment="1">
      <alignment/>
    </xf>
    <xf numFmtId="167" fontId="0" fillId="10" borderId="18" xfId="0" applyNumberFormat="1" applyFill="1" applyBorder="1" applyAlignment="1">
      <alignment/>
    </xf>
    <xf numFmtId="0" fontId="0" fillId="10" borderId="19" xfId="0" applyFill="1" applyBorder="1" applyAlignment="1">
      <alignment/>
    </xf>
    <xf numFmtId="10" fontId="0" fillId="10" borderId="18" xfId="0" applyNumberFormat="1" applyFill="1" applyBorder="1" applyAlignment="1">
      <alignment/>
    </xf>
    <xf numFmtId="9" fontId="0" fillId="10" borderId="19" xfId="0" applyNumberFormat="1" applyFill="1" applyBorder="1" applyAlignment="1">
      <alignment/>
    </xf>
    <xf numFmtId="10" fontId="41" fillId="10" borderId="13" xfId="58" applyNumberFormat="1" applyFont="1" applyFill="1" applyBorder="1" applyAlignment="1">
      <alignment/>
    </xf>
    <xf numFmtId="167" fontId="0" fillId="10" borderId="13" xfId="58" applyNumberFormat="1" applyFont="1" applyFill="1" applyBorder="1" applyAlignment="1">
      <alignment horizontal="center"/>
    </xf>
    <xf numFmtId="4" fontId="0" fillId="10" borderId="24" xfId="58" applyNumberFormat="1" applyFont="1" applyFill="1" applyBorder="1" applyAlignment="1">
      <alignment horizontal="center"/>
    </xf>
    <xf numFmtId="3" fontId="0" fillId="10" borderId="19" xfId="0" applyNumberFormat="1" applyFill="1" applyBorder="1" applyAlignment="1">
      <alignment horizontal="center"/>
    </xf>
    <xf numFmtId="167" fontId="0" fillId="10" borderId="19" xfId="0" applyNumberFormat="1" applyFill="1" applyBorder="1" applyAlignment="1">
      <alignment horizontal="center"/>
    </xf>
    <xf numFmtId="167" fontId="0" fillId="10" borderId="20" xfId="0" applyNumberFormat="1" applyFill="1" applyBorder="1" applyAlignment="1">
      <alignment horizontal="center"/>
    </xf>
    <xf numFmtId="3" fontId="43" fillId="32" borderId="13" xfId="0" applyNumberFormat="1" applyFont="1" applyFill="1" applyBorder="1" applyAlignment="1">
      <alignment horizontal="left"/>
    </xf>
    <xf numFmtId="167" fontId="0" fillId="10" borderId="13" xfId="0" applyNumberFormat="1" applyFont="1" applyFill="1" applyBorder="1" applyAlignment="1">
      <alignment horizontal="left"/>
    </xf>
    <xf numFmtId="10" fontId="0" fillId="10" borderId="19" xfId="58" applyNumberFormat="1" applyFont="1" applyFill="1" applyBorder="1" applyAlignment="1">
      <alignment/>
    </xf>
    <xf numFmtId="0" fontId="0" fillId="10" borderId="20" xfId="0" applyFill="1" applyBorder="1" applyAlignment="1">
      <alignment/>
    </xf>
    <xf numFmtId="0" fontId="0" fillId="33" borderId="0" xfId="0" applyFill="1" applyAlignment="1">
      <alignment/>
    </xf>
    <xf numFmtId="10" fontId="48" fillId="33" borderId="0" xfId="52" applyNumberFormat="1" applyFont="1" applyFill="1" applyAlignment="1">
      <alignment/>
    </xf>
    <xf numFmtId="167" fontId="0" fillId="33" borderId="0" xfId="0" applyNumberFormat="1" applyFill="1" applyAlignment="1">
      <alignment horizontal="center"/>
    </xf>
    <xf numFmtId="10" fontId="48" fillId="33" borderId="0" xfId="52" applyNumberFormat="1" applyFont="1" applyFill="1" applyAlignment="1">
      <alignment horizontal="left"/>
    </xf>
    <xf numFmtId="165" fontId="0" fillId="32" borderId="18" xfId="58" applyNumberFormat="1" applyFont="1" applyFill="1" applyBorder="1" applyAlignment="1">
      <alignment horizontal="center"/>
    </xf>
    <xf numFmtId="167" fontId="0" fillId="10" borderId="20" xfId="0" applyNumberFormat="1" applyFill="1" applyBorder="1" applyAlignment="1">
      <alignment/>
    </xf>
    <xf numFmtId="0" fontId="41" fillId="33" borderId="0" xfId="0" applyFont="1" applyFill="1" applyBorder="1" applyAlignment="1">
      <alignment horizontal="right" vertical="center"/>
    </xf>
    <xf numFmtId="0" fontId="41" fillId="35" borderId="10" xfId="0" applyFont="1" applyFill="1" applyBorder="1" applyAlignment="1">
      <alignment horizontal="right" vertical="center"/>
    </xf>
    <xf numFmtId="0" fontId="41" fillId="35" borderId="17" xfId="0" applyFont="1" applyFill="1" applyBorder="1" applyAlignment="1">
      <alignment horizontal="right" vertical="center"/>
    </xf>
    <xf numFmtId="10" fontId="0" fillId="32" borderId="20" xfId="58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169" fontId="41" fillId="33" borderId="13" xfId="0" applyNumberFormat="1" applyFont="1" applyFill="1" applyBorder="1" applyAlignment="1">
      <alignment horizontal="center"/>
    </xf>
    <xf numFmtId="167" fontId="0" fillId="33" borderId="13" xfId="0" applyNumberFormat="1" applyFill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167" fontId="0" fillId="0" borderId="33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169" fontId="41" fillId="33" borderId="35" xfId="0" applyNumberFormat="1" applyFont="1" applyFill="1" applyBorder="1" applyAlignment="1">
      <alignment horizontal="center"/>
    </xf>
    <xf numFmtId="167" fontId="0" fillId="33" borderId="35" xfId="0" applyNumberFormat="1" applyFill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67" fontId="0" fillId="0" borderId="36" xfId="0" applyNumberForma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7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sp.gov.ph/statistics/keystat/winteresrates.htm" TargetMode="External" /><Relationship Id="rId2" Type="http://schemas.openxmlformats.org/officeDocument/2006/relationships/hyperlink" Target="http://pages.stern.nyu.edu/~adamodar/New_Home_Page/datafile/ctryprem.html" TargetMode="External" /><Relationship Id="rId3" Type="http://schemas.openxmlformats.org/officeDocument/2006/relationships/hyperlink" Target="http://www.philequity.net/ppse.php?mode=Snapshot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B88" sqref="B88"/>
    </sheetView>
  </sheetViews>
  <sheetFormatPr defaultColWidth="9.140625" defaultRowHeight="15"/>
  <cols>
    <col min="1" max="1" width="9.140625" style="245" customWidth="1"/>
    <col min="2" max="2" width="33.57421875" style="245" bestFit="1" customWidth="1"/>
    <col min="3" max="3" width="33.421875" style="245" bestFit="1" customWidth="1"/>
    <col min="4" max="16384" width="9.140625" style="245" customWidth="1"/>
  </cols>
  <sheetData>
    <row r="1" spans="1:18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>
      <c r="A2" s="2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5">
      <c r="A4" s="2"/>
      <c r="B4" s="6" t="s">
        <v>237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5">
      <c r="A5" s="2"/>
      <c r="B5" s="6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>
      <c r="A6" s="2"/>
      <c r="B6" s="6" t="s">
        <v>1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>
      <c r="A8" s="2"/>
      <c r="B8" s="4" t="s">
        <v>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"/>
      <c r="B10" s="137" t="s">
        <v>3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5">
      <c r="A12" s="2"/>
      <c r="B12" s="4" t="s">
        <v>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">
      <c r="A14" s="2"/>
      <c r="B14" s="137" t="s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5">
      <c r="A15" s="2"/>
      <c r="B15" s="137" t="s">
        <v>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5">
      <c r="A17" s="2"/>
      <c r="B17" s="4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5">
      <c r="A20" s="2"/>
      <c r="B20" s="4" t="s">
        <v>9</v>
      </c>
      <c r="C20" s="4" t="s">
        <v>11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5">
      <c r="A21" s="2"/>
      <c r="B21" s="6" t="s">
        <v>8</v>
      </c>
      <c r="C21" s="2" t="s">
        <v>10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5">
      <c r="A22" s="2"/>
      <c r="B22" s="6" t="s">
        <v>12</v>
      </c>
      <c r="C22" s="2" t="s">
        <v>46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5">
      <c r="A23" s="2"/>
      <c r="B23" s="6" t="s">
        <v>13</v>
      </c>
      <c r="C23" s="2" t="s">
        <v>47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6" t="s">
        <v>14</v>
      </c>
      <c r="C24" s="2" t="s">
        <v>48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2"/>
      <c r="B25" s="6" t="s">
        <v>16</v>
      </c>
      <c r="C25" s="2" t="s">
        <v>47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6" t="s">
        <v>17</v>
      </c>
      <c r="C26" s="2" t="s">
        <v>49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B28" s="4" t="s">
        <v>18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"/>
      <c r="B29" s="6" t="s">
        <v>238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/>
      <c r="B30" s="6" t="s">
        <v>19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/>
      <c r="B32" s="4" t="s">
        <v>20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6" t="s">
        <v>21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6" t="s">
        <v>22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6" t="s">
        <v>23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6" t="s">
        <v>24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/>
      <c r="B38" s="6" t="s">
        <v>25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2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2"/>
      <c r="B40" s="6" t="s">
        <v>26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6" t="s">
        <v>27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">
      <c r="A44" s="2"/>
      <c r="B44" s="4" t="s">
        <v>28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5">
      <c r="A46" s="2"/>
      <c r="B46" s="6" t="s">
        <v>29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5">
      <c r="A47" s="2"/>
      <c r="B47" s="6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5">
      <c r="A48" s="2"/>
      <c r="B48" s="6" t="s">
        <v>239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5">
      <c r="A49" s="2"/>
      <c r="B49" s="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5">
      <c r="A50" s="2"/>
      <c r="B50" s="6" t="s">
        <v>30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5">
      <c r="A52" s="2"/>
      <c r="B52" s="4" t="s">
        <v>31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5">
      <c r="A54" s="2"/>
      <c r="B54" s="2" t="s">
        <v>32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5">
      <c r="A55" s="2"/>
      <c r="B55" s="6" t="s">
        <v>33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5">
      <c r="A56" s="2"/>
      <c r="B56" s="6" t="s">
        <v>34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5">
      <c r="A57" s="2"/>
      <c r="B57" s="6" t="s">
        <v>35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5">
      <c r="A58" s="2"/>
      <c r="B58" s="6" t="s">
        <v>36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5">
      <c r="A59" s="2"/>
      <c r="B59" s="6" t="s">
        <v>37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5">
      <c r="A60" s="2"/>
      <c r="B60" s="6" t="s">
        <v>38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5">
      <c r="A62" s="2"/>
      <c r="B62" s="2" t="s">
        <v>39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5">
      <c r="A64" s="2"/>
      <c r="B64" s="2" t="s">
        <v>40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5">
      <c r="A66" s="2"/>
      <c r="B66" s="2" t="s">
        <v>41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5">
      <c r="A67" s="2"/>
      <c r="B67" s="6" t="s">
        <v>42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5">
      <c r="A68" s="2"/>
      <c r="B68" s="6" t="s">
        <v>43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5">
      <c r="A69" s="2"/>
      <c r="B69" s="6" t="s">
        <v>44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5">
      <c r="A71" s="2"/>
      <c r="B71" s="2" t="s">
        <v>240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5">
      <c r="A72" s="2"/>
      <c r="B72" s="6" t="s">
        <v>241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5">
      <c r="A74" s="2"/>
      <c r="B74" s="2" t="s">
        <v>242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5">
      <c r="A75" s="2"/>
      <c r="B75" s="6" t="s">
        <v>45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I372"/>
  <sheetViews>
    <sheetView tabSelected="1" zoomScalePageLayoutView="0" workbookViewId="0" topLeftCell="A61">
      <selection activeCell="E69" sqref="E69"/>
    </sheetView>
  </sheetViews>
  <sheetFormatPr defaultColWidth="9.140625" defaultRowHeight="15" outlineLevelRow="1"/>
  <cols>
    <col min="1" max="1" width="9.140625" style="2" customWidth="1"/>
    <col min="2" max="2" width="40.8515625" style="2" bestFit="1" customWidth="1"/>
    <col min="3" max="3" width="27.8515625" style="2" bestFit="1" customWidth="1"/>
    <col min="4" max="4" width="10.7109375" style="2" customWidth="1"/>
    <col min="5" max="5" width="21.8515625" style="2" customWidth="1"/>
    <col min="6" max="6" width="12.8515625" style="2" customWidth="1"/>
    <col min="7" max="7" width="11.28125" style="2" customWidth="1"/>
    <col min="8" max="8" width="11.57421875" style="2" customWidth="1"/>
    <col min="9" max="9" width="11.140625" style="2" bestFit="1" customWidth="1"/>
    <col min="10" max="10" width="14.57421875" style="2" customWidth="1"/>
    <col min="11" max="12" width="11.140625" style="2" bestFit="1" customWidth="1"/>
    <col min="13" max="13" width="10.8515625" style="2" customWidth="1"/>
    <col min="14" max="14" width="11.140625" style="2" bestFit="1" customWidth="1"/>
    <col min="15" max="21" width="9.140625" style="2" bestFit="1" customWidth="1"/>
    <col min="22" max="24" width="9.140625" style="2" customWidth="1"/>
    <col min="25" max="29" width="9.140625" style="2" bestFit="1" customWidth="1"/>
    <col min="30" max="30" width="9.140625" style="2" customWidth="1"/>
    <col min="31" max="31" width="8.28125" style="2" customWidth="1"/>
    <col min="32" max="133" width="9.140625" style="2" customWidth="1"/>
    <col min="134" max="134" width="17.421875" style="2" bestFit="1" customWidth="1"/>
    <col min="135" max="135" width="8.8515625" style="2" customWidth="1"/>
    <col min="136" max="136" width="8.00390625" style="2" customWidth="1"/>
    <col min="137" max="137" width="8.7109375" style="2" customWidth="1"/>
    <col min="138" max="138" width="20.28125" style="2" bestFit="1" customWidth="1"/>
    <col min="139" max="139" width="14.421875" style="2" bestFit="1" customWidth="1"/>
    <col min="140" max="16384" width="9.140625" style="2" customWidth="1"/>
  </cols>
  <sheetData>
    <row r="3" spans="2:6" s="22" customFormat="1" ht="15">
      <c r="B3" s="23" t="s">
        <v>89</v>
      </c>
      <c r="F3" s="23" t="s">
        <v>109</v>
      </c>
    </row>
    <row r="4" spans="2:6" ht="15">
      <c r="B4" s="25"/>
      <c r="F4" s="25"/>
    </row>
    <row r="5" spans="2:6" ht="15">
      <c r="B5" s="34" t="s">
        <v>211</v>
      </c>
      <c r="F5" s="25"/>
    </row>
    <row r="6" spans="2:6" ht="15">
      <c r="B6" s="25"/>
      <c r="F6" s="25"/>
    </row>
    <row r="7" spans="2:6" ht="15">
      <c r="B7" s="47" t="s">
        <v>212</v>
      </c>
      <c r="C7" s="231" t="s">
        <v>213</v>
      </c>
      <c r="F7" s="25"/>
    </row>
    <row r="8" spans="2:6" ht="15">
      <c r="B8" s="47" t="s">
        <v>214</v>
      </c>
      <c r="C8" s="232" t="s">
        <v>215</v>
      </c>
      <c r="F8" s="25"/>
    </row>
    <row r="9" ht="15">
      <c r="B9" s="25"/>
    </row>
    <row r="10" spans="2:10" s="3" customFormat="1" ht="15">
      <c r="B10" s="66" t="s">
        <v>60</v>
      </c>
      <c r="C10" s="52" t="s">
        <v>62</v>
      </c>
      <c r="F10" s="48" t="s">
        <v>55</v>
      </c>
      <c r="G10" s="33"/>
      <c r="H10" s="33"/>
      <c r="I10" s="33"/>
      <c r="J10" s="52">
        <v>39631680</v>
      </c>
    </row>
    <row r="11" spans="2:12" ht="15">
      <c r="B11" s="67" t="s">
        <v>63</v>
      </c>
      <c r="C11" s="53" t="s">
        <v>61</v>
      </c>
      <c r="F11" s="49" t="s">
        <v>236</v>
      </c>
      <c r="G11" s="24"/>
      <c r="H11" s="24"/>
      <c r="I11" s="24"/>
      <c r="J11" s="85">
        <v>0.005</v>
      </c>
      <c r="L11" s="10"/>
    </row>
    <row r="12" spans="2:10" ht="15">
      <c r="B12" s="67" t="s">
        <v>64</v>
      </c>
      <c r="C12" s="53">
        <v>26880</v>
      </c>
      <c r="D12" s="10"/>
      <c r="E12" s="10"/>
      <c r="F12" s="49" t="s">
        <v>56</v>
      </c>
      <c r="G12" s="24"/>
      <c r="H12" s="24"/>
      <c r="I12" s="24"/>
      <c r="J12" s="86">
        <v>8.54</v>
      </c>
    </row>
    <row r="13" spans="2:10" ht="15">
      <c r="B13" s="67" t="s">
        <v>65</v>
      </c>
      <c r="C13" s="53">
        <v>1796</v>
      </c>
      <c r="D13" s="10"/>
      <c r="E13" s="10"/>
      <c r="F13" s="50" t="s">
        <v>66</v>
      </c>
      <c r="G13" s="51"/>
      <c r="H13" s="51"/>
      <c r="I13" s="51"/>
      <c r="J13" s="87">
        <v>51</v>
      </c>
    </row>
    <row r="14" spans="2:5" ht="15">
      <c r="B14" s="82" t="s">
        <v>124</v>
      </c>
      <c r="C14" s="217">
        <f>$C$12*$C$13*$J$13</f>
        <v>2462100480</v>
      </c>
      <c r="D14" s="10"/>
      <c r="E14" s="10"/>
    </row>
    <row r="15" spans="2:5" ht="15">
      <c r="B15" s="82" t="s">
        <v>123</v>
      </c>
      <c r="C15" s="53">
        <v>12</v>
      </c>
      <c r="D15" s="10"/>
      <c r="E15" s="10"/>
    </row>
    <row r="16" spans="2:5" ht="15">
      <c r="B16" s="83" t="s">
        <v>125</v>
      </c>
      <c r="C16" s="218">
        <f>C14/C15</f>
        <v>205175040</v>
      </c>
      <c r="D16" s="10"/>
      <c r="E16" s="10"/>
    </row>
    <row r="17" spans="2:5" ht="15">
      <c r="B17" s="15"/>
      <c r="C17" s="84"/>
      <c r="D17" s="10"/>
      <c r="E17" s="10"/>
    </row>
    <row r="18" spans="4:5" ht="15">
      <c r="D18" s="11"/>
      <c r="E18" s="11"/>
    </row>
    <row r="19" s="22" customFormat="1" ht="15">
      <c r="B19" s="23" t="s">
        <v>114</v>
      </c>
    </row>
    <row r="20" ht="15">
      <c r="C20" s="28"/>
    </row>
    <row r="21" spans="2:31" ht="15">
      <c r="B21" s="15" t="s">
        <v>87</v>
      </c>
      <c r="F21" s="30">
        <v>0</v>
      </c>
      <c r="G21" s="8">
        <f aca="true" t="shared" si="0" ref="G21:P21">F21+1</f>
        <v>1</v>
      </c>
      <c r="H21" s="8">
        <f t="shared" si="0"/>
        <v>2</v>
      </c>
      <c r="I21" s="8">
        <f t="shared" si="0"/>
        <v>3</v>
      </c>
      <c r="J21" s="8">
        <f t="shared" si="0"/>
        <v>4</v>
      </c>
      <c r="K21" s="8">
        <f t="shared" si="0"/>
        <v>5</v>
      </c>
      <c r="L21" s="8">
        <f t="shared" si="0"/>
        <v>6</v>
      </c>
      <c r="M21" s="8">
        <f t="shared" si="0"/>
        <v>7</v>
      </c>
      <c r="N21" s="8">
        <f t="shared" si="0"/>
        <v>8</v>
      </c>
      <c r="O21" s="8">
        <f t="shared" si="0"/>
        <v>9</v>
      </c>
      <c r="P21" s="8">
        <f t="shared" si="0"/>
        <v>10</v>
      </c>
      <c r="Q21" s="8">
        <f aca="true" t="shared" si="1" ref="Q21:AE21">P21+1</f>
        <v>11</v>
      </c>
      <c r="R21" s="8">
        <f t="shared" si="1"/>
        <v>12</v>
      </c>
      <c r="S21" s="8">
        <f t="shared" si="1"/>
        <v>13</v>
      </c>
      <c r="T21" s="8">
        <f t="shared" si="1"/>
        <v>14</v>
      </c>
      <c r="U21" s="8">
        <f t="shared" si="1"/>
        <v>15</v>
      </c>
      <c r="V21" s="8">
        <f t="shared" si="1"/>
        <v>16</v>
      </c>
      <c r="W21" s="8">
        <f t="shared" si="1"/>
        <v>17</v>
      </c>
      <c r="X21" s="8">
        <f t="shared" si="1"/>
        <v>18</v>
      </c>
      <c r="Y21" s="8">
        <f t="shared" si="1"/>
        <v>19</v>
      </c>
      <c r="Z21" s="8">
        <f t="shared" si="1"/>
        <v>20</v>
      </c>
      <c r="AA21" s="8">
        <f t="shared" si="1"/>
        <v>21</v>
      </c>
      <c r="AB21" s="8">
        <f t="shared" si="1"/>
        <v>22</v>
      </c>
      <c r="AC21" s="8">
        <f t="shared" si="1"/>
        <v>23</v>
      </c>
      <c r="AD21" s="8">
        <f t="shared" si="1"/>
        <v>24</v>
      </c>
      <c r="AE21" s="8">
        <f t="shared" si="1"/>
        <v>25</v>
      </c>
    </row>
    <row r="22" spans="2:31" ht="15">
      <c r="B22" s="15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2:31" ht="15">
      <c r="B23" s="3" t="s">
        <v>57</v>
      </c>
      <c r="F23" s="39">
        <v>0</v>
      </c>
      <c r="G23" s="38">
        <f>$J$10</f>
        <v>39631680</v>
      </c>
      <c r="H23" s="38">
        <f aca="true" t="shared" si="2" ref="H23:W23">G23*(1-$J$11)</f>
        <v>39433521.6</v>
      </c>
      <c r="I23" s="38">
        <f t="shared" si="2"/>
        <v>39236353.992</v>
      </c>
      <c r="J23" s="38">
        <f t="shared" si="2"/>
        <v>39040172.22204</v>
      </c>
      <c r="K23" s="38">
        <f t="shared" si="2"/>
        <v>38844971.360929795</v>
      </c>
      <c r="L23" s="38">
        <f t="shared" si="2"/>
        <v>38650746.50412515</v>
      </c>
      <c r="M23" s="38">
        <f t="shared" si="2"/>
        <v>38457492.77160452</v>
      </c>
      <c r="N23" s="38">
        <f t="shared" si="2"/>
        <v>38265205.3077465</v>
      </c>
      <c r="O23" s="38">
        <f t="shared" si="2"/>
        <v>38073879.28120777</v>
      </c>
      <c r="P23" s="38">
        <f t="shared" si="2"/>
        <v>37883509.88480173</v>
      </c>
      <c r="Q23" s="38">
        <f t="shared" si="2"/>
        <v>37694092.33537772</v>
      </c>
      <c r="R23" s="38">
        <f t="shared" si="2"/>
        <v>37505621.873700835</v>
      </c>
      <c r="S23" s="38">
        <f t="shared" si="2"/>
        <v>37318093.76433233</v>
      </c>
      <c r="T23" s="38">
        <f t="shared" si="2"/>
        <v>37131503.29551067</v>
      </c>
      <c r="U23" s="38">
        <f t="shared" si="2"/>
        <v>36945845.77903312</v>
      </c>
      <c r="V23" s="38">
        <f t="shared" si="2"/>
        <v>36761116.55013795</v>
      </c>
      <c r="W23" s="38">
        <f t="shared" si="2"/>
        <v>36577310.96738726</v>
      </c>
      <c r="X23" s="38">
        <f aca="true" t="shared" si="3" ref="X23:AE23">W23*(1-$J$11)</f>
        <v>36394424.41255032</v>
      </c>
      <c r="Y23" s="38">
        <f t="shared" si="3"/>
        <v>36212452.29048757</v>
      </c>
      <c r="Z23" s="38">
        <f t="shared" si="3"/>
        <v>36031390.029035136</v>
      </c>
      <c r="AA23" s="38">
        <f t="shared" si="3"/>
        <v>35851233.07888996</v>
      </c>
      <c r="AB23" s="38">
        <f t="shared" si="3"/>
        <v>35671976.91349551</v>
      </c>
      <c r="AC23" s="38">
        <f t="shared" si="3"/>
        <v>35493617.028928034</v>
      </c>
      <c r="AD23" s="38">
        <f t="shared" si="3"/>
        <v>35316148.943783395</v>
      </c>
      <c r="AE23" s="38">
        <f t="shared" si="3"/>
        <v>35139568.19906448</v>
      </c>
    </row>
    <row r="24" spans="2:31" ht="15">
      <c r="B24" s="13" t="s">
        <v>59</v>
      </c>
      <c r="C24" s="1"/>
      <c r="D24" s="1"/>
      <c r="E24" s="1"/>
      <c r="F24" s="40">
        <f aca="true" t="shared" si="4" ref="F24:AE24">F23*$J$12</f>
        <v>0</v>
      </c>
      <c r="G24" s="40">
        <f>G23*$J$12</f>
        <v>338454547.2</v>
      </c>
      <c r="H24" s="40">
        <f t="shared" si="4"/>
        <v>336762274.464</v>
      </c>
      <c r="I24" s="40">
        <f t="shared" si="4"/>
        <v>335078463.09167993</v>
      </c>
      <c r="J24" s="40">
        <f t="shared" si="4"/>
        <v>333403070.7762216</v>
      </c>
      <c r="K24" s="40">
        <f t="shared" si="4"/>
        <v>331736055.4223404</v>
      </c>
      <c r="L24" s="40">
        <f t="shared" si="4"/>
        <v>330077375.14522874</v>
      </c>
      <c r="M24" s="40">
        <f t="shared" si="4"/>
        <v>328426988.2695026</v>
      </c>
      <c r="N24" s="40">
        <f t="shared" si="4"/>
        <v>326784853.3281551</v>
      </c>
      <c r="O24" s="40">
        <f t="shared" si="4"/>
        <v>325150929.0615143</v>
      </c>
      <c r="P24" s="40">
        <f t="shared" si="4"/>
        <v>323525174.4162067</v>
      </c>
      <c r="Q24" s="40">
        <f t="shared" si="4"/>
        <v>321907548.54412574</v>
      </c>
      <c r="R24" s="40">
        <f t="shared" si="4"/>
        <v>320298010.8014051</v>
      </c>
      <c r="S24" s="40">
        <f t="shared" si="4"/>
        <v>318696520.7473981</v>
      </c>
      <c r="T24" s="40">
        <f t="shared" si="4"/>
        <v>317103038.1436611</v>
      </c>
      <c r="U24" s="40">
        <f t="shared" si="4"/>
        <v>315517522.9529428</v>
      </c>
      <c r="V24" s="40">
        <f t="shared" si="4"/>
        <v>313939935.3381781</v>
      </c>
      <c r="W24" s="40">
        <f t="shared" si="4"/>
        <v>312370235.66148716</v>
      </c>
      <c r="X24" s="40">
        <f t="shared" si="4"/>
        <v>310808384.48317975</v>
      </c>
      <c r="Y24" s="40">
        <f t="shared" si="4"/>
        <v>309254342.56076384</v>
      </c>
      <c r="Z24" s="40">
        <f t="shared" si="4"/>
        <v>307708070.84796005</v>
      </c>
      <c r="AA24" s="40">
        <f t="shared" si="4"/>
        <v>306169530.49372023</v>
      </c>
      <c r="AB24" s="40">
        <f t="shared" si="4"/>
        <v>304638682.8412516</v>
      </c>
      <c r="AC24" s="40">
        <f t="shared" si="4"/>
        <v>303115489.4270454</v>
      </c>
      <c r="AD24" s="40">
        <f t="shared" si="4"/>
        <v>301599911.97991014</v>
      </c>
      <c r="AE24" s="40">
        <f t="shared" si="4"/>
        <v>300091912.4200106</v>
      </c>
    </row>
    <row r="26" spans="2:3" s="22" customFormat="1" ht="15">
      <c r="B26" s="23" t="s">
        <v>108</v>
      </c>
      <c r="C26" s="23" t="s">
        <v>115</v>
      </c>
    </row>
    <row r="27" ht="15">
      <c r="B27" s="25"/>
    </row>
    <row r="28" ht="15">
      <c r="B28" s="20" t="s">
        <v>78</v>
      </c>
    </row>
    <row r="29" spans="2:10" ht="15">
      <c r="B29" s="48" t="s">
        <v>79</v>
      </c>
      <c r="C29" s="52">
        <v>0.01225</v>
      </c>
      <c r="F29" s="54" t="s">
        <v>116</v>
      </c>
      <c r="G29" s="33"/>
      <c r="H29" s="33"/>
      <c r="I29" s="33"/>
      <c r="J29" s="56">
        <f>$C$30*$G$23</f>
        <v>24759892.080000002</v>
      </c>
    </row>
    <row r="30" spans="2:10" ht="15">
      <c r="B30" s="50" t="s">
        <v>80</v>
      </c>
      <c r="C30" s="219">
        <f>$C$29*J$13</f>
        <v>0.62475</v>
      </c>
      <c r="F30" s="55" t="s">
        <v>81</v>
      </c>
      <c r="G30" s="51"/>
      <c r="H30" s="51"/>
      <c r="I30" s="51"/>
      <c r="J30" s="57">
        <v>0.07</v>
      </c>
    </row>
    <row r="32" spans="2:31" ht="15">
      <c r="B32" s="4" t="s">
        <v>84</v>
      </c>
      <c r="C32" s="10"/>
      <c r="F32" s="30">
        <v>0</v>
      </c>
      <c r="G32" s="8">
        <f aca="true" t="shared" si="5" ref="G32:P32">F32+1</f>
        <v>1</v>
      </c>
      <c r="H32" s="8">
        <f t="shared" si="5"/>
        <v>2</v>
      </c>
      <c r="I32" s="8">
        <f t="shared" si="5"/>
        <v>3</v>
      </c>
      <c r="J32" s="8">
        <f t="shared" si="5"/>
        <v>4</v>
      </c>
      <c r="K32" s="8">
        <f t="shared" si="5"/>
        <v>5</v>
      </c>
      <c r="L32" s="8">
        <f t="shared" si="5"/>
        <v>6</v>
      </c>
      <c r="M32" s="8">
        <f t="shared" si="5"/>
        <v>7</v>
      </c>
      <c r="N32" s="8">
        <f t="shared" si="5"/>
        <v>8</v>
      </c>
      <c r="O32" s="8">
        <f t="shared" si="5"/>
        <v>9</v>
      </c>
      <c r="P32" s="8">
        <f t="shared" si="5"/>
        <v>10</v>
      </c>
      <c r="Q32" s="8">
        <f aca="true" t="shared" si="6" ref="Q32:AE32">P32+1</f>
        <v>11</v>
      </c>
      <c r="R32" s="8">
        <f t="shared" si="6"/>
        <v>12</v>
      </c>
      <c r="S32" s="8">
        <f t="shared" si="6"/>
        <v>13</v>
      </c>
      <c r="T32" s="8">
        <f t="shared" si="6"/>
        <v>14</v>
      </c>
      <c r="U32" s="8">
        <f t="shared" si="6"/>
        <v>15</v>
      </c>
      <c r="V32" s="8">
        <f t="shared" si="6"/>
        <v>16</v>
      </c>
      <c r="W32" s="8">
        <f t="shared" si="6"/>
        <v>17</v>
      </c>
      <c r="X32" s="8">
        <f t="shared" si="6"/>
        <v>18</v>
      </c>
      <c r="Y32" s="8">
        <f t="shared" si="6"/>
        <v>19</v>
      </c>
      <c r="Z32" s="8">
        <f t="shared" si="6"/>
        <v>20</v>
      </c>
      <c r="AA32" s="8">
        <f t="shared" si="6"/>
        <v>21</v>
      </c>
      <c r="AB32" s="8">
        <f t="shared" si="6"/>
        <v>22</v>
      </c>
      <c r="AC32" s="8">
        <f t="shared" si="6"/>
        <v>23</v>
      </c>
      <c r="AD32" s="8">
        <f t="shared" si="6"/>
        <v>24</v>
      </c>
      <c r="AE32" s="8">
        <f t="shared" si="6"/>
        <v>25</v>
      </c>
    </row>
    <row r="33" spans="2:31" ht="15">
      <c r="B33" s="4"/>
      <c r="C33" s="1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2:31" ht="15">
      <c r="B34" s="13" t="s">
        <v>83</v>
      </c>
      <c r="C34" s="14"/>
      <c r="D34" s="1"/>
      <c r="E34" s="1"/>
      <c r="F34" s="41">
        <f>F32</f>
        <v>0</v>
      </c>
      <c r="G34" s="41">
        <f>$J$29</f>
        <v>24759892.080000002</v>
      </c>
      <c r="H34" s="41">
        <f aca="true" t="shared" si="7" ref="H34:AE34">G34*(1+$J$30)</f>
        <v>26493084.525600005</v>
      </c>
      <c r="I34" s="41">
        <f t="shared" si="7"/>
        <v>28347600.442392007</v>
      </c>
      <c r="J34" s="41">
        <f t="shared" si="7"/>
        <v>30331932.473359447</v>
      </c>
      <c r="K34" s="41">
        <f t="shared" si="7"/>
        <v>32455167.74649461</v>
      </c>
      <c r="L34" s="41">
        <f t="shared" si="7"/>
        <v>34727029.488749236</v>
      </c>
      <c r="M34" s="41">
        <f t="shared" si="7"/>
        <v>37157921.552961685</v>
      </c>
      <c r="N34" s="41">
        <f t="shared" si="7"/>
        <v>39758976.06166901</v>
      </c>
      <c r="O34" s="41">
        <f t="shared" si="7"/>
        <v>42542104.38598584</v>
      </c>
      <c r="P34" s="41">
        <f t="shared" si="7"/>
        <v>45520051.69300485</v>
      </c>
      <c r="Q34" s="41">
        <f t="shared" si="7"/>
        <v>48706455.31151519</v>
      </c>
      <c r="R34" s="41">
        <f t="shared" si="7"/>
        <v>52115907.18332125</v>
      </c>
      <c r="S34" s="41">
        <f t="shared" si="7"/>
        <v>55764020.68615374</v>
      </c>
      <c r="T34" s="41">
        <f t="shared" si="7"/>
        <v>59667502.1341845</v>
      </c>
      <c r="U34" s="41">
        <f t="shared" si="7"/>
        <v>63844227.28357742</v>
      </c>
      <c r="V34" s="41">
        <f t="shared" si="7"/>
        <v>68313323.19342785</v>
      </c>
      <c r="W34" s="41">
        <f t="shared" si="7"/>
        <v>73095255.8169678</v>
      </c>
      <c r="X34" s="41">
        <f t="shared" si="7"/>
        <v>78211923.72415555</v>
      </c>
      <c r="Y34" s="41">
        <f t="shared" si="7"/>
        <v>83686758.38484643</v>
      </c>
      <c r="Z34" s="41">
        <f t="shared" si="7"/>
        <v>89544831.4717857</v>
      </c>
      <c r="AA34" s="41">
        <f t="shared" si="7"/>
        <v>95812969.6748107</v>
      </c>
      <c r="AB34" s="41">
        <f t="shared" si="7"/>
        <v>102519877.55204745</v>
      </c>
      <c r="AC34" s="41">
        <f t="shared" si="7"/>
        <v>109696268.98069078</v>
      </c>
      <c r="AD34" s="41">
        <f t="shared" si="7"/>
        <v>117375007.80933914</v>
      </c>
      <c r="AE34" s="41">
        <f t="shared" si="7"/>
        <v>125591258.35599288</v>
      </c>
    </row>
    <row r="35" spans="6:31" ht="15"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2:31" ht="15">
      <c r="B36" s="9" t="s">
        <v>82</v>
      </c>
      <c r="C36" s="4" t="s">
        <v>69</v>
      </c>
      <c r="D36" s="27" t="s">
        <v>67</v>
      </c>
      <c r="E36" s="3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2:31" ht="15">
      <c r="B37" s="6" t="s">
        <v>8</v>
      </c>
      <c r="C37" s="16" t="s">
        <v>95</v>
      </c>
      <c r="D37" s="58">
        <v>0.005</v>
      </c>
      <c r="F37" s="38">
        <v>0</v>
      </c>
      <c r="G37" s="38">
        <f>$D37*G$76</f>
        <v>11818082.304000001</v>
      </c>
      <c r="H37" s="38">
        <f aca="true" t="shared" si="8" ref="H37:AE37">$D$37*H$76</f>
        <v>11325662.208000002</v>
      </c>
      <c r="I37" s="38">
        <f t="shared" si="8"/>
        <v>10833242.112000003</v>
      </c>
      <c r="J37" s="38">
        <f t="shared" si="8"/>
        <v>10340822.016000003</v>
      </c>
      <c r="K37" s="38">
        <f t="shared" si="8"/>
        <v>9848401.920000002</v>
      </c>
      <c r="L37" s="38">
        <f t="shared" si="8"/>
        <v>9355981.824000003</v>
      </c>
      <c r="M37" s="38">
        <f t="shared" si="8"/>
        <v>8863561.728000002</v>
      </c>
      <c r="N37" s="38">
        <f t="shared" si="8"/>
        <v>8371141.632000002</v>
      </c>
      <c r="O37" s="38">
        <f t="shared" si="8"/>
        <v>7878721.536000001</v>
      </c>
      <c r="P37" s="38">
        <f t="shared" si="8"/>
        <v>7386301.440000001</v>
      </c>
      <c r="Q37" s="38">
        <f t="shared" si="8"/>
        <v>6893881.344000001</v>
      </c>
      <c r="R37" s="38">
        <f t="shared" si="8"/>
        <v>6401461.248000001</v>
      </c>
      <c r="S37" s="38">
        <f t="shared" si="8"/>
        <v>5909041.152000001</v>
      </c>
      <c r="T37" s="38">
        <f t="shared" si="8"/>
        <v>5416621.056000001</v>
      </c>
      <c r="U37" s="38">
        <f t="shared" si="8"/>
        <v>4924200.96</v>
      </c>
      <c r="V37" s="38">
        <f t="shared" si="8"/>
        <v>4431780.864</v>
      </c>
      <c r="W37" s="38">
        <f t="shared" si="8"/>
        <v>3939360.7679999997</v>
      </c>
      <c r="X37" s="38">
        <f t="shared" si="8"/>
        <v>3446940.6719999993</v>
      </c>
      <c r="Y37" s="38">
        <f t="shared" si="8"/>
        <v>2954520.575999999</v>
      </c>
      <c r="Z37" s="38">
        <f t="shared" si="8"/>
        <v>2462100.479999999</v>
      </c>
      <c r="AA37" s="38">
        <f t="shared" si="8"/>
        <v>1969680.3839999991</v>
      </c>
      <c r="AB37" s="38">
        <f t="shared" si="8"/>
        <v>1477260.2879999992</v>
      </c>
      <c r="AC37" s="38">
        <f t="shared" si="8"/>
        <v>984840.1919999993</v>
      </c>
      <c r="AD37" s="38">
        <f t="shared" si="8"/>
        <v>492420.09599999926</v>
      </c>
      <c r="AE37" s="38">
        <f t="shared" si="8"/>
        <v>-7.450580596923829E-10</v>
      </c>
    </row>
    <row r="38" spans="2:31" ht="15">
      <c r="B38" s="6" t="s">
        <v>12</v>
      </c>
      <c r="C38" s="16" t="s">
        <v>96</v>
      </c>
      <c r="D38" s="59">
        <v>0.005</v>
      </c>
      <c r="F38" s="38">
        <f aca="true" t="shared" si="9" ref="F38:R38">$D38*F$24</f>
        <v>0</v>
      </c>
      <c r="G38" s="38">
        <f t="shared" si="9"/>
        <v>1692272.736</v>
      </c>
      <c r="H38" s="38">
        <f t="shared" si="9"/>
        <v>1683811.37232</v>
      </c>
      <c r="I38" s="38">
        <f t="shared" si="9"/>
        <v>1675392.3154583997</v>
      </c>
      <c r="J38" s="38">
        <f t="shared" si="9"/>
        <v>1667015.3538811079</v>
      </c>
      <c r="K38" s="38">
        <f t="shared" si="9"/>
        <v>1658680.277111702</v>
      </c>
      <c r="L38" s="38">
        <f t="shared" si="9"/>
        <v>1650386.8757261438</v>
      </c>
      <c r="M38" s="38">
        <f t="shared" si="9"/>
        <v>1642134.9413475129</v>
      </c>
      <c r="N38" s="38">
        <f t="shared" si="9"/>
        <v>1633924.2666407756</v>
      </c>
      <c r="O38" s="38">
        <f t="shared" si="9"/>
        <v>1625754.6453075716</v>
      </c>
      <c r="P38" s="38">
        <f t="shared" si="9"/>
        <v>1617625.8720810337</v>
      </c>
      <c r="Q38" s="38">
        <f t="shared" si="9"/>
        <v>1609537.7427206286</v>
      </c>
      <c r="R38" s="38">
        <f t="shared" si="9"/>
        <v>1601490.0540070254</v>
      </c>
      <c r="S38" s="38">
        <f aca="true" t="shared" si="10" ref="S38:AE38">$D38*S$24</f>
        <v>1593482.6037369904</v>
      </c>
      <c r="T38" s="38">
        <f t="shared" si="10"/>
        <v>1585515.1907183055</v>
      </c>
      <c r="U38" s="38">
        <f t="shared" si="10"/>
        <v>1577587.614764714</v>
      </c>
      <c r="V38" s="38">
        <f t="shared" si="10"/>
        <v>1569699.6766908905</v>
      </c>
      <c r="W38" s="38">
        <f t="shared" si="10"/>
        <v>1561851.178307436</v>
      </c>
      <c r="X38" s="38">
        <f t="shared" si="10"/>
        <v>1554041.9224158989</v>
      </c>
      <c r="Y38" s="38">
        <f t="shared" si="10"/>
        <v>1546271.7128038192</v>
      </c>
      <c r="Z38" s="38">
        <f t="shared" si="10"/>
        <v>1538540.3542398002</v>
      </c>
      <c r="AA38" s="38">
        <f t="shared" si="10"/>
        <v>1530847.6524686012</v>
      </c>
      <c r="AB38" s="38">
        <f t="shared" si="10"/>
        <v>1523193.414206258</v>
      </c>
      <c r="AC38" s="38">
        <f t="shared" si="10"/>
        <v>1515577.447135227</v>
      </c>
      <c r="AD38" s="38">
        <f t="shared" si="10"/>
        <v>1507999.5598995506</v>
      </c>
      <c r="AE38" s="38">
        <f t="shared" si="10"/>
        <v>1500459.562100053</v>
      </c>
    </row>
    <row r="39" spans="2:31" ht="15">
      <c r="B39" s="6" t="s">
        <v>13</v>
      </c>
      <c r="C39" s="16" t="s">
        <v>96</v>
      </c>
      <c r="D39" s="59">
        <v>0.01</v>
      </c>
      <c r="F39" s="38">
        <f>$D39*F$24</f>
        <v>0</v>
      </c>
      <c r="G39" s="38">
        <f>$D39*G$24</f>
        <v>3384545.472</v>
      </c>
      <c r="H39" s="38">
        <f aca="true" t="shared" si="11" ref="H39:AE39">$D39*H$24</f>
        <v>3367622.74464</v>
      </c>
      <c r="I39" s="38">
        <f t="shared" si="11"/>
        <v>3350784.6309167994</v>
      </c>
      <c r="J39" s="38">
        <f t="shared" si="11"/>
        <v>3334030.7077622158</v>
      </c>
      <c r="K39" s="38">
        <f t="shared" si="11"/>
        <v>3317360.554223404</v>
      </c>
      <c r="L39" s="38">
        <f t="shared" si="11"/>
        <v>3300773.7514522877</v>
      </c>
      <c r="M39" s="38">
        <f t="shared" si="11"/>
        <v>3284269.8826950258</v>
      </c>
      <c r="N39" s="38">
        <f t="shared" si="11"/>
        <v>3267848.533281551</v>
      </c>
      <c r="O39" s="38">
        <f t="shared" si="11"/>
        <v>3251509.2906151433</v>
      </c>
      <c r="P39" s="38">
        <f t="shared" si="11"/>
        <v>3235251.7441620673</v>
      </c>
      <c r="Q39" s="38">
        <f t="shared" si="11"/>
        <v>3219075.4854412572</v>
      </c>
      <c r="R39" s="38">
        <f t="shared" si="11"/>
        <v>3202980.108014051</v>
      </c>
      <c r="S39" s="38">
        <f t="shared" si="11"/>
        <v>3186965.2074739807</v>
      </c>
      <c r="T39" s="38">
        <f t="shared" si="11"/>
        <v>3171030.381436611</v>
      </c>
      <c r="U39" s="38">
        <f t="shared" si="11"/>
        <v>3155175.229529428</v>
      </c>
      <c r="V39" s="38">
        <f t="shared" si="11"/>
        <v>3139399.353381781</v>
      </c>
      <c r="W39" s="38">
        <f t="shared" si="11"/>
        <v>3123702.356614872</v>
      </c>
      <c r="X39" s="38">
        <f t="shared" si="11"/>
        <v>3108083.8448317978</v>
      </c>
      <c r="Y39" s="38">
        <f t="shared" si="11"/>
        <v>3092543.4256076384</v>
      </c>
      <c r="Z39" s="38">
        <f t="shared" si="11"/>
        <v>3077080.7084796005</v>
      </c>
      <c r="AA39" s="38">
        <f t="shared" si="11"/>
        <v>3061695.3049372025</v>
      </c>
      <c r="AB39" s="38">
        <f t="shared" si="11"/>
        <v>3046386.828412516</v>
      </c>
      <c r="AC39" s="38">
        <f t="shared" si="11"/>
        <v>3031154.894270454</v>
      </c>
      <c r="AD39" s="38">
        <f t="shared" si="11"/>
        <v>3015999.1197991013</v>
      </c>
      <c r="AE39" s="38">
        <f t="shared" si="11"/>
        <v>3000919.124200106</v>
      </c>
    </row>
    <row r="40" spans="2:31" ht="15">
      <c r="B40" s="6" t="s">
        <v>14</v>
      </c>
      <c r="C40" s="16" t="s">
        <v>95</v>
      </c>
      <c r="D40" s="59">
        <v>0.015</v>
      </c>
      <c r="F40" s="38">
        <v>0</v>
      </c>
      <c r="G40" s="38">
        <f>$D40*G$76</f>
        <v>35454246.912</v>
      </c>
      <c r="H40" s="38">
        <f aca="true" t="shared" si="12" ref="H40:AE40">$D$37*H$76</f>
        <v>11325662.208000002</v>
      </c>
      <c r="I40" s="38">
        <f t="shared" si="12"/>
        <v>10833242.112000003</v>
      </c>
      <c r="J40" s="38">
        <f t="shared" si="12"/>
        <v>10340822.016000003</v>
      </c>
      <c r="K40" s="38">
        <f t="shared" si="12"/>
        <v>9848401.920000002</v>
      </c>
      <c r="L40" s="38">
        <f t="shared" si="12"/>
        <v>9355981.824000003</v>
      </c>
      <c r="M40" s="38">
        <f t="shared" si="12"/>
        <v>8863561.728000002</v>
      </c>
      <c r="N40" s="38">
        <f t="shared" si="12"/>
        <v>8371141.632000002</v>
      </c>
      <c r="O40" s="38">
        <f t="shared" si="12"/>
        <v>7878721.536000001</v>
      </c>
      <c r="P40" s="38">
        <f t="shared" si="12"/>
        <v>7386301.440000001</v>
      </c>
      <c r="Q40" s="38">
        <f t="shared" si="12"/>
        <v>6893881.344000001</v>
      </c>
      <c r="R40" s="38">
        <f t="shared" si="12"/>
        <v>6401461.248000001</v>
      </c>
      <c r="S40" s="38">
        <f t="shared" si="12"/>
        <v>5909041.152000001</v>
      </c>
      <c r="T40" s="38">
        <f t="shared" si="12"/>
        <v>5416621.056000001</v>
      </c>
      <c r="U40" s="38">
        <f t="shared" si="12"/>
        <v>4924200.96</v>
      </c>
      <c r="V40" s="38">
        <f t="shared" si="12"/>
        <v>4431780.864</v>
      </c>
      <c r="W40" s="38">
        <f t="shared" si="12"/>
        <v>3939360.7679999997</v>
      </c>
      <c r="X40" s="38">
        <f t="shared" si="12"/>
        <v>3446940.6719999993</v>
      </c>
      <c r="Y40" s="38">
        <f t="shared" si="12"/>
        <v>2954520.575999999</v>
      </c>
      <c r="Z40" s="38">
        <f t="shared" si="12"/>
        <v>2462100.479999999</v>
      </c>
      <c r="AA40" s="38">
        <f t="shared" si="12"/>
        <v>1969680.3839999991</v>
      </c>
      <c r="AB40" s="38">
        <f t="shared" si="12"/>
        <v>1477260.2879999992</v>
      </c>
      <c r="AC40" s="38">
        <f t="shared" si="12"/>
        <v>984840.1919999993</v>
      </c>
      <c r="AD40" s="38">
        <f t="shared" si="12"/>
        <v>492420.09599999926</v>
      </c>
      <c r="AE40" s="38">
        <f t="shared" si="12"/>
        <v>-7.450580596923829E-10</v>
      </c>
    </row>
    <row r="41" spans="2:31" ht="15">
      <c r="B41" s="6" t="s">
        <v>15</v>
      </c>
      <c r="C41" s="16" t="s">
        <v>68</v>
      </c>
      <c r="D41" s="60">
        <v>0.01</v>
      </c>
      <c r="F41" s="38">
        <f aca="true" t="shared" si="13" ref="F41:AE41">$D$41*F23</f>
        <v>0</v>
      </c>
      <c r="G41" s="38">
        <f t="shared" si="13"/>
        <v>396316.8</v>
      </c>
      <c r="H41" s="38">
        <f t="shared" si="13"/>
        <v>394335.216</v>
      </c>
      <c r="I41" s="38">
        <f t="shared" si="13"/>
        <v>392363.53992</v>
      </c>
      <c r="J41" s="38">
        <f t="shared" si="13"/>
        <v>390401.7222204</v>
      </c>
      <c r="K41" s="38">
        <f t="shared" si="13"/>
        <v>388449.71360929793</v>
      </c>
      <c r="L41" s="38">
        <f t="shared" si="13"/>
        <v>386507.4650412515</v>
      </c>
      <c r="M41" s="38">
        <f t="shared" si="13"/>
        <v>384574.92771604523</v>
      </c>
      <c r="N41" s="38">
        <f t="shared" si="13"/>
        <v>382652.053077465</v>
      </c>
      <c r="O41" s="38">
        <f t="shared" si="13"/>
        <v>380738.79281207774</v>
      </c>
      <c r="P41" s="38">
        <f t="shared" si="13"/>
        <v>378835.09884801734</v>
      </c>
      <c r="Q41" s="38">
        <f t="shared" si="13"/>
        <v>376940.9233537772</v>
      </c>
      <c r="R41" s="38">
        <f t="shared" si="13"/>
        <v>375056.21873700834</v>
      </c>
      <c r="S41" s="38">
        <f t="shared" si="13"/>
        <v>373180.9376433233</v>
      </c>
      <c r="T41" s="38">
        <f t="shared" si="13"/>
        <v>371315.03295510676</v>
      </c>
      <c r="U41" s="38">
        <f t="shared" si="13"/>
        <v>369458.45779033116</v>
      </c>
      <c r="V41" s="38">
        <f t="shared" si="13"/>
        <v>367611.1655013795</v>
      </c>
      <c r="W41" s="38">
        <f t="shared" si="13"/>
        <v>365773.1096738726</v>
      </c>
      <c r="X41" s="38">
        <f t="shared" si="13"/>
        <v>363944.24412550323</v>
      </c>
      <c r="Y41" s="38">
        <f t="shared" si="13"/>
        <v>362124.52290487575</v>
      </c>
      <c r="Z41" s="38">
        <f t="shared" si="13"/>
        <v>360313.90029035136</v>
      </c>
      <c r="AA41" s="38">
        <f t="shared" si="13"/>
        <v>358512.3307888996</v>
      </c>
      <c r="AB41" s="38">
        <f t="shared" si="13"/>
        <v>356719.76913495513</v>
      </c>
      <c r="AC41" s="38">
        <f t="shared" si="13"/>
        <v>354936.17028928036</v>
      </c>
      <c r="AD41" s="38">
        <f t="shared" si="13"/>
        <v>353161.48943783395</v>
      </c>
      <c r="AE41" s="38">
        <f t="shared" si="13"/>
        <v>351395.6819906448</v>
      </c>
    </row>
    <row r="42" spans="2:31" ht="15">
      <c r="B42" s="6" t="s">
        <v>16</v>
      </c>
      <c r="C42" s="16" t="s">
        <v>96</v>
      </c>
      <c r="D42" s="59">
        <v>0.01</v>
      </c>
      <c r="F42" s="38">
        <f>$D42*F$24</f>
        <v>0</v>
      </c>
      <c r="G42" s="38">
        <f>$D42*G$24</f>
        <v>3384545.472</v>
      </c>
      <c r="H42" s="38">
        <f aca="true" t="shared" si="14" ref="H42:AE42">$D42*H$24</f>
        <v>3367622.74464</v>
      </c>
      <c r="I42" s="38">
        <f t="shared" si="14"/>
        <v>3350784.6309167994</v>
      </c>
      <c r="J42" s="38">
        <f t="shared" si="14"/>
        <v>3334030.7077622158</v>
      </c>
      <c r="K42" s="38">
        <f t="shared" si="14"/>
        <v>3317360.554223404</v>
      </c>
      <c r="L42" s="38">
        <f t="shared" si="14"/>
        <v>3300773.7514522877</v>
      </c>
      <c r="M42" s="38">
        <f t="shared" si="14"/>
        <v>3284269.8826950258</v>
      </c>
      <c r="N42" s="38">
        <f t="shared" si="14"/>
        <v>3267848.533281551</v>
      </c>
      <c r="O42" s="38">
        <f t="shared" si="14"/>
        <v>3251509.2906151433</v>
      </c>
      <c r="P42" s="38">
        <f t="shared" si="14"/>
        <v>3235251.7441620673</v>
      </c>
      <c r="Q42" s="38">
        <f t="shared" si="14"/>
        <v>3219075.4854412572</v>
      </c>
      <c r="R42" s="38">
        <f t="shared" si="14"/>
        <v>3202980.108014051</v>
      </c>
      <c r="S42" s="38">
        <f t="shared" si="14"/>
        <v>3186965.2074739807</v>
      </c>
      <c r="T42" s="38">
        <f t="shared" si="14"/>
        <v>3171030.381436611</v>
      </c>
      <c r="U42" s="38">
        <f t="shared" si="14"/>
        <v>3155175.229529428</v>
      </c>
      <c r="V42" s="38">
        <f t="shared" si="14"/>
        <v>3139399.353381781</v>
      </c>
      <c r="W42" s="38">
        <f t="shared" si="14"/>
        <v>3123702.356614872</v>
      </c>
      <c r="X42" s="38">
        <f t="shared" si="14"/>
        <v>3108083.8448317978</v>
      </c>
      <c r="Y42" s="38">
        <f t="shared" si="14"/>
        <v>3092543.4256076384</v>
      </c>
      <c r="Z42" s="38">
        <f t="shared" si="14"/>
        <v>3077080.7084796005</v>
      </c>
      <c r="AA42" s="38">
        <f t="shared" si="14"/>
        <v>3061695.3049372025</v>
      </c>
      <c r="AB42" s="38">
        <f t="shared" si="14"/>
        <v>3046386.828412516</v>
      </c>
      <c r="AC42" s="38">
        <f t="shared" si="14"/>
        <v>3031154.894270454</v>
      </c>
      <c r="AD42" s="38">
        <f t="shared" si="14"/>
        <v>3015999.1197991013</v>
      </c>
      <c r="AE42" s="38">
        <f t="shared" si="14"/>
        <v>3000919.124200106</v>
      </c>
    </row>
    <row r="43" spans="2:31" ht="15">
      <c r="B43" s="6" t="s">
        <v>17</v>
      </c>
      <c r="C43" s="16" t="s">
        <v>120</v>
      </c>
      <c r="D43" s="61">
        <v>3000000</v>
      </c>
      <c r="F43" s="38">
        <v>0</v>
      </c>
      <c r="G43" s="38">
        <f>$D$43</f>
        <v>3000000</v>
      </c>
      <c r="H43" s="38">
        <f aca="true" t="shared" si="15" ref="H43:AE43">$D$43</f>
        <v>3000000</v>
      </c>
      <c r="I43" s="38">
        <f t="shared" si="15"/>
        <v>3000000</v>
      </c>
      <c r="J43" s="38">
        <f t="shared" si="15"/>
        <v>3000000</v>
      </c>
      <c r="K43" s="38">
        <f t="shared" si="15"/>
        <v>3000000</v>
      </c>
      <c r="L43" s="38">
        <f t="shared" si="15"/>
        <v>3000000</v>
      </c>
      <c r="M43" s="38">
        <f t="shared" si="15"/>
        <v>3000000</v>
      </c>
      <c r="N43" s="38">
        <f t="shared" si="15"/>
        <v>3000000</v>
      </c>
      <c r="O43" s="38">
        <f t="shared" si="15"/>
        <v>3000000</v>
      </c>
      <c r="P43" s="38">
        <f t="shared" si="15"/>
        <v>3000000</v>
      </c>
      <c r="Q43" s="38">
        <f t="shared" si="15"/>
        <v>3000000</v>
      </c>
      <c r="R43" s="38">
        <f t="shared" si="15"/>
        <v>3000000</v>
      </c>
      <c r="S43" s="38">
        <f t="shared" si="15"/>
        <v>3000000</v>
      </c>
      <c r="T43" s="38">
        <f t="shared" si="15"/>
        <v>3000000</v>
      </c>
      <c r="U43" s="38">
        <f t="shared" si="15"/>
        <v>3000000</v>
      </c>
      <c r="V43" s="38">
        <f t="shared" si="15"/>
        <v>3000000</v>
      </c>
      <c r="W43" s="38">
        <f t="shared" si="15"/>
        <v>3000000</v>
      </c>
      <c r="X43" s="38">
        <f t="shared" si="15"/>
        <v>3000000</v>
      </c>
      <c r="Y43" s="38">
        <f t="shared" si="15"/>
        <v>3000000</v>
      </c>
      <c r="Z43" s="38">
        <f t="shared" si="15"/>
        <v>3000000</v>
      </c>
      <c r="AA43" s="38">
        <f t="shared" si="15"/>
        <v>3000000</v>
      </c>
      <c r="AB43" s="38">
        <f t="shared" si="15"/>
        <v>3000000</v>
      </c>
      <c r="AC43" s="38">
        <f t="shared" si="15"/>
        <v>3000000</v>
      </c>
      <c r="AD43" s="38">
        <f t="shared" si="15"/>
        <v>3000000</v>
      </c>
      <c r="AE43" s="38">
        <f t="shared" si="15"/>
        <v>3000000</v>
      </c>
    </row>
    <row r="44" spans="2:31" ht="15">
      <c r="B44" s="17" t="s">
        <v>85</v>
      </c>
      <c r="C44" s="1"/>
      <c r="D44" s="1"/>
      <c r="E44" s="1"/>
      <c r="F44" s="41">
        <f aca="true" t="shared" si="16" ref="F44:AE44">SUM(F37:F43)</f>
        <v>0</v>
      </c>
      <c r="G44" s="41">
        <f t="shared" si="16"/>
        <v>59130009.696</v>
      </c>
      <c r="H44" s="41">
        <f t="shared" si="16"/>
        <v>34464716.4936</v>
      </c>
      <c r="I44" s="41">
        <f t="shared" si="16"/>
        <v>33435809.341212004</v>
      </c>
      <c r="J44" s="41">
        <f t="shared" si="16"/>
        <v>32407122.523625944</v>
      </c>
      <c r="K44" s="41">
        <f t="shared" si="16"/>
        <v>31378654.93916781</v>
      </c>
      <c r="L44" s="41">
        <f t="shared" si="16"/>
        <v>30350405.491671972</v>
      </c>
      <c r="M44" s="41">
        <f t="shared" si="16"/>
        <v>29322373.090453617</v>
      </c>
      <c r="N44" s="41">
        <f t="shared" si="16"/>
        <v>28294556.650281347</v>
      </c>
      <c r="O44" s="41">
        <f t="shared" si="16"/>
        <v>27266955.091349937</v>
      </c>
      <c r="P44" s="41">
        <f t="shared" si="16"/>
        <v>26239567.33925319</v>
      </c>
      <c r="Q44" s="41">
        <f t="shared" si="16"/>
        <v>25212392.32495692</v>
      </c>
      <c r="R44" s="41">
        <f t="shared" si="16"/>
        <v>24185428.98477214</v>
      </c>
      <c r="S44" s="41">
        <f t="shared" si="16"/>
        <v>23158676.260328278</v>
      </c>
      <c r="T44" s="41">
        <f t="shared" si="16"/>
        <v>22132133.098546635</v>
      </c>
      <c r="U44" s="41">
        <f t="shared" si="16"/>
        <v>21105798.4516139</v>
      </c>
      <c r="V44" s="41">
        <f t="shared" si="16"/>
        <v>20079671.27695583</v>
      </c>
      <c r="W44" s="41">
        <f t="shared" si="16"/>
        <v>19053750.537211053</v>
      </c>
      <c r="X44" s="41">
        <f t="shared" si="16"/>
        <v>18028035.200205</v>
      </c>
      <c r="Y44" s="41">
        <f t="shared" si="16"/>
        <v>17002524.23892397</v>
      </c>
      <c r="Z44" s="41">
        <f t="shared" si="16"/>
        <v>15977216.63148935</v>
      </c>
      <c r="AA44" s="41">
        <f t="shared" si="16"/>
        <v>14952111.361131905</v>
      </c>
      <c r="AB44" s="41">
        <f t="shared" si="16"/>
        <v>13927207.416166244</v>
      </c>
      <c r="AC44" s="41">
        <f t="shared" si="16"/>
        <v>12902503.789965414</v>
      </c>
      <c r="AD44" s="41">
        <f t="shared" si="16"/>
        <v>11877999.480935585</v>
      </c>
      <c r="AE44" s="41">
        <f t="shared" si="16"/>
        <v>10853693.492490908</v>
      </c>
    </row>
    <row r="45" spans="2:31" ht="15.75" thickBot="1">
      <c r="B45" s="18"/>
      <c r="C45" s="7"/>
      <c r="D45" s="7"/>
      <c r="E45" s="7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</row>
    <row r="46" spans="2:31" ht="15">
      <c r="B46" s="19" t="s">
        <v>86</v>
      </c>
      <c r="C46" s="15"/>
      <c r="D46" s="15"/>
      <c r="E46" s="15"/>
      <c r="F46" s="39">
        <f aca="true" t="shared" si="17" ref="F46:L46">F44+F34</f>
        <v>0</v>
      </c>
      <c r="G46" s="39">
        <f t="shared" si="17"/>
        <v>83889901.77600001</v>
      </c>
      <c r="H46" s="39">
        <f t="shared" si="17"/>
        <v>60957801.01920001</v>
      </c>
      <c r="I46" s="39">
        <f t="shared" si="17"/>
        <v>61783409.78360401</v>
      </c>
      <c r="J46" s="39">
        <f t="shared" si="17"/>
        <v>62739054.99698539</v>
      </c>
      <c r="K46" s="39">
        <f t="shared" si="17"/>
        <v>63833822.68566242</v>
      </c>
      <c r="L46" s="39">
        <f t="shared" si="17"/>
        <v>65077434.98042121</v>
      </c>
      <c r="M46" s="39">
        <f aca="true" t="shared" si="18" ref="M46:AE46">M44+M34</f>
        <v>66480294.6434153</v>
      </c>
      <c r="N46" s="39">
        <f t="shared" si="18"/>
        <v>68053532.71195036</v>
      </c>
      <c r="O46" s="39">
        <f t="shared" si="18"/>
        <v>69809059.47733578</v>
      </c>
      <c r="P46" s="39">
        <f t="shared" si="18"/>
        <v>71759619.03225803</v>
      </c>
      <c r="Q46" s="39">
        <f t="shared" si="18"/>
        <v>73918847.6364721</v>
      </c>
      <c r="R46" s="39">
        <f t="shared" si="18"/>
        <v>76301336.16809338</v>
      </c>
      <c r="S46" s="39">
        <f t="shared" si="18"/>
        <v>78922696.94648202</v>
      </c>
      <c r="T46" s="39">
        <f t="shared" si="18"/>
        <v>81799635.23273113</v>
      </c>
      <c r="U46" s="39">
        <f t="shared" si="18"/>
        <v>84950025.73519132</v>
      </c>
      <c r="V46" s="39">
        <f t="shared" si="18"/>
        <v>88392994.47038367</v>
      </c>
      <c r="W46" s="39">
        <f t="shared" si="18"/>
        <v>92149006.35417885</v>
      </c>
      <c r="X46" s="39">
        <f t="shared" si="18"/>
        <v>96239958.92436054</v>
      </c>
      <c r="Y46" s="39">
        <f t="shared" si="18"/>
        <v>100689282.6237704</v>
      </c>
      <c r="Z46" s="39">
        <f t="shared" si="18"/>
        <v>105522048.10327505</v>
      </c>
      <c r="AA46" s="39">
        <f t="shared" si="18"/>
        <v>110765081.0359426</v>
      </c>
      <c r="AB46" s="39">
        <f t="shared" si="18"/>
        <v>116447084.96821369</v>
      </c>
      <c r="AC46" s="39">
        <f t="shared" si="18"/>
        <v>122598772.7706562</v>
      </c>
      <c r="AD46" s="39">
        <f t="shared" si="18"/>
        <v>129253007.29027472</v>
      </c>
      <c r="AE46" s="39">
        <f t="shared" si="18"/>
        <v>136444951.8484838</v>
      </c>
    </row>
    <row r="47" spans="2:31" ht="15">
      <c r="B47" s="2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5">
      <c r="B48" s="20" t="s">
        <v>75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4" ht="15">
      <c r="B49" s="21" t="s">
        <v>74</v>
      </c>
      <c r="C49" s="2" t="s">
        <v>94</v>
      </c>
      <c r="D49" s="62">
        <v>0.1</v>
      </c>
    </row>
    <row r="51" s="22" customFormat="1" ht="15">
      <c r="B51" s="23" t="s">
        <v>88</v>
      </c>
    </row>
    <row r="52" ht="15">
      <c r="B52" s="25"/>
    </row>
    <row r="53" spans="2:31" ht="15">
      <c r="B53" s="20" t="s">
        <v>70</v>
      </c>
      <c r="F53" s="30">
        <v>0</v>
      </c>
      <c r="G53" s="8">
        <f aca="true" t="shared" si="19" ref="G53:P53">F53+1</f>
        <v>1</v>
      </c>
      <c r="H53" s="8">
        <f t="shared" si="19"/>
        <v>2</v>
      </c>
      <c r="I53" s="8">
        <f t="shared" si="19"/>
        <v>3</v>
      </c>
      <c r="J53" s="8">
        <f t="shared" si="19"/>
        <v>4</v>
      </c>
      <c r="K53" s="8">
        <f t="shared" si="19"/>
        <v>5</v>
      </c>
      <c r="L53" s="8">
        <f t="shared" si="19"/>
        <v>6</v>
      </c>
      <c r="M53" s="8">
        <f t="shared" si="19"/>
        <v>7</v>
      </c>
      <c r="N53" s="8">
        <f t="shared" si="19"/>
        <v>8</v>
      </c>
      <c r="O53" s="8">
        <f t="shared" si="19"/>
        <v>9</v>
      </c>
      <c r="P53" s="8">
        <f t="shared" si="19"/>
        <v>10</v>
      </c>
      <c r="Q53" s="8">
        <f aca="true" t="shared" si="20" ref="Q53:AE53">P53+1</f>
        <v>11</v>
      </c>
      <c r="R53" s="8">
        <f t="shared" si="20"/>
        <v>12</v>
      </c>
      <c r="S53" s="8">
        <f t="shared" si="20"/>
        <v>13</v>
      </c>
      <c r="T53" s="8">
        <f t="shared" si="20"/>
        <v>14</v>
      </c>
      <c r="U53" s="8">
        <f t="shared" si="20"/>
        <v>15</v>
      </c>
      <c r="V53" s="8">
        <f t="shared" si="20"/>
        <v>16</v>
      </c>
      <c r="W53" s="8">
        <f t="shared" si="20"/>
        <v>17</v>
      </c>
      <c r="X53" s="8">
        <f t="shared" si="20"/>
        <v>18</v>
      </c>
      <c r="Y53" s="8">
        <f t="shared" si="20"/>
        <v>19</v>
      </c>
      <c r="Z53" s="8">
        <f t="shared" si="20"/>
        <v>20</v>
      </c>
      <c r="AA53" s="8">
        <f t="shared" si="20"/>
        <v>21</v>
      </c>
      <c r="AB53" s="8">
        <f t="shared" si="20"/>
        <v>22</v>
      </c>
      <c r="AC53" s="8">
        <f t="shared" si="20"/>
        <v>23</v>
      </c>
      <c r="AD53" s="8">
        <f t="shared" si="20"/>
        <v>24</v>
      </c>
      <c r="AE53" s="8">
        <f t="shared" si="20"/>
        <v>25</v>
      </c>
    </row>
    <row r="54" spans="2:31" ht="15">
      <c r="B54" s="2" t="s">
        <v>58</v>
      </c>
      <c r="F54" s="38">
        <f aca="true" t="shared" si="21" ref="F54:AE54">F24</f>
        <v>0</v>
      </c>
      <c r="G54" s="38">
        <f t="shared" si="21"/>
        <v>338454547.2</v>
      </c>
      <c r="H54" s="38">
        <f>H24</f>
        <v>336762274.464</v>
      </c>
      <c r="I54" s="38">
        <f t="shared" si="21"/>
        <v>335078463.09167993</v>
      </c>
      <c r="J54" s="38">
        <f t="shared" si="21"/>
        <v>333403070.7762216</v>
      </c>
      <c r="K54" s="38">
        <f t="shared" si="21"/>
        <v>331736055.4223404</v>
      </c>
      <c r="L54" s="38">
        <f t="shared" si="21"/>
        <v>330077375.14522874</v>
      </c>
      <c r="M54" s="38">
        <f t="shared" si="21"/>
        <v>328426988.2695026</v>
      </c>
      <c r="N54" s="38">
        <f t="shared" si="21"/>
        <v>326784853.3281551</v>
      </c>
      <c r="O54" s="38">
        <f t="shared" si="21"/>
        <v>325150929.0615143</v>
      </c>
      <c r="P54" s="38">
        <f t="shared" si="21"/>
        <v>323525174.4162067</v>
      </c>
      <c r="Q54" s="38">
        <f t="shared" si="21"/>
        <v>321907548.54412574</v>
      </c>
      <c r="R54" s="38">
        <f t="shared" si="21"/>
        <v>320298010.8014051</v>
      </c>
      <c r="S54" s="38">
        <f t="shared" si="21"/>
        <v>318696520.7473981</v>
      </c>
      <c r="T54" s="38">
        <f t="shared" si="21"/>
        <v>317103038.1436611</v>
      </c>
      <c r="U54" s="38">
        <f t="shared" si="21"/>
        <v>315517522.9529428</v>
      </c>
      <c r="V54" s="38">
        <f t="shared" si="21"/>
        <v>313939935.3381781</v>
      </c>
      <c r="W54" s="38">
        <f t="shared" si="21"/>
        <v>312370235.66148716</v>
      </c>
      <c r="X54" s="38">
        <f t="shared" si="21"/>
        <v>310808384.48317975</v>
      </c>
      <c r="Y54" s="38">
        <f t="shared" si="21"/>
        <v>309254342.56076384</v>
      </c>
      <c r="Z54" s="38">
        <f t="shared" si="21"/>
        <v>307708070.84796005</v>
      </c>
      <c r="AA54" s="38">
        <f t="shared" si="21"/>
        <v>306169530.49372023</v>
      </c>
      <c r="AB54" s="38">
        <f t="shared" si="21"/>
        <v>304638682.8412516</v>
      </c>
      <c r="AC54" s="38">
        <f t="shared" si="21"/>
        <v>303115489.4270454</v>
      </c>
      <c r="AD54" s="38">
        <f t="shared" si="21"/>
        <v>301599911.97991014</v>
      </c>
      <c r="AE54" s="38">
        <f t="shared" si="21"/>
        <v>300091912.4200106</v>
      </c>
    </row>
    <row r="55" spans="2:31" ht="15">
      <c r="B55" s="16" t="s">
        <v>71</v>
      </c>
      <c r="F55" s="38">
        <f>-F44</f>
        <v>0</v>
      </c>
      <c r="G55" s="38">
        <f aca="true" t="shared" si="22" ref="G55:L55">-G46</f>
        <v>-83889901.77600001</v>
      </c>
      <c r="H55" s="38">
        <f t="shared" si="22"/>
        <v>-60957801.01920001</v>
      </c>
      <c r="I55" s="38">
        <f t="shared" si="22"/>
        <v>-61783409.78360401</v>
      </c>
      <c r="J55" s="38">
        <f t="shared" si="22"/>
        <v>-62739054.99698539</v>
      </c>
      <c r="K55" s="38">
        <f t="shared" si="22"/>
        <v>-63833822.68566242</v>
      </c>
      <c r="L55" s="38">
        <f t="shared" si="22"/>
        <v>-65077434.98042121</v>
      </c>
      <c r="M55" s="38">
        <f aca="true" t="shared" si="23" ref="M55:AE55">-M46</f>
        <v>-66480294.6434153</v>
      </c>
      <c r="N55" s="38">
        <f t="shared" si="23"/>
        <v>-68053532.71195036</v>
      </c>
      <c r="O55" s="38">
        <f t="shared" si="23"/>
        <v>-69809059.47733578</v>
      </c>
      <c r="P55" s="38">
        <f t="shared" si="23"/>
        <v>-71759619.03225803</v>
      </c>
      <c r="Q55" s="38">
        <f t="shared" si="23"/>
        <v>-73918847.6364721</v>
      </c>
      <c r="R55" s="38">
        <f t="shared" si="23"/>
        <v>-76301336.16809338</v>
      </c>
      <c r="S55" s="38">
        <f t="shared" si="23"/>
        <v>-78922696.94648202</v>
      </c>
      <c r="T55" s="38">
        <f t="shared" si="23"/>
        <v>-81799635.23273113</v>
      </c>
      <c r="U55" s="38">
        <f t="shared" si="23"/>
        <v>-84950025.73519132</v>
      </c>
      <c r="V55" s="38">
        <f t="shared" si="23"/>
        <v>-88392994.47038367</v>
      </c>
      <c r="W55" s="38">
        <f t="shared" si="23"/>
        <v>-92149006.35417885</v>
      </c>
      <c r="X55" s="38">
        <f t="shared" si="23"/>
        <v>-96239958.92436054</v>
      </c>
      <c r="Y55" s="38">
        <f t="shared" si="23"/>
        <v>-100689282.6237704</v>
      </c>
      <c r="Z55" s="38">
        <f t="shared" si="23"/>
        <v>-105522048.10327505</v>
      </c>
      <c r="AA55" s="38">
        <f t="shared" si="23"/>
        <v>-110765081.0359426</v>
      </c>
      <c r="AB55" s="38">
        <f t="shared" si="23"/>
        <v>-116447084.96821369</v>
      </c>
      <c r="AC55" s="38">
        <f t="shared" si="23"/>
        <v>-122598772.7706562</v>
      </c>
      <c r="AD55" s="38">
        <f t="shared" si="23"/>
        <v>-129253007.29027472</v>
      </c>
      <c r="AE55" s="38">
        <f t="shared" si="23"/>
        <v>-136444951.8484838</v>
      </c>
    </row>
    <row r="56" spans="2:31" ht="15">
      <c r="B56" s="13" t="s">
        <v>101</v>
      </c>
      <c r="C56" s="13"/>
      <c r="D56" s="13"/>
      <c r="E56" s="13"/>
      <c r="F56" s="40">
        <f>F54+F55</f>
        <v>0</v>
      </c>
      <c r="G56" s="40">
        <f>G54+G55</f>
        <v>254564645.42399997</v>
      </c>
      <c r="H56" s="40">
        <f aca="true" t="shared" si="24" ref="H56:AE56">H54+H55</f>
        <v>275804473.44479996</v>
      </c>
      <c r="I56" s="40">
        <f t="shared" si="24"/>
        <v>273295053.3080759</v>
      </c>
      <c r="J56" s="40">
        <f t="shared" si="24"/>
        <v>270664015.7792362</v>
      </c>
      <c r="K56" s="40">
        <f t="shared" si="24"/>
        <v>267902232.73667797</v>
      </c>
      <c r="L56" s="40">
        <f t="shared" si="24"/>
        <v>264999940.16480753</v>
      </c>
      <c r="M56" s="40">
        <f t="shared" si="24"/>
        <v>261946693.62608728</v>
      </c>
      <c r="N56" s="40">
        <f t="shared" si="24"/>
        <v>258731320.61620474</v>
      </c>
      <c r="O56" s="40">
        <f t="shared" si="24"/>
        <v>255341869.58417854</v>
      </c>
      <c r="P56" s="40">
        <f t="shared" si="24"/>
        <v>251765555.38394868</v>
      </c>
      <c r="Q56" s="40">
        <f t="shared" si="24"/>
        <v>247988700.90765363</v>
      </c>
      <c r="R56" s="40">
        <f t="shared" si="24"/>
        <v>243996674.6333117</v>
      </c>
      <c r="S56" s="40">
        <f t="shared" si="24"/>
        <v>239773823.80091608</v>
      </c>
      <c r="T56" s="40">
        <f t="shared" si="24"/>
        <v>235303402.91092995</v>
      </c>
      <c r="U56" s="40">
        <f t="shared" si="24"/>
        <v>230567497.21775147</v>
      </c>
      <c r="V56" s="40">
        <f t="shared" si="24"/>
        <v>225546940.86779442</v>
      </c>
      <c r="W56" s="40">
        <f t="shared" si="24"/>
        <v>220221229.30730832</v>
      </c>
      <c r="X56" s="40">
        <f t="shared" si="24"/>
        <v>214568425.5588192</v>
      </c>
      <c r="Y56" s="40">
        <f t="shared" si="24"/>
        <v>208565059.93699342</v>
      </c>
      <c r="Z56" s="40">
        <f t="shared" si="24"/>
        <v>202186022.744685</v>
      </c>
      <c r="AA56" s="40">
        <f t="shared" si="24"/>
        <v>195404449.45777762</v>
      </c>
      <c r="AB56" s="40">
        <f t="shared" si="24"/>
        <v>188191597.87303793</v>
      </c>
      <c r="AC56" s="40">
        <f t="shared" si="24"/>
        <v>180516716.6563892</v>
      </c>
      <c r="AD56" s="40">
        <f t="shared" si="24"/>
        <v>172346904.6896354</v>
      </c>
      <c r="AE56" s="40">
        <f t="shared" si="24"/>
        <v>163646960.57152683</v>
      </c>
    </row>
    <row r="57" spans="2:31" ht="15">
      <c r="B57" s="15"/>
      <c r="C57" s="15"/>
      <c r="D57" s="15"/>
      <c r="E57" s="15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2:31" s="3" customFormat="1" ht="15">
      <c r="B58" s="29" t="s">
        <v>100</v>
      </c>
      <c r="F58" s="43">
        <v>0</v>
      </c>
      <c r="G58" s="43">
        <f>G75</f>
        <v>-98484019.2</v>
      </c>
      <c r="H58" s="43">
        <f aca="true" t="shared" si="25" ref="H58:AE58">H75</f>
        <v>-98484019.2</v>
      </c>
      <c r="I58" s="43">
        <f t="shared" si="25"/>
        <v>-98484019.2</v>
      </c>
      <c r="J58" s="43">
        <f t="shared" si="25"/>
        <v>-98484019.2</v>
      </c>
      <c r="K58" s="43">
        <f t="shared" si="25"/>
        <v>-98484019.2</v>
      </c>
      <c r="L58" s="43">
        <f t="shared" si="25"/>
        <v>-98484019.2</v>
      </c>
      <c r="M58" s="43">
        <f t="shared" si="25"/>
        <v>-98484019.2</v>
      </c>
      <c r="N58" s="43">
        <f t="shared" si="25"/>
        <v>-98484019.2</v>
      </c>
      <c r="O58" s="43">
        <f t="shared" si="25"/>
        <v>-98484019.2</v>
      </c>
      <c r="P58" s="43">
        <f t="shared" si="25"/>
        <v>-98484019.2</v>
      </c>
      <c r="Q58" s="43">
        <f t="shared" si="25"/>
        <v>-98484019.2</v>
      </c>
      <c r="R58" s="43">
        <f t="shared" si="25"/>
        <v>-98484019.2</v>
      </c>
      <c r="S58" s="43">
        <f t="shared" si="25"/>
        <v>-98484019.2</v>
      </c>
      <c r="T58" s="43">
        <f t="shared" si="25"/>
        <v>-98484019.2</v>
      </c>
      <c r="U58" s="43">
        <f t="shared" si="25"/>
        <v>-98484019.2</v>
      </c>
      <c r="V58" s="43">
        <f t="shared" si="25"/>
        <v>-98484019.2</v>
      </c>
      <c r="W58" s="43">
        <f t="shared" si="25"/>
        <v>-98484019.2</v>
      </c>
      <c r="X58" s="43">
        <f t="shared" si="25"/>
        <v>-98484019.2</v>
      </c>
      <c r="Y58" s="43">
        <f t="shared" si="25"/>
        <v>-98484019.2</v>
      </c>
      <c r="Z58" s="43">
        <f t="shared" si="25"/>
        <v>-98484019.2</v>
      </c>
      <c r="AA58" s="43">
        <f t="shared" si="25"/>
        <v>-98484019.2</v>
      </c>
      <c r="AB58" s="43">
        <f t="shared" si="25"/>
        <v>-98484019.2</v>
      </c>
      <c r="AC58" s="43">
        <f t="shared" si="25"/>
        <v>-98484019.2</v>
      </c>
      <c r="AD58" s="43">
        <f t="shared" si="25"/>
        <v>-98484019.2</v>
      </c>
      <c r="AE58" s="43">
        <f t="shared" si="25"/>
        <v>-98484019.2</v>
      </c>
    </row>
    <row r="59" spans="2:31" s="3" customFormat="1" ht="15">
      <c r="B59" s="13" t="s">
        <v>102</v>
      </c>
      <c r="C59" s="1"/>
      <c r="D59" s="1"/>
      <c r="E59" s="1"/>
      <c r="F59" s="41">
        <f>F56+F58</f>
        <v>0</v>
      </c>
      <c r="G59" s="41">
        <f>G56+G58</f>
        <v>156080626.22399998</v>
      </c>
      <c r="H59" s="41">
        <f aca="true" t="shared" si="26" ref="H59:AE59">H56+H58</f>
        <v>177320454.24479997</v>
      </c>
      <c r="I59" s="41">
        <f t="shared" si="26"/>
        <v>174811034.10807592</v>
      </c>
      <c r="J59" s="41">
        <f t="shared" si="26"/>
        <v>172179996.5792362</v>
      </c>
      <c r="K59" s="41">
        <f t="shared" si="26"/>
        <v>169418213.53667796</v>
      </c>
      <c r="L59" s="41">
        <f t="shared" si="26"/>
        <v>166515920.9648075</v>
      </c>
      <c r="M59" s="41">
        <f t="shared" si="26"/>
        <v>163462674.42608726</v>
      </c>
      <c r="N59" s="41">
        <f t="shared" si="26"/>
        <v>160247301.41620475</v>
      </c>
      <c r="O59" s="41">
        <f t="shared" si="26"/>
        <v>156857850.38417852</v>
      </c>
      <c r="P59" s="41">
        <f t="shared" si="26"/>
        <v>153281536.1839487</v>
      </c>
      <c r="Q59" s="41">
        <f t="shared" si="26"/>
        <v>149504681.70765364</v>
      </c>
      <c r="R59" s="41">
        <f t="shared" si="26"/>
        <v>145512655.4333117</v>
      </c>
      <c r="S59" s="41">
        <f t="shared" si="26"/>
        <v>141289804.6009161</v>
      </c>
      <c r="T59" s="41">
        <f t="shared" si="26"/>
        <v>136819383.71092993</v>
      </c>
      <c r="U59" s="41">
        <f t="shared" si="26"/>
        <v>132083478.01775147</v>
      </c>
      <c r="V59" s="41">
        <f t="shared" si="26"/>
        <v>127062921.66779442</v>
      </c>
      <c r="W59" s="41">
        <f t="shared" si="26"/>
        <v>121737210.10730831</v>
      </c>
      <c r="X59" s="41">
        <f t="shared" si="26"/>
        <v>116084406.3588192</v>
      </c>
      <c r="Y59" s="41">
        <f t="shared" si="26"/>
        <v>110081040.73699342</v>
      </c>
      <c r="Z59" s="41">
        <f t="shared" si="26"/>
        <v>103702003.54468499</v>
      </c>
      <c r="AA59" s="41">
        <f t="shared" si="26"/>
        <v>96920430.25777762</v>
      </c>
      <c r="AB59" s="41">
        <f t="shared" si="26"/>
        <v>89707578.67303793</v>
      </c>
      <c r="AC59" s="41">
        <f t="shared" si="26"/>
        <v>82032697.4563892</v>
      </c>
      <c r="AD59" s="41">
        <f t="shared" si="26"/>
        <v>73862885.4896354</v>
      </c>
      <c r="AE59" s="41">
        <f t="shared" si="26"/>
        <v>65162941.37152682</v>
      </c>
    </row>
    <row r="60" spans="6:31" s="3" customFormat="1" ht="15"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</row>
    <row r="61" spans="2:31" ht="15">
      <c r="B61" s="16" t="s">
        <v>72</v>
      </c>
      <c r="F61" s="38">
        <v>0</v>
      </c>
      <c r="G61" s="38">
        <f aca="true" t="shared" si="27" ref="G61:AE61">G101</f>
        <v>-67215343.104</v>
      </c>
      <c r="H61" s="38">
        <f t="shared" si="27"/>
        <v>-66925237.36241691</v>
      </c>
      <c r="I61" s="38">
        <f t="shared" si="27"/>
        <v>-63065846.00315598</v>
      </c>
      <c r="J61" s="38">
        <f t="shared" si="27"/>
        <v>-58064039.89834334</v>
      </c>
      <c r="K61" s="38">
        <f t="shared" si="27"/>
        <v>-52755305.21140159</v>
      </c>
      <c r="L61" s="38">
        <f t="shared" si="27"/>
        <v>-47120807.71474299</v>
      </c>
      <c r="M61" s="38">
        <f t="shared" si="27"/>
        <v>-41140557.44570175</v>
      </c>
      <c r="N61" s="38">
        <f t="shared" si="27"/>
        <v>-34793337.786526024</v>
      </c>
      <c r="O61" s="38">
        <f t="shared" si="27"/>
        <v>-28056630.192466486</v>
      </c>
      <c r="P61" s="38">
        <f t="shared" si="27"/>
        <v>-20906534.300913047</v>
      </c>
      <c r="Q61" s="38">
        <f t="shared" si="27"/>
        <v>-13317683.138144663</v>
      </c>
      <c r="R61" s="38">
        <f t="shared" si="27"/>
        <v>-5263153.122864152</v>
      </c>
      <c r="S61" s="38">
        <f t="shared" si="27"/>
        <v>-35489196.32547893</v>
      </c>
      <c r="T61" s="38">
        <f t="shared" si="27"/>
        <v>-33545961.193632003</v>
      </c>
      <c r="U61" s="38">
        <f t="shared" si="27"/>
        <v>-31483482.25439571</v>
      </c>
      <c r="V61" s="38">
        <f t="shared" si="27"/>
        <v>-29294442.284358583</v>
      </c>
      <c r="W61" s="38">
        <f t="shared" si="27"/>
        <v>-26971075.049299937</v>
      </c>
      <c r="X61" s="38">
        <f t="shared" si="27"/>
        <v>-24505137.75129231</v>
      </c>
      <c r="Y61" s="38">
        <f t="shared" si="27"/>
        <v>-21887881.785060313</v>
      </c>
      <c r="Z61" s="38">
        <f t="shared" si="27"/>
        <v>-19110021.699845858</v>
      </c>
      <c r="AA61" s="38">
        <f t="shared" si="27"/>
        <v>-16161702.256663172</v>
      </c>
      <c r="AB61" s="38">
        <f t="shared" si="27"/>
        <v>-13032463.464070078</v>
      </c>
      <c r="AC61" s="38">
        <f t="shared" si="27"/>
        <v>-9711203.468409985</v>
      </c>
      <c r="AD61" s="38">
        <f t="shared" si="27"/>
        <v>-6186139.166867415</v>
      </c>
      <c r="AE61" s="38">
        <f t="shared" si="27"/>
        <v>-2444764.403600757</v>
      </c>
    </row>
    <row r="62" spans="2:31" ht="15">
      <c r="B62" s="13" t="s">
        <v>73</v>
      </c>
      <c r="C62" s="1"/>
      <c r="D62" s="1"/>
      <c r="E62" s="1"/>
      <c r="F62" s="41">
        <f>F56-F61</f>
        <v>0</v>
      </c>
      <c r="G62" s="41">
        <f>G59+G61</f>
        <v>88865283.11999997</v>
      </c>
      <c r="H62" s="41">
        <f aca="true" t="shared" si="28" ref="H62:AE62">H59+H61</f>
        <v>110395216.88238306</v>
      </c>
      <c r="I62" s="41">
        <f t="shared" si="28"/>
        <v>111745188.10491994</v>
      </c>
      <c r="J62" s="41">
        <f t="shared" si="28"/>
        <v>114115956.68089287</v>
      </c>
      <c r="K62" s="41">
        <f t="shared" si="28"/>
        <v>116662908.32527637</v>
      </c>
      <c r="L62" s="41">
        <f t="shared" si="28"/>
        <v>119395113.25006452</v>
      </c>
      <c r="M62" s="41">
        <f t="shared" si="28"/>
        <v>122322116.98038551</v>
      </c>
      <c r="N62" s="41">
        <f t="shared" si="28"/>
        <v>125453963.62967873</v>
      </c>
      <c r="O62" s="41">
        <f t="shared" si="28"/>
        <v>128801220.19171204</v>
      </c>
      <c r="P62" s="41">
        <f t="shared" si="28"/>
        <v>132375001.88303564</v>
      </c>
      <c r="Q62" s="41">
        <f t="shared" si="28"/>
        <v>136186998.56950897</v>
      </c>
      <c r="R62" s="41">
        <f t="shared" si="28"/>
        <v>140249502.31044754</v>
      </c>
      <c r="S62" s="41">
        <f t="shared" si="28"/>
        <v>105800608.27543716</v>
      </c>
      <c r="T62" s="41">
        <f t="shared" si="28"/>
        <v>103273422.51729792</v>
      </c>
      <c r="U62" s="41">
        <f t="shared" si="28"/>
        <v>100599995.76335576</v>
      </c>
      <c r="V62" s="41">
        <f t="shared" si="28"/>
        <v>97768479.38343585</v>
      </c>
      <c r="W62" s="41">
        <f t="shared" si="28"/>
        <v>94766135.05800837</v>
      </c>
      <c r="X62" s="41">
        <f t="shared" si="28"/>
        <v>91579268.6075269</v>
      </c>
      <c r="Y62" s="41">
        <f t="shared" si="28"/>
        <v>88193158.9519331</v>
      </c>
      <c r="Z62" s="41">
        <f t="shared" si="28"/>
        <v>84591981.84483913</v>
      </c>
      <c r="AA62" s="41">
        <f t="shared" si="28"/>
        <v>80758728.00111444</v>
      </c>
      <c r="AB62" s="41">
        <f t="shared" si="28"/>
        <v>76675115.20896785</v>
      </c>
      <c r="AC62" s="41">
        <f t="shared" si="28"/>
        <v>72321493.98797922</v>
      </c>
      <c r="AD62" s="41">
        <f t="shared" si="28"/>
        <v>67676746.32276797</v>
      </c>
      <c r="AE62" s="41">
        <f t="shared" si="28"/>
        <v>62718176.96792606</v>
      </c>
    </row>
    <row r="63" spans="6:31" ht="15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2:31" ht="15">
      <c r="B64" s="21" t="s">
        <v>76</v>
      </c>
      <c r="F64" s="43">
        <f>F62*$D$49</f>
        <v>0</v>
      </c>
      <c r="G64" s="43">
        <f>-(G62*$D$49)</f>
        <v>-8886528.311999997</v>
      </c>
      <c r="H64" s="43">
        <f aca="true" t="shared" si="29" ref="H64:AE64">-(H62*$D$49)</f>
        <v>-11039521.688238308</v>
      </c>
      <c r="I64" s="43">
        <f t="shared" si="29"/>
        <v>-11174518.810491994</v>
      </c>
      <c r="J64" s="43">
        <f t="shared" si="29"/>
        <v>-11411595.668089287</v>
      </c>
      <c r="K64" s="43">
        <f t="shared" si="29"/>
        <v>-11666290.832527637</v>
      </c>
      <c r="L64" s="43">
        <f t="shared" si="29"/>
        <v>-11939511.325006453</v>
      </c>
      <c r="M64" s="43">
        <f t="shared" si="29"/>
        <v>-12232211.698038552</v>
      </c>
      <c r="N64" s="43">
        <f t="shared" si="29"/>
        <v>-12545396.362967873</v>
      </c>
      <c r="O64" s="43">
        <f t="shared" si="29"/>
        <v>-12880122.019171204</v>
      </c>
      <c r="P64" s="43">
        <f t="shared" si="29"/>
        <v>-13237500.188303566</v>
      </c>
      <c r="Q64" s="43">
        <f t="shared" si="29"/>
        <v>-13618699.856950898</v>
      </c>
      <c r="R64" s="43">
        <f t="shared" si="29"/>
        <v>-14024950.231044754</v>
      </c>
      <c r="S64" s="43">
        <f t="shared" si="29"/>
        <v>-10580060.827543717</v>
      </c>
      <c r="T64" s="43">
        <f t="shared" si="29"/>
        <v>-10327342.251729794</v>
      </c>
      <c r="U64" s="43">
        <f t="shared" si="29"/>
        <v>-10059999.576335577</v>
      </c>
      <c r="V64" s="43">
        <f t="shared" si="29"/>
        <v>-9776847.938343585</v>
      </c>
      <c r="W64" s="43">
        <f t="shared" si="29"/>
        <v>-9476613.505800838</v>
      </c>
      <c r="X64" s="43">
        <f t="shared" si="29"/>
        <v>-9157926.86075269</v>
      </c>
      <c r="Y64" s="43">
        <f t="shared" si="29"/>
        <v>-8819315.89519331</v>
      </c>
      <c r="Z64" s="43">
        <f t="shared" si="29"/>
        <v>-8459198.184483914</v>
      </c>
      <c r="AA64" s="43">
        <f t="shared" si="29"/>
        <v>-8075872.800111445</v>
      </c>
      <c r="AB64" s="43">
        <f t="shared" si="29"/>
        <v>-7667511.520896785</v>
      </c>
      <c r="AC64" s="43">
        <f t="shared" si="29"/>
        <v>-7232149.398797922</v>
      </c>
      <c r="AD64" s="43">
        <f t="shared" si="29"/>
        <v>-6767674.632276798</v>
      </c>
      <c r="AE64" s="43">
        <f t="shared" si="29"/>
        <v>-6271817.696792606</v>
      </c>
    </row>
    <row r="65" spans="2:31" ht="15">
      <c r="B65" s="1" t="s">
        <v>77</v>
      </c>
      <c r="C65" s="1"/>
      <c r="D65" s="1"/>
      <c r="E65" s="1"/>
      <c r="F65" s="40">
        <f aca="true" t="shared" si="30" ref="F65:P65">F62+F64</f>
        <v>0</v>
      </c>
      <c r="G65" s="40">
        <f t="shared" si="30"/>
        <v>79978754.80799998</v>
      </c>
      <c r="H65" s="40">
        <f t="shared" si="30"/>
        <v>99355695.19414476</v>
      </c>
      <c r="I65" s="40">
        <f t="shared" si="30"/>
        <v>100570669.29442795</v>
      </c>
      <c r="J65" s="40">
        <f t="shared" si="30"/>
        <v>102704361.01280358</v>
      </c>
      <c r="K65" s="40">
        <f t="shared" si="30"/>
        <v>104996617.49274874</v>
      </c>
      <c r="L65" s="40">
        <f t="shared" si="30"/>
        <v>107455601.92505807</v>
      </c>
      <c r="M65" s="40">
        <f t="shared" si="30"/>
        <v>110089905.28234696</v>
      </c>
      <c r="N65" s="40">
        <f t="shared" si="30"/>
        <v>112908567.26671085</v>
      </c>
      <c r="O65" s="40">
        <f t="shared" si="30"/>
        <v>115921098.17254083</v>
      </c>
      <c r="P65" s="40">
        <f t="shared" si="30"/>
        <v>119137501.69473208</v>
      </c>
      <c r="Q65" s="40">
        <f aca="true" t="shared" si="31" ref="Q65:AE65">Q62+Q64</f>
        <v>122568298.71255808</v>
      </c>
      <c r="R65" s="40">
        <f t="shared" si="31"/>
        <v>126224552.07940279</v>
      </c>
      <c r="S65" s="40">
        <f t="shared" si="31"/>
        <v>95220547.44789344</v>
      </c>
      <c r="T65" s="40">
        <f t="shared" si="31"/>
        <v>92946080.26556814</v>
      </c>
      <c r="U65" s="40">
        <f t="shared" si="31"/>
        <v>90539996.18702018</v>
      </c>
      <c r="V65" s="40">
        <f t="shared" si="31"/>
        <v>87991631.44509226</v>
      </c>
      <c r="W65" s="40">
        <f t="shared" si="31"/>
        <v>85289521.55220753</v>
      </c>
      <c r="X65" s="40">
        <f t="shared" si="31"/>
        <v>82421341.74677421</v>
      </c>
      <c r="Y65" s="40">
        <f t="shared" si="31"/>
        <v>79373843.05673979</v>
      </c>
      <c r="Z65" s="40">
        <f t="shared" si="31"/>
        <v>76132783.66035521</v>
      </c>
      <c r="AA65" s="40">
        <f t="shared" si="31"/>
        <v>72682855.201003</v>
      </c>
      <c r="AB65" s="40">
        <f t="shared" si="31"/>
        <v>69007603.68807107</v>
      </c>
      <c r="AC65" s="40">
        <f t="shared" si="31"/>
        <v>65089344.5891813</v>
      </c>
      <c r="AD65" s="40">
        <f t="shared" si="31"/>
        <v>60909071.69049118</v>
      </c>
      <c r="AE65" s="40">
        <f t="shared" si="31"/>
        <v>56446359.27113345</v>
      </c>
    </row>
    <row r="66" spans="2:31" ht="1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="22" customFormat="1" ht="15">
      <c r="B67" s="23" t="s">
        <v>90</v>
      </c>
    </row>
    <row r="69" spans="2:10" ht="15">
      <c r="B69" s="66" t="s">
        <v>106</v>
      </c>
      <c r="C69" s="63" t="s">
        <v>107</v>
      </c>
      <c r="F69" s="54" t="s">
        <v>98</v>
      </c>
      <c r="G69" s="33"/>
      <c r="H69" s="33"/>
      <c r="I69" s="69"/>
      <c r="J69" s="71">
        <v>0</v>
      </c>
    </row>
    <row r="70" spans="2:10" ht="15">
      <c r="B70" s="67" t="s">
        <v>119</v>
      </c>
      <c r="C70" s="220">
        <f>$C$14</f>
        <v>2462100480</v>
      </c>
      <c r="F70" s="55" t="s">
        <v>121</v>
      </c>
      <c r="G70" s="51"/>
      <c r="H70" s="51"/>
      <c r="I70" s="70"/>
      <c r="J70" s="72">
        <f>-($C$70/$C$71)</f>
        <v>-98484019.2</v>
      </c>
    </row>
    <row r="71" spans="2:3" ht="15">
      <c r="B71" s="68" t="s">
        <v>97</v>
      </c>
      <c r="C71" s="65">
        <v>25</v>
      </c>
    </row>
    <row r="73" spans="2:31" ht="15">
      <c r="B73" s="20" t="s">
        <v>104</v>
      </c>
      <c r="F73" s="30">
        <v>0</v>
      </c>
      <c r="G73" s="8">
        <f aca="true" t="shared" si="32" ref="G73:P73">F73+1</f>
        <v>1</v>
      </c>
      <c r="H73" s="8">
        <f t="shared" si="32"/>
        <v>2</v>
      </c>
      <c r="I73" s="8">
        <f t="shared" si="32"/>
        <v>3</v>
      </c>
      <c r="J73" s="8">
        <f t="shared" si="32"/>
        <v>4</v>
      </c>
      <c r="K73" s="8">
        <f t="shared" si="32"/>
        <v>5</v>
      </c>
      <c r="L73" s="8">
        <f t="shared" si="32"/>
        <v>6</v>
      </c>
      <c r="M73" s="8">
        <f t="shared" si="32"/>
        <v>7</v>
      </c>
      <c r="N73" s="8">
        <f t="shared" si="32"/>
        <v>8</v>
      </c>
      <c r="O73" s="8">
        <f t="shared" si="32"/>
        <v>9</v>
      </c>
      <c r="P73" s="8">
        <f t="shared" si="32"/>
        <v>10</v>
      </c>
      <c r="Q73" s="8">
        <f aca="true" t="shared" si="33" ref="Q73:AE73">P73+1</f>
        <v>11</v>
      </c>
      <c r="R73" s="8">
        <f t="shared" si="33"/>
        <v>12</v>
      </c>
      <c r="S73" s="8">
        <f t="shared" si="33"/>
        <v>13</v>
      </c>
      <c r="T73" s="8">
        <f t="shared" si="33"/>
        <v>14</v>
      </c>
      <c r="U73" s="8">
        <f t="shared" si="33"/>
        <v>15</v>
      </c>
      <c r="V73" s="8">
        <f t="shared" si="33"/>
        <v>16</v>
      </c>
      <c r="W73" s="8">
        <f t="shared" si="33"/>
        <v>17</v>
      </c>
      <c r="X73" s="8">
        <f t="shared" si="33"/>
        <v>18</v>
      </c>
      <c r="Y73" s="8">
        <f t="shared" si="33"/>
        <v>19</v>
      </c>
      <c r="Z73" s="8">
        <f t="shared" si="33"/>
        <v>20</v>
      </c>
      <c r="AA73" s="8">
        <f t="shared" si="33"/>
        <v>21</v>
      </c>
      <c r="AB73" s="8">
        <f t="shared" si="33"/>
        <v>22</v>
      </c>
      <c r="AC73" s="8">
        <f t="shared" si="33"/>
        <v>23</v>
      </c>
      <c r="AD73" s="8">
        <f t="shared" si="33"/>
        <v>24</v>
      </c>
      <c r="AE73" s="8">
        <f t="shared" si="33"/>
        <v>25</v>
      </c>
    </row>
    <row r="74" spans="2:31" ht="15">
      <c r="B74" s="2" t="s">
        <v>99</v>
      </c>
      <c r="F74" s="44">
        <v>0</v>
      </c>
      <c r="G74" s="44">
        <f>C70</f>
        <v>2462100480</v>
      </c>
      <c r="H74" s="44">
        <f>G76</f>
        <v>2363616460.8</v>
      </c>
      <c r="I74" s="44">
        <f aca="true" t="shared" si="34" ref="I74:AE74">H76</f>
        <v>2265132441.6000004</v>
      </c>
      <c r="J74" s="44">
        <f t="shared" si="34"/>
        <v>2166648422.4000006</v>
      </c>
      <c r="K74" s="44">
        <f t="shared" si="34"/>
        <v>2068164403.2000005</v>
      </c>
      <c r="L74" s="44">
        <f t="shared" si="34"/>
        <v>1969680384.0000005</v>
      </c>
      <c r="M74" s="44">
        <f t="shared" si="34"/>
        <v>1871196364.8000004</v>
      </c>
      <c r="N74" s="44">
        <f t="shared" si="34"/>
        <v>1772712345.6000004</v>
      </c>
      <c r="O74" s="44">
        <f t="shared" si="34"/>
        <v>1674228326.4000003</v>
      </c>
      <c r="P74" s="44">
        <f t="shared" si="34"/>
        <v>1575744307.2000003</v>
      </c>
      <c r="Q74" s="44">
        <f t="shared" si="34"/>
        <v>1477260288.0000002</v>
      </c>
      <c r="R74" s="44">
        <f t="shared" si="34"/>
        <v>1378776268.8000002</v>
      </c>
      <c r="S74" s="44">
        <f t="shared" si="34"/>
        <v>1280292249.6000001</v>
      </c>
      <c r="T74" s="44">
        <f t="shared" si="34"/>
        <v>1181808230.4</v>
      </c>
      <c r="U74" s="44">
        <f t="shared" si="34"/>
        <v>1083324211.2</v>
      </c>
      <c r="V74" s="44">
        <f t="shared" si="34"/>
        <v>984840192</v>
      </c>
      <c r="W74" s="44">
        <f t="shared" si="34"/>
        <v>886356172.8</v>
      </c>
      <c r="X74" s="44">
        <f t="shared" si="34"/>
        <v>787872153.5999999</v>
      </c>
      <c r="Y74" s="44">
        <f t="shared" si="34"/>
        <v>689388134.3999999</v>
      </c>
      <c r="Z74" s="44">
        <f t="shared" si="34"/>
        <v>590904115.1999998</v>
      </c>
      <c r="AA74" s="44">
        <f t="shared" si="34"/>
        <v>492420095.9999998</v>
      </c>
      <c r="AB74" s="44">
        <f t="shared" si="34"/>
        <v>393936076.79999983</v>
      </c>
      <c r="AC74" s="44">
        <f t="shared" si="34"/>
        <v>295452057.59999985</v>
      </c>
      <c r="AD74" s="44">
        <f t="shared" si="34"/>
        <v>196968038.39999986</v>
      </c>
      <c r="AE74" s="44">
        <f t="shared" si="34"/>
        <v>98484019.19999985</v>
      </c>
    </row>
    <row r="75" spans="2:31" ht="15">
      <c r="B75" s="2" t="s">
        <v>103</v>
      </c>
      <c r="F75" s="44">
        <v>0</v>
      </c>
      <c r="G75" s="44">
        <f aca="true" t="shared" si="35" ref="G75:AE75">$J$70</f>
        <v>-98484019.2</v>
      </c>
      <c r="H75" s="44">
        <f t="shared" si="35"/>
        <v>-98484019.2</v>
      </c>
      <c r="I75" s="44">
        <f t="shared" si="35"/>
        <v>-98484019.2</v>
      </c>
      <c r="J75" s="44">
        <f t="shared" si="35"/>
        <v>-98484019.2</v>
      </c>
      <c r="K75" s="44">
        <f t="shared" si="35"/>
        <v>-98484019.2</v>
      </c>
      <c r="L75" s="44">
        <f t="shared" si="35"/>
        <v>-98484019.2</v>
      </c>
      <c r="M75" s="44">
        <f t="shared" si="35"/>
        <v>-98484019.2</v>
      </c>
      <c r="N75" s="44">
        <f t="shared" si="35"/>
        <v>-98484019.2</v>
      </c>
      <c r="O75" s="44">
        <f t="shared" si="35"/>
        <v>-98484019.2</v>
      </c>
      <c r="P75" s="44">
        <f t="shared" si="35"/>
        <v>-98484019.2</v>
      </c>
      <c r="Q75" s="44">
        <f t="shared" si="35"/>
        <v>-98484019.2</v>
      </c>
      <c r="R75" s="44">
        <f t="shared" si="35"/>
        <v>-98484019.2</v>
      </c>
      <c r="S75" s="44">
        <f t="shared" si="35"/>
        <v>-98484019.2</v>
      </c>
      <c r="T75" s="44">
        <f t="shared" si="35"/>
        <v>-98484019.2</v>
      </c>
      <c r="U75" s="44">
        <f t="shared" si="35"/>
        <v>-98484019.2</v>
      </c>
      <c r="V75" s="44">
        <f t="shared" si="35"/>
        <v>-98484019.2</v>
      </c>
      <c r="W75" s="44">
        <f t="shared" si="35"/>
        <v>-98484019.2</v>
      </c>
      <c r="X75" s="44">
        <f t="shared" si="35"/>
        <v>-98484019.2</v>
      </c>
      <c r="Y75" s="44">
        <f t="shared" si="35"/>
        <v>-98484019.2</v>
      </c>
      <c r="Z75" s="44">
        <f t="shared" si="35"/>
        <v>-98484019.2</v>
      </c>
      <c r="AA75" s="44">
        <f t="shared" si="35"/>
        <v>-98484019.2</v>
      </c>
      <c r="AB75" s="44">
        <f t="shared" si="35"/>
        <v>-98484019.2</v>
      </c>
      <c r="AC75" s="44">
        <f t="shared" si="35"/>
        <v>-98484019.2</v>
      </c>
      <c r="AD75" s="44">
        <f t="shared" si="35"/>
        <v>-98484019.2</v>
      </c>
      <c r="AE75" s="44">
        <f t="shared" si="35"/>
        <v>-98484019.2</v>
      </c>
    </row>
    <row r="76" spans="2:31" ht="15">
      <c r="B76" s="1" t="s">
        <v>105</v>
      </c>
      <c r="C76" s="1"/>
      <c r="D76" s="1"/>
      <c r="E76" s="1"/>
      <c r="F76" s="45">
        <f>F74+F75</f>
        <v>0</v>
      </c>
      <c r="G76" s="45">
        <f>G74+G75</f>
        <v>2363616460.8</v>
      </c>
      <c r="H76" s="45">
        <f aca="true" t="shared" si="36" ref="H76:AE76">H74+H75</f>
        <v>2265132441.6000004</v>
      </c>
      <c r="I76" s="45">
        <f t="shared" si="36"/>
        <v>2166648422.4000006</v>
      </c>
      <c r="J76" s="45">
        <f t="shared" si="36"/>
        <v>2068164403.2000005</v>
      </c>
      <c r="K76" s="45">
        <f t="shared" si="36"/>
        <v>1969680384.0000005</v>
      </c>
      <c r="L76" s="45">
        <f t="shared" si="36"/>
        <v>1871196364.8000004</v>
      </c>
      <c r="M76" s="45">
        <f t="shared" si="36"/>
        <v>1772712345.6000004</v>
      </c>
      <c r="N76" s="45">
        <f t="shared" si="36"/>
        <v>1674228326.4000003</v>
      </c>
      <c r="O76" s="45">
        <f t="shared" si="36"/>
        <v>1575744307.2000003</v>
      </c>
      <c r="P76" s="45">
        <f t="shared" si="36"/>
        <v>1477260288.0000002</v>
      </c>
      <c r="Q76" s="45">
        <f t="shared" si="36"/>
        <v>1378776268.8000002</v>
      </c>
      <c r="R76" s="45">
        <f t="shared" si="36"/>
        <v>1280292249.6000001</v>
      </c>
      <c r="S76" s="45">
        <f t="shared" si="36"/>
        <v>1181808230.4</v>
      </c>
      <c r="T76" s="45">
        <f t="shared" si="36"/>
        <v>1083324211.2</v>
      </c>
      <c r="U76" s="45">
        <f t="shared" si="36"/>
        <v>984840192</v>
      </c>
      <c r="V76" s="45">
        <f t="shared" si="36"/>
        <v>886356172.8</v>
      </c>
      <c r="W76" s="45">
        <f t="shared" si="36"/>
        <v>787872153.5999999</v>
      </c>
      <c r="X76" s="45">
        <f t="shared" si="36"/>
        <v>689388134.3999999</v>
      </c>
      <c r="Y76" s="45">
        <f t="shared" si="36"/>
        <v>590904115.1999998</v>
      </c>
      <c r="Z76" s="45">
        <f t="shared" si="36"/>
        <v>492420095.9999998</v>
      </c>
      <c r="AA76" s="45">
        <f t="shared" si="36"/>
        <v>393936076.79999983</v>
      </c>
      <c r="AB76" s="45">
        <f t="shared" si="36"/>
        <v>295452057.59999985</v>
      </c>
      <c r="AC76" s="45">
        <f t="shared" si="36"/>
        <v>196968038.39999986</v>
      </c>
      <c r="AD76" s="45">
        <f t="shared" si="36"/>
        <v>98484019.19999985</v>
      </c>
      <c r="AE76" s="45">
        <f t="shared" si="36"/>
        <v>-1.4901161193847656E-07</v>
      </c>
    </row>
    <row r="78" s="22" customFormat="1" ht="15">
      <c r="B78" s="23" t="s">
        <v>122</v>
      </c>
    </row>
    <row r="80" spans="2:10" ht="15">
      <c r="B80" s="48" t="s">
        <v>142</v>
      </c>
      <c r="C80" s="33"/>
      <c r="D80" s="221">
        <f>Model!C14</f>
        <v>2462100480</v>
      </c>
      <c r="F80" s="48" t="s">
        <v>138</v>
      </c>
      <c r="G80" s="33"/>
      <c r="H80" s="33"/>
      <c r="I80" s="69"/>
      <c r="J80" s="96">
        <v>0.06</v>
      </c>
    </row>
    <row r="81" spans="2:10" ht="15">
      <c r="B81" s="49" t="s">
        <v>141</v>
      </c>
      <c r="C81" s="24"/>
      <c r="D81" s="91">
        <v>0.7</v>
      </c>
      <c r="F81" s="49" t="s">
        <v>140</v>
      </c>
      <c r="G81" s="24"/>
      <c r="H81" s="24"/>
      <c r="I81" s="73"/>
      <c r="J81" s="233">
        <f>J80/4</f>
        <v>0.015</v>
      </c>
    </row>
    <row r="82" spans="2:10" ht="15">
      <c r="B82" s="49" t="s">
        <v>133</v>
      </c>
      <c r="C82" s="24"/>
      <c r="D82" s="220">
        <f>D80*D81</f>
        <v>1723470336</v>
      </c>
      <c r="F82" s="49" t="s">
        <v>143</v>
      </c>
      <c r="G82" s="24"/>
      <c r="H82" s="24"/>
      <c r="I82" s="73"/>
      <c r="J82" s="220">
        <f>$D$83*$D$82</f>
        <v>603214617.5999999</v>
      </c>
    </row>
    <row r="83" spans="2:10" ht="15">
      <c r="B83" s="49" t="s">
        <v>127</v>
      </c>
      <c r="C83" s="24"/>
      <c r="D83" s="95">
        <v>0.35</v>
      </c>
      <c r="F83" s="49" t="s">
        <v>144</v>
      </c>
      <c r="G83" s="24"/>
      <c r="H83" s="24"/>
      <c r="I83" s="73"/>
      <c r="J83" s="220">
        <f>D82-J82</f>
        <v>1120255718.4</v>
      </c>
    </row>
    <row r="84" spans="2:10" ht="15">
      <c r="B84" s="49" t="s">
        <v>134</v>
      </c>
      <c r="C84" s="24"/>
      <c r="D84" s="92">
        <v>12</v>
      </c>
      <c r="F84" s="49" t="s">
        <v>145</v>
      </c>
      <c r="G84" s="24"/>
      <c r="H84" s="24"/>
      <c r="I84" s="73"/>
      <c r="J84" s="220">
        <f>PMT($J$81,$D$87,$J$83)</f>
        <v>-36144218.548206605</v>
      </c>
    </row>
    <row r="85" spans="2:10" ht="15">
      <c r="B85" s="49" t="s">
        <v>135</v>
      </c>
      <c r="C85" s="24"/>
      <c r="D85" s="222">
        <f>D84*4</f>
        <v>48</v>
      </c>
      <c r="F85" s="49" t="s">
        <v>178</v>
      </c>
      <c r="G85" s="24"/>
      <c r="H85" s="24"/>
      <c r="I85" s="73"/>
      <c r="J85" s="95">
        <v>0.015</v>
      </c>
    </row>
    <row r="86" spans="2:10" ht="15">
      <c r="B86" s="49" t="s">
        <v>136</v>
      </c>
      <c r="C86" s="24"/>
      <c r="D86" s="92">
        <v>6</v>
      </c>
      <c r="F86" s="49" t="s">
        <v>168</v>
      </c>
      <c r="G86" s="24"/>
      <c r="H86" s="24"/>
      <c r="I86" s="73"/>
      <c r="J86" s="220">
        <f>PMT($J$85,$J$87,$J$82)</f>
        <v>-16789194.013518758</v>
      </c>
    </row>
    <row r="87" spans="2:10" ht="15">
      <c r="B87" s="50" t="s">
        <v>137</v>
      </c>
      <c r="C87" s="51"/>
      <c r="D87" s="65">
        <v>42</v>
      </c>
      <c r="F87" s="50" t="s">
        <v>167</v>
      </c>
      <c r="G87" s="51"/>
      <c r="H87" s="51"/>
      <c r="I87" s="70"/>
      <c r="J87" s="234">
        <f>(Model!$C$71*4)-$D$85</f>
        <v>52</v>
      </c>
    </row>
    <row r="88" spans="2:139" ht="15">
      <c r="B88" s="3"/>
      <c r="C88" s="3"/>
      <c r="D88" s="3"/>
      <c r="F88" s="3"/>
      <c r="G88" s="3"/>
      <c r="H88" s="3"/>
      <c r="I88" s="3"/>
      <c r="ED88" s="35"/>
      <c r="EE88" s="35"/>
      <c r="EF88" s="35"/>
      <c r="EG88" s="35"/>
      <c r="EH88" s="35"/>
      <c r="EI88" s="35"/>
    </row>
    <row r="89" spans="1:139" s="3" customFormat="1" ht="15" outlineLevel="1">
      <c r="A89" s="2"/>
      <c r="B89" s="4" t="s">
        <v>146</v>
      </c>
      <c r="C89" s="2"/>
      <c r="D89" s="100">
        <v>1</v>
      </c>
      <c r="E89" s="100">
        <f aca="true" t="shared" si="37" ref="E89:AJ89">D89+1</f>
        <v>2</v>
      </c>
      <c r="F89" s="100">
        <f t="shared" si="37"/>
        <v>3</v>
      </c>
      <c r="G89" s="100">
        <f t="shared" si="37"/>
        <v>4</v>
      </c>
      <c r="H89" s="100">
        <f t="shared" si="37"/>
        <v>5</v>
      </c>
      <c r="I89" s="100">
        <f t="shared" si="37"/>
        <v>6</v>
      </c>
      <c r="J89" s="100">
        <f t="shared" si="37"/>
        <v>7</v>
      </c>
      <c r="K89" s="100">
        <f t="shared" si="37"/>
        <v>8</v>
      </c>
      <c r="L89" s="100">
        <f t="shared" si="37"/>
        <v>9</v>
      </c>
      <c r="M89" s="100">
        <f t="shared" si="37"/>
        <v>10</v>
      </c>
      <c r="N89" s="100">
        <f t="shared" si="37"/>
        <v>11</v>
      </c>
      <c r="O89" s="100">
        <f t="shared" si="37"/>
        <v>12</v>
      </c>
      <c r="P89" s="100">
        <f t="shared" si="37"/>
        <v>13</v>
      </c>
      <c r="Q89" s="100">
        <f t="shared" si="37"/>
        <v>14</v>
      </c>
      <c r="R89" s="100">
        <f t="shared" si="37"/>
        <v>15</v>
      </c>
      <c r="S89" s="100">
        <f t="shared" si="37"/>
        <v>16</v>
      </c>
      <c r="T89" s="100">
        <f t="shared" si="37"/>
        <v>17</v>
      </c>
      <c r="U89" s="100">
        <f t="shared" si="37"/>
        <v>18</v>
      </c>
      <c r="V89" s="100">
        <f t="shared" si="37"/>
        <v>19</v>
      </c>
      <c r="W89" s="100">
        <f t="shared" si="37"/>
        <v>20</v>
      </c>
      <c r="X89" s="100">
        <f t="shared" si="37"/>
        <v>21</v>
      </c>
      <c r="Y89" s="100">
        <f t="shared" si="37"/>
        <v>22</v>
      </c>
      <c r="Z89" s="100">
        <f t="shared" si="37"/>
        <v>23</v>
      </c>
      <c r="AA89" s="100">
        <f t="shared" si="37"/>
        <v>24</v>
      </c>
      <c r="AB89" s="100">
        <f t="shared" si="37"/>
        <v>25</v>
      </c>
      <c r="AC89" s="100">
        <f t="shared" si="37"/>
        <v>26</v>
      </c>
      <c r="AD89" s="100">
        <f t="shared" si="37"/>
        <v>27</v>
      </c>
      <c r="AE89" s="100">
        <f t="shared" si="37"/>
        <v>28</v>
      </c>
      <c r="AF89" s="100">
        <f t="shared" si="37"/>
        <v>29</v>
      </c>
      <c r="AG89" s="100">
        <f t="shared" si="37"/>
        <v>30</v>
      </c>
      <c r="AH89" s="100">
        <f t="shared" si="37"/>
        <v>31</v>
      </c>
      <c r="AI89" s="100">
        <f t="shared" si="37"/>
        <v>32</v>
      </c>
      <c r="AJ89" s="100">
        <f t="shared" si="37"/>
        <v>33</v>
      </c>
      <c r="AK89" s="100">
        <f aca="true" t="shared" si="38" ref="AK89:BP89">AJ89+1</f>
        <v>34</v>
      </c>
      <c r="AL89" s="100">
        <f t="shared" si="38"/>
        <v>35</v>
      </c>
      <c r="AM89" s="100">
        <f t="shared" si="38"/>
        <v>36</v>
      </c>
      <c r="AN89" s="100">
        <f t="shared" si="38"/>
        <v>37</v>
      </c>
      <c r="AO89" s="100">
        <f t="shared" si="38"/>
        <v>38</v>
      </c>
      <c r="AP89" s="100">
        <f t="shared" si="38"/>
        <v>39</v>
      </c>
      <c r="AQ89" s="100">
        <f t="shared" si="38"/>
        <v>40</v>
      </c>
      <c r="AR89" s="100">
        <f t="shared" si="38"/>
        <v>41</v>
      </c>
      <c r="AS89" s="100">
        <f t="shared" si="38"/>
        <v>42</v>
      </c>
      <c r="AT89" s="100">
        <f t="shared" si="38"/>
        <v>43</v>
      </c>
      <c r="AU89" s="100">
        <f t="shared" si="38"/>
        <v>44</v>
      </c>
      <c r="AV89" s="100">
        <f t="shared" si="38"/>
        <v>45</v>
      </c>
      <c r="AW89" s="100">
        <f t="shared" si="38"/>
        <v>46</v>
      </c>
      <c r="AX89" s="100">
        <f t="shared" si="38"/>
        <v>47</v>
      </c>
      <c r="AY89" s="100">
        <f t="shared" si="38"/>
        <v>48</v>
      </c>
      <c r="AZ89" s="100">
        <f t="shared" si="38"/>
        <v>49</v>
      </c>
      <c r="BA89" s="100">
        <f t="shared" si="38"/>
        <v>50</v>
      </c>
      <c r="BB89" s="100">
        <f t="shared" si="38"/>
        <v>51</v>
      </c>
      <c r="BC89" s="100">
        <f t="shared" si="38"/>
        <v>52</v>
      </c>
      <c r="BD89" s="100">
        <f t="shared" si="38"/>
        <v>53</v>
      </c>
      <c r="BE89" s="100">
        <f t="shared" si="38"/>
        <v>54</v>
      </c>
      <c r="BF89" s="100">
        <f t="shared" si="38"/>
        <v>55</v>
      </c>
      <c r="BG89" s="100">
        <f t="shared" si="38"/>
        <v>56</v>
      </c>
      <c r="BH89" s="100">
        <f t="shared" si="38"/>
        <v>57</v>
      </c>
      <c r="BI89" s="100">
        <f t="shared" si="38"/>
        <v>58</v>
      </c>
      <c r="BJ89" s="100">
        <f t="shared" si="38"/>
        <v>59</v>
      </c>
      <c r="BK89" s="100">
        <f t="shared" si="38"/>
        <v>60</v>
      </c>
      <c r="BL89" s="100">
        <f t="shared" si="38"/>
        <v>61</v>
      </c>
      <c r="BM89" s="100">
        <f t="shared" si="38"/>
        <v>62</v>
      </c>
      <c r="BN89" s="100">
        <f t="shared" si="38"/>
        <v>63</v>
      </c>
      <c r="BO89" s="100">
        <f t="shared" si="38"/>
        <v>64</v>
      </c>
      <c r="BP89" s="100">
        <f t="shared" si="38"/>
        <v>65</v>
      </c>
      <c r="BQ89" s="100">
        <f aca="true" t="shared" si="39" ref="BQ89:CY89">BP89+1</f>
        <v>66</v>
      </c>
      <c r="BR89" s="100">
        <f t="shared" si="39"/>
        <v>67</v>
      </c>
      <c r="BS89" s="100">
        <f t="shared" si="39"/>
        <v>68</v>
      </c>
      <c r="BT89" s="100">
        <f t="shared" si="39"/>
        <v>69</v>
      </c>
      <c r="BU89" s="100">
        <f t="shared" si="39"/>
        <v>70</v>
      </c>
      <c r="BV89" s="100">
        <f t="shared" si="39"/>
        <v>71</v>
      </c>
      <c r="BW89" s="100">
        <f t="shared" si="39"/>
        <v>72</v>
      </c>
      <c r="BX89" s="100">
        <f t="shared" si="39"/>
        <v>73</v>
      </c>
      <c r="BY89" s="100">
        <f t="shared" si="39"/>
        <v>74</v>
      </c>
      <c r="BZ89" s="100">
        <f t="shared" si="39"/>
        <v>75</v>
      </c>
      <c r="CA89" s="100">
        <f t="shared" si="39"/>
        <v>76</v>
      </c>
      <c r="CB89" s="100">
        <f t="shared" si="39"/>
        <v>77</v>
      </c>
      <c r="CC89" s="100">
        <f t="shared" si="39"/>
        <v>78</v>
      </c>
      <c r="CD89" s="100">
        <f t="shared" si="39"/>
        <v>79</v>
      </c>
      <c r="CE89" s="100">
        <f t="shared" si="39"/>
        <v>80</v>
      </c>
      <c r="CF89" s="100">
        <f t="shared" si="39"/>
        <v>81</v>
      </c>
      <c r="CG89" s="100">
        <f t="shared" si="39"/>
        <v>82</v>
      </c>
      <c r="CH89" s="100">
        <f t="shared" si="39"/>
        <v>83</v>
      </c>
      <c r="CI89" s="100">
        <f t="shared" si="39"/>
        <v>84</v>
      </c>
      <c r="CJ89" s="100">
        <f t="shared" si="39"/>
        <v>85</v>
      </c>
      <c r="CK89" s="100">
        <f t="shared" si="39"/>
        <v>86</v>
      </c>
      <c r="CL89" s="100">
        <f t="shared" si="39"/>
        <v>87</v>
      </c>
      <c r="CM89" s="100">
        <f t="shared" si="39"/>
        <v>88</v>
      </c>
      <c r="CN89" s="100">
        <f t="shared" si="39"/>
        <v>89</v>
      </c>
      <c r="CO89" s="100">
        <f t="shared" si="39"/>
        <v>90</v>
      </c>
      <c r="CP89" s="100">
        <f t="shared" si="39"/>
        <v>91</v>
      </c>
      <c r="CQ89" s="100">
        <f t="shared" si="39"/>
        <v>92</v>
      </c>
      <c r="CR89" s="100">
        <f t="shared" si="39"/>
        <v>93</v>
      </c>
      <c r="CS89" s="100">
        <f t="shared" si="39"/>
        <v>94</v>
      </c>
      <c r="CT89" s="100">
        <f t="shared" si="39"/>
        <v>95</v>
      </c>
      <c r="CU89" s="100">
        <f t="shared" si="39"/>
        <v>96</v>
      </c>
      <c r="CV89" s="100">
        <f t="shared" si="39"/>
        <v>97</v>
      </c>
      <c r="CW89" s="100">
        <f t="shared" si="39"/>
        <v>98</v>
      </c>
      <c r="CX89" s="100">
        <f t="shared" si="39"/>
        <v>99</v>
      </c>
      <c r="CY89" s="100">
        <f t="shared" si="39"/>
        <v>100</v>
      </c>
      <c r="EC89" s="100"/>
      <c r="ED89" s="38"/>
      <c r="EE89" s="38"/>
      <c r="EF89" s="38"/>
      <c r="EG89" s="38"/>
      <c r="EH89" s="38"/>
      <c r="EI89" s="38"/>
    </row>
    <row r="90" spans="1:139" s="3" customFormat="1" ht="15" outlineLevel="1">
      <c r="A90" s="2"/>
      <c r="B90" s="2" t="s">
        <v>130</v>
      </c>
      <c r="C90" s="2"/>
      <c r="D90" s="38">
        <f>IF(D89&lt;=Model!$D$86,Model!$J$83,C95)</f>
        <v>1120255718.4</v>
      </c>
      <c r="E90" s="38">
        <f>IF(E89&lt;=Model!$D$86,Model!$J$83,D95)</f>
        <v>1120255718.4</v>
      </c>
      <c r="F90" s="38">
        <f>IF(F89&lt;=Model!$D$86,Model!$J$83,E95)</f>
        <v>1120255718.4</v>
      </c>
      <c r="G90" s="38">
        <f>IF(G89&lt;=Model!$D$86,Model!$J$83,F95)</f>
        <v>1120255718.4</v>
      </c>
      <c r="H90" s="38">
        <f>IF(H89&lt;=Model!$D$86,Model!$J$83,G95)</f>
        <v>1120255718.4</v>
      </c>
      <c r="I90" s="38">
        <f>IF(I89&lt;=Model!$D$86,Model!$J$83,H95)</f>
        <v>1120255718.4</v>
      </c>
      <c r="J90" s="38">
        <f>IF(J89&lt;=Model!$D$86,Model!$J$83,I95)</f>
        <v>1120255718.4</v>
      </c>
      <c r="K90" s="38">
        <f>IF(K89&lt;=Model!$D$86,Model!$J$83,J95)</f>
        <v>1100915335.6277936</v>
      </c>
      <c r="L90" s="38">
        <f>IF(L89&lt;=Model!$D$86,Model!$J$83,K95)</f>
        <v>1081284847.114004</v>
      </c>
      <c r="M90" s="38">
        <f>IF(M89&lt;=Model!$D$86,Model!$J$83,L95)</f>
        <v>1061359901.2725073</v>
      </c>
      <c r="N90" s="38">
        <f>IF(N89&lt;=Model!$D$86,Model!$J$83,M95)</f>
        <v>1041136081.2433883</v>
      </c>
      <c r="O90" s="38">
        <f>IF(O89&lt;=Model!$D$86,Model!$J$83,N95)</f>
        <v>1020608903.9138325</v>
      </c>
      <c r="P90" s="38">
        <f>IF(P89&lt;=Model!$D$86,Model!$J$83,O95)</f>
        <v>999773818.9243335</v>
      </c>
      <c r="Q90" s="38">
        <f>IF(Q89&lt;=Model!$D$86,Model!$J$83,P95)</f>
        <v>978626207.6599919</v>
      </c>
      <c r="R90" s="38">
        <f>IF(R89&lt;=Model!$D$86,Model!$J$83,Q95)</f>
        <v>957161382.2266852</v>
      </c>
      <c r="S90" s="38">
        <f>IF(S89&lt;=Model!$D$86,Model!$J$83,R95)</f>
        <v>935374584.4118788</v>
      </c>
      <c r="T90" s="38">
        <f>IF(T89&lt;=Model!$D$86,Model!$J$83,S95)</f>
        <v>913260984.6298504</v>
      </c>
      <c r="U90" s="38">
        <f>IF(U89&lt;=Model!$D$86,Model!$J$83,T95)</f>
        <v>890815680.8510915</v>
      </c>
      <c r="V90" s="38">
        <f>IF(V89&lt;=Model!$D$86,Model!$J$83,U95)</f>
        <v>868033697.5156512</v>
      </c>
      <c r="W90" s="38">
        <f>IF(W89&lt;=Model!$D$86,Model!$J$83,V95)</f>
        <v>844909984.4301794</v>
      </c>
      <c r="X90" s="38">
        <f>IF(X89&lt;=Model!$D$86,Model!$J$83,W95)</f>
        <v>821439415.6484255</v>
      </c>
      <c r="Y90" s="38">
        <f>IF(Y89&lt;=Model!$D$86,Model!$J$83,X95)</f>
        <v>797616788.3349452</v>
      </c>
      <c r="Z90" s="38">
        <f>IF(Z89&lt;=Model!$D$86,Model!$J$83,Y95)</f>
        <v>773436821.6117628</v>
      </c>
      <c r="AA90" s="38">
        <f>IF(AA89&lt;=Model!$D$86,Model!$J$83,Z95)</f>
        <v>748894155.3877326</v>
      </c>
      <c r="AB90" s="38">
        <f>IF(AB89&lt;=Model!$D$86,Model!$J$83,AA95)</f>
        <v>723983349.170342</v>
      </c>
      <c r="AC90" s="38">
        <f>IF(AC89&lt;=Model!$D$86,Model!$J$83,AB95)</f>
        <v>698698880.8596905</v>
      </c>
      <c r="AD90" s="38">
        <f>IF(AD89&lt;=Model!$D$86,Model!$J$83,AC95)</f>
        <v>673035145.5243793</v>
      </c>
      <c r="AE90" s="38">
        <f>IF(AE89&lt;=Model!$D$86,Model!$J$83,AD95)</f>
        <v>646986454.1590383</v>
      </c>
      <c r="AF90" s="38">
        <f>IF(AF89&lt;=Model!$D$86,Model!$J$83,AE95)</f>
        <v>620547032.4232173</v>
      </c>
      <c r="AG90" s="38">
        <f>IF(AG89&lt;=Model!$D$86,Model!$J$83,AF95)</f>
        <v>593711019.361359</v>
      </c>
      <c r="AH90" s="38">
        <f>IF(AH89&lt;=Model!$D$86,Model!$J$83,AG95)</f>
        <v>566472466.1035727</v>
      </c>
      <c r="AI90" s="38">
        <f>IF(AI89&lt;=Model!$D$86,Model!$J$83,AH95)</f>
        <v>538825334.5469197</v>
      </c>
      <c r="AJ90" s="38">
        <f>IF(AJ89&lt;=Model!$D$86,Model!$J$83,AI95)</f>
        <v>510763496.0169169</v>
      </c>
      <c r="AK90" s="38">
        <f>IF(AK89&lt;=Model!$D$86,Model!$J$83,AJ95)</f>
        <v>482280729.90896404</v>
      </c>
      <c r="AL90" s="38">
        <f>IF(AL89&lt;=Model!$D$86,Model!$J$83,AK95)</f>
        <v>453370722.3093919</v>
      </c>
      <c r="AM90" s="38">
        <f>IF(AM89&lt;=Model!$D$86,Model!$J$83,AL95)</f>
        <v>424027064.5958262</v>
      </c>
      <c r="AN90" s="38">
        <f>IF(AN89&lt;=Model!$D$86,Model!$J$83,AM95)</f>
        <v>394243252.016557</v>
      </c>
      <c r="AO90" s="38">
        <f>IF(AO89&lt;=Model!$D$86,Model!$J$83,AN95)</f>
        <v>364012682.24859875</v>
      </c>
      <c r="AP90" s="38">
        <f>IF(AP89&lt;=Model!$D$86,Model!$J$83,AO95)</f>
        <v>333328653.93412113</v>
      </c>
      <c r="AQ90" s="38">
        <f>IF(AQ89&lt;=Model!$D$86,Model!$J$83,AP95)</f>
        <v>302184365.1949263</v>
      </c>
      <c r="AR90" s="38">
        <f>IF(AR89&lt;=Model!$D$86,Model!$J$83,AQ95)</f>
        <v>270572912.1246436</v>
      </c>
      <c r="AS90" s="38">
        <f>IF(AS89&lt;=Model!$D$86,Model!$J$83,AR95)</f>
        <v>238487287.25830668</v>
      </c>
      <c r="AT90" s="38">
        <f>IF(AT89&lt;=Model!$D$86,Model!$J$83,AS95)</f>
        <v>205920378.01897466</v>
      </c>
      <c r="AU90" s="38">
        <f>IF(AU89&lt;=Model!$D$86,Model!$J$83,AT95)</f>
        <v>172864965.14105266</v>
      </c>
      <c r="AV90" s="38">
        <f>IF(AV89&lt;=Model!$D$86,Model!$J$83,AU95)</f>
        <v>139313721.06996185</v>
      </c>
      <c r="AW90" s="38">
        <f>IF(AW89&lt;=Model!$D$86,Model!$J$83,AV95)</f>
        <v>105259208.33780468</v>
      </c>
      <c r="AX90" s="38">
        <f>IF(AX89&lt;=Model!$D$86,Model!$J$83,AW95)</f>
        <v>70693877.91466513</v>
      </c>
      <c r="AY90" s="38">
        <f>IF(AY89&lt;=Model!$D$86,Model!$J$83,AX95)</f>
        <v>35610067.535178505</v>
      </c>
      <c r="AZ90" s="38">
        <f>IF(AZ89&lt;=Model!$D$86,Model!$J$83,AY95)</f>
        <v>603214617.5999994</v>
      </c>
      <c r="BA90" s="38">
        <f>IF(BA89&lt;=Model!$D$86,Model!$J$83,AZ95)</f>
        <v>595473642.8504807</v>
      </c>
      <c r="BB90" s="38">
        <f>IF(BB89&lt;=Model!$D$86,Model!$J$83,BA95)</f>
        <v>587616553.4797192</v>
      </c>
      <c r="BC90" s="38">
        <f>IF(BC89&lt;=Model!$D$86,Model!$J$83,BB95)</f>
        <v>579641607.7683961</v>
      </c>
      <c r="BD90" s="38">
        <f>IF(BD89&lt;=Model!$D$86,Model!$J$83,BC95)</f>
        <v>571547037.8714033</v>
      </c>
      <c r="BE90" s="38">
        <f>IF(BE89&lt;=Model!$D$86,Model!$J$83,BD95)</f>
        <v>563331049.4259557</v>
      </c>
      <c r="BF90" s="38">
        <f>IF(BF89&lt;=Model!$D$86,Model!$J$83,BE95)</f>
        <v>554991821.1538262</v>
      </c>
      <c r="BG90" s="38">
        <f>IF(BG89&lt;=Model!$D$86,Model!$J$83,BF95)</f>
        <v>546527504.4576149</v>
      </c>
      <c r="BH90" s="38">
        <f>IF(BH89&lt;=Model!$D$86,Model!$J$83,BG95)</f>
        <v>537936223.0109603</v>
      </c>
      <c r="BI90" s="38">
        <f>IF(BI89&lt;=Model!$D$86,Model!$J$83,BH95)</f>
        <v>529216072.342606</v>
      </c>
      <c r="BJ90" s="38">
        <f>IF(BJ89&lt;=Model!$D$86,Model!$J$83,BI95)</f>
        <v>520365119.41422635</v>
      </c>
      <c r="BK90" s="38">
        <f>IF(BK89&lt;=Model!$D$86,Model!$J$83,BJ95)</f>
        <v>511381402.191921</v>
      </c>
      <c r="BL90" s="38">
        <f>IF(BL89&lt;=Model!$D$86,Model!$J$83,BK95)</f>
        <v>502262929.21128106</v>
      </c>
      <c r="BM90" s="38">
        <f>IF(BM89&lt;=Model!$D$86,Model!$J$83,BL95)</f>
        <v>493007679.1359315</v>
      </c>
      <c r="BN90" s="38">
        <f>IF(BN89&lt;=Model!$D$86,Model!$J$83,BM95)</f>
        <v>483613600.3094517</v>
      </c>
      <c r="BO90" s="38">
        <f>IF(BO89&lt;=Model!$D$86,Model!$J$83,BN95)</f>
        <v>474078610.3005747</v>
      </c>
      <c r="BP90" s="38">
        <f>IF(BP89&lt;=Model!$D$86,Model!$J$83,BO95)</f>
        <v>464400595.44156456</v>
      </c>
      <c r="BQ90" s="38">
        <f>IF(BQ89&lt;=Model!$D$86,Model!$J$83,BP95)</f>
        <v>454577410.35966927</v>
      </c>
      <c r="BR90" s="38">
        <f>IF(BR89&lt;=Model!$D$86,Model!$J$83,BQ95)</f>
        <v>444606877.50154555</v>
      </c>
      <c r="BS90" s="38">
        <f>IF(BS89&lt;=Model!$D$86,Model!$J$83,BR95)</f>
        <v>434486786.65054995</v>
      </c>
      <c r="BT90" s="38">
        <f>IF(BT89&lt;=Model!$D$86,Model!$J$83,BS95)</f>
        <v>424214894.43678945</v>
      </c>
      <c r="BU90" s="38">
        <f>IF(BU89&lt;=Model!$D$86,Model!$J$83,BT95)</f>
        <v>413788923.83982253</v>
      </c>
      <c r="BV90" s="38">
        <f>IF(BV89&lt;=Model!$D$86,Model!$J$83,BU95)</f>
        <v>403206563.68390113</v>
      </c>
      <c r="BW90" s="38">
        <f>IF(BW89&lt;=Model!$D$86,Model!$J$83,BV95)</f>
        <v>392465468.12564087</v>
      </c>
      <c r="BX90" s="38">
        <f>IF(BX89&lt;=Model!$D$86,Model!$J$83,BW95)</f>
        <v>381563256.13400674</v>
      </c>
      <c r="BY90" s="38">
        <f>IF(BY89&lt;=Model!$D$86,Model!$J$83,BX95)</f>
        <v>370497510.96249807</v>
      </c>
      <c r="BZ90" s="38">
        <f>IF(BZ89&lt;=Model!$D$86,Model!$J$83,BY95)</f>
        <v>359265779.6134168</v>
      </c>
      <c r="CA90" s="38">
        <f>IF(CA89&lt;=Model!$D$86,Model!$J$83,BZ95)</f>
        <v>347865572.2940993</v>
      </c>
      <c r="CB90" s="38">
        <f>IF(CB89&lt;=Model!$D$86,Model!$J$83,CA95)</f>
        <v>336294361.864992</v>
      </c>
      <c r="CC90" s="38">
        <f>IF(CC89&lt;=Model!$D$86,Model!$J$83,CB95)</f>
        <v>324549583.27944815</v>
      </c>
      <c r="CD90" s="38">
        <f>IF(CD89&lt;=Model!$D$86,Model!$J$83,CC95)</f>
        <v>312628633.0151211</v>
      </c>
      <c r="CE90" s="38">
        <f>IF(CE89&lt;=Model!$D$86,Model!$J$83,CD95)</f>
        <v>300528868.49682915</v>
      </c>
      <c r="CF90" s="38">
        <f>IF(CF89&lt;=Model!$D$86,Model!$J$83,CE95)</f>
        <v>288247607.5107628</v>
      </c>
      <c r="CG90" s="38">
        <f>IF(CG89&lt;=Model!$D$86,Model!$J$83,CF95)</f>
        <v>275782127.6099055</v>
      </c>
      <c r="CH90" s="38">
        <f>IF(CH89&lt;=Model!$D$86,Model!$J$83,CG95)</f>
        <v>263129665.5105353</v>
      </c>
      <c r="CI90" s="38">
        <f>IF(CI89&lt;=Model!$D$86,Model!$J$83,CH95)</f>
        <v>250287416.47967458</v>
      </c>
      <c r="CJ90" s="38">
        <f>IF(CJ89&lt;=Model!$D$86,Model!$J$83,CI95)</f>
        <v>237252533.71335095</v>
      </c>
      <c r="CK90" s="38">
        <f>IF(CK89&lt;=Model!$D$86,Model!$J$83,CJ95)</f>
        <v>224022127.70553246</v>
      </c>
      <c r="CL90" s="38">
        <f>IF(CL89&lt;=Model!$D$86,Model!$J$83,CK95)</f>
        <v>210593265.6075967</v>
      </c>
      <c r="CM90" s="38">
        <f>IF(CM89&lt;=Model!$D$86,Model!$J$83,CL95)</f>
        <v>196962970.57819188</v>
      </c>
      <c r="CN90" s="38">
        <f>IF(CN89&lt;=Model!$D$86,Model!$J$83,CM95)</f>
        <v>183128221.123346</v>
      </c>
      <c r="CO90" s="38">
        <f>IF(CO89&lt;=Model!$D$86,Model!$J$83,CN95)</f>
        <v>169085950.42667744</v>
      </c>
      <c r="CP90" s="38">
        <f>IF(CP89&lt;=Model!$D$86,Model!$J$83,CO95)</f>
        <v>154833045.66955882</v>
      </c>
      <c r="CQ90" s="38">
        <f>IF(CQ89&lt;=Model!$D$86,Model!$J$83,CP95)</f>
        <v>140366347.34108344</v>
      </c>
      <c r="CR90" s="38">
        <f>IF(CR89&lt;=Model!$D$86,Model!$J$83,CQ95)</f>
        <v>125682648.53768092</v>
      </c>
      <c r="CS90" s="38">
        <f>IF(CS89&lt;=Model!$D$86,Model!$J$83,CR95)</f>
        <v>110778694.25222738</v>
      </c>
      <c r="CT90" s="38">
        <f>IF(CT89&lt;=Model!$D$86,Model!$J$83,CS95)</f>
        <v>95651180.65249203</v>
      </c>
      <c r="CU90" s="38">
        <f>IF(CU89&lt;=Model!$D$86,Model!$J$83,CT95)</f>
        <v>80296754.34876065</v>
      </c>
      <c r="CV90" s="38">
        <f>IF(CV89&lt;=Model!$D$86,Model!$J$83,CU95)</f>
        <v>64712011.6504733</v>
      </c>
      <c r="CW90" s="38">
        <f>IF(CW89&lt;=Model!$D$86,Model!$J$83,CV95)</f>
        <v>48893497.81171164</v>
      </c>
      <c r="CX90" s="38">
        <f>IF(CX89&lt;=Model!$D$86,Model!$J$83,CW95)</f>
        <v>32837706.265368555</v>
      </c>
      <c r="CY90" s="38">
        <f>IF(CY89&lt;=Model!$D$86,Model!$J$83,CX95)</f>
        <v>16541077.845830325</v>
      </c>
      <c r="EC90" s="100"/>
      <c r="ED90" s="38"/>
      <c r="EE90" s="38"/>
      <c r="EF90" s="38"/>
      <c r="EG90" s="38"/>
      <c r="EH90" s="38"/>
      <c r="EI90" s="38"/>
    </row>
    <row r="91" spans="1:139" s="3" customFormat="1" ht="15" outlineLevel="1">
      <c r="A91" s="2"/>
      <c r="B91" s="93" t="s">
        <v>128</v>
      </c>
      <c r="C91" s="2"/>
      <c r="D91" s="38">
        <f>IF(D89&lt;=Model!$D$86,$D$92,IF(D89&gt;Model!$D$85,Model!$J$86,Model!$J$84))</f>
        <v>-16803835.776</v>
      </c>
      <c r="E91" s="38">
        <f>IF(E89&lt;=Model!$D$86,$D$92,IF(E89&gt;Model!$D$85,Model!$J$86,Model!$J$84))</f>
        <v>-16803835.776</v>
      </c>
      <c r="F91" s="38">
        <f>IF(F89&lt;=Model!$D$86,$D$92,IF(F89&gt;Model!$D$85,Model!$J$86,Model!$J$84))</f>
        <v>-16803835.776</v>
      </c>
      <c r="G91" s="38">
        <f>IF(G89&lt;=Model!$D$86,$D$92,IF(G89&gt;Model!$D$85,Model!$J$86,Model!$J$84))</f>
        <v>-16803835.776</v>
      </c>
      <c r="H91" s="38">
        <f>IF(H89&lt;=Model!$D$86,$D$92,IF(H89&gt;Model!$D$85,Model!$J$86,Model!$J$84))</f>
        <v>-16803835.776</v>
      </c>
      <c r="I91" s="38">
        <f>IF(I89&lt;=Model!$D$86,$D$92,IF(I89&gt;Model!$D$85,Model!$J$86,Model!$J$84))</f>
        <v>-16803835.776</v>
      </c>
      <c r="J91" s="38">
        <f>IF(J89&lt;=Model!$D$86,$D$92,IF(J89&gt;Model!$D$85,Model!$J$86,Model!$J$84))</f>
        <v>-36144218.548206605</v>
      </c>
      <c r="K91" s="38">
        <f>IF(K89&lt;=Model!$D$86,$D$92,IF(K89&gt;Model!$D$85,Model!$J$86,Model!$J$84))</f>
        <v>-36144218.548206605</v>
      </c>
      <c r="L91" s="38">
        <f>IF(L89&lt;=Model!$D$86,$D$92,IF(L89&gt;Model!$D$85,Model!$J$86,Model!$J$84))</f>
        <v>-36144218.548206605</v>
      </c>
      <c r="M91" s="38">
        <f>IF(M89&lt;=Model!$D$86,$D$92,IF(M89&gt;Model!$D$85,Model!$J$86,Model!$J$84))</f>
        <v>-36144218.548206605</v>
      </c>
      <c r="N91" s="38">
        <f>IF(N89&lt;=Model!$D$86,$D$92,IF(N89&gt;Model!$D$85,Model!$J$86,Model!$J$84))</f>
        <v>-36144218.548206605</v>
      </c>
      <c r="O91" s="38">
        <f>IF(O89&lt;=Model!$D$86,$D$92,IF(O89&gt;Model!$D$85,Model!$J$86,Model!$J$84))</f>
        <v>-36144218.548206605</v>
      </c>
      <c r="P91" s="38">
        <f>IF(P89&lt;=Model!$D$86,$D$92,IF(P89&gt;Model!$D$85,Model!$J$86,Model!$J$84))</f>
        <v>-36144218.548206605</v>
      </c>
      <c r="Q91" s="38">
        <f>IF(Q89&lt;=Model!$D$86,$D$92,IF(Q89&gt;Model!$D$85,Model!$J$86,Model!$J$84))</f>
        <v>-36144218.548206605</v>
      </c>
      <c r="R91" s="38">
        <f>IF(R89&lt;=Model!$D$86,$D$92,IF(R89&gt;Model!$D$85,Model!$J$86,Model!$J$84))</f>
        <v>-36144218.548206605</v>
      </c>
      <c r="S91" s="38">
        <f>IF(S89&lt;=Model!$D$86,$D$92,IF(S89&gt;Model!$D$85,Model!$J$86,Model!$J$84))</f>
        <v>-36144218.548206605</v>
      </c>
      <c r="T91" s="38">
        <f>IF(T89&lt;=Model!$D$86,$D$92,IF(T89&gt;Model!$D$85,Model!$J$86,Model!$J$84))</f>
        <v>-36144218.548206605</v>
      </c>
      <c r="U91" s="38">
        <f>IF(U89&lt;=Model!$D$86,$D$92,IF(U89&gt;Model!$D$85,Model!$J$86,Model!$J$84))</f>
        <v>-36144218.548206605</v>
      </c>
      <c r="V91" s="38">
        <f>IF(V89&lt;=Model!$D$86,$D$92,IF(V89&gt;Model!$D$85,Model!$J$86,Model!$J$84))</f>
        <v>-36144218.548206605</v>
      </c>
      <c r="W91" s="38">
        <f>IF(W89&lt;=Model!$D$86,$D$92,IF(W89&gt;Model!$D$85,Model!$J$86,Model!$J$84))</f>
        <v>-36144218.548206605</v>
      </c>
      <c r="X91" s="38">
        <f>IF(X89&lt;=Model!$D$86,$D$92,IF(X89&gt;Model!$D$85,Model!$J$86,Model!$J$84))</f>
        <v>-36144218.548206605</v>
      </c>
      <c r="Y91" s="38">
        <f>IF(Y89&lt;=Model!$D$86,$D$92,IF(Y89&gt;Model!$D$85,Model!$J$86,Model!$J$84))</f>
        <v>-36144218.548206605</v>
      </c>
      <c r="Z91" s="38">
        <f>IF(Z89&lt;=Model!$D$86,$D$92,IF(Z89&gt;Model!$D$85,Model!$J$86,Model!$J$84))</f>
        <v>-36144218.548206605</v>
      </c>
      <c r="AA91" s="38">
        <f>IF(AA89&lt;=Model!$D$86,$D$92,IF(AA89&gt;Model!$D$85,Model!$J$86,Model!$J$84))</f>
        <v>-36144218.548206605</v>
      </c>
      <c r="AB91" s="38">
        <f>IF(AB89&lt;=Model!$D$86,$D$92,IF(AB89&gt;Model!$D$85,Model!$J$86,Model!$J$84))</f>
        <v>-36144218.548206605</v>
      </c>
      <c r="AC91" s="38">
        <f>IF(AC89&lt;=Model!$D$86,$D$92,IF(AC89&gt;Model!$D$85,Model!$J$86,Model!$J$84))</f>
        <v>-36144218.548206605</v>
      </c>
      <c r="AD91" s="38">
        <f>IF(AD89&lt;=Model!$D$86,$D$92,IF(AD89&gt;Model!$D$85,Model!$J$86,Model!$J$84))</f>
        <v>-36144218.548206605</v>
      </c>
      <c r="AE91" s="38">
        <f>IF(AE89&lt;=Model!$D$86,$D$92,IF(AE89&gt;Model!$D$85,Model!$J$86,Model!$J$84))</f>
        <v>-36144218.548206605</v>
      </c>
      <c r="AF91" s="38">
        <f>IF(AF89&lt;=Model!$D$86,$D$92,IF(AF89&gt;Model!$D$85,Model!$J$86,Model!$J$84))</f>
        <v>-36144218.548206605</v>
      </c>
      <c r="AG91" s="38">
        <f>IF(AG89&lt;=Model!$D$86,$D$92,IF(AG89&gt;Model!$D$85,Model!$J$86,Model!$J$84))</f>
        <v>-36144218.548206605</v>
      </c>
      <c r="AH91" s="38">
        <f>IF(AH89&lt;=Model!$D$86,$D$92,IF(AH89&gt;Model!$D$85,Model!$J$86,Model!$J$84))</f>
        <v>-36144218.548206605</v>
      </c>
      <c r="AI91" s="38">
        <f>IF(AI89&lt;=Model!$D$86,$D$92,IF(AI89&gt;Model!$D$85,Model!$J$86,Model!$J$84))</f>
        <v>-36144218.548206605</v>
      </c>
      <c r="AJ91" s="38">
        <f>IF(AJ89&lt;=Model!$D$86,$D$92,IF(AJ89&gt;Model!$D$85,Model!$J$86,Model!$J$84))</f>
        <v>-36144218.548206605</v>
      </c>
      <c r="AK91" s="38">
        <f>IF(AK89&lt;=Model!$D$86,$D$92,IF(AK89&gt;Model!$D$85,Model!$J$86,Model!$J$84))</f>
        <v>-36144218.548206605</v>
      </c>
      <c r="AL91" s="38">
        <f>IF(AL89&lt;=Model!$D$86,$D$92,IF(AL89&gt;Model!$D$85,Model!$J$86,Model!$J$84))</f>
        <v>-36144218.548206605</v>
      </c>
      <c r="AM91" s="38">
        <f>IF(AM89&lt;=Model!$D$86,$D$92,IF(AM89&gt;Model!$D$85,Model!$J$86,Model!$J$84))</f>
        <v>-36144218.548206605</v>
      </c>
      <c r="AN91" s="38">
        <f>IF(AN89&lt;=Model!$D$86,$D$92,IF(AN89&gt;Model!$D$85,Model!$J$86,Model!$J$84))</f>
        <v>-36144218.548206605</v>
      </c>
      <c r="AO91" s="38">
        <f>IF(AO89&lt;=Model!$D$86,$D$92,IF(AO89&gt;Model!$D$85,Model!$J$86,Model!$J$84))</f>
        <v>-36144218.548206605</v>
      </c>
      <c r="AP91" s="38">
        <f>IF(AP89&lt;=Model!$D$86,$D$92,IF(AP89&gt;Model!$D$85,Model!$J$86,Model!$J$84))</f>
        <v>-36144218.548206605</v>
      </c>
      <c r="AQ91" s="38">
        <f>IF(AQ89&lt;=Model!$D$86,$D$92,IF(AQ89&gt;Model!$D$85,Model!$J$86,Model!$J$84))</f>
        <v>-36144218.548206605</v>
      </c>
      <c r="AR91" s="38">
        <f>IF(AR89&lt;=Model!$D$86,$D$92,IF(AR89&gt;Model!$D$85,Model!$J$86,Model!$J$84))</f>
        <v>-36144218.548206605</v>
      </c>
      <c r="AS91" s="38">
        <f>IF(AS89&lt;=Model!$D$86,$D$92,IF(AS89&gt;Model!$D$85,Model!$J$86,Model!$J$84))</f>
        <v>-36144218.548206605</v>
      </c>
      <c r="AT91" s="38">
        <f>IF(AT89&lt;=Model!$D$86,$D$92,IF(AT89&gt;Model!$D$85,Model!$J$86,Model!$J$84))</f>
        <v>-36144218.548206605</v>
      </c>
      <c r="AU91" s="38">
        <f>IF(AU89&lt;=Model!$D$86,$D$92,IF(AU89&gt;Model!$D$85,Model!$J$86,Model!$J$84))</f>
        <v>-36144218.548206605</v>
      </c>
      <c r="AV91" s="38">
        <f>IF(AV89&lt;=Model!$D$86,$D$92,IF(AV89&gt;Model!$D$85,Model!$J$86,Model!$J$84))</f>
        <v>-36144218.548206605</v>
      </c>
      <c r="AW91" s="38">
        <f>IF(AW89&lt;=Model!$D$86,$D$92,IF(AW89&gt;Model!$D$85,Model!$J$86,Model!$J$84))</f>
        <v>-36144218.548206605</v>
      </c>
      <c r="AX91" s="38">
        <f>IF(AX89&lt;=Model!$D$86,$D$92,IF(AX89&gt;Model!$D$85,Model!$J$86,Model!$J$84))</f>
        <v>-36144218.548206605</v>
      </c>
      <c r="AY91" s="38">
        <f>IF(AY89&lt;=Model!$D$86,$D$92,IF(AY89&gt;Model!$D$85,Model!$J$86,Model!$J$84))</f>
        <v>-36144218.548206605</v>
      </c>
      <c r="AZ91" s="38">
        <f>IF(AZ89&lt;=Model!$D$86,$D$92,IF(AZ89&gt;Model!$D$85,Model!$J$86,Model!$J$84))</f>
        <v>-16789194.013518758</v>
      </c>
      <c r="BA91" s="38">
        <f>IF(BA89&lt;=Model!$D$86,$D$92,IF(BA89&gt;Model!$D$85,Model!$J$86,Model!$J$84))</f>
        <v>-16789194.013518758</v>
      </c>
      <c r="BB91" s="38">
        <f>IF(BB89&lt;=Model!$D$86,$D$92,IF(BB89&gt;Model!$D$85,Model!$J$86,Model!$J$84))</f>
        <v>-16789194.013518758</v>
      </c>
      <c r="BC91" s="38">
        <f>IF(BC89&lt;=Model!$D$86,$D$92,IF(BC89&gt;Model!$D$85,Model!$J$86,Model!$J$84))</f>
        <v>-16789194.013518758</v>
      </c>
      <c r="BD91" s="38">
        <f>IF(BD89&lt;=Model!$D$86,$D$92,IF(BD89&gt;Model!$D$85,Model!$J$86,Model!$J$84))</f>
        <v>-16789194.013518758</v>
      </c>
      <c r="BE91" s="38">
        <f>IF(BE89&lt;=Model!$D$86,$D$92,IF(BE89&gt;Model!$D$85,Model!$J$86,Model!$J$84))</f>
        <v>-16789194.013518758</v>
      </c>
      <c r="BF91" s="38">
        <f>IF(BF89&lt;=Model!$D$86,$D$92,IF(BF89&gt;Model!$D$85,Model!$J$86,Model!$J$84))</f>
        <v>-16789194.013518758</v>
      </c>
      <c r="BG91" s="38">
        <f>IF(BG89&lt;=Model!$D$86,$D$92,IF(BG89&gt;Model!$D$85,Model!$J$86,Model!$J$84))</f>
        <v>-16789194.013518758</v>
      </c>
      <c r="BH91" s="38">
        <f>IF(BH89&lt;=Model!$D$86,$D$92,IF(BH89&gt;Model!$D$85,Model!$J$86,Model!$J$84))</f>
        <v>-16789194.013518758</v>
      </c>
      <c r="BI91" s="38">
        <f>IF(BI89&lt;=Model!$D$86,$D$92,IF(BI89&gt;Model!$D$85,Model!$J$86,Model!$J$84))</f>
        <v>-16789194.013518758</v>
      </c>
      <c r="BJ91" s="38">
        <f>IF(BJ89&lt;=Model!$D$86,$D$92,IF(BJ89&gt;Model!$D$85,Model!$J$86,Model!$J$84))</f>
        <v>-16789194.013518758</v>
      </c>
      <c r="BK91" s="38">
        <f>IF(BK89&lt;=Model!$D$86,$D$92,IF(BK89&gt;Model!$D$85,Model!$J$86,Model!$J$84))</f>
        <v>-16789194.013518758</v>
      </c>
      <c r="BL91" s="38">
        <f>IF(BL89&lt;=Model!$D$86,$D$92,IF(BL89&gt;Model!$D$85,Model!$J$86,Model!$J$84))</f>
        <v>-16789194.013518758</v>
      </c>
      <c r="BM91" s="38">
        <f>IF(BM89&lt;=Model!$D$86,$D$92,IF(BM89&gt;Model!$D$85,Model!$J$86,Model!$J$84))</f>
        <v>-16789194.013518758</v>
      </c>
      <c r="BN91" s="38">
        <f>IF(BN89&lt;=Model!$D$86,$D$92,IF(BN89&gt;Model!$D$85,Model!$J$86,Model!$J$84))</f>
        <v>-16789194.013518758</v>
      </c>
      <c r="BO91" s="38">
        <f>IF(BO89&lt;=Model!$D$86,$D$92,IF(BO89&gt;Model!$D$85,Model!$J$86,Model!$J$84))</f>
        <v>-16789194.013518758</v>
      </c>
      <c r="BP91" s="38">
        <f>IF(BP89&lt;=Model!$D$86,$D$92,IF(BP89&gt;Model!$D$85,Model!$J$86,Model!$J$84))</f>
        <v>-16789194.013518758</v>
      </c>
      <c r="BQ91" s="38">
        <f>IF(BQ89&lt;=Model!$D$86,$D$92,IF(BQ89&gt;Model!$D$85,Model!$J$86,Model!$J$84))</f>
        <v>-16789194.013518758</v>
      </c>
      <c r="BR91" s="38">
        <f>IF(BR89&lt;=Model!$D$86,$D$92,IF(BR89&gt;Model!$D$85,Model!$J$86,Model!$J$84))</f>
        <v>-16789194.013518758</v>
      </c>
      <c r="BS91" s="38">
        <f>IF(BS89&lt;=Model!$D$86,$D$92,IF(BS89&gt;Model!$D$85,Model!$J$86,Model!$J$84))</f>
        <v>-16789194.013518758</v>
      </c>
      <c r="BT91" s="38">
        <f>IF(BT89&lt;=Model!$D$86,$D$92,IF(BT89&gt;Model!$D$85,Model!$J$86,Model!$J$84))</f>
        <v>-16789194.013518758</v>
      </c>
      <c r="BU91" s="38">
        <f>IF(BU89&lt;=Model!$D$86,$D$92,IF(BU89&gt;Model!$D$85,Model!$J$86,Model!$J$84))</f>
        <v>-16789194.013518758</v>
      </c>
      <c r="BV91" s="38">
        <f>IF(BV89&lt;=Model!$D$86,$D$92,IF(BV89&gt;Model!$D$85,Model!$J$86,Model!$J$84))</f>
        <v>-16789194.013518758</v>
      </c>
      <c r="BW91" s="38">
        <f>IF(BW89&lt;=Model!$D$86,$D$92,IF(BW89&gt;Model!$D$85,Model!$J$86,Model!$J$84))</f>
        <v>-16789194.013518758</v>
      </c>
      <c r="BX91" s="38">
        <f>IF(BX89&lt;=Model!$D$86,$D$92,IF(BX89&gt;Model!$D$85,Model!$J$86,Model!$J$84))</f>
        <v>-16789194.013518758</v>
      </c>
      <c r="BY91" s="38">
        <f>IF(BY89&lt;=Model!$D$86,$D$92,IF(BY89&gt;Model!$D$85,Model!$J$86,Model!$J$84))</f>
        <v>-16789194.013518758</v>
      </c>
      <c r="BZ91" s="38">
        <f>IF(BZ89&lt;=Model!$D$86,$D$92,IF(BZ89&gt;Model!$D$85,Model!$J$86,Model!$J$84))</f>
        <v>-16789194.013518758</v>
      </c>
      <c r="CA91" s="38">
        <f>IF(CA89&lt;=Model!$D$86,$D$92,IF(CA89&gt;Model!$D$85,Model!$J$86,Model!$J$84))</f>
        <v>-16789194.013518758</v>
      </c>
      <c r="CB91" s="38">
        <f>IF(CB89&lt;=Model!$D$86,$D$92,IF(CB89&gt;Model!$D$85,Model!$J$86,Model!$J$84))</f>
        <v>-16789194.013518758</v>
      </c>
      <c r="CC91" s="38">
        <f>IF(CC89&lt;=Model!$D$86,$D$92,IF(CC89&gt;Model!$D$85,Model!$J$86,Model!$J$84))</f>
        <v>-16789194.013518758</v>
      </c>
      <c r="CD91" s="38">
        <f>IF(CD89&lt;=Model!$D$86,$D$92,IF(CD89&gt;Model!$D$85,Model!$J$86,Model!$J$84))</f>
        <v>-16789194.013518758</v>
      </c>
      <c r="CE91" s="38">
        <f>IF(CE89&lt;=Model!$D$86,$D$92,IF(CE89&gt;Model!$D$85,Model!$J$86,Model!$J$84))</f>
        <v>-16789194.013518758</v>
      </c>
      <c r="CF91" s="38">
        <f>IF(CF89&lt;=Model!$D$86,$D$92,IF(CF89&gt;Model!$D$85,Model!$J$86,Model!$J$84))</f>
        <v>-16789194.013518758</v>
      </c>
      <c r="CG91" s="38">
        <f>IF(CG89&lt;=Model!$D$86,$D$92,IF(CG89&gt;Model!$D$85,Model!$J$86,Model!$J$84))</f>
        <v>-16789194.013518758</v>
      </c>
      <c r="CH91" s="38">
        <f>IF(CH89&lt;=Model!$D$86,$D$92,IF(CH89&gt;Model!$D$85,Model!$J$86,Model!$J$84))</f>
        <v>-16789194.013518758</v>
      </c>
      <c r="CI91" s="38">
        <f>IF(CI89&lt;=Model!$D$86,$D$92,IF(CI89&gt;Model!$D$85,Model!$J$86,Model!$J$84))</f>
        <v>-16789194.013518758</v>
      </c>
      <c r="CJ91" s="38">
        <f>IF(CJ89&lt;=Model!$D$86,$D$92,IF(CJ89&gt;Model!$D$85,Model!$J$86,Model!$J$84))</f>
        <v>-16789194.013518758</v>
      </c>
      <c r="CK91" s="38">
        <f>IF(CK89&lt;=Model!$D$86,$D$92,IF(CK89&gt;Model!$D$85,Model!$J$86,Model!$J$84))</f>
        <v>-16789194.013518758</v>
      </c>
      <c r="CL91" s="38">
        <f>IF(CL89&lt;=Model!$D$86,$D$92,IF(CL89&gt;Model!$D$85,Model!$J$86,Model!$J$84))</f>
        <v>-16789194.013518758</v>
      </c>
      <c r="CM91" s="38">
        <f>IF(CM89&lt;=Model!$D$86,$D$92,IF(CM89&gt;Model!$D$85,Model!$J$86,Model!$J$84))</f>
        <v>-16789194.013518758</v>
      </c>
      <c r="CN91" s="38">
        <f>IF(CN89&lt;=Model!$D$86,$D$92,IF(CN89&gt;Model!$D$85,Model!$J$86,Model!$J$84))</f>
        <v>-16789194.013518758</v>
      </c>
      <c r="CO91" s="38">
        <f>IF(CO89&lt;=Model!$D$86,$D$92,IF(CO89&gt;Model!$D$85,Model!$J$86,Model!$J$84))</f>
        <v>-16789194.013518758</v>
      </c>
      <c r="CP91" s="38">
        <f>IF(CP89&lt;=Model!$D$86,$D$92,IF(CP89&gt;Model!$D$85,Model!$J$86,Model!$J$84))</f>
        <v>-16789194.013518758</v>
      </c>
      <c r="CQ91" s="38">
        <f>IF(CQ89&lt;=Model!$D$86,$D$92,IF(CQ89&gt;Model!$D$85,Model!$J$86,Model!$J$84))</f>
        <v>-16789194.013518758</v>
      </c>
      <c r="CR91" s="38">
        <f>IF(CR89&lt;=Model!$D$86,$D$92,IF(CR89&gt;Model!$D$85,Model!$J$86,Model!$J$84))</f>
        <v>-16789194.013518758</v>
      </c>
      <c r="CS91" s="38">
        <f>IF(CS89&lt;=Model!$D$86,$D$92,IF(CS89&gt;Model!$D$85,Model!$J$86,Model!$J$84))</f>
        <v>-16789194.013518758</v>
      </c>
      <c r="CT91" s="38">
        <f>IF(CT89&lt;=Model!$D$86,$D$92,IF(CT89&gt;Model!$D$85,Model!$J$86,Model!$J$84))</f>
        <v>-16789194.013518758</v>
      </c>
      <c r="CU91" s="38">
        <f>IF(CU89&lt;=Model!$D$86,$D$92,IF(CU89&gt;Model!$D$85,Model!$J$86,Model!$J$84))</f>
        <v>-16789194.013518758</v>
      </c>
      <c r="CV91" s="38">
        <f>IF(CV89&lt;=Model!$D$86,$D$92,IF(CV89&gt;Model!$D$85,Model!$J$86,Model!$J$84))</f>
        <v>-16789194.013518758</v>
      </c>
      <c r="CW91" s="38">
        <f>IF(CW89&lt;=Model!$D$86,$D$92,IF(CW89&gt;Model!$D$85,Model!$J$86,Model!$J$84))</f>
        <v>-16789194.013518758</v>
      </c>
      <c r="CX91" s="38">
        <f>IF(CX89&lt;=Model!$D$86,$D$92,IF(CX89&gt;Model!$D$85,Model!$J$86,Model!$J$84))</f>
        <v>-16789194.013518758</v>
      </c>
      <c r="CY91" s="38">
        <f>IF(CY89&lt;=Model!$D$86,$D$92,IF(CY89&gt;Model!$D$85,Model!$J$86,Model!$J$84))</f>
        <v>-16789194.013518758</v>
      </c>
      <c r="EC91" s="100"/>
      <c r="ED91" s="38"/>
      <c r="EE91" s="38"/>
      <c r="EF91" s="38"/>
      <c r="EG91" s="38"/>
      <c r="EH91" s="38"/>
      <c r="EI91" s="38"/>
    </row>
    <row r="92" spans="1:139" s="3" customFormat="1" ht="15" outlineLevel="1">
      <c r="A92" s="2"/>
      <c r="B92" s="93" t="s">
        <v>131</v>
      </c>
      <c r="C92" s="2"/>
      <c r="D92" s="38">
        <f>-D90*IF(D89&lt;=Model!$D$85,Model!$J$81,Model!$J$85)</f>
        <v>-16803835.776</v>
      </c>
      <c r="E92" s="38">
        <f>-E90*IF(E89&lt;=Model!$D$85,Model!$J$81,Model!$J$85)</f>
        <v>-16803835.776</v>
      </c>
      <c r="F92" s="38">
        <f>-F90*IF(F89&lt;=Model!$D$85,Model!$J$81,Model!$J$85)</f>
        <v>-16803835.776</v>
      </c>
      <c r="G92" s="38">
        <f>-G90*IF(G89&lt;=Model!$D$85,Model!$J$81,Model!$J$85)</f>
        <v>-16803835.776</v>
      </c>
      <c r="H92" s="38">
        <f>-H90*IF(H89&lt;=Model!$D$85,Model!$J$81,Model!$J$85)</f>
        <v>-16803835.776</v>
      </c>
      <c r="I92" s="38">
        <f>-I90*IF(I89&lt;=Model!$D$85,Model!$J$81,Model!$J$85)</f>
        <v>-16803835.776</v>
      </c>
      <c r="J92" s="38">
        <f>-J90*IF(J89&lt;=Model!$D$85,Model!$J$81,Model!$J$85)</f>
        <v>-16803835.776</v>
      </c>
      <c r="K92" s="38">
        <f>-K90*IF(K89&lt;=Model!$D$85,Model!$J$81,Model!$J$85)</f>
        <v>-16513730.034416903</v>
      </c>
      <c r="L92" s="38">
        <f>-L90*IF(L89&lt;=Model!$D$85,Model!$J$81,Model!$J$85)</f>
        <v>-16219272.706710057</v>
      </c>
      <c r="M92" s="38">
        <f>-M90*IF(M89&lt;=Model!$D$85,Model!$J$81,Model!$J$85)</f>
        <v>-15920398.519087609</v>
      </c>
      <c r="N92" s="38">
        <f>-N90*IF(N89&lt;=Model!$D$85,Model!$J$81,Model!$J$85)</f>
        <v>-15617041.218650823</v>
      </c>
      <c r="O92" s="38">
        <f>-O90*IF(O89&lt;=Model!$D$85,Model!$J$81,Model!$J$85)</f>
        <v>-15309133.558707487</v>
      </c>
      <c r="P92" s="38">
        <f>-P90*IF(P89&lt;=Model!$D$85,Model!$J$81,Model!$J$85)</f>
        <v>-14996607.283865001</v>
      </c>
      <c r="Q92" s="38">
        <f>-Q90*IF(Q89&lt;=Model!$D$85,Model!$J$81,Model!$J$85)</f>
        <v>-14679393.114899877</v>
      </c>
      <c r="R92" s="38">
        <f>-R90*IF(R89&lt;=Model!$D$85,Model!$J$81,Model!$J$85)</f>
        <v>-14357420.733400278</v>
      </c>
      <c r="S92" s="38">
        <f>-S90*IF(S89&lt;=Model!$D$85,Model!$J$81,Model!$J$85)</f>
        <v>-14030618.766178181</v>
      </c>
      <c r="T92" s="38">
        <f>-T90*IF(T89&lt;=Model!$D$85,Model!$J$81,Model!$J$85)</f>
        <v>-13698914.769447755</v>
      </c>
      <c r="U92" s="38">
        <f>-U90*IF(U89&lt;=Model!$D$85,Model!$J$81,Model!$J$85)</f>
        <v>-13362235.212766372</v>
      </c>
      <c r="V92" s="38">
        <f>-V90*IF(V89&lt;=Model!$D$85,Model!$J$81,Model!$J$85)</f>
        <v>-13020505.462734768</v>
      </c>
      <c r="W92" s="38">
        <f>-W90*IF(W89&lt;=Model!$D$85,Model!$J$81,Model!$J$85)</f>
        <v>-12673649.76645269</v>
      </c>
      <c r="X92" s="38">
        <f>-X90*IF(X89&lt;=Model!$D$85,Model!$J$81,Model!$J$85)</f>
        <v>-12321591.23472638</v>
      </c>
      <c r="Y92" s="38">
        <f>-Y90*IF(Y89&lt;=Model!$D$85,Model!$J$81,Model!$J$85)</f>
        <v>-11964251.825024178</v>
      </c>
      <c r="Z92" s="38">
        <f>-Z90*IF(Z89&lt;=Model!$D$85,Model!$J$81,Model!$J$85)</f>
        <v>-11601552.324176442</v>
      </c>
      <c r="AA92" s="38">
        <f>-AA90*IF(AA89&lt;=Model!$D$85,Model!$J$81,Model!$J$85)</f>
        <v>-11233412.33081599</v>
      </c>
      <c r="AB92" s="38">
        <f>-AB90*IF(AB89&lt;=Model!$D$85,Model!$J$81,Model!$J$85)</f>
        <v>-10859750.23755513</v>
      </c>
      <c r="AC92" s="38">
        <f>-AC90*IF(AC89&lt;=Model!$D$85,Model!$J$81,Model!$J$85)</f>
        <v>-10480483.212895358</v>
      </c>
      <c r="AD92" s="38">
        <f>-AD90*IF(AD89&lt;=Model!$D$85,Model!$J$81,Model!$J$85)</f>
        <v>-10095527.182865689</v>
      </c>
      <c r="AE92" s="38">
        <f>-AE90*IF(AE89&lt;=Model!$D$85,Model!$J$81,Model!$J$85)</f>
        <v>-9704796.812385574</v>
      </c>
      <c r="AF92" s="38">
        <f>-AF90*IF(AF89&lt;=Model!$D$85,Model!$J$81,Model!$J$85)</f>
        <v>-9308205.486348258</v>
      </c>
      <c r="AG92" s="38">
        <f>-AG90*IF(AG89&lt;=Model!$D$85,Model!$J$81,Model!$J$85)</f>
        <v>-8905665.290420385</v>
      </c>
      <c r="AH92" s="38">
        <f>-AH90*IF(AH89&lt;=Model!$D$85,Model!$J$81,Model!$J$85)</f>
        <v>-8497086.99155359</v>
      </c>
      <c r="AI92" s="38">
        <f>-AI90*IF(AI89&lt;=Model!$D$85,Model!$J$81,Model!$J$85)</f>
        <v>-8082380.018203795</v>
      </c>
      <c r="AJ92" s="38">
        <f>-AJ90*IF(AJ89&lt;=Model!$D$85,Model!$J$81,Model!$J$85)</f>
        <v>-7661452.440253753</v>
      </c>
      <c r="AK92" s="38">
        <f>-AK90*IF(AK89&lt;=Model!$D$85,Model!$J$81,Model!$J$85)</f>
        <v>-7234210.948634461</v>
      </c>
      <c r="AL92" s="38">
        <f>-AL90*IF(AL89&lt;=Model!$D$85,Model!$J$81,Model!$J$85)</f>
        <v>-6800560.834640878</v>
      </c>
      <c r="AM92" s="38">
        <f>-AM90*IF(AM89&lt;=Model!$D$85,Model!$J$81,Model!$J$85)</f>
        <v>-6360405.968937393</v>
      </c>
      <c r="AN92" s="38">
        <f>-AN90*IF(AN89&lt;=Model!$D$85,Model!$J$81,Model!$J$85)</f>
        <v>-5913648.780248354</v>
      </c>
      <c r="AO92" s="38">
        <f>-AO90*IF(AO89&lt;=Model!$D$85,Model!$J$81,Model!$J$85)</f>
        <v>-5460190.233728982</v>
      </c>
      <c r="AP92" s="38">
        <f>-AP90*IF(AP89&lt;=Model!$D$85,Model!$J$81,Model!$J$85)</f>
        <v>-4999929.809011817</v>
      </c>
      <c r="AQ92" s="38">
        <f>-AQ90*IF(AQ89&lt;=Model!$D$85,Model!$J$81,Model!$J$85)</f>
        <v>-4532765.477923894</v>
      </c>
      <c r="AR92" s="38">
        <f>-AR90*IF(AR89&lt;=Model!$D$85,Model!$J$81,Model!$J$85)</f>
        <v>-4058593.681869654</v>
      </c>
      <c r="AS92" s="38">
        <f>-AS90*IF(AS89&lt;=Model!$D$85,Model!$J$81,Model!$J$85)</f>
        <v>-3577309.3088746</v>
      </c>
      <c r="AT92" s="38">
        <f>-AT90*IF(AT89&lt;=Model!$D$85,Model!$J$81,Model!$J$85)</f>
        <v>-3088805.67028462</v>
      </c>
      <c r="AU92" s="38">
        <f>-AU90*IF(AU89&lt;=Model!$D$85,Model!$J$81,Model!$J$85)</f>
        <v>-2592974.47711579</v>
      </c>
      <c r="AV92" s="38">
        <f>-AV90*IF(AV89&lt;=Model!$D$85,Model!$J$81,Model!$J$85)</f>
        <v>-2089705.8160494277</v>
      </c>
      <c r="AW92" s="38">
        <f>-AW90*IF(AW89&lt;=Model!$D$85,Model!$J$81,Model!$J$85)</f>
        <v>-1578888.1250670701</v>
      </c>
      <c r="AX92" s="38">
        <f>-AX90*IF(AX89&lt;=Model!$D$85,Model!$J$81,Model!$J$85)</f>
        <v>-1060408.168719977</v>
      </c>
      <c r="AY92" s="38">
        <f>-AY90*IF(AY89&lt;=Model!$D$85,Model!$J$81,Model!$J$85)</f>
        <v>-534151.0130276775</v>
      </c>
      <c r="AZ92" s="38">
        <f>-AZ90*IF(AZ89&lt;=Model!$D$85,Model!$J$81,Model!$J$85)</f>
        <v>-9048219.263999991</v>
      </c>
      <c r="BA92" s="38">
        <f>-BA90*IF(BA89&lt;=Model!$D$85,Model!$J$81,Model!$J$85)</f>
        <v>-8932104.642757209</v>
      </c>
      <c r="BB92" s="38">
        <f>-BB90*IF(BB89&lt;=Model!$D$85,Model!$J$81,Model!$J$85)</f>
        <v>-8814248.302195787</v>
      </c>
      <c r="BC92" s="38">
        <f>-BC90*IF(BC89&lt;=Model!$D$85,Model!$J$81,Model!$J$85)</f>
        <v>-8694624.116525942</v>
      </c>
      <c r="BD92" s="38">
        <f>-BD90*IF(BD89&lt;=Model!$D$85,Model!$J$81,Model!$J$85)</f>
        <v>-8573205.56807105</v>
      </c>
      <c r="BE92" s="38">
        <f>-BE90*IF(BE89&lt;=Model!$D$85,Model!$J$81,Model!$J$85)</f>
        <v>-8449965.741389334</v>
      </c>
      <c r="BF92" s="38">
        <f>-BF90*IF(BF89&lt;=Model!$D$85,Model!$J$81,Model!$J$85)</f>
        <v>-8324877.317307393</v>
      </c>
      <c r="BG92" s="38">
        <f>-BG90*IF(BG89&lt;=Model!$D$85,Model!$J$81,Model!$J$85)</f>
        <v>-8197912.566864223</v>
      </c>
      <c r="BH92" s="38">
        <f>-BH90*IF(BH89&lt;=Model!$D$85,Model!$J$81,Model!$J$85)</f>
        <v>-8069043.345164405</v>
      </c>
      <c r="BI92" s="38">
        <f>-BI90*IF(BI89&lt;=Model!$D$85,Model!$J$81,Model!$J$85)</f>
        <v>-7938241.08513909</v>
      </c>
      <c r="BJ92" s="38">
        <f>-BJ90*IF(BJ89&lt;=Model!$D$85,Model!$J$81,Model!$J$85)</f>
        <v>-7805476.791213395</v>
      </c>
      <c r="BK92" s="38">
        <f>-BK90*IF(BK89&lt;=Model!$D$85,Model!$J$81,Model!$J$85)</f>
        <v>-7670721.032878814</v>
      </c>
      <c r="BL92" s="38">
        <f>-BL90*IF(BL89&lt;=Model!$D$85,Model!$J$81,Model!$J$85)</f>
        <v>-7533943.938169216</v>
      </c>
      <c r="BM92" s="38">
        <f>-BM90*IF(BM89&lt;=Model!$D$85,Model!$J$81,Model!$J$85)</f>
        <v>-7395115.187038972</v>
      </c>
      <c r="BN92" s="38">
        <f>-BN90*IF(BN89&lt;=Model!$D$85,Model!$J$81,Model!$J$85)</f>
        <v>-7254204.004641775</v>
      </c>
      <c r="BO92" s="38">
        <f>-BO90*IF(BO89&lt;=Model!$D$85,Model!$J$81,Model!$J$85)</f>
        <v>-7111179.1545086205</v>
      </c>
      <c r="BP92" s="38">
        <f>-BP90*IF(BP89&lt;=Model!$D$85,Model!$J$81,Model!$J$85)</f>
        <v>-6966008.931623468</v>
      </c>
      <c r="BQ92" s="38">
        <f>-BQ90*IF(BQ89&lt;=Model!$D$85,Model!$J$81,Model!$J$85)</f>
        <v>-6818661.155395038</v>
      </c>
      <c r="BR92" s="38">
        <f>-BR90*IF(BR89&lt;=Model!$D$85,Model!$J$81,Model!$J$85)</f>
        <v>-6669103.162523183</v>
      </c>
      <c r="BS92" s="38">
        <f>-BS90*IF(BS89&lt;=Model!$D$85,Model!$J$81,Model!$J$85)</f>
        <v>-6517301.799758249</v>
      </c>
      <c r="BT92" s="38">
        <f>-BT90*IF(BT89&lt;=Model!$D$85,Model!$J$81,Model!$J$85)</f>
        <v>-6363223.416551841</v>
      </c>
      <c r="BU92" s="38">
        <f>-BU90*IF(BU89&lt;=Model!$D$85,Model!$J$81,Model!$J$85)</f>
        <v>-6206833.857597338</v>
      </c>
      <c r="BV92" s="38">
        <f>-BV90*IF(BV89&lt;=Model!$D$85,Model!$J$81,Model!$J$85)</f>
        <v>-6048098.455258517</v>
      </c>
      <c r="BW92" s="38">
        <f>-BW90*IF(BW89&lt;=Model!$D$85,Model!$J$81,Model!$J$85)</f>
        <v>-5886982.021884613</v>
      </c>
      <c r="BX92" s="38">
        <f>-BX90*IF(BX89&lt;=Model!$D$85,Model!$J$81,Model!$J$85)</f>
        <v>-5723448.842010101</v>
      </c>
      <c r="BY92" s="38">
        <f>-BY90*IF(BY89&lt;=Model!$D$85,Model!$J$81,Model!$J$85)</f>
        <v>-5557462.664437471</v>
      </c>
      <c r="BZ92" s="38">
        <f>-BZ90*IF(BZ89&lt;=Model!$D$85,Model!$J$81,Model!$J$85)</f>
        <v>-5388986.6942012515</v>
      </c>
      <c r="CA92" s="38">
        <f>-CA90*IF(CA89&lt;=Model!$D$85,Model!$J$81,Model!$J$85)</f>
        <v>-5217983.584411489</v>
      </c>
      <c r="CB92" s="38">
        <f>-CB90*IF(CB89&lt;=Model!$D$85,Model!$J$81,Model!$J$85)</f>
        <v>-5044415.42797488</v>
      </c>
      <c r="CC92" s="38">
        <f>-CC90*IF(CC89&lt;=Model!$D$85,Model!$J$81,Model!$J$85)</f>
        <v>-4868243.749191722</v>
      </c>
      <c r="CD92" s="38">
        <f>-CD90*IF(CD89&lt;=Model!$D$85,Model!$J$81,Model!$J$85)</f>
        <v>-4689429.495226816</v>
      </c>
      <c r="CE92" s="38">
        <f>-CE90*IF(CE89&lt;=Model!$D$85,Model!$J$81,Model!$J$85)</f>
        <v>-4507933.027452437</v>
      </c>
      <c r="CF92" s="38">
        <f>-CF90*IF(CF89&lt;=Model!$D$85,Model!$J$81,Model!$J$85)</f>
        <v>-4323714.112661442</v>
      </c>
      <c r="CG92" s="38">
        <f>-CG90*IF(CG89&lt;=Model!$D$85,Model!$J$81,Model!$J$85)</f>
        <v>-4136731.914148582</v>
      </c>
      <c r="CH92" s="38">
        <f>-CH90*IF(CH89&lt;=Model!$D$85,Model!$J$81,Model!$J$85)</f>
        <v>-3946944.9826580295</v>
      </c>
      <c r="CI92" s="38">
        <f>-CI90*IF(CI89&lt;=Model!$D$85,Model!$J$81,Model!$J$85)</f>
        <v>-3754311.2471951186</v>
      </c>
      <c r="CJ92" s="38">
        <f>-CJ90*IF(CJ89&lt;=Model!$D$85,Model!$J$81,Model!$J$85)</f>
        <v>-3558788.005700264</v>
      </c>
      <c r="CK92" s="38">
        <f>-CK90*IF(CK89&lt;=Model!$D$85,Model!$J$81,Model!$J$85)</f>
        <v>-3360331.915582987</v>
      </c>
      <c r="CL92" s="38">
        <f>-CL90*IF(CL89&lt;=Model!$D$85,Model!$J$81,Model!$J$85)</f>
        <v>-3158898.9841139503</v>
      </c>
      <c r="CM92" s="38">
        <f>-CM90*IF(CM89&lt;=Model!$D$85,Model!$J$81,Model!$J$85)</f>
        <v>-2954444.558672878</v>
      </c>
      <c r="CN92" s="38">
        <f>-CN90*IF(CN89&lt;=Model!$D$85,Model!$J$81,Model!$J$85)</f>
        <v>-2746923.31685019</v>
      </c>
      <c r="CO92" s="38">
        <f>-CO90*IF(CO89&lt;=Model!$D$85,Model!$J$81,Model!$J$85)</f>
        <v>-2536289.2564001614</v>
      </c>
      <c r="CP92" s="38">
        <f>-CP90*IF(CP89&lt;=Model!$D$85,Model!$J$81,Model!$J$85)</f>
        <v>-2322495.6850433825</v>
      </c>
      <c r="CQ92" s="38">
        <f>-CQ90*IF(CQ89&lt;=Model!$D$85,Model!$J$81,Model!$J$85)</f>
        <v>-2105495.2101162514</v>
      </c>
      <c r="CR92" s="38">
        <f>-CR90*IF(CR89&lt;=Model!$D$85,Model!$J$81,Model!$J$85)</f>
        <v>-1885239.728065214</v>
      </c>
      <c r="CS92" s="38">
        <f>-CS90*IF(CS89&lt;=Model!$D$85,Model!$J$81,Model!$J$85)</f>
        <v>-1661680.4137834106</v>
      </c>
      <c r="CT92" s="38">
        <f>-CT90*IF(CT89&lt;=Model!$D$85,Model!$J$81,Model!$J$85)</f>
        <v>-1434767.7097873804</v>
      </c>
      <c r="CU92" s="38">
        <f>-CU90*IF(CU89&lt;=Model!$D$85,Model!$J$81,Model!$J$85)</f>
        <v>-1204451.3152314096</v>
      </c>
      <c r="CV92" s="38">
        <f>-CV90*IF(CV89&lt;=Model!$D$85,Model!$J$81,Model!$J$85)</f>
        <v>-970680.1747570994</v>
      </c>
      <c r="CW92" s="38">
        <f>-CW90*IF(CW89&lt;=Model!$D$85,Model!$J$81,Model!$J$85)</f>
        <v>-733402.4671756745</v>
      </c>
      <c r="CX92" s="38">
        <f>-CX90*IF(CX89&lt;=Model!$D$85,Model!$J$81,Model!$J$85)</f>
        <v>-492565.5939805283</v>
      </c>
      <c r="CY92" s="38">
        <f>-CY90*IF(CY89&lt;=Model!$D$85,Model!$J$81,Model!$J$85)</f>
        <v>-248116.16768745487</v>
      </c>
      <c r="EC92" s="100"/>
      <c r="ED92" s="38"/>
      <c r="EE92" s="38"/>
      <c r="EF92" s="38"/>
      <c r="EG92" s="38"/>
      <c r="EH92" s="38"/>
      <c r="EI92" s="38"/>
    </row>
    <row r="93" spans="1:139" s="3" customFormat="1" ht="15" outlineLevel="1">
      <c r="A93" s="2"/>
      <c r="B93" s="93" t="s">
        <v>148</v>
      </c>
      <c r="C93" s="2"/>
      <c r="D93" s="38">
        <f>D91-D92</f>
        <v>0</v>
      </c>
      <c r="E93" s="38">
        <f aca="true" t="shared" si="40" ref="E93:AI93">E91-E92</f>
        <v>0</v>
      </c>
      <c r="F93" s="38">
        <f t="shared" si="40"/>
        <v>0</v>
      </c>
      <c r="G93" s="38">
        <f t="shared" si="40"/>
        <v>0</v>
      </c>
      <c r="H93" s="38">
        <f t="shared" si="40"/>
        <v>0</v>
      </c>
      <c r="I93" s="38">
        <f t="shared" si="40"/>
        <v>0</v>
      </c>
      <c r="J93" s="38">
        <f t="shared" si="40"/>
        <v>-19340382.772206604</v>
      </c>
      <c r="K93" s="38">
        <f t="shared" si="40"/>
        <v>-19630488.513789702</v>
      </c>
      <c r="L93" s="38">
        <f t="shared" si="40"/>
        <v>-19924945.84149655</v>
      </c>
      <c r="M93" s="38">
        <f t="shared" si="40"/>
        <v>-20223820.029118996</v>
      </c>
      <c r="N93" s="38">
        <f t="shared" si="40"/>
        <v>-20527177.32955578</v>
      </c>
      <c r="O93" s="38">
        <f t="shared" si="40"/>
        <v>-20835084.98949912</v>
      </c>
      <c r="P93" s="38">
        <f t="shared" si="40"/>
        <v>-21147611.264341604</v>
      </c>
      <c r="Q93" s="38">
        <f t="shared" si="40"/>
        <v>-21464825.433306728</v>
      </c>
      <c r="R93" s="38">
        <f t="shared" si="40"/>
        <v>-21786797.814806327</v>
      </c>
      <c r="S93" s="38">
        <f t="shared" si="40"/>
        <v>-22113599.78202842</v>
      </c>
      <c r="T93" s="38">
        <f t="shared" si="40"/>
        <v>-22445303.77875885</v>
      </c>
      <c r="U93" s="38">
        <f t="shared" si="40"/>
        <v>-22781983.335440233</v>
      </c>
      <c r="V93" s="38">
        <f t="shared" si="40"/>
        <v>-23123713.08547184</v>
      </c>
      <c r="W93" s="38">
        <f t="shared" si="40"/>
        <v>-23470568.781753913</v>
      </c>
      <c r="X93" s="38">
        <f t="shared" si="40"/>
        <v>-23822627.313480224</v>
      </c>
      <c r="Y93" s="38">
        <f t="shared" si="40"/>
        <v>-24179966.723182425</v>
      </c>
      <c r="Z93" s="38">
        <f t="shared" si="40"/>
        <v>-24542666.224030163</v>
      </c>
      <c r="AA93" s="38">
        <f t="shared" si="40"/>
        <v>-24910806.217390615</v>
      </c>
      <c r="AB93" s="38">
        <f t="shared" si="40"/>
        <v>-25284468.310651474</v>
      </c>
      <c r="AC93" s="38">
        <f t="shared" si="40"/>
        <v>-25663735.33531125</v>
      </c>
      <c r="AD93" s="38">
        <f t="shared" si="40"/>
        <v>-26048691.36534092</v>
      </c>
      <c r="AE93" s="38">
        <f t="shared" si="40"/>
        <v>-26439421.73582103</v>
      </c>
      <c r="AF93" s="38">
        <f t="shared" si="40"/>
        <v>-26836013.06185835</v>
      </c>
      <c r="AG93" s="38">
        <f t="shared" si="40"/>
        <v>-27238553.25778622</v>
      </c>
      <c r="AH93" s="38">
        <f t="shared" si="40"/>
        <v>-27647131.556653015</v>
      </c>
      <c r="AI93" s="38">
        <f t="shared" si="40"/>
        <v>-28061838.53000281</v>
      </c>
      <c r="AJ93" s="38">
        <f aca="true" t="shared" si="41" ref="AJ93:BO93">AJ91-AJ92</f>
        <v>-28482766.10795285</v>
      </c>
      <c r="AK93" s="38">
        <f t="shared" si="41"/>
        <v>-28910007.599572144</v>
      </c>
      <c r="AL93" s="38">
        <f t="shared" si="41"/>
        <v>-29343657.713565726</v>
      </c>
      <c r="AM93" s="38">
        <f t="shared" si="41"/>
        <v>-29783812.57926921</v>
      </c>
      <c r="AN93" s="38">
        <f t="shared" si="41"/>
        <v>-30230569.76795825</v>
      </c>
      <c r="AO93" s="38">
        <f t="shared" si="41"/>
        <v>-30684028.314477623</v>
      </c>
      <c r="AP93" s="38">
        <f t="shared" si="41"/>
        <v>-31144288.739194788</v>
      </c>
      <c r="AQ93" s="38">
        <f t="shared" si="41"/>
        <v>-31611453.070282713</v>
      </c>
      <c r="AR93" s="38">
        <f t="shared" si="41"/>
        <v>-32085624.86633695</v>
      </c>
      <c r="AS93" s="38">
        <f t="shared" si="41"/>
        <v>-32566909.239332005</v>
      </c>
      <c r="AT93" s="38">
        <f t="shared" si="41"/>
        <v>-33055412.877921984</v>
      </c>
      <c r="AU93" s="38">
        <f t="shared" si="41"/>
        <v>-33551244.071090814</v>
      </c>
      <c r="AV93" s="38">
        <f t="shared" si="41"/>
        <v>-34054512.73215718</v>
      </c>
      <c r="AW93" s="38">
        <f t="shared" si="41"/>
        <v>-34565330.423139535</v>
      </c>
      <c r="AX93" s="38">
        <f t="shared" si="41"/>
        <v>-35083810.37948663</v>
      </c>
      <c r="AY93" s="38">
        <f t="shared" si="41"/>
        <v>-35610067.53517893</v>
      </c>
      <c r="AZ93" s="38">
        <f t="shared" si="41"/>
        <v>-7740974.749518767</v>
      </c>
      <c r="BA93" s="38">
        <f t="shared" si="41"/>
        <v>-7857089.370761549</v>
      </c>
      <c r="BB93" s="38">
        <f t="shared" si="41"/>
        <v>-7974945.711322971</v>
      </c>
      <c r="BC93" s="38">
        <f t="shared" si="41"/>
        <v>-8094569.896992816</v>
      </c>
      <c r="BD93" s="38">
        <f t="shared" si="41"/>
        <v>-8215988.445447708</v>
      </c>
      <c r="BE93" s="38">
        <f t="shared" si="41"/>
        <v>-8339228.272129424</v>
      </c>
      <c r="BF93" s="38">
        <f t="shared" si="41"/>
        <v>-8464316.696211364</v>
      </c>
      <c r="BG93" s="38">
        <f t="shared" si="41"/>
        <v>-8591281.446654536</v>
      </c>
      <c r="BH93" s="38">
        <f t="shared" si="41"/>
        <v>-8720150.668354353</v>
      </c>
      <c r="BI93" s="38">
        <f t="shared" si="41"/>
        <v>-8850952.928379668</v>
      </c>
      <c r="BJ93" s="38">
        <f t="shared" si="41"/>
        <v>-8983717.222305363</v>
      </c>
      <c r="BK93" s="38">
        <f t="shared" si="41"/>
        <v>-9118472.980639944</v>
      </c>
      <c r="BL93" s="38">
        <f t="shared" si="41"/>
        <v>-9255250.075349543</v>
      </c>
      <c r="BM93" s="38">
        <f t="shared" si="41"/>
        <v>-9394078.826479785</v>
      </c>
      <c r="BN93" s="38">
        <f t="shared" si="41"/>
        <v>-9534990.008876983</v>
      </c>
      <c r="BO93" s="38">
        <f t="shared" si="41"/>
        <v>-9678014.859010138</v>
      </c>
      <c r="BP93" s="38">
        <f aca="true" t="shared" si="42" ref="BP93:CU93">BP91-BP92</f>
        <v>-9823185.08189529</v>
      </c>
      <c r="BQ93" s="38">
        <f t="shared" si="42"/>
        <v>-9970532.85812372</v>
      </c>
      <c r="BR93" s="38">
        <f t="shared" si="42"/>
        <v>-10120090.850995574</v>
      </c>
      <c r="BS93" s="38">
        <f t="shared" si="42"/>
        <v>-10271892.21376051</v>
      </c>
      <c r="BT93" s="38">
        <f t="shared" si="42"/>
        <v>-10425970.596966917</v>
      </c>
      <c r="BU93" s="38">
        <f t="shared" si="42"/>
        <v>-10582360.15592142</v>
      </c>
      <c r="BV93" s="38">
        <f t="shared" si="42"/>
        <v>-10741095.558260242</v>
      </c>
      <c r="BW93" s="38">
        <f t="shared" si="42"/>
        <v>-10902211.991634145</v>
      </c>
      <c r="BX93" s="38">
        <f t="shared" si="42"/>
        <v>-11065745.171508657</v>
      </c>
      <c r="BY93" s="38">
        <f t="shared" si="42"/>
        <v>-11231731.349081287</v>
      </c>
      <c r="BZ93" s="38">
        <f t="shared" si="42"/>
        <v>-11400207.319317507</v>
      </c>
      <c r="CA93" s="38">
        <f t="shared" si="42"/>
        <v>-11571210.42910727</v>
      </c>
      <c r="CB93" s="38">
        <f t="shared" si="42"/>
        <v>-11744778.585543878</v>
      </c>
      <c r="CC93" s="38">
        <f t="shared" si="42"/>
        <v>-11920950.264327036</v>
      </c>
      <c r="CD93" s="38">
        <f t="shared" si="42"/>
        <v>-12099764.518291943</v>
      </c>
      <c r="CE93" s="38">
        <f t="shared" si="42"/>
        <v>-12281260.98606632</v>
      </c>
      <c r="CF93" s="38">
        <f t="shared" si="42"/>
        <v>-12465479.900857316</v>
      </c>
      <c r="CG93" s="38">
        <f t="shared" si="42"/>
        <v>-12652462.099370176</v>
      </c>
      <c r="CH93" s="38">
        <f t="shared" si="42"/>
        <v>-12842249.03086073</v>
      </c>
      <c r="CI93" s="38">
        <f t="shared" si="42"/>
        <v>-13034882.76632364</v>
      </c>
      <c r="CJ93" s="38">
        <f t="shared" si="42"/>
        <v>-13230406.007818494</v>
      </c>
      <c r="CK93" s="38">
        <f t="shared" si="42"/>
        <v>-13428862.097935772</v>
      </c>
      <c r="CL93" s="38">
        <f t="shared" si="42"/>
        <v>-13630295.029404808</v>
      </c>
      <c r="CM93" s="38">
        <f t="shared" si="42"/>
        <v>-13834749.45484588</v>
      </c>
      <c r="CN93" s="38">
        <f t="shared" si="42"/>
        <v>-14042270.696668569</v>
      </c>
      <c r="CO93" s="38">
        <f t="shared" si="42"/>
        <v>-14252904.757118598</v>
      </c>
      <c r="CP93" s="38">
        <f t="shared" si="42"/>
        <v>-14466698.328475375</v>
      </c>
      <c r="CQ93" s="38">
        <f t="shared" si="42"/>
        <v>-14683698.803402506</v>
      </c>
      <c r="CR93" s="38">
        <f t="shared" si="42"/>
        <v>-14903954.285453545</v>
      </c>
      <c r="CS93" s="38">
        <f t="shared" si="42"/>
        <v>-15127513.599735348</v>
      </c>
      <c r="CT93" s="38">
        <f t="shared" si="42"/>
        <v>-15354426.303731378</v>
      </c>
      <c r="CU93" s="38">
        <f t="shared" si="42"/>
        <v>-15584742.69828735</v>
      </c>
      <c r="CV93" s="38">
        <f>CV91-CV92</f>
        <v>-15818513.83876166</v>
      </c>
      <c r="CW93" s="38">
        <f>CW91-CW92</f>
        <v>-16055791.546343084</v>
      </c>
      <c r="CX93" s="38">
        <f>CX91-CX92</f>
        <v>-16296628.41953823</v>
      </c>
      <c r="CY93" s="38">
        <f>CY91-CY92</f>
        <v>-16541077.845831303</v>
      </c>
      <c r="EC93" s="100"/>
      <c r="ED93" s="38"/>
      <c r="EE93" s="38"/>
      <c r="EF93" s="38"/>
      <c r="EG93" s="38"/>
      <c r="EH93" s="38"/>
      <c r="EI93" s="38"/>
    </row>
    <row r="94" spans="1:139" s="3" customFormat="1" ht="15" outlineLevel="1">
      <c r="A94" s="2"/>
      <c r="B94" s="93" t="s">
        <v>139</v>
      </c>
      <c r="C94" s="2"/>
      <c r="D94" s="38">
        <f>IF(D89=Model!$D$85,Model!$J$82,0)</f>
        <v>0</v>
      </c>
      <c r="E94" s="38">
        <f>IF(E89=Model!$D$85,Model!$J$82,0)</f>
        <v>0</v>
      </c>
      <c r="F94" s="38">
        <f>IF(F89=Model!$D$85,Model!$J$82,0)</f>
        <v>0</v>
      </c>
      <c r="G94" s="38">
        <f>IF(G89=Model!$D$85,Model!$J$82,0)</f>
        <v>0</v>
      </c>
      <c r="H94" s="38">
        <f>IF(H89=Model!$D$85,Model!$J$82,0)</f>
        <v>0</v>
      </c>
      <c r="I94" s="38">
        <f>IF(I89=Model!$D$85,Model!$J$82,0)</f>
        <v>0</v>
      </c>
      <c r="J94" s="38">
        <f>IF(J89=Model!$D$85,Model!$J$82,0)</f>
        <v>0</v>
      </c>
      <c r="K94" s="38">
        <f>IF(K89=Model!$D$85,Model!$J$82,0)</f>
        <v>0</v>
      </c>
      <c r="L94" s="38">
        <f>IF(L89=Model!$D$85,Model!$J$82,0)</f>
        <v>0</v>
      </c>
      <c r="M94" s="38">
        <f>IF(M89=Model!$D$85,Model!$J$82,0)</f>
        <v>0</v>
      </c>
      <c r="N94" s="38">
        <f>IF(N89=Model!$D$85,Model!$J$82,0)</f>
        <v>0</v>
      </c>
      <c r="O94" s="38">
        <f>IF(O89=Model!$D$85,Model!$J$82,0)</f>
        <v>0</v>
      </c>
      <c r="P94" s="38">
        <f>IF(P89=Model!$D$85,Model!$J$82,0)</f>
        <v>0</v>
      </c>
      <c r="Q94" s="38">
        <f>IF(Q89=Model!$D$85,Model!$J$82,0)</f>
        <v>0</v>
      </c>
      <c r="R94" s="38">
        <f>IF(R89=Model!$D$85,Model!$J$82,0)</f>
        <v>0</v>
      </c>
      <c r="S94" s="38">
        <f>IF(S89=Model!$D$85,Model!$J$82,0)</f>
        <v>0</v>
      </c>
      <c r="T94" s="38">
        <f>IF(T89=Model!$D$85,Model!$J$82,0)</f>
        <v>0</v>
      </c>
      <c r="U94" s="38">
        <f>IF(U89=Model!$D$85,Model!$J$82,0)</f>
        <v>0</v>
      </c>
      <c r="V94" s="38">
        <f>IF(V89=Model!$D$85,Model!$J$82,0)</f>
        <v>0</v>
      </c>
      <c r="W94" s="38">
        <f>IF(W89=Model!$D$85,Model!$J$82,0)</f>
        <v>0</v>
      </c>
      <c r="X94" s="38">
        <f>IF(X89=Model!$D$85,Model!$J$82,0)</f>
        <v>0</v>
      </c>
      <c r="Y94" s="38">
        <f>IF(Y89=Model!$D$85,Model!$J$82,0)</f>
        <v>0</v>
      </c>
      <c r="Z94" s="38">
        <f>IF(Z89=Model!$D$85,Model!$J$82,0)</f>
        <v>0</v>
      </c>
      <c r="AA94" s="38">
        <f>IF(AA89=Model!$D$85,Model!$J$82,0)</f>
        <v>0</v>
      </c>
      <c r="AB94" s="38">
        <f>IF(AB89=Model!$D$85,Model!$J$82,0)</f>
        <v>0</v>
      </c>
      <c r="AC94" s="38">
        <f>IF(AC89=Model!$D$85,Model!$J$82,0)</f>
        <v>0</v>
      </c>
      <c r="AD94" s="38">
        <f>IF(AD89=Model!$D$85,Model!$J$82,0)</f>
        <v>0</v>
      </c>
      <c r="AE94" s="38">
        <f>IF(AE89=Model!$D$85,Model!$J$82,0)</f>
        <v>0</v>
      </c>
      <c r="AF94" s="38">
        <f>IF(AF89=Model!$D$85,Model!$J$82,0)</f>
        <v>0</v>
      </c>
      <c r="AG94" s="38">
        <f>IF(AG89=Model!$D$85,Model!$J$82,0)</f>
        <v>0</v>
      </c>
      <c r="AH94" s="38">
        <f>IF(AH89=Model!$D$85,Model!$J$82,0)</f>
        <v>0</v>
      </c>
      <c r="AI94" s="38">
        <f>IF(AI89=Model!$D$85,Model!$J$82,0)</f>
        <v>0</v>
      </c>
      <c r="AJ94" s="38">
        <f>IF(AJ89=Model!$D$85,Model!$J$82,0)</f>
        <v>0</v>
      </c>
      <c r="AK94" s="38">
        <f>IF(AK89=Model!$D$85,Model!$J$82,0)</f>
        <v>0</v>
      </c>
      <c r="AL94" s="38">
        <f>IF(AL89=Model!$D$85,Model!$J$82,0)</f>
        <v>0</v>
      </c>
      <c r="AM94" s="38">
        <f>IF(AM89=Model!$D$85,Model!$J$82,0)</f>
        <v>0</v>
      </c>
      <c r="AN94" s="38">
        <f>IF(AN89=Model!$D$85,Model!$J$82,0)</f>
        <v>0</v>
      </c>
      <c r="AO94" s="38">
        <f>IF(AO89=Model!$D$85,Model!$J$82,0)</f>
        <v>0</v>
      </c>
      <c r="AP94" s="38">
        <f>IF(AP89=Model!$D$85,Model!$J$82,0)</f>
        <v>0</v>
      </c>
      <c r="AQ94" s="38">
        <f>IF(AQ89=Model!$D$85,Model!$J$82,0)</f>
        <v>0</v>
      </c>
      <c r="AR94" s="38">
        <f>IF(AR89=Model!$D$85,Model!$J$82,0)</f>
        <v>0</v>
      </c>
      <c r="AS94" s="38">
        <f>IF(AS89=Model!$D$85,Model!$J$82,0)</f>
        <v>0</v>
      </c>
      <c r="AT94" s="38">
        <f>IF(AT89=Model!$D$85,Model!$J$82,0)</f>
        <v>0</v>
      </c>
      <c r="AU94" s="38">
        <f>IF(AU89=Model!$D$85,Model!$J$82,0)</f>
        <v>0</v>
      </c>
      <c r="AV94" s="38">
        <f>IF(AV89=Model!$D$85,Model!$J$82,0)</f>
        <v>0</v>
      </c>
      <c r="AW94" s="38">
        <f>IF(AW89=Model!$D$85,Model!$J$82,0)</f>
        <v>0</v>
      </c>
      <c r="AX94" s="38">
        <f>IF(AX89=Model!$D$85,Model!$J$82,0)</f>
        <v>0</v>
      </c>
      <c r="AY94" s="38">
        <f>IF(AY89=Model!$D$85,Model!$J$82,0)</f>
        <v>603214617.5999999</v>
      </c>
      <c r="AZ94" s="38">
        <f>IF(AZ89=Model!$D$85,Model!$J$82,0)</f>
        <v>0</v>
      </c>
      <c r="BA94" s="38">
        <f>IF(BA89=Model!$D$85,Model!$J$82,0)</f>
        <v>0</v>
      </c>
      <c r="BB94" s="38">
        <f>IF(BB89=Model!$D$85,Model!$J$82,0)</f>
        <v>0</v>
      </c>
      <c r="BC94" s="38">
        <f>IF(BC89=Model!$D$85,Model!$J$82,0)</f>
        <v>0</v>
      </c>
      <c r="BD94" s="38">
        <f>IF(BD89=Model!$D$85,Model!$J$82,0)</f>
        <v>0</v>
      </c>
      <c r="BE94" s="38">
        <f>IF(BE89=Model!$D$85,Model!$J$82,0)</f>
        <v>0</v>
      </c>
      <c r="BF94" s="38">
        <f>IF(BF89=Model!$D$85,Model!$J$82,0)</f>
        <v>0</v>
      </c>
      <c r="BG94" s="38">
        <f>IF(BG89=Model!$D$85,Model!$J$82,0)</f>
        <v>0</v>
      </c>
      <c r="BH94" s="38">
        <f>IF(BH89=Model!$D$85,Model!$J$82,0)</f>
        <v>0</v>
      </c>
      <c r="BI94" s="38">
        <f>IF(BI89=Model!$D$85,Model!$J$82,0)</f>
        <v>0</v>
      </c>
      <c r="BJ94" s="38">
        <f>IF(BJ89=Model!$D$85,Model!$J$82,0)</f>
        <v>0</v>
      </c>
      <c r="BK94" s="38">
        <f>IF(BK89=Model!$D$85,Model!$J$82,0)</f>
        <v>0</v>
      </c>
      <c r="BL94" s="38">
        <f>IF(BL89=Model!$D$85,Model!$J$82,0)</f>
        <v>0</v>
      </c>
      <c r="BM94" s="38">
        <f>IF(BM89=Model!$D$85,Model!$J$82,0)</f>
        <v>0</v>
      </c>
      <c r="BN94" s="38">
        <f>IF(BN89=Model!$D$85,Model!$J$82,0)</f>
        <v>0</v>
      </c>
      <c r="BO94" s="38">
        <f>IF(BO89=Model!$D$85,Model!$J$82,0)</f>
        <v>0</v>
      </c>
      <c r="BP94" s="38">
        <f>IF(BP89=Model!$D$85,Model!$J$82,0)</f>
        <v>0</v>
      </c>
      <c r="BQ94" s="38">
        <f>IF(BQ89=Model!$D$85,Model!$J$82,0)</f>
        <v>0</v>
      </c>
      <c r="BR94" s="38">
        <f>IF(BR89=Model!$D$85,Model!$J$82,0)</f>
        <v>0</v>
      </c>
      <c r="BS94" s="38">
        <f>IF(BS89=Model!$D$85,Model!$J$82,0)</f>
        <v>0</v>
      </c>
      <c r="BT94" s="38">
        <f>IF(BT89=Model!$D$85,Model!$J$82,0)</f>
        <v>0</v>
      </c>
      <c r="BU94" s="38">
        <f>IF(BU89=Model!$D$85,Model!$J$82,0)</f>
        <v>0</v>
      </c>
      <c r="BV94" s="38">
        <f>IF(BV89=Model!$D$85,Model!$J$82,0)</f>
        <v>0</v>
      </c>
      <c r="BW94" s="38">
        <f>IF(BW89=Model!$D$85,Model!$J$82,0)</f>
        <v>0</v>
      </c>
      <c r="BX94" s="38">
        <f>IF(BX89=Model!$D$85,Model!$J$82,0)</f>
        <v>0</v>
      </c>
      <c r="BY94" s="38">
        <f>IF(BY89=Model!$D$85,Model!$J$82,0)</f>
        <v>0</v>
      </c>
      <c r="BZ94" s="38">
        <f>IF(BZ89=Model!$D$85,Model!$J$82,0)</f>
        <v>0</v>
      </c>
      <c r="CA94" s="38">
        <f>IF(CA89=Model!$D$85,Model!$J$82,0)</f>
        <v>0</v>
      </c>
      <c r="CB94" s="38">
        <f>IF(CB89=Model!$D$85,Model!$J$82,0)</f>
        <v>0</v>
      </c>
      <c r="CC94" s="38">
        <f>IF(CC89=Model!$D$85,Model!$J$82,0)</f>
        <v>0</v>
      </c>
      <c r="CD94" s="38">
        <f>IF(CD89=Model!$D$85,Model!$J$82,0)</f>
        <v>0</v>
      </c>
      <c r="CE94" s="38">
        <f>IF(CE89=Model!$D$85,Model!$J$82,0)</f>
        <v>0</v>
      </c>
      <c r="CF94" s="38">
        <f>IF(CF89=Model!$D$85,Model!$J$82,0)</f>
        <v>0</v>
      </c>
      <c r="CG94" s="38">
        <f>IF(CG89=Model!$D$85,Model!$J$82,0)</f>
        <v>0</v>
      </c>
      <c r="CH94" s="38">
        <f>IF(CH89=Model!$D$85,Model!$J$82,0)</f>
        <v>0</v>
      </c>
      <c r="CI94" s="38">
        <f>IF(CI89=Model!$D$85,Model!$J$82,0)</f>
        <v>0</v>
      </c>
      <c r="CJ94" s="38">
        <f>IF(CJ89=Model!$D$85,Model!$J$82,0)</f>
        <v>0</v>
      </c>
      <c r="CK94" s="38">
        <f>IF(CK89=Model!$D$85,Model!$J$82,0)</f>
        <v>0</v>
      </c>
      <c r="CL94" s="38">
        <f>IF(CL89=Model!$D$85,Model!$J$82,0)</f>
        <v>0</v>
      </c>
      <c r="CM94" s="38">
        <f>IF(CM89=Model!$D$85,Model!$J$82,0)</f>
        <v>0</v>
      </c>
      <c r="CN94" s="38">
        <f>IF(CN89=Model!$D$85,Model!$J$82,0)</f>
        <v>0</v>
      </c>
      <c r="CO94" s="38">
        <f>IF(CO89=Model!$D$85,Model!$J$82,0)</f>
        <v>0</v>
      </c>
      <c r="CP94" s="38">
        <f>IF(CP89=Model!$D$85,Model!$J$82,0)</f>
        <v>0</v>
      </c>
      <c r="CQ94" s="38">
        <f>IF(CQ89=Model!$D$85,Model!$J$82,0)</f>
        <v>0</v>
      </c>
      <c r="CR94" s="38">
        <f>IF(CR89=Model!$D$85,Model!$J$82,0)</f>
        <v>0</v>
      </c>
      <c r="CS94" s="38">
        <f>IF(CS89=Model!$D$85,Model!$J$82,0)</f>
        <v>0</v>
      </c>
      <c r="CT94" s="38">
        <f>IF(CT89=Model!$D$85,Model!$J$82,0)</f>
        <v>0</v>
      </c>
      <c r="CU94" s="38">
        <f>IF(CU89=Model!$D$85,Model!$J$82,0)</f>
        <v>0</v>
      </c>
      <c r="CV94" s="38">
        <f>IF(CV89=Model!$D$85,Model!$J$82,0)</f>
        <v>0</v>
      </c>
      <c r="CW94" s="38">
        <f>IF(CW89=Model!$D$85,Model!$J$82,0)</f>
        <v>0</v>
      </c>
      <c r="CX94" s="38">
        <f>IF(CX89=Model!$D$85,Model!$J$82,0)</f>
        <v>0</v>
      </c>
      <c r="CY94" s="38">
        <f>IF(CY89=Model!$D$85,Model!$J$82,0)</f>
        <v>0</v>
      </c>
      <c r="EC94" s="100"/>
      <c r="ED94" s="38"/>
      <c r="EE94" s="38"/>
      <c r="EF94" s="38"/>
      <c r="EG94" s="38"/>
      <c r="EH94" s="38"/>
      <c r="EI94" s="38"/>
    </row>
    <row r="95" spans="1:139" s="3" customFormat="1" ht="15" outlineLevel="1">
      <c r="A95" s="2"/>
      <c r="B95" s="2" t="s">
        <v>132</v>
      </c>
      <c r="C95" s="2"/>
      <c r="D95" s="38">
        <f aca="true" t="shared" si="43" ref="D95:AI95">D90+D93+D94</f>
        <v>1120255718.4</v>
      </c>
      <c r="E95" s="38">
        <f t="shared" si="43"/>
        <v>1120255718.4</v>
      </c>
      <c r="F95" s="38">
        <f t="shared" si="43"/>
        <v>1120255718.4</v>
      </c>
      <c r="G95" s="38">
        <f t="shared" si="43"/>
        <v>1120255718.4</v>
      </c>
      <c r="H95" s="38">
        <f t="shared" si="43"/>
        <v>1120255718.4</v>
      </c>
      <c r="I95" s="38">
        <f t="shared" si="43"/>
        <v>1120255718.4</v>
      </c>
      <c r="J95" s="38">
        <f t="shared" si="43"/>
        <v>1100915335.6277936</v>
      </c>
      <c r="K95" s="38">
        <f t="shared" si="43"/>
        <v>1081284847.114004</v>
      </c>
      <c r="L95" s="38">
        <f t="shared" si="43"/>
        <v>1061359901.2725073</v>
      </c>
      <c r="M95" s="38">
        <f t="shared" si="43"/>
        <v>1041136081.2433883</v>
      </c>
      <c r="N95" s="38">
        <f t="shared" si="43"/>
        <v>1020608903.9138325</v>
      </c>
      <c r="O95" s="38">
        <f t="shared" si="43"/>
        <v>999773818.9243335</v>
      </c>
      <c r="P95" s="38">
        <f t="shared" si="43"/>
        <v>978626207.6599919</v>
      </c>
      <c r="Q95" s="38">
        <f t="shared" si="43"/>
        <v>957161382.2266852</v>
      </c>
      <c r="R95" s="38">
        <f t="shared" si="43"/>
        <v>935374584.4118788</v>
      </c>
      <c r="S95" s="38">
        <f t="shared" si="43"/>
        <v>913260984.6298504</v>
      </c>
      <c r="T95" s="38">
        <f t="shared" si="43"/>
        <v>890815680.8510915</v>
      </c>
      <c r="U95" s="38">
        <f t="shared" si="43"/>
        <v>868033697.5156512</v>
      </c>
      <c r="V95" s="38">
        <f t="shared" si="43"/>
        <v>844909984.4301794</v>
      </c>
      <c r="W95" s="38">
        <f t="shared" si="43"/>
        <v>821439415.6484255</v>
      </c>
      <c r="X95" s="38">
        <f t="shared" si="43"/>
        <v>797616788.3349452</v>
      </c>
      <c r="Y95" s="38">
        <f t="shared" si="43"/>
        <v>773436821.6117628</v>
      </c>
      <c r="Z95" s="38">
        <f t="shared" si="43"/>
        <v>748894155.3877326</v>
      </c>
      <c r="AA95" s="38">
        <f t="shared" si="43"/>
        <v>723983349.170342</v>
      </c>
      <c r="AB95" s="38">
        <f t="shared" si="43"/>
        <v>698698880.8596905</v>
      </c>
      <c r="AC95" s="38">
        <f t="shared" si="43"/>
        <v>673035145.5243793</v>
      </c>
      <c r="AD95" s="38">
        <f t="shared" si="43"/>
        <v>646986454.1590383</v>
      </c>
      <c r="AE95" s="38">
        <f t="shared" si="43"/>
        <v>620547032.4232173</v>
      </c>
      <c r="AF95" s="38">
        <f t="shared" si="43"/>
        <v>593711019.361359</v>
      </c>
      <c r="AG95" s="38">
        <f t="shared" si="43"/>
        <v>566472466.1035727</v>
      </c>
      <c r="AH95" s="38">
        <f t="shared" si="43"/>
        <v>538825334.5469197</v>
      </c>
      <c r="AI95" s="38">
        <f t="shared" si="43"/>
        <v>510763496.0169169</v>
      </c>
      <c r="AJ95" s="38">
        <f aca="true" t="shared" si="44" ref="AJ95:BO95">AJ90+AJ93+AJ94</f>
        <v>482280729.90896404</v>
      </c>
      <c r="AK95" s="38">
        <f t="shared" si="44"/>
        <v>453370722.3093919</v>
      </c>
      <c r="AL95" s="38">
        <f t="shared" si="44"/>
        <v>424027064.5958262</v>
      </c>
      <c r="AM95" s="38">
        <f t="shared" si="44"/>
        <v>394243252.016557</v>
      </c>
      <c r="AN95" s="38">
        <f t="shared" si="44"/>
        <v>364012682.24859875</v>
      </c>
      <c r="AO95" s="38">
        <f t="shared" si="44"/>
        <v>333328653.93412113</v>
      </c>
      <c r="AP95" s="38">
        <f t="shared" si="44"/>
        <v>302184365.1949263</v>
      </c>
      <c r="AQ95" s="38">
        <f t="shared" si="44"/>
        <v>270572912.1246436</v>
      </c>
      <c r="AR95" s="38">
        <f t="shared" si="44"/>
        <v>238487287.25830668</v>
      </c>
      <c r="AS95" s="38">
        <f t="shared" si="44"/>
        <v>205920378.01897466</v>
      </c>
      <c r="AT95" s="38">
        <f t="shared" si="44"/>
        <v>172864965.14105266</v>
      </c>
      <c r="AU95" s="38">
        <f t="shared" si="44"/>
        <v>139313721.06996185</v>
      </c>
      <c r="AV95" s="38">
        <f t="shared" si="44"/>
        <v>105259208.33780468</v>
      </c>
      <c r="AW95" s="38">
        <f t="shared" si="44"/>
        <v>70693877.91466513</v>
      </c>
      <c r="AX95" s="38">
        <f t="shared" si="44"/>
        <v>35610067.535178505</v>
      </c>
      <c r="AY95" s="38">
        <f>AY90+AY93+AY94</f>
        <v>603214617.5999994</v>
      </c>
      <c r="AZ95" s="38">
        <f>AZ90+AZ93+AZ94</f>
        <v>595473642.8504807</v>
      </c>
      <c r="BA95" s="38">
        <f t="shared" si="44"/>
        <v>587616553.4797192</v>
      </c>
      <c r="BB95" s="38">
        <f t="shared" si="44"/>
        <v>579641607.7683961</v>
      </c>
      <c r="BC95" s="38">
        <f t="shared" si="44"/>
        <v>571547037.8714033</v>
      </c>
      <c r="BD95" s="38">
        <f t="shared" si="44"/>
        <v>563331049.4259557</v>
      </c>
      <c r="BE95" s="38">
        <f t="shared" si="44"/>
        <v>554991821.1538262</v>
      </c>
      <c r="BF95" s="38">
        <f t="shared" si="44"/>
        <v>546527504.4576149</v>
      </c>
      <c r="BG95" s="38">
        <f t="shared" si="44"/>
        <v>537936223.0109603</v>
      </c>
      <c r="BH95" s="38">
        <f t="shared" si="44"/>
        <v>529216072.342606</v>
      </c>
      <c r="BI95" s="38">
        <f t="shared" si="44"/>
        <v>520365119.41422635</v>
      </c>
      <c r="BJ95" s="38">
        <f t="shared" si="44"/>
        <v>511381402.191921</v>
      </c>
      <c r="BK95" s="38">
        <f t="shared" si="44"/>
        <v>502262929.21128106</v>
      </c>
      <c r="BL95" s="38">
        <f t="shared" si="44"/>
        <v>493007679.1359315</v>
      </c>
      <c r="BM95" s="38">
        <f t="shared" si="44"/>
        <v>483613600.3094517</v>
      </c>
      <c r="BN95" s="38">
        <f t="shared" si="44"/>
        <v>474078610.3005747</v>
      </c>
      <c r="BO95" s="38">
        <f t="shared" si="44"/>
        <v>464400595.44156456</v>
      </c>
      <c r="BP95" s="38">
        <f aca="true" t="shared" si="45" ref="BP95:CU95">BP90+BP93+BP94</f>
        <v>454577410.35966927</v>
      </c>
      <c r="BQ95" s="38">
        <f t="shared" si="45"/>
        <v>444606877.50154555</v>
      </c>
      <c r="BR95" s="38">
        <f t="shared" si="45"/>
        <v>434486786.65054995</v>
      </c>
      <c r="BS95" s="38">
        <f t="shared" si="45"/>
        <v>424214894.43678945</v>
      </c>
      <c r="BT95" s="38">
        <f t="shared" si="45"/>
        <v>413788923.83982253</v>
      </c>
      <c r="BU95" s="38">
        <f t="shared" si="45"/>
        <v>403206563.68390113</v>
      </c>
      <c r="BV95" s="38">
        <f t="shared" si="45"/>
        <v>392465468.12564087</v>
      </c>
      <c r="BW95" s="38">
        <f t="shared" si="45"/>
        <v>381563256.13400674</v>
      </c>
      <c r="BX95" s="38">
        <f t="shared" si="45"/>
        <v>370497510.96249807</v>
      </c>
      <c r="BY95" s="38">
        <f t="shared" si="45"/>
        <v>359265779.6134168</v>
      </c>
      <c r="BZ95" s="38">
        <f t="shared" si="45"/>
        <v>347865572.2940993</v>
      </c>
      <c r="CA95" s="38">
        <f t="shared" si="45"/>
        <v>336294361.864992</v>
      </c>
      <c r="CB95" s="38">
        <f t="shared" si="45"/>
        <v>324549583.27944815</v>
      </c>
      <c r="CC95" s="38">
        <f t="shared" si="45"/>
        <v>312628633.0151211</v>
      </c>
      <c r="CD95" s="38">
        <f t="shared" si="45"/>
        <v>300528868.49682915</v>
      </c>
      <c r="CE95" s="38">
        <f t="shared" si="45"/>
        <v>288247607.5107628</v>
      </c>
      <c r="CF95" s="38">
        <f t="shared" si="45"/>
        <v>275782127.6099055</v>
      </c>
      <c r="CG95" s="38">
        <f t="shared" si="45"/>
        <v>263129665.5105353</v>
      </c>
      <c r="CH95" s="38">
        <f t="shared" si="45"/>
        <v>250287416.47967458</v>
      </c>
      <c r="CI95" s="38">
        <f t="shared" si="45"/>
        <v>237252533.71335095</v>
      </c>
      <c r="CJ95" s="38">
        <f t="shared" si="45"/>
        <v>224022127.70553246</v>
      </c>
      <c r="CK95" s="38">
        <f t="shared" si="45"/>
        <v>210593265.6075967</v>
      </c>
      <c r="CL95" s="38">
        <f t="shared" si="45"/>
        <v>196962970.57819188</v>
      </c>
      <c r="CM95" s="38">
        <f t="shared" si="45"/>
        <v>183128221.123346</v>
      </c>
      <c r="CN95" s="38">
        <f t="shared" si="45"/>
        <v>169085950.42667744</v>
      </c>
      <c r="CO95" s="38">
        <f t="shared" si="45"/>
        <v>154833045.66955882</v>
      </c>
      <c r="CP95" s="38">
        <f t="shared" si="45"/>
        <v>140366347.34108344</v>
      </c>
      <c r="CQ95" s="38">
        <f t="shared" si="45"/>
        <v>125682648.53768092</v>
      </c>
      <c r="CR95" s="38">
        <f t="shared" si="45"/>
        <v>110778694.25222738</v>
      </c>
      <c r="CS95" s="38">
        <f t="shared" si="45"/>
        <v>95651180.65249203</v>
      </c>
      <c r="CT95" s="38">
        <f t="shared" si="45"/>
        <v>80296754.34876065</v>
      </c>
      <c r="CU95" s="38">
        <f t="shared" si="45"/>
        <v>64712011.6504733</v>
      </c>
      <c r="CV95" s="38">
        <f>CV90+CV93+CV94</f>
        <v>48893497.81171164</v>
      </c>
      <c r="CW95" s="38">
        <f>CW90+CW93+CW94</f>
        <v>32837706.265368555</v>
      </c>
      <c r="CX95" s="38">
        <f>CX90+CX93+CX94</f>
        <v>16541077.845830325</v>
      </c>
      <c r="CY95" s="38">
        <f>CY90+CY93+CY94</f>
        <v>-9.778887033462524E-07</v>
      </c>
      <c r="EC95" s="100"/>
      <c r="ED95" s="38"/>
      <c r="EE95" s="38"/>
      <c r="EF95" s="38"/>
      <c r="EG95" s="38"/>
      <c r="EH95" s="38"/>
      <c r="EI95" s="38"/>
    </row>
    <row r="96" spans="1:139" s="3" customFormat="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EC96" s="100"/>
      <c r="ED96" s="38"/>
      <c r="EE96" s="38"/>
      <c r="EF96" s="38"/>
      <c r="EG96" s="38"/>
      <c r="EH96" s="38"/>
      <c r="EI96" s="38"/>
    </row>
    <row r="97" spans="1:139" s="3" customFormat="1" ht="15">
      <c r="A97" s="2"/>
      <c r="B97" s="2"/>
      <c r="C97" s="2"/>
      <c r="D97" s="4"/>
      <c r="E97" s="4"/>
      <c r="F97" s="4"/>
      <c r="G97" s="4"/>
      <c r="H97" s="4">
        <f aca="true" t="shared" si="46" ref="H97:N97">IF(H103&gt;0,"Refinance","")</f>
      </c>
      <c r="I97" s="4">
        <f t="shared" si="46"/>
      </c>
      <c r="J97" s="4">
        <f t="shared" si="46"/>
      </c>
      <c r="K97" s="4">
        <f t="shared" si="46"/>
      </c>
      <c r="L97" s="4">
        <f t="shared" si="46"/>
      </c>
      <c r="M97" s="4">
        <f t="shared" si="46"/>
      </c>
      <c r="N97" s="4">
        <f t="shared" si="46"/>
      </c>
      <c r="O97" s="4">
        <f>IF(O103&gt;0,"Refinance","")</f>
      </c>
      <c r="P97" s="4">
        <f aca="true" t="shared" si="47" ref="P97:AE97">IF(P103&gt;0,"Refinance","")</f>
      </c>
      <c r="Q97" s="4">
        <f t="shared" si="47"/>
      </c>
      <c r="R97" s="4" t="str">
        <f t="shared" si="47"/>
        <v>Refinance</v>
      </c>
      <c r="S97" s="4">
        <f t="shared" si="47"/>
      </c>
      <c r="T97" s="4">
        <f t="shared" si="47"/>
      </c>
      <c r="U97" s="4">
        <f t="shared" si="47"/>
      </c>
      <c r="V97" s="4">
        <f t="shared" si="47"/>
      </c>
      <c r="W97" s="4">
        <f t="shared" si="47"/>
      </c>
      <c r="X97" s="4">
        <f t="shared" si="47"/>
      </c>
      <c r="Y97" s="4">
        <f t="shared" si="47"/>
      </c>
      <c r="Z97" s="4">
        <f t="shared" si="47"/>
      </c>
      <c r="AA97" s="4">
        <f t="shared" si="47"/>
      </c>
      <c r="AB97" s="4">
        <f t="shared" si="47"/>
      </c>
      <c r="AC97" s="4">
        <f t="shared" si="47"/>
      </c>
      <c r="AD97" s="4">
        <f t="shared" si="47"/>
      </c>
      <c r="AE97" s="4">
        <f t="shared" si="47"/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EC97" s="100"/>
      <c r="ED97" s="38"/>
      <c r="EE97" s="38"/>
      <c r="EF97" s="38"/>
      <c r="EG97" s="38"/>
      <c r="EH97" s="38"/>
      <c r="EI97" s="38"/>
    </row>
    <row r="98" spans="1:139" s="3" customFormat="1" ht="15">
      <c r="A98" s="2"/>
      <c r="B98" s="4" t="s">
        <v>147</v>
      </c>
      <c r="C98" s="2"/>
      <c r="F98" s="30">
        <v>0</v>
      </c>
      <c r="G98" s="8">
        <f aca="true" t="shared" si="48" ref="G98:P98">F98+1</f>
        <v>1</v>
      </c>
      <c r="H98" s="8">
        <f t="shared" si="48"/>
        <v>2</v>
      </c>
      <c r="I98" s="8">
        <f t="shared" si="48"/>
        <v>3</v>
      </c>
      <c r="J98" s="8">
        <f t="shared" si="48"/>
        <v>4</v>
      </c>
      <c r="K98" s="8">
        <f t="shared" si="48"/>
        <v>5</v>
      </c>
      <c r="L98" s="8">
        <f t="shared" si="48"/>
        <v>6</v>
      </c>
      <c r="M98" s="8">
        <f t="shared" si="48"/>
        <v>7</v>
      </c>
      <c r="N98" s="8">
        <f t="shared" si="48"/>
        <v>8</v>
      </c>
      <c r="O98" s="8">
        <f t="shared" si="48"/>
        <v>9</v>
      </c>
      <c r="P98" s="8">
        <f t="shared" si="48"/>
        <v>10</v>
      </c>
      <c r="Q98" s="8">
        <f aca="true" t="shared" si="49" ref="Q98:AE98">P98+1</f>
        <v>11</v>
      </c>
      <c r="R98" s="8">
        <f t="shared" si="49"/>
        <v>12</v>
      </c>
      <c r="S98" s="8">
        <f t="shared" si="49"/>
        <v>13</v>
      </c>
      <c r="T98" s="8">
        <f t="shared" si="49"/>
        <v>14</v>
      </c>
      <c r="U98" s="8">
        <f t="shared" si="49"/>
        <v>15</v>
      </c>
      <c r="V98" s="8">
        <f t="shared" si="49"/>
        <v>16</v>
      </c>
      <c r="W98" s="8">
        <f t="shared" si="49"/>
        <v>17</v>
      </c>
      <c r="X98" s="8">
        <f t="shared" si="49"/>
        <v>18</v>
      </c>
      <c r="Y98" s="8">
        <f t="shared" si="49"/>
        <v>19</v>
      </c>
      <c r="Z98" s="8">
        <f t="shared" si="49"/>
        <v>20</v>
      </c>
      <c r="AA98" s="8">
        <f t="shared" si="49"/>
        <v>21</v>
      </c>
      <c r="AB98" s="8">
        <f t="shared" si="49"/>
        <v>22</v>
      </c>
      <c r="AC98" s="8">
        <f t="shared" si="49"/>
        <v>23</v>
      </c>
      <c r="AD98" s="8">
        <f t="shared" si="49"/>
        <v>24</v>
      </c>
      <c r="AE98" s="8">
        <f t="shared" si="49"/>
        <v>25</v>
      </c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EC98" s="100"/>
      <c r="ED98" s="38"/>
      <c r="EE98" s="38"/>
      <c r="EF98" s="38"/>
      <c r="EG98" s="38"/>
      <c r="EH98" s="38"/>
      <c r="EI98" s="38"/>
    </row>
    <row r="99" spans="1:139" s="3" customFormat="1" ht="15">
      <c r="A99" s="2"/>
      <c r="B99" s="32" t="s">
        <v>130</v>
      </c>
      <c r="C99" s="4"/>
      <c r="G99" s="46">
        <f aca="true" t="shared" si="50" ref="G99:M99">HLOOKUP(G$98*4,$D$89:$CY$95,2,FALSE)</f>
        <v>1120255718.4</v>
      </c>
      <c r="H99" s="46">
        <f t="shared" si="50"/>
        <v>1100915335.6277936</v>
      </c>
      <c r="I99" s="46">
        <f t="shared" si="50"/>
        <v>1020608903.9138325</v>
      </c>
      <c r="J99" s="46">
        <f t="shared" si="50"/>
        <v>935374584.4118788</v>
      </c>
      <c r="K99" s="46">
        <f t="shared" si="50"/>
        <v>844909984.4301794</v>
      </c>
      <c r="L99" s="46">
        <f t="shared" si="50"/>
        <v>748894155.3877326</v>
      </c>
      <c r="M99" s="46">
        <f t="shared" si="50"/>
        <v>646986454.1590383</v>
      </c>
      <c r="N99" s="46">
        <f aca="true" t="shared" si="51" ref="N99:AD99">HLOOKUP(N$98*4,$D$89:$CY$95,2,FALSE)</f>
        <v>538825334.5469197</v>
      </c>
      <c r="O99" s="46">
        <f t="shared" si="51"/>
        <v>424027064.5958262</v>
      </c>
      <c r="P99" s="46">
        <f t="shared" si="51"/>
        <v>302184365.1949263</v>
      </c>
      <c r="Q99" s="46">
        <f t="shared" si="51"/>
        <v>172864965.14105266</v>
      </c>
      <c r="R99" s="46">
        <f t="shared" si="51"/>
        <v>35610067.535178505</v>
      </c>
      <c r="S99" s="46">
        <f t="shared" si="51"/>
        <v>579641607.7683961</v>
      </c>
      <c r="T99" s="46">
        <f t="shared" si="51"/>
        <v>546527504.4576149</v>
      </c>
      <c r="U99" s="46">
        <f t="shared" si="51"/>
        <v>511381402.191921</v>
      </c>
      <c r="V99" s="46">
        <f t="shared" si="51"/>
        <v>474078610.3005747</v>
      </c>
      <c r="W99" s="46">
        <f t="shared" si="51"/>
        <v>434486786.65054995</v>
      </c>
      <c r="X99" s="46">
        <f t="shared" si="51"/>
        <v>392465468.12564087</v>
      </c>
      <c r="Y99" s="46">
        <f t="shared" si="51"/>
        <v>347865572.2940993</v>
      </c>
      <c r="Z99" s="46">
        <f t="shared" si="51"/>
        <v>300528868.49682915</v>
      </c>
      <c r="AA99" s="46">
        <f t="shared" si="51"/>
        <v>250287416.47967458</v>
      </c>
      <c r="AB99" s="46">
        <f t="shared" si="51"/>
        <v>196962970.57819188</v>
      </c>
      <c r="AC99" s="46">
        <f t="shared" si="51"/>
        <v>140366347.34108344</v>
      </c>
      <c r="AD99" s="46">
        <f t="shared" si="51"/>
        <v>80296754.34876065</v>
      </c>
      <c r="AE99" s="46">
        <f>HLOOKUP(AE$98*4,$D$89:$CY$95,2,FALSE)</f>
        <v>16541077.845830325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EC99" s="100"/>
      <c r="ED99" s="38"/>
      <c r="EE99" s="38"/>
      <c r="EF99" s="38"/>
      <c r="EG99" s="38"/>
      <c r="EH99" s="38"/>
      <c r="EI99" s="38"/>
    </row>
    <row r="100" spans="1:139" s="3" customFormat="1" ht="15">
      <c r="A100" s="2"/>
      <c r="B100" s="97" t="s">
        <v>128</v>
      </c>
      <c r="C100" s="2"/>
      <c r="G100" s="38">
        <f>SUMIF('Amortization Table'!$C$15:$C$114,Model!G$98,'Amortization Table'!$F$15:$F$114)</f>
        <v>-67215343.104</v>
      </c>
      <c r="H100" s="38">
        <f>SUMIF('Amortization Table'!$C$15:$C$114,Model!H$98,'Amortization Table'!$F$15:$F$114)</f>
        <v>-105896108.64841321</v>
      </c>
      <c r="I100" s="38">
        <f>SUMIF('Amortization Table'!$C$15:$C$114,Model!I$98,'Amortization Table'!$F$15:$F$114)</f>
        <v>-144576874.19282642</v>
      </c>
      <c r="J100" s="38">
        <f>SUMIF('Amortization Table'!$C$15:$C$114,Model!J$98,'Amortization Table'!$F$15:$F$114)</f>
        <v>-144576874.19282642</v>
      </c>
      <c r="K100" s="38">
        <f>SUMIF('Amortization Table'!$C$15:$C$114,Model!K$98,'Amortization Table'!$F$15:$F$114)</f>
        <v>-144576874.19282642</v>
      </c>
      <c r="L100" s="38">
        <f>SUMIF('Amortization Table'!$C$15:$C$114,Model!L$98,'Amortization Table'!$F$15:$F$114)</f>
        <v>-144576874.19282642</v>
      </c>
      <c r="M100" s="38">
        <f>SUMIF('Amortization Table'!$C$15:$C$114,Model!M$98,'Amortization Table'!$F$15:$F$114)</f>
        <v>-144576874.19282642</v>
      </c>
      <c r="N100" s="38">
        <f>SUMIF('Amortization Table'!$C$15:$C$114,Model!N$98,'Amortization Table'!$F$15:$F$114)</f>
        <v>-144576874.19282642</v>
      </c>
      <c r="O100" s="38">
        <f>SUMIF('Amortization Table'!$C$15:$C$114,Model!O$98,'Amortization Table'!$F$15:$F$114)</f>
        <v>-144576874.19282642</v>
      </c>
      <c r="P100" s="38">
        <f>SUMIF('Amortization Table'!$C$15:$C$114,Model!P$98,'Amortization Table'!$F$15:$F$114)</f>
        <v>-144576874.19282642</v>
      </c>
      <c r="Q100" s="38">
        <f>SUMIF('Amortization Table'!$C$15:$C$114,Model!Q$98,'Amortization Table'!$F$15:$F$114)</f>
        <v>-144576874.19282642</v>
      </c>
      <c r="R100" s="38">
        <f>SUMIF('Amortization Table'!$C$15:$C$114,Model!R$98,'Amortization Table'!$F$15:$F$114)</f>
        <v>-144576874.19282642</v>
      </c>
      <c r="S100" s="38">
        <f>SUMIF('Amortization Table'!$C$15:$C$114,Model!S$98,'Amortization Table'!$F$15:$F$114)</f>
        <v>-67156776.05407503</v>
      </c>
      <c r="T100" s="38">
        <f>SUMIF('Amortization Table'!$C$15:$C$114,Model!T$98,'Amortization Table'!$F$15:$F$114)</f>
        <v>-67156776.05407503</v>
      </c>
      <c r="U100" s="38">
        <f>SUMIF('Amortization Table'!$C$15:$C$114,Model!U$98,'Amortization Table'!$F$15:$F$114)</f>
        <v>-67156776.05407503</v>
      </c>
      <c r="V100" s="38">
        <f>SUMIF('Amortization Table'!$C$15:$C$114,Model!V$98,'Amortization Table'!$F$15:$F$114)</f>
        <v>-67156776.05407503</v>
      </c>
      <c r="W100" s="38">
        <f>SUMIF('Amortization Table'!$C$15:$C$114,Model!W$98,'Amortization Table'!$F$15:$F$114)</f>
        <v>-67156776.05407503</v>
      </c>
      <c r="X100" s="38">
        <f>SUMIF('Amortization Table'!$C$15:$C$114,Model!X$98,'Amortization Table'!$F$15:$F$114)</f>
        <v>-67156776.05407503</v>
      </c>
      <c r="Y100" s="38">
        <f>SUMIF('Amortization Table'!$C$15:$C$114,Model!Y$98,'Amortization Table'!$F$15:$F$114)</f>
        <v>-67156776.05407503</v>
      </c>
      <c r="Z100" s="38">
        <f>SUMIF('Amortization Table'!$C$15:$C$114,Model!Z$98,'Amortization Table'!$F$15:$F$114)</f>
        <v>-67156776.05407503</v>
      </c>
      <c r="AA100" s="38">
        <f>SUMIF('Amortization Table'!$C$15:$C$114,Model!AA$98,'Amortization Table'!$F$15:$F$114)</f>
        <v>-67156776.05407503</v>
      </c>
      <c r="AB100" s="38">
        <f>SUMIF('Amortization Table'!$C$15:$C$114,Model!AB$98,'Amortization Table'!$F$15:$F$114)</f>
        <v>-67156776.05407503</v>
      </c>
      <c r="AC100" s="38">
        <f>SUMIF('Amortization Table'!$C$15:$C$114,Model!AC$98,'Amortization Table'!$F$15:$F$114)</f>
        <v>-67156776.05407503</v>
      </c>
      <c r="AD100" s="38">
        <f>SUMIF('Amortization Table'!$C$15:$C$114,Model!AD$98,'Amortization Table'!$F$15:$F$114)</f>
        <v>-67156776.05407503</v>
      </c>
      <c r="AE100" s="38">
        <f>SUMIF('Amortization Table'!$C$15:$C$114,Model!AE$98,'Amortization Table'!$F$15:$F$114)</f>
        <v>-67156776.05407503</v>
      </c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EC100" s="100"/>
      <c r="ED100" s="38"/>
      <c r="EE100" s="38"/>
      <c r="EF100" s="38"/>
      <c r="EG100" s="38"/>
      <c r="EH100" s="38"/>
      <c r="EI100" s="38"/>
    </row>
    <row r="101" spans="1:139" s="3" customFormat="1" ht="15">
      <c r="A101" s="2"/>
      <c r="B101" s="97" t="s">
        <v>131</v>
      </c>
      <c r="C101" s="2"/>
      <c r="G101" s="38">
        <f>SUMIF('Amortization Table'!$C$15:$C$114,Model!G$98,'Amortization Table'!$G$15:$G$114)</f>
        <v>-67215343.104</v>
      </c>
      <c r="H101" s="38">
        <f>SUMIF('Amortization Table'!$C$15:$C$114,Model!H$98,'Amortization Table'!$G$15:$G$114)</f>
        <v>-66925237.36241691</v>
      </c>
      <c r="I101" s="38">
        <f>SUMIF('Amortization Table'!$C$15:$C$114,Model!I$98,'Amortization Table'!$G$15:$G$114)</f>
        <v>-63065846.00315598</v>
      </c>
      <c r="J101" s="38">
        <f>SUMIF('Amortization Table'!$C$15:$C$114,Model!J$98,'Amortization Table'!$G$15:$G$114)</f>
        <v>-58064039.89834334</v>
      </c>
      <c r="K101" s="38">
        <f>SUMIF('Amortization Table'!$C$15:$C$114,Model!K$98,'Amortization Table'!$G$15:$G$114)</f>
        <v>-52755305.21140159</v>
      </c>
      <c r="L101" s="38">
        <f>SUMIF('Amortization Table'!$C$15:$C$114,Model!L$98,'Amortization Table'!$G$15:$G$114)</f>
        <v>-47120807.71474299</v>
      </c>
      <c r="M101" s="38">
        <f>SUMIF('Amortization Table'!$C$15:$C$114,Model!M$98,'Amortization Table'!$G$15:$G$114)</f>
        <v>-41140557.44570175</v>
      </c>
      <c r="N101" s="38">
        <f>SUMIF('Amortization Table'!$C$15:$C$114,Model!N$98,'Amortization Table'!$G$15:$G$114)</f>
        <v>-34793337.786526024</v>
      </c>
      <c r="O101" s="38">
        <f>SUMIF('Amortization Table'!$C$15:$C$114,Model!O$98,'Amortization Table'!$G$15:$G$114)</f>
        <v>-28056630.192466486</v>
      </c>
      <c r="P101" s="38">
        <f>SUMIF('Amortization Table'!$C$15:$C$114,Model!P$98,'Amortization Table'!$G$15:$G$114)</f>
        <v>-20906534.300913047</v>
      </c>
      <c r="Q101" s="38">
        <f>SUMIF('Amortization Table'!$C$15:$C$114,Model!Q$98,'Amortization Table'!$G$15:$G$114)</f>
        <v>-13317683.138144663</v>
      </c>
      <c r="R101" s="38">
        <f>SUMIF('Amortization Table'!$C$15:$C$114,Model!R$98,'Amortization Table'!$G$15:$G$114)</f>
        <v>-5263153.122864152</v>
      </c>
      <c r="S101" s="38">
        <f>SUMIF('Amortization Table'!$C$15:$C$114,Model!S$98,'Amortization Table'!$G$15:$G$114)</f>
        <v>-35489196.32547893</v>
      </c>
      <c r="T101" s="38">
        <f>SUMIF('Amortization Table'!$C$15:$C$114,Model!T$98,'Amortization Table'!$G$15:$G$114)</f>
        <v>-33545961.193632003</v>
      </c>
      <c r="U101" s="38">
        <f>SUMIF('Amortization Table'!$C$15:$C$114,Model!U$98,'Amortization Table'!$G$15:$G$114)</f>
        <v>-31483482.25439571</v>
      </c>
      <c r="V101" s="38">
        <f>SUMIF('Amortization Table'!$C$15:$C$114,Model!V$98,'Amortization Table'!$G$15:$G$114)</f>
        <v>-29294442.284358583</v>
      </c>
      <c r="W101" s="38">
        <f>SUMIF('Amortization Table'!$C$15:$C$114,Model!W$98,'Amortization Table'!$G$15:$G$114)</f>
        <v>-26971075.049299937</v>
      </c>
      <c r="X101" s="38">
        <f>SUMIF('Amortization Table'!$C$15:$C$114,Model!X$98,'Amortization Table'!$G$15:$G$114)</f>
        <v>-24505137.75129231</v>
      </c>
      <c r="Y101" s="38">
        <f>SUMIF('Amortization Table'!$C$15:$C$114,Model!Y$98,'Amortization Table'!$G$15:$G$114)</f>
        <v>-21887881.785060313</v>
      </c>
      <c r="Z101" s="38">
        <f>SUMIF('Amortization Table'!$C$15:$C$114,Model!Z$98,'Amortization Table'!$G$15:$G$114)</f>
        <v>-19110021.699845858</v>
      </c>
      <c r="AA101" s="38">
        <f>SUMIF('Amortization Table'!$C$15:$C$114,Model!AA$98,'Amortization Table'!$G$15:$G$114)</f>
        <v>-16161702.256663172</v>
      </c>
      <c r="AB101" s="38">
        <f>SUMIF('Amortization Table'!$C$15:$C$114,Model!AB$98,'Amortization Table'!$G$15:$G$114)</f>
        <v>-13032463.464070078</v>
      </c>
      <c r="AC101" s="38">
        <f>SUMIF('Amortization Table'!$C$15:$C$114,Model!AC$98,'Amortization Table'!$G$15:$G$114)</f>
        <v>-9711203.468409985</v>
      </c>
      <c r="AD101" s="38">
        <f>SUMIF('Amortization Table'!$C$15:$C$114,Model!AD$98,'Amortization Table'!$G$15:$G$114)</f>
        <v>-6186139.166867415</v>
      </c>
      <c r="AE101" s="38">
        <f>SUMIF('Amortization Table'!$C$15:$C$114,Model!AE$98,'Amortization Table'!$G$15:$G$114)</f>
        <v>-2444764.403600757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X101" s="43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EC101" s="100"/>
      <c r="ED101" s="38"/>
      <c r="EE101" s="38"/>
      <c r="EF101" s="38"/>
      <c r="EG101" s="38"/>
      <c r="EH101" s="38"/>
      <c r="EI101" s="38"/>
    </row>
    <row r="102" spans="1:139" s="3" customFormat="1" ht="15">
      <c r="A102" s="2"/>
      <c r="B102" s="97" t="s">
        <v>148</v>
      </c>
      <c r="C102" s="2"/>
      <c r="G102" s="38">
        <f>SUMIF('Amortization Table'!$C$15:$C$114,Model!G$98,'Amortization Table'!$H$15:$H$114)</f>
        <v>0</v>
      </c>
      <c r="H102" s="38">
        <f>SUMIF('Amortization Table'!$C$15:$C$114,Model!H$98,'Amortization Table'!$H$15:$H$114)</f>
        <v>-38970871.2859963</v>
      </c>
      <c r="I102" s="38">
        <f>SUMIF('Amortization Table'!$C$15:$C$114,Model!I$98,'Amortization Table'!$H$15:$H$114)</f>
        <v>-81511028.18967044</v>
      </c>
      <c r="J102" s="38">
        <f>SUMIF('Amortization Table'!$C$15:$C$114,Model!J$98,'Amortization Table'!$H$15:$H$114)</f>
        <v>-86512834.29448308</v>
      </c>
      <c r="K102" s="38">
        <f>SUMIF('Amortization Table'!$C$15:$C$114,Model!K$98,'Amortization Table'!$H$15:$H$114)</f>
        <v>-91821568.98142484</v>
      </c>
      <c r="L102" s="38">
        <f>SUMIF('Amortization Table'!$C$15:$C$114,Model!L$98,'Amortization Table'!$H$15:$H$114)</f>
        <v>-97456066.47808343</v>
      </c>
      <c r="M102" s="38">
        <f>SUMIF('Amortization Table'!$C$15:$C$114,Model!M$98,'Amortization Table'!$H$15:$H$114)</f>
        <v>-103436316.74712467</v>
      </c>
      <c r="N102" s="38">
        <f>SUMIF('Amortization Table'!$C$15:$C$114,Model!N$98,'Amortization Table'!$H$15:$H$114)</f>
        <v>-109783536.4063004</v>
      </c>
      <c r="O102" s="38">
        <f>SUMIF('Amortization Table'!$C$15:$C$114,Model!O$98,'Amortization Table'!$H$15:$H$114)</f>
        <v>-116520244.00035994</v>
      </c>
      <c r="P102" s="38">
        <f>SUMIF('Amortization Table'!$C$15:$C$114,Model!P$98,'Amortization Table'!$H$15:$H$114)</f>
        <v>-123670339.89191337</v>
      </c>
      <c r="Q102" s="38">
        <f>SUMIF('Amortization Table'!$C$15:$C$114,Model!Q$98,'Amortization Table'!$H$15:$H$114)</f>
        <v>-131259191.05468175</v>
      </c>
      <c r="R102" s="38">
        <f>SUMIF('Amortization Table'!$C$15:$C$114,Model!R$98,'Amortization Table'!$H$15:$H$114)</f>
        <v>-139313721.06996226</v>
      </c>
      <c r="S102" s="38">
        <f>SUMIF('Amortization Table'!$C$15:$C$114,Model!S$98,'Amortization Table'!$H$15:$H$114)</f>
        <v>-31667579.728596106</v>
      </c>
      <c r="T102" s="38">
        <f>SUMIF('Amortization Table'!$C$15:$C$114,Model!T$98,'Amortization Table'!$H$15:$H$114)</f>
        <v>-33610814.86044303</v>
      </c>
      <c r="U102" s="38">
        <f>SUMIF('Amortization Table'!$C$15:$C$114,Model!U$98,'Amortization Table'!$H$15:$H$114)</f>
        <v>-35673293.799679324</v>
      </c>
      <c r="V102" s="38">
        <f>SUMIF('Amortization Table'!$C$15:$C$114,Model!V$98,'Amortization Table'!$H$15:$H$114)</f>
        <v>-37862333.76971645</v>
      </c>
      <c r="W102" s="38">
        <f>SUMIF('Amortization Table'!$C$15:$C$114,Model!W$98,'Amortization Table'!$H$15:$H$114)</f>
        <v>-40185701.00477509</v>
      </c>
      <c r="X102" s="38">
        <f>SUMIF('Amortization Table'!$C$15:$C$114,Model!X$98,'Amortization Table'!$H$15:$H$114)</f>
        <v>-42651638.30278272</v>
      </c>
      <c r="Y102" s="38">
        <f>SUMIF('Amortization Table'!$C$15:$C$114,Model!Y$98,'Amortization Table'!$H$15:$H$114)</f>
        <v>-45268894.26901472</v>
      </c>
      <c r="Z102" s="38">
        <f>SUMIF('Amortization Table'!$C$15:$C$114,Model!Z$98,'Amortization Table'!$H$15:$H$114)</f>
        <v>-48046754.354229175</v>
      </c>
      <c r="AA102" s="38">
        <f>SUMIF('Amortization Table'!$C$15:$C$114,Model!AA$98,'Amortization Table'!$H$15:$H$114)</f>
        <v>-50995073.79741186</v>
      </c>
      <c r="AB102" s="38">
        <f>SUMIF('Amortization Table'!$C$15:$C$114,Model!AB$98,'Amortization Table'!$H$15:$H$114)</f>
        <v>-54124312.59000495</v>
      </c>
      <c r="AC102" s="38">
        <f>SUMIF('Amortization Table'!$C$15:$C$114,Model!AC$98,'Amortization Table'!$H$15:$H$114)</f>
        <v>-57445572.58566505</v>
      </c>
      <c r="AD102" s="38">
        <f>SUMIF('Amortization Table'!$C$15:$C$114,Model!AD$98,'Amortization Table'!$H$15:$H$114)</f>
        <v>-60970636.88720763</v>
      </c>
      <c r="AE102" s="38">
        <f>SUMIF('Amortization Table'!$C$15:$C$114,Model!AE$98,'Amortization Table'!$H$15:$H$114)</f>
        <v>-64712011.65047428</v>
      </c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43"/>
      <c r="AW102" s="43"/>
      <c r="AX102" s="43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EC102" s="100"/>
      <c r="ED102" s="38"/>
      <c r="EE102" s="38"/>
      <c r="EF102" s="38"/>
      <c r="EG102" s="38"/>
      <c r="EH102" s="38"/>
      <c r="EI102" s="38"/>
    </row>
    <row r="103" spans="1:139" s="3" customFormat="1" ht="15">
      <c r="A103" s="2"/>
      <c r="B103" s="97" t="s">
        <v>139</v>
      </c>
      <c r="C103" s="2"/>
      <c r="G103" s="38">
        <f>SUMIF('Amortization Table'!$C$15:$C$114,Model!G$98,'Amortization Table'!$I$15:$I$114)</f>
        <v>0</v>
      </c>
      <c r="H103" s="38">
        <f>SUMIF('Amortization Table'!$C$15:$C$114,Model!H$98,'Amortization Table'!$I$15:$I$114)</f>
        <v>0</v>
      </c>
      <c r="I103" s="38">
        <f>SUMIF('Amortization Table'!$C$15:$C$114,Model!I$98,'Amortization Table'!$I$15:$I$114)</f>
        <v>0</v>
      </c>
      <c r="J103" s="38">
        <f>SUMIF('Amortization Table'!$C$15:$C$114,Model!J$98,'Amortization Table'!$I$15:$I$114)</f>
        <v>0</v>
      </c>
      <c r="K103" s="38">
        <f>SUMIF('Amortization Table'!$C$15:$C$114,Model!K$98,'Amortization Table'!$I$15:$I$114)</f>
        <v>0</v>
      </c>
      <c r="L103" s="38">
        <f>SUMIF('Amortization Table'!$C$15:$C$114,Model!L$98,'Amortization Table'!$I$15:$I$114)</f>
        <v>0</v>
      </c>
      <c r="M103" s="38">
        <f>SUMIF('Amortization Table'!$C$15:$C$114,Model!M$98,'Amortization Table'!$I$15:$I$114)</f>
        <v>0</v>
      </c>
      <c r="N103" s="38">
        <f>SUMIF('Amortization Table'!$C$15:$C$114,Model!N$98,'Amortization Table'!$I$15:$I$114)</f>
        <v>0</v>
      </c>
      <c r="O103" s="38">
        <f>SUMIF('Amortization Table'!$C$15:$C$114,Model!O$98,'Amortization Table'!$I$15:$I$114)</f>
        <v>0</v>
      </c>
      <c r="P103" s="38">
        <f>SUMIF('Amortization Table'!$C$15:$C$114,Model!P$98,'Amortization Table'!$I$15:$I$114)</f>
        <v>0</v>
      </c>
      <c r="Q103" s="38">
        <f>SUMIF('Amortization Table'!$C$15:$C$114,Model!Q$98,'Amortization Table'!$I$15:$I$114)</f>
        <v>0</v>
      </c>
      <c r="R103" s="38">
        <f>SUMIF('Amortization Table'!$C$15:$C$114,Model!R$98,'Amortization Table'!$I$15:$I$114)</f>
        <v>603214617.5999999</v>
      </c>
      <c r="S103" s="38">
        <f>SUMIF('Amortization Table'!$C$15:$C$114,Model!S$98,'Amortization Table'!$I$15:$I$114)</f>
        <v>0</v>
      </c>
      <c r="T103" s="38">
        <f>SUMIF('Amortization Table'!$C$15:$C$114,Model!T$98,'Amortization Table'!$I$15:$I$114)</f>
        <v>0</v>
      </c>
      <c r="U103" s="38">
        <f>SUMIF('Amortization Table'!$C$15:$C$114,Model!U$98,'Amortization Table'!$I$15:$I$114)</f>
        <v>0</v>
      </c>
      <c r="V103" s="38">
        <f>SUMIF('Amortization Table'!$C$15:$C$114,Model!V$98,'Amortization Table'!$I$15:$I$114)</f>
        <v>0</v>
      </c>
      <c r="W103" s="38">
        <f>SUMIF('Amortization Table'!$C$15:$C$114,Model!W$98,'Amortization Table'!$I$15:$I$114)</f>
        <v>0</v>
      </c>
      <c r="X103" s="38">
        <f>SUMIF('Amortization Table'!$C$15:$C$114,Model!X$98,'Amortization Table'!$I$15:$I$114)</f>
        <v>0</v>
      </c>
      <c r="Y103" s="38">
        <f>SUMIF('Amortization Table'!$C$15:$C$114,Model!Y$98,'Amortization Table'!$I$15:$I$114)</f>
        <v>0</v>
      </c>
      <c r="Z103" s="38">
        <f>SUMIF('Amortization Table'!$C$15:$C$114,Model!Z$98,'Amortization Table'!$I$15:$I$114)</f>
        <v>0</v>
      </c>
      <c r="AA103" s="38">
        <f>SUMIF('Amortization Table'!$C$15:$C$114,Model!AA$98,'Amortization Table'!$I$15:$I$114)</f>
        <v>0</v>
      </c>
      <c r="AB103" s="38">
        <f>SUMIF('Amortization Table'!$C$15:$C$114,Model!AB$98,'Amortization Table'!$I$15:$I$114)</f>
        <v>0</v>
      </c>
      <c r="AC103" s="38">
        <f>SUMIF('Amortization Table'!$C$15:$C$114,Model!AC$98,'Amortization Table'!$I$15:$I$114)</f>
        <v>0</v>
      </c>
      <c r="AD103" s="38">
        <f>SUMIF('Amortization Table'!$C$15:$C$114,Model!AD$98,'Amortization Table'!$I$15:$I$114)</f>
        <v>0</v>
      </c>
      <c r="AE103" s="38">
        <f>SUMIF('Amortization Table'!$C$15:$C$114,Model!AE$98,'Amortization Table'!$I$15:$I$114)</f>
        <v>0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EC103" s="100"/>
      <c r="ED103" s="38"/>
      <c r="EE103" s="38"/>
      <c r="EF103" s="38"/>
      <c r="EG103" s="38"/>
      <c r="EH103" s="38"/>
      <c r="EI103" s="38"/>
    </row>
    <row r="104" spans="1:139" s="3" customFormat="1" ht="15">
      <c r="A104" s="2"/>
      <c r="B104" s="98" t="s">
        <v>132</v>
      </c>
      <c r="C104" s="13"/>
      <c r="D104" s="1"/>
      <c r="E104" s="1"/>
      <c r="F104" s="1"/>
      <c r="G104" s="40">
        <f>HLOOKUP(G$98*4,$D$89:$CY$95,7,FALSE)</f>
        <v>1120255718.4</v>
      </c>
      <c r="H104" s="40">
        <f aca="true" t="shared" si="52" ref="H104:AE104">HLOOKUP(H$98*4,$D$89:$CY$95,7,FALSE)</f>
        <v>1081284847.114004</v>
      </c>
      <c r="I104" s="40">
        <f t="shared" si="52"/>
        <v>999773818.9243335</v>
      </c>
      <c r="J104" s="40">
        <f t="shared" si="52"/>
        <v>913260984.6298504</v>
      </c>
      <c r="K104" s="40">
        <f t="shared" si="52"/>
        <v>821439415.6484255</v>
      </c>
      <c r="L104" s="40">
        <f t="shared" si="52"/>
        <v>723983349.170342</v>
      </c>
      <c r="M104" s="40">
        <f t="shared" si="52"/>
        <v>620547032.4232173</v>
      </c>
      <c r="N104" s="40">
        <f t="shared" si="52"/>
        <v>510763496.0169169</v>
      </c>
      <c r="O104" s="40">
        <f t="shared" si="52"/>
        <v>394243252.016557</v>
      </c>
      <c r="P104" s="40">
        <f t="shared" si="52"/>
        <v>270572912.1246436</v>
      </c>
      <c r="Q104" s="40">
        <f t="shared" si="52"/>
        <v>139313721.06996185</v>
      </c>
      <c r="R104" s="40">
        <f t="shared" si="52"/>
        <v>603214617.5999994</v>
      </c>
      <c r="S104" s="40">
        <f t="shared" si="52"/>
        <v>571547037.8714033</v>
      </c>
      <c r="T104" s="40">
        <f t="shared" si="52"/>
        <v>537936223.0109603</v>
      </c>
      <c r="U104" s="40">
        <f t="shared" si="52"/>
        <v>502262929.21128106</v>
      </c>
      <c r="V104" s="40">
        <f t="shared" si="52"/>
        <v>464400595.44156456</v>
      </c>
      <c r="W104" s="40">
        <f t="shared" si="52"/>
        <v>424214894.43678945</v>
      </c>
      <c r="X104" s="40">
        <f t="shared" si="52"/>
        <v>381563256.13400674</v>
      </c>
      <c r="Y104" s="40">
        <f t="shared" si="52"/>
        <v>336294361.864992</v>
      </c>
      <c r="Z104" s="40">
        <f t="shared" si="52"/>
        <v>288247607.5107628</v>
      </c>
      <c r="AA104" s="40">
        <f t="shared" si="52"/>
        <v>237252533.71335095</v>
      </c>
      <c r="AB104" s="40">
        <f t="shared" si="52"/>
        <v>183128221.123346</v>
      </c>
      <c r="AC104" s="40">
        <f t="shared" si="52"/>
        <v>125682648.53768092</v>
      </c>
      <c r="AD104" s="40">
        <f t="shared" si="52"/>
        <v>64712011.6504733</v>
      </c>
      <c r="AE104" s="40">
        <f t="shared" si="52"/>
        <v>-9.778887033462524E-07</v>
      </c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EC104" s="100"/>
      <c r="ED104" s="38"/>
      <c r="EE104" s="38"/>
      <c r="EF104" s="38"/>
      <c r="EG104" s="38"/>
      <c r="EH104" s="38"/>
      <c r="EI104" s="38"/>
    </row>
    <row r="105" spans="5:139" ht="15">
      <c r="E105" s="3"/>
      <c r="F105" s="3"/>
      <c r="G105" s="3"/>
      <c r="H105" s="90"/>
      <c r="EB105" s="3"/>
      <c r="EC105" s="100"/>
      <c r="ED105" s="38"/>
      <c r="EE105" s="38"/>
      <c r="EF105" s="38"/>
      <c r="EG105" s="38"/>
      <c r="EH105" s="38"/>
      <c r="EI105" s="38"/>
    </row>
    <row r="106" spans="3:139" ht="15">
      <c r="C106" s="31"/>
      <c r="EB106" s="3"/>
      <c r="EC106" s="100"/>
      <c r="ED106" s="38"/>
      <c r="EE106" s="38"/>
      <c r="EF106" s="38"/>
      <c r="EG106" s="38"/>
      <c r="EH106" s="38"/>
      <c r="EI106" s="38"/>
    </row>
    <row r="107" spans="2:139" s="22" customFormat="1" ht="15">
      <c r="B107" s="23" t="s">
        <v>156</v>
      </c>
      <c r="EB107" s="3"/>
      <c r="EC107" s="100"/>
      <c r="ED107" s="38"/>
      <c r="EE107" s="38"/>
      <c r="EF107" s="38"/>
      <c r="EG107" s="38"/>
      <c r="EH107" s="38"/>
      <c r="EI107" s="38"/>
    </row>
    <row r="108" spans="2:139" ht="15">
      <c r="B108" s="25"/>
      <c r="EB108" s="3"/>
      <c r="EC108" s="100"/>
      <c r="ED108" s="38"/>
      <c r="EE108" s="38"/>
      <c r="EF108" s="38"/>
      <c r="EG108" s="38"/>
      <c r="EH108" s="38"/>
      <c r="EI108" s="38"/>
    </row>
    <row r="109" spans="2:139" ht="15">
      <c r="B109" s="4" t="s">
        <v>182</v>
      </c>
      <c r="EB109" s="3"/>
      <c r="EC109" s="100"/>
      <c r="ED109" s="38"/>
      <c r="EE109" s="38"/>
      <c r="EF109" s="38"/>
      <c r="EG109" s="38"/>
      <c r="EH109" s="38"/>
      <c r="EI109" s="38"/>
    </row>
    <row r="110" spans="2:139" ht="15">
      <c r="B110" s="25"/>
      <c r="EB110" s="3"/>
      <c r="EC110" s="100"/>
      <c r="ED110" s="38"/>
      <c r="EE110" s="38"/>
      <c r="EF110" s="38"/>
      <c r="EG110" s="38"/>
      <c r="EH110" s="38"/>
      <c r="EI110" s="38"/>
    </row>
    <row r="111" spans="2:139" ht="15">
      <c r="B111" s="4" t="s">
        <v>155</v>
      </c>
      <c r="C111" s="99"/>
      <c r="F111" s="30">
        <v>0</v>
      </c>
      <c r="G111" s="8">
        <f aca="true" t="shared" si="53" ref="G111:P111">F111+1</f>
        <v>1</v>
      </c>
      <c r="H111" s="8">
        <f t="shared" si="53"/>
        <v>2</v>
      </c>
      <c r="I111" s="8">
        <f t="shared" si="53"/>
        <v>3</v>
      </c>
      <c r="J111" s="8">
        <f t="shared" si="53"/>
        <v>4</v>
      </c>
      <c r="K111" s="8">
        <f t="shared" si="53"/>
        <v>5</v>
      </c>
      <c r="L111" s="8">
        <f t="shared" si="53"/>
        <v>6</v>
      </c>
      <c r="M111" s="8">
        <f t="shared" si="53"/>
        <v>7</v>
      </c>
      <c r="N111" s="8">
        <f t="shared" si="53"/>
        <v>8</v>
      </c>
      <c r="O111" s="8">
        <f t="shared" si="53"/>
        <v>9</v>
      </c>
      <c r="P111" s="8">
        <f t="shared" si="53"/>
        <v>10</v>
      </c>
      <c r="Q111" s="8">
        <f aca="true" t="shared" si="54" ref="Q111:AE111">P111+1</f>
        <v>11</v>
      </c>
      <c r="R111" s="8">
        <f t="shared" si="54"/>
        <v>12</v>
      </c>
      <c r="S111" s="8">
        <f t="shared" si="54"/>
        <v>13</v>
      </c>
      <c r="T111" s="8">
        <f t="shared" si="54"/>
        <v>14</v>
      </c>
      <c r="U111" s="8">
        <f t="shared" si="54"/>
        <v>15</v>
      </c>
      <c r="V111" s="8">
        <f t="shared" si="54"/>
        <v>16</v>
      </c>
      <c r="W111" s="8">
        <f t="shared" si="54"/>
        <v>17</v>
      </c>
      <c r="X111" s="8">
        <f t="shared" si="54"/>
        <v>18</v>
      </c>
      <c r="Y111" s="8">
        <f t="shared" si="54"/>
        <v>19</v>
      </c>
      <c r="Z111" s="8">
        <f t="shared" si="54"/>
        <v>20</v>
      </c>
      <c r="AA111" s="8">
        <f t="shared" si="54"/>
        <v>21</v>
      </c>
      <c r="AB111" s="8">
        <f t="shared" si="54"/>
        <v>22</v>
      </c>
      <c r="AC111" s="8">
        <f t="shared" si="54"/>
        <v>23</v>
      </c>
      <c r="AD111" s="8">
        <f t="shared" si="54"/>
        <v>24</v>
      </c>
      <c r="AE111" s="8">
        <f t="shared" si="54"/>
        <v>25</v>
      </c>
      <c r="EB111" s="3"/>
      <c r="EC111" s="100"/>
      <c r="ED111" s="38"/>
      <c r="EE111" s="38"/>
      <c r="EF111" s="38"/>
      <c r="EG111" s="38"/>
      <c r="EH111" s="38"/>
      <c r="EI111" s="38"/>
    </row>
    <row r="112" spans="2:139" ht="15">
      <c r="B112" s="1" t="s">
        <v>101</v>
      </c>
      <c r="C112" s="103"/>
      <c r="D112" s="103"/>
      <c r="E112" s="103"/>
      <c r="F112" s="103">
        <v>0</v>
      </c>
      <c r="G112" s="41">
        <f aca="true" t="shared" si="55" ref="G112:AE112">G56</f>
        <v>254564645.42399997</v>
      </c>
      <c r="H112" s="41">
        <f t="shared" si="55"/>
        <v>275804473.44479996</v>
      </c>
      <c r="I112" s="41">
        <f t="shared" si="55"/>
        <v>273295053.3080759</v>
      </c>
      <c r="J112" s="41">
        <f t="shared" si="55"/>
        <v>270664015.7792362</v>
      </c>
      <c r="K112" s="41">
        <f t="shared" si="55"/>
        <v>267902232.73667797</v>
      </c>
      <c r="L112" s="41">
        <f t="shared" si="55"/>
        <v>264999940.16480753</v>
      </c>
      <c r="M112" s="41">
        <f t="shared" si="55"/>
        <v>261946693.62608728</v>
      </c>
      <c r="N112" s="41">
        <f t="shared" si="55"/>
        <v>258731320.61620474</v>
      </c>
      <c r="O112" s="41">
        <f t="shared" si="55"/>
        <v>255341869.58417854</v>
      </c>
      <c r="P112" s="41">
        <f t="shared" si="55"/>
        <v>251765555.38394868</v>
      </c>
      <c r="Q112" s="41">
        <f t="shared" si="55"/>
        <v>247988700.90765363</v>
      </c>
      <c r="R112" s="41">
        <f t="shared" si="55"/>
        <v>243996674.6333117</v>
      </c>
      <c r="S112" s="41">
        <f t="shared" si="55"/>
        <v>239773823.80091608</v>
      </c>
      <c r="T112" s="41">
        <f t="shared" si="55"/>
        <v>235303402.91092995</v>
      </c>
      <c r="U112" s="41">
        <f t="shared" si="55"/>
        <v>230567497.21775147</v>
      </c>
      <c r="V112" s="41">
        <f t="shared" si="55"/>
        <v>225546940.86779442</v>
      </c>
      <c r="W112" s="41">
        <f t="shared" si="55"/>
        <v>220221229.30730832</v>
      </c>
      <c r="X112" s="41">
        <f t="shared" si="55"/>
        <v>214568425.5588192</v>
      </c>
      <c r="Y112" s="41">
        <f t="shared" si="55"/>
        <v>208565059.93699342</v>
      </c>
      <c r="Z112" s="41">
        <f t="shared" si="55"/>
        <v>202186022.744685</v>
      </c>
      <c r="AA112" s="41">
        <f t="shared" si="55"/>
        <v>195404449.45777762</v>
      </c>
      <c r="AB112" s="41">
        <f t="shared" si="55"/>
        <v>188191597.87303793</v>
      </c>
      <c r="AC112" s="41">
        <f t="shared" si="55"/>
        <v>180516716.6563892</v>
      </c>
      <c r="AD112" s="41">
        <f t="shared" si="55"/>
        <v>172346904.6896354</v>
      </c>
      <c r="AE112" s="41">
        <f t="shared" si="55"/>
        <v>163646960.57152683</v>
      </c>
      <c r="EB112" s="3"/>
      <c r="EC112" s="100"/>
      <c r="ED112" s="38"/>
      <c r="EE112" s="38"/>
      <c r="EF112" s="38"/>
      <c r="EG112" s="38"/>
      <c r="EH112" s="38"/>
      <c r="EI112" s="38"/>
    </row>
    <row r="113" spans="2:139" ht="15">
      <c r="B113" s="3" t="s">
        <v>149</v>
      </c>
      <c r="C113" s="88"/>
      <c r="D113" s="88"/>
      <c r="E113" s="88"/>
      <c r="F113" s="88">
        <v>0</v>
      </c>
      <c r="G113" s="43">
        <f aca="true" t="shared" si="56" ref="G113:AE113">G64</f>
        <v>-8886528.311999997</v>
      </c>
      <c r="H113" s="43">
        <f t="shared" si="56"/>
        <v>-11039521.688238308</v>
      </c>
      <c r="I113" s="43">
        <f t="shared" si="56"/>
        <v>-11174518.810491994</v>
      </c>
      <c r="J113" s="43">
        <f t="shared" si="56"/>
        <v>-11411595.668089287</v>
      </c>
      <c r="K113" s="43">
        <f t="shared" si="56"/>
        <v>-11666290.832527637</v>
      </c>
      <c r="L113" s="43">
        <f t="shared" si="56"/>
        <v>-11939511.325006453</v>
      </c>
      <c r="M113" s="43">
        <f t="shared" si="56"/>
        <v>-12232211.698038552</v>
      </c>
      <c r="N113" s="43">
        <f t="shared" si="56"/>
        <v>-12545396.362967873</v>
      </c>
      <c r="O113" s="43">
        <f t="shared" si="56"/>
        <v>-12880122.019171204</v>
      </c>
      <c r="P113" s="43">
        <f t="shared" si="56"/>
        <v>-13237500.188303566</v>
      </c>
      <c r="Q113" s="43">
        <f t="shared" si="56"/>
        <v>-13618699.856950898</v>
      </c>
      <c r="R113" s="43">
        <f t="shared" si="56"/>
        <v>-14024950.231044754</v>
      </c>
      <c r="S113" s="43">
        <f t="shared" si="56"/>
        <v>-10580060.827543717</v>
      </c>
      <c r="T113" s="43">
        <f t="shared" si="56"/>
        <v>-10327342.251729794</v>
      </c>
      <c r="U113" s="43">
        <f t="shared" si="56"/>
        <v>-10059999.576335577</v>
      </c>
      <c r="V113" s="43">
        <f t="shared" si="56"/>
        <v>-9776847.938343585</v>
      </c>
      <c r="W113" s="43">
        <f t="shared" si="56"/>
        <v>-9476613.505800838</v>
      </c>
      <c r="X113" s="43">
        <f t="shared" si="56"/>
        <v>-9157926.86075269</v>
      </c>
      <c r="Y113" s="43">
        <f t="shared" si="56"/>
        <v>-8819315.89519331</v>
      </c>
      <c r="Z113" s="43">
        <f t="shared" si="56"/>
        <v>-8459198.184483914</v>
      </c>
      <c r="AA113" s="43">
        <f t="shared" si="56"/>
        <v>-8075872.800111445</v>
      </c>
      <c r="AB113" s="43">
        <f t="shared" si="56"/>
        <v>-7667511.520896785</v>
      </c>
      <c r="AC113" s="43">
        <f t="shared" si="56"/>
        <v>-7232149.398797922</v>
      </c>
      <c r="AD113" s="43">
        <f t="shared" si="56"/>
        <v>-6767674.632276798</v>
      </c>
      <c r="AE113" s="43">
        <f t="shared" si="56"/>
        <v>-6271817.696792606</v>
      </c>
      <c r="EB113" s="3"/>
      <c r="EC113" s="100"/>
      <c r="ED113" s="38"/>
      <c r="EE113" s="38"/>
      <c r="EF113" s="38"/>
      <c r="EG113" s="38"/>
      <c r="EH113" s="38"/>
      <c r="EI113" s="38"/>
    </row>
    <row r="114" spans="2:139" ht="15">
      <c r="B114" s="3" t="s">
        <v>150</v>
      </c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EB114" s="3"/>
      <c r="EC114" s="100"/>
      <c r="ED114" s="38"/>
      <c r="EE114" s="38"/>
      <c r="EF114" s="38"/>
      <c r="EG114" s="38"/>
      <c r="EH114" s="38"/>
      <c r="EI114" s="38"/>
    </row>
    <row r="115" spans="2:139" ht="15">
      <c r="B115" s="3" t="s">
        <v>151</v>
      </c>
      <c r="C115" s="88"/>
      <c r="D115" s="88"/>
      <c r="E115" s="88"/>
      <c r="F115" s="43">
        <f>-C14</f>
        <v>-2462100480</v>
      </c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EB115" s="3"/>
      <c r="EC115" s="100"/>
      <c r="ED115" s="38"/>
      <c r="EE115" s="38"/>
      <c r="EF115" s="38"/>
      <c r="EG115" s="38"/>
      <c r="EH115" s="38"/>
      <c r="EI115" s="38"/>
    </row>
    <row r="116" spans="2:139" ht="15">
      <c r="B116" s="13" t="s">
        <v>152</v>
      </c>
      <c r="C116" s="101"/>
      <c r="D116" s="101"/>
      <c r="E116" s="101"/>
      <c r="F116" s="41">
        <f>SUM(F112:F115)</f>
        <v>-2462100480</v>
      </c>
      <c r="G116" s="41">
        <f>SUM(G112:G115)</f>
        <v>245678117.11199996</v>
      </c>
      <c r="H116" s="41">
        <f aca="true" t="shared" si="57" ref="H116:AE116">SUM(H112:H115)</f>
        <v>264764951.75656164</v>
      </c>
      <c r="I116" s="41">
        <f t="shared" si="57"/>
        <v>262120534.49758393</v>
      </c>
      <c r="J116" s="41">
        <f t="shared" si="57"/>
        <v>259252420.1111469</v>
      </c>
      <c r="K116" s="41">
        <f t="shared" si="57"/>
        <v>256235941.90415034</v>
      </c>
      <c r="L116" s="41">
        <f t="shared" si="57"/>
        <v>253060428.83980107</v>
      </c>
      <c r="M116" s="41">
        <f t="shared" si="57"/>
        <v>249714481.92804873</v>
      </c>
      <c r="N116" s="41">
        <f t="shared" si="57"/>
        <v>246185924.25323686</v>
      </c>
      <c r="O116" s="41">
        <f t="shared" si="57"/>
        <v>242461747.56500733</v>
      </c>
      <c r="P116" s="41">
        <f t="shared" si="57"/>
        <v>238528055.19564512</v>
      </c>
      <c r="Q116" s="41">
        <f t="shared" si="57"/>
        <v>234370001.05070272</v>
      </c>
      <c r="R116" s="41">
        <f t="shared" si="57"/>
        <v>229971724.40226692</v>
      </c>
      <c r="S116" s="41">
        <f t="shared" si="57"/>
        <v>229193762.97337237</v>
      </c>
      <c r="T116" s="41">
        <f t="shared" si="57"/>
        <v>224976060.65920016</v>
      </c>
      <c r="U116" s="41">
        <f t="shared" si="57"/>
        <v>220507497.6414159</v>
      </c>
      <c r="V116" s="41">
        <f t="shared" si="57"/>
        <v>215770092.92945084</v>
      </c>
      <c r="W116" s="41">
        <f t="shared" si="57"/>
        <v>210744615.80150747</v>
      </c>
      <c r="X116" s="41">
        <f t="shared" si="57"/>
        <v>205410498.6980665</v>
      </c>
      <c r="Y116" s="41">
        <f t="shared" si="57"/>
        <v>199745744.0418001</v>
      </c>
      <c r="Z116" s="41">
        <f t="shared" si="57"/>
        <v>193726824.56020108</v>
      </c>
      <c r="AA116" s="41">
        <f t="shared" si="57"/>
        <v>187328576.65766618</v>
      </c>
      <c r="AB116" s="41">
        <f t="shared" si="57"/>
        <v>180524086.35214114</v>
      </c>
      <c r="AC116" s="41">
        <f t="shared" si="57"/>
        <v>173284567.25759128</v>
      </c>
      <c r="AD116" s="41">
        <f t="shared" si="57"/>
        <v>165579230.0573586</v>
      </c>
      <c r="AE116" s="41">
        <f t="shared" si="57"/>
        <v>157375142.87473422</v>
      </c>
      <c r="EB116" s="3"/>
      <c r="EC116" s="100"/>
      <c r="ED116" s="38"/>
      <c r="EE116" s="38"/>
      <c r="EF116" s="38"/>
      <c r="EG116" s="38"/>
      <c r="EH116" s="38"/>
      <c r="EI116" s="38"/>
    </row>
    <row r="117" spans="2:139" ht="15">
      <c r="B117" s="106" t="s">
        <v>148</v>
      </c>
      <c r="C117" s="88"/>
      <c r="D117" s="88"/>
      <c r="E117" s="88"/>
      <c r="F117" s="88">
        <v>0</v>
      </c>
      <c r="G117" s="43">
        <f aca="true" t="shared" si="58" ref="G117:AE117">G102</f>
        <v>0</v>
      </c>
      <c r="H117" s="43">
        <f t="shared" si="58"/>
        <v>-38970871.2859963</v>
      </c>
      <c r="I117" s="43">
        <f t="shared" si="58"/>
        <v>-81511028.18967044</v>
      </c>
      <c r="J117" s="43">
        <f t="shared" si="58"/>
        <v>-86512834.29448308</v>
      </c>
      <c r="K117" s="43">
        <f t="shared" si="58"/>
        <v>-91821568.98142484</v>
      </c>
      <c r="L117" s="43">
        <f t="shared" si="58"/>
        <v>-97456066.47808343</v>
      </c>
      <c r="M117" s="43">
        <f t="shared" si="58"/>
        <v>-103436316.74712467</v>
      </c>
      <c r="N117" s="43">
        <f t="shared" si="58"/>
        <v>-109783536.4063004</v>
      </c>
      <c r="O117" s="43">
        <f t="shared" si="58"/>
        <v>-116520244.00035994</v>
      </c>
      <c r="P117" s="43">
        <f t="shared" si="58"/>
        <v>-123670339.89191337</v>
      </c>
      <c r="Q117" s="43">
        <f t="shared" si="58"/>
        <v>-131259191.05468175</v>
      </c>
      <c r="R117" s="43">
        <f t="shared" si="58"/>
        <v>-139313721.06996226</v>
      </c>
      <c r="S117" s="43">
        <f t="shared" si="58"/>
        <v>-31667579.728596106</v>
      </c>
      <c r="T117" s="43">
        <f t="shared" si="58"/>
        <v>-33610814.86044303</v>
      </c>
      <c r="U117" s="43">
        <f t="shared" si="58"/>
        <v>-35673293.799679324</v>
      </c>
      <c r="V117" s="43">
        <f t="shared" si="58"/>
        <v>-37862333.76971645</v>
      </c>
      <c r="W117" s="43">
        <f t="shared" si="58"/>
        <v>-40185701.00477509</v>
      </c>
      <c r="X117" s="43">
        <f t="shared" si="58"/>
        <v>-42651638.30278272</v>
      </c>
      <c r="Y117" s="43">
        <f t="shared" si="58"/>
        <v>-45268894.26901472</v>
      </c>
      <c r="Z117" s="43">
        <f t="shared" si="58"/>
        <v>-48046754.354229175</v>
      </c>
      <c r="AA117" s="43">
        <f t="shared" si="58"/>
        <v>-50995073.79741186</v>
      </c>
      <c r="AB117" s="43">
        <f t="shared" si="58"/>
        <v>-54124312.59000495</v>
      </c>
      <c r="AC117" s="43">
        <f t="shared" si="58"/>
        <v>-57445572.58566505</v>
      </c>
      <c r="AD117" s="43">
        <f t="shared" si="58"/>
        <v>-60970636.88720763</v>
      </c>
      <c r="AE117" s="43">
        <f t="shared" si="58"/>
        <v>-64712011.65047428</v>
      </c>
      <c r="EB117" s="3"/>
      <c r="EC117" s="100"/>
      <c r="ED117" s="38"/>
      <c r="EE117" s="38"/>
      <c r="EF117" s="38"/>
      <c r="EG117" s="38"/>
      <c r="EH117" s="38"/>
      <c r="EI117" s="38"/>
    </row>
    <row r="118" spans="2:139" ht="15">
      <c r="B118" s="3" t="s">
        <v>153</v>
      </c>
      <c r="C118" s="88"/>
      <c r="D118" s="88"/>
      <c r="E118" s="88"/>
      <c r="F118" s="88">
        <v>0</v>
      </c>
      <c r="G118" s="43">
        <f aca="true" t="shared" si="59" ref="G118:AE118">G101</f>
        <v>-67215343.104</v>
      </c>
      <c r="H118" s="43">
        <f t="shared" si="59"/>
        <v>-66925237.36241691</v>
      </c>
      <c r="I118" s="43">
        <f t="shared" si="59"/>
        <v>-63065846.00315598</v>
      </c>
      <c r="J118" s="43">
        <f t="shared" si="59"/>
        <v>-58064039.89834334</v>
      </c>
      <c r="K118" s="43">
        <f t="shared" si="59"/>
        <v>-52755305.21140159</v>
      </c>
      <c r="L118" s="43">
        <f t="shared" si="59"/>
        <v>-47120807.71474299</v>
      </c>
      <c r="M118" s="43">
        <f t="shared" si="59"/>
        <v>-41140557.44570175</v>
      </c>
      <c r="N118" s="43">
        <f t="shared" si="59"/>
        <v>-34793337.786526024</v>
      </c>
      <c r="O118" s="43">
        <f t="shared" si="59"/>
        <v>-28056630.192466486</v>
      </c>
      <c r="P118" s="43">
        <f t="shared" si="59"/>
        <v>-20906534.300913047</v>
      </c>
      <c r="Q118" s="43">
        <f t="shared" si="59"/>
        <v>-13317683.138144663</v>
      </c>
      <c r="R118" s="43">
        <f t="shared" si="59"/>
        <v>-5263153.122864152</v>
      </c>
      <c r="S118" s="43">
        <f t="shared" si="59"/>
        <v>-35489196.32547893</v>
      </c>
      <c r="T118" s="43">
        <f t="shared" si="59"/>
        <v>-33545961.193632003</v>
      </c>
      <c r="U118" s="43">
        <f t="shared" si="59"/>
        <v>-31483482.25439571</v>
      </c>
      <c r="V118" s="43">
        <f t="shared" si="59"/>
        <v>-29294442.284358583</v>
      </c>
      <c r="W118" s="43">
        <f t="shared" si="59"/>
        <v>-26971075.049299937</v>
      </c>
      <c r="X118" s="43">
        <f t="shared" si="59"/>
        <v>-24505137.75129231</v>
      </c>
      <c r="Y118" s="43">
        <f t="shared" si="59"/>
        <v>-21887881.785060313</v>
      </c>
      <c r="Z118" s="43">
        <f t="shared" si="59"/>
        <v>-19110021.699845858</v>
      </c>
      <c r="AA118" s="43">
        <f t="shared" si="59"/>
        <v>-16161702.256663172</v>
      </c>
      <c r="AB118" s="43">
        <f t="shared" si="59"/>
        <v>-13032463.464070078</v>
      </c>
      <c r="AC118" s="43">
        <f t="shared" si="59"/>
        <v>-9711203.468409985</v>
      </c>
      <c r="AD118" s="43">
        <f t="shared" si="59"/>
        <v>-6186139.166867415</v>
      </c>
      <c r="AE118" s="43">
        <f t="shared" si="59"/>
        <v>-2444764.403600757</v>
      </c>
      <c r="EB118" s="3"/>
      <c r="EC118" s="100"/>
      <c r="ED118" s="38"/>
      <c r="EE118" s="38"/>
      <c r="EF118" s="38"/>
      <c r="EG118" s="38"/>
      <c r="EH118" s="38"/>
      <c r="EI118" s="38"/>
    </row>
    <row r="119" spans="2:139" ht="15">
      <c r="B119" s="3" t="s">
        <v>154</v>
      </c>
      <c r="C119" s="88"/>
      <c r="D119" s="88"/>
      <c r="E119" s="88"/>
      <c r="F119" s="88">
        <v>0</v>
      </c>
      <c r="G119" s="88">
        <f>G122-F122</f>
        <v>0</v>
      </c>
      <c r="H119" s="88">
        <f aca="true" t="shared" si="60" ref="H119:AE119">H122-G122</f>
        <v>0</v>
      </c>
      <c r="I119" s="88">
        <f t="shared" si="60"/>
        <v>0</v>
      </c>
      <c r="J119" s="88">
        <f t="shared" si="60"/>
        <v>0</v>
      </c>
      <c r="K119" s="88">
        <f t="shared" si="60"/>
        <v>0</v>
      </c>
      <c r="L119" s="88">
        <f t="shared" si="60"/>
        <v>0</v>
      </c>
      <c r="M119" s="88">
        <f t="shared" si="60"/>
        <v>0</v>
      </c>
      <c r="N119" s="88">
        <f t="shared" si="60"/>
        <v>0</v>
      </c>
      <c r="O119" s="88">
        <f t="shared" si="60"/>
        <v>0</v>
      </c>
      <c r="P119" s="88">
        <f t="shared" si="60"/>
        <v>0</v>
      </c>
      <c r="Q119" s="88">
        <f t="shared" si="60"/>
        <v>0</v>
      </c>
      <c r="R119" s="88">
        <f t="shared" si="60"/>
        <v>0</v>
      </c>
      <c r="S119" s="88">
        <f t="shared" si="60"/>
        <v>0</v>
      </c>
      <c r="T119" s="88">
        <f t="shared" si="60"/>
        <v>0</v>
      </c>
      <c r="U119" s="88">
        <f t="shared" si="60"/>
        <v>0</v>
      </c>
      <c r="V119" s="88">
        <f t="shared" si="60"/>
        <v>0</v>
      </c>
      <c r="W119" s="88">
        <f t="shared" si="60"/>
        <v>0</v>
      </c>
      <c r="X119" s="88">
        <f t="shared" si="60"/>
        <v>0</v>
      </c>
      <c r="Y119" s="88">
        <f t="shared" si="60"/>
        <v>0</v>
      </c>
      <c r="Z119" s="88">
        <f t="shared" si="60"/>
        <v>0</v>
      </c>
      <c r="AA119" s="88">
        <f t="shared" si="60"/>
        <v>0</v>
      </c>
      <c r="AB119" s="88">
        <f t="shared" si="60"/>
        <v>0</v>
      </c>
      <c r="AC119" s="88">
        <f t="shared" si="60"/>
        <v>0</v>
      </c>
      <c r="AD119" s="88">
        <f t="shared" si="60"/>
        <v>0</v>
      </c>
      <c r="AE119" s="88">
        <f t="shared" si="60"/>
        <v>0</v>
      </c>
      <c r="EB119" s="3"/>
      <c r="EC119" s="100"/>
      <c r="ED119" s="38"/>
      <c r="EE119" s="38"/>
      <c r="EF119" s="38"/>
      <c r="EG119" s="38"/>
      <c r="EH119" s="38"/>
      <c r="EI119" s="38"/>
    </row>
    <row r="120" spans="2:139" ht="15">
      <c r="B120" s="105" t="s">
        <v>126</v>
      </c>
      <c r="C120" s="104"/>
      <c r="D120" s="104"/>
      <c r="E120" s="104"/>
      <c r="F120" s="41">
        <f>SUM(F116:F118)</f>
        <v>-2462100480</v>
      </c>
      <c r="G120" s="41">
        <f>SUM(G116:G118)</f>
        <v>178462774.00799996</v>
      </c>
      <c r="H120" s="41">
        <f>SUM(H116:H118)</f>
        <v>158868843.1081484</v>
      </c>
      <c r="I120" s="41">
        <f>SUM(I116:I118)</f>
        <v>117543660.3047575</v>
      </c>
      <c r="J120" s="41">
        <f>SUM(J116:J118)</f>
        <v>114675545.91832046</v>
      </c>
      <c r="K120" s="41">
        <f aca="true" t="shared" si="61" ref="K120:AE120">SUM(K116:K118)</f>
        <v>111659067.71132392</v>
      </c>
      <c r="L120" s="41">
        <f t="shared" si="61"/>
        <v>108483554.64697465</v>
      </c>
      <c r="M120" s="41">
        <f t="shared" si="61"/>
        <v>105137607.73522231</v>
      </c>
      <c r="N120" s="41">
        <f t="shared" si="61"/>
        <v>101609050.06041044</v>
      </c>
      <c r="O120" s="41">
        <f t="shared" si="61"/>
        <v>97884873.37218091</v>
      </c>
      <c r="P120" s="41">
        <f t="shared" si="61"/>
        <v>93951181.0028187</v>
      </c>
      <c r="Q120" s="41">
        <f t="shared" si="61"/>
        <v>89793126.85787632</v>
      </c>
      <c r="R120" s="41">
        <f t="shared" si="61"/>
        <v>85394850.2094405</v>
      </c>
      <c r="S120" s="41">
        <f t="shared" si="61"/>
        <v>162036986.91929734</v>
      </c>
      <c r="T120" s="41">
        <f t="shared" si="61"/>
        <v>157819284.60512513</v>
      </c>
      <c r="U120" s="41">
        <f t="shared" si="61"/>
        <v>153350721.58734083</v>
      </c>
      <c r="V120" s="41">
        <f t="shared" si="61"/>
        <v>148613316.8753758</v>
      </c>
      <c r="W120" s="41">
        <f t="shared" si="61"/>
        <v>143587839.74743244</v>
      </c>
      <c r="X120" s="41">
        <f t="shared" si="61"/>
        <v>138253722.64399147</v>
      </c>
      <c r="Y120" s="41">
        <f t="shared" si="61"/>
        <v>132588967.98772508</v>
      </c>
      <c r="Z120" s="41">
        <f t="shared" si="61"/>
        <v>126570048.50612605</v>
      </c>
      <c r="AA120" s="41">
        <f t="shared" si="61"/>
        <v>120171800.60359114</v>
      </c>
      <c r="AB120" s="41">
        <f t="shared" si="61"/>
        <v>113367310.29806611</v>
      </c>
      <c r="AC120" s="41">
        <f t="shared" si="61"/>
        <v>106127791.20351624</v>
      </c>
      <c r="AD120" s="41">
        <f t="shared" si="61"/>
        <v>98422454.00328355</v>
      </c>
      <c r="AE120" s="41">
        <f t="shared" si="61"/>
        <v>90218366.82065919</v>
      </c>
      <c r="EB120" s="3"/>
      <c r="EC120" s="100"/>
      <c r="ED120" s="38"/>
      <c r="EE120" s="38"/>
      <c r="EF120" s="38"/>
      <c r="EG120" s="38"/>
      <c r="EH120" s="38"/>
      <c r="EI120" s="38"/>
    </row>
    <row r="121" spans="2:139" ht="15">
      <c r="B121" s="107"/>
      <c r="C121" s="102"/>
      <c r="D121" s="102"/>
      <c r="E121" s="102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EB121" s="3"/>
      <c r="EC121" s="100"/>
      <c r="ED121" s="38"/>
      <c r="EE121" s="38"/>
      <c r="EF121" s="38"/>
      <c r="EG121" s="38"/>
      <c r="EH121" s="38"/>
      <c r="EI121" s="38"/>
    </row>
    <row r="122" spans="2:139" ht="15">
      <c r="B122" s="13" t="s">
        <v>157</v>
      </c>
      <c r="C122" s="1"/>
      <c r="D122" s="1"/>
      <c r="E122" s="1"/>
      <c r="F122" s="41">
        <f>-(F120)-D82</f>
        <v>738630144</v>
      </c>
      <c r="G122" s="41">
        <f>IF(G120&gt;0,F122,F122-G120)</f>
        <v>738630144</v>
      </c>
      <c r="H122" s="41">
        <f aca="true" t="shared" si="62" ref="H122:AE122">IF(H120&gt;0,G122,G122-H120)</f>
        <v>738630144</v>
      </c>
      <c r="I122" s="41">
        <f t="shared" si="62"/>
        <v>738630144</v>
      </c>
      <c r="J122" s="41">
        <f t="shared" si="62"/>
        <v>738630144</v>
      </c>
      <c r="K122" s="41">
        <f t="shared" si="62"/>
        <v>738630144</v>
      </c>
      <c r="L122" s="41">
        <f t="shared" si="62"/>
        <v>738630144</v>
      </c>
      <c r="M122" s="41">
        <f t="shared" si="62"/>
        <v>738630144</v>
      </c>
      <c r="N122" s="41">
        <f t="shared" si="62"/>
        <v>738630144</v>
      </c>
      <c r="O122" s="41">
        <f t="shared" si="62"/>
        <v>738630144</v>
      </c>
      <c r="P122" s="41">
        <f t="shared" si="62"/>
        <v>738630144</v>
      </c>
      <c r="Q122" s="41">
        <f t="shared" si="62"/>
        <v>738630144</v>
      </c>
      <c r="R122" s="41">
        <f t="shared" si="62"/>
        <v>738630144</v>
      </c>
      <c r="S122" s="41">
        <f t="shared" si="62"/>
        <v>738630144</v>
      </c>
      <c r="T122" s="41">
        <f t="shared" si="62"/>
        <v>738630144</v>
      </c>
      <c r="U122" s="41">
        <f t="shared" si="62"/>
        <v>738630144</v>
      </c>
      <c r="V122" s="41">
        <f t="shared" si="62"/>
        <v>738630144</v>
      </c>
      <c r="W122" s="41">
        <f t="shared" si="62"/>
        <v>738630144</v>
      </c>
      <c r="X122" s="41">
        <f t="shared" si="62"/>
        <v>738630144</v>
      </c>
      <c r="Y122" s="41">
        <f t="shared" si="62"/>
        <v>738630144</v>
      </c>
      <c r="Z122" s="41">
        <f t="shared" si="62"/>
        <v>738630144</v>
      </c>
      <c r="AA122" s="41">
        <f t="shared" si="62"/>
        <v>738630144</v>
      </c>
      <c r="AB122" s="41">
        <f t="shared" si="62"/>
        <v>738630144</v>
      </c>
      <c r="AC122" s="41">
        <f t="shared" si="62"/>
        <v>738630144</v>
      </c>
      <c r="AD122" s="41">
        <f t="shared" si="62"/>
        <v>738630144</v>
      </c>
      <c r="AE122" s="41">
        <f t="shared" si="62"/>
        <v>738630144</v>
      </c>
      <c r="EB122" s="3"/>
      <c r="EC122" s="100"/>
      <c r="ED122" s="38"/>
      <c r="EE122" s="38"/>
      <c r="EF122" s="38"/>
      <c r="EG122" s="38"/>
      <c r="EH122" s="38"/>
      <c r="EI122" s="38"/>
    </row>
    <row r="123" spans="2:139" ht="15">
      <c r="B123" s="15" t="s">
        <v>162</v>
      </c>
      <c r="C123" s="3"/>
      <c r="D123" s="3"/>
      <c r="E123" s="3"/>
      <c r="F123" s="43">
        <f>J83</f>
        <v>1120255718.4</v>
      </c>
      <c r="G123" s="43">
        <f aca="true" t="shared" si="63" ref="G123:AE123">G104</f>
        <v>1120255718.4</v>
      </c>
      <c r="H123" s="43">
        <f t="shared" si="63"/>
        <v>1081284847.114004</v>
      </c>
      <c r="I123" s="43">
        <f t="shared" si="63"/>
        <v>999773818.9243335</v>
      </c>
      <c r="J123" s="43">
        <f t="shared" si="63"/>
        <v>913260984.6298504</v>
      </c>
      <c r="K123" s="43">
        <f t="shared" si="63"/>
        <v>821439415.6484255</v>
      </c>
      <c r="L123" s="43">
        <f t="shared" si="63"/>
        <v>723983349.170342</v>
      </c>
      <c r="M123" s="43">
        <f t="shared" si="63"/>
        <v>620547032.4232173</v>
      </c>
      <c r="N123" s="43">
        <f t="shared" si="63"/>
        <v>510763496.0169169</v>
      </c>
      <c r="O123" s="43">
        <f t="shared" si="63"/>
        <v>394243252.016557</v>
      </c>
      <c r="P123" s="43">
        <f t="shared" si="63"/>
        <v>270572912.1246436</v>
      </c>
      <c r="Q123" s="43">
        <f t="shared" si="63"/>
        <v>139313721.06996185</v>
      </c>
      <c r="R123" s="43">
        <f t="shared" si="63"/>
        <v>603214617.5999994</v>
      </c>
      <c r="S123" s="43">
        <f t="shared" si="63"/>
        <v>571547037.8714033</v>
      </c>
      <c r="T123" s="43">
        <f t="shared" si="63"/>
        <v>537936223.0109603</v>
      </c>
      <c r="U123" s="43">
        <f t="shared" si="63"/>
        <v>502262929.21128106</v>
      </c>
      <c r="V123" s="43">
        <f t="shared" si="63"/>
        <v>464400595.44156456</v>
      </c>
      <c r="W123" s="43">
        <f t="shared" si="63"/>
        <v>424214894.43678945</v>
      </c>
      <c r="X123" s="43">
        <f t="shared" si="63"/>
        <v>381563256.13400674</v>
      </c>
      <c r="Y123" s="43">
        <f t="shared" si="63"/>
        <v>336294361.864992</v>
      </c>
      <c r="Z123" s="43">
        <f t="shared" si="63"/>
        <v>288247607.5107628</v>
      </c>
      <c r="AA123" s="43">
        <f t="shared" si="63"/>
        <v>237252533.71335095</v>
      </c>
      <c r="AB123" s="43">
        <f t="shared" si="63"/>
        <v>183128221.123346</v>
      </c>
      <c r="AC123" s="43">
        <f t="shared" si="63"/>
        <v>125682648.53768092</v>
      </c>
      <c r="AD123" s="43">
        <f t="shared" si="63"/>
        <v>64712011.6504733</v>
      </c>
      <c r="AE123" s="43">
        <f t="shared" si="63"/>
        <v>-9.778887033462524E-07</v>
      </c>
      <c r="EB123" s="3"/>
      <c r="EC123" s="100"/>
      <c r="ED123" s="38"/>
      <c r="EE123" s="38"/>
      <c r="EF123" s="38"/>
      <c r="EG123" s="38"/>
      <c r="EH123" s="38"/>
      <c r="EI123" s="38"/>
    </row>
    <row r="124" spans="2:139" ht="15">
      <c r="B124" s="15"/>
      <c r="C124" s="3"/>
      <c r="D124" s="3"/>
      <c r="E124" s="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EB124" s="3"/>
      <c r="EC124" s="100"/>
      <c r="ED124" s="38"/>
      <c r="EE124" s="38"/>
      <c r="EF124" s="38"/>
      <c r="EG124" s="38"/>
      <c r="EH124" s="38"/>
      <c r="EI124" s="38"/>
    </row>
    <row r="125" spans="2:139" ht="15">
      <c r="B125" s="13" t="s">
        <v>165</v>
      </c>
      <c r="C125" s="1"/>
      <c r="D125" s="1"/>
      <c r="E125" s="1"/>
      <c r="F125" s="41">
        <f>SUM(F122:F123)</f>
        <v>1858885862.4</v>
      </c>
      <c r="G125" s="41">
        <f aca="true" t="shared" si="64" ref="G125:AE125">SUM(G122:G123)</f>
        <v>1858885862.4</v>
      </c>
      <c r="H125" s="41">
        <f t="shared" si="64"/>
        <v>1819914991.114004</v>
      </c>
      <c r="I125" s="41">
        <f t="shared" si="64"/>
        <v>1738403962.9243336</v>
      </c>
      <c r="J125" s="41">
        <f t="shared" si="64"/>
        <v>1651891128.6298504</v>
      </c>
      <c r="K125" s="41">
        <f t="shared" si="64"/>
        <v>1560069559.6484256</v>
      </c>
      <c r="L125" s="41">
        <f t="shared" si="64"/>
        <v>1462613493.170342</v>
      </c>
      <c r="M125" s="41">
        <f t="shared" si="64"/>
        <v>1359177176.4232173</v>
      </c>
      <c r="N125" s="41">
        <f t="shared" si="64"/>
        <v>1249393640.0169168</v>
      </c>
      <c r="O125" s="41">
        <f t="shared" si="64"/>
        <v>1132873396.016557</v>
      </c>
      <c r="P125" s="41">
        <f t="shared" si="64"/>
        <v>1009203056.1246436</v>
      </c>
      <c r="Q125" s="41">
        <f t="shared" si="64"/>
        <v>877943865.0699618</v>
      </c>
      <c r="R125" s="41">
        <f t="shared" si="64"/>
        <v>1341844761.5999994</v>
      </c>
      <c r="S125" s="41">
        <f t="shared" si="64"/>
        <v>1310177181.8714032</v>
      </c>
      <c r="T125" s="41">
        <f t="shared" si="64"/>
        <v>1276566367.0109603</v>
      </c>
      <c r="U125" s="41">
        <f t="shared" si="64"/>
        <v>1240893073.211281</v>
      </c>
      <c r="V125" s="41">
        <f t="shared" si="64"/>
        <v>1203030739.4415646</v>
      </c>
      <c r="W125" s="41">
        <f t="shared" si="64"/>
        <v>1162845038.4367895</v>
      </c>
      <c r="X125" s="41">
        <f t="shared" si="64"/>
        <v>1120193400.1340067</v>
      </c>
      <c r="Y125" s="41">
        <f t="shared" si="64"/>
        <v>1074924505.8649921</v>
      </c>
      <c r="Z125" s="41">
        <f t="shared" si="64"/>
        <v>1026877751.5107628</v>
      </c>
      <c r="AA125" s="41">
        <f t="shared" si="64"/>
        <v>975882677.713351</v>
      </c>
      <c r="AB125" s="41">
        <f t="shared" si="64"/>
        <v>921758365.123346</v>
      </c>
      <c r="AC125" s="41">
        <f t="shared" si="64"/>
        <v>864312792.5376809</v>
      </c>
      <c r="AD125" s="41">
        <f t="shared" si="64"/>
        <v>803342155.6504734</v>
      </c>
      <c r="AE125" s="41">
        <f t="shared" si="64"/>
        <v>738630143.999999</v>
      </c>
      <c r="EB125" s="3"/>
      <c r="EC125" s="100"/>
      <c r="ED125" s="38"/>
      <c r="EE125" s="38"/>
      <c r="EF125" s="38"/>
      <c r="EG125" s="38"/>
      <c r="EH125" s="38"/>
      <c r="EI125" s="38"/>
    </row>
    <row r="126" spans="3:139" ht="15">
      <c r="C126" s="3"/>
      <c r="D126" s="3"/>
      <c r="E126" s="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EB126" s="3"/>
      <c r="EC126" s="100"/>
      <c r="ED126" s="38"/>
      <c r="EE126" s="38"/>
      <c r="EF126" s="38"/>
      <c r="EG126" s="38"/>
      <c r="EH126" s="38"/>
      <c r="EI126" s="38"/>
    </row>
    <row r="127" spans="2:139" ht="15">
      <c r="B127" s="15" t="s">
        <v>164</v>
      </c>
      <c r="C127" s="3"/>
      <c r="D127" s="3"/>
      <c r="E127" s="3"/>
      <c r="F127" s="116">
        <f aca="true" t="shared" si="65" ref="F127:AE127">F123/F$125</f>
        <v>0.6026490066225165</v>
      </c>
      <c r="G127" s="116">
        <f t="shared" si="65"/>
        <v>0.6026490066225165</v>
      </c>
      <c r="H127" s="116">
        <f t="shared" si="65"/>
        <v>0.5941403045711103</v>
      </c>
      <c r="I127" s="116">
        <f t="shared" si="65"/>
        <v>0.5751101816648643</v>
      </c>
      <c r="J127" s="116">
        <f t="shared" si="65"/>
        <v>0.5528578541294961</v>
      </c>
      <c r="K127" s="116">
        <f t="shared" si="65"/>
        <v>0.526540249803697</v>
      </c>
      <c r="L127" s="116">
        <f t="shared" si="65"/>
        <v>0.4949929373351022</v>
      </c>
      <c r="M127" s="116">
        <f t="shared" si="65"/>
        <v>0.4565608098689798</v>
      </c>
      <c r="N127" s="116">
        <f t="shared" si="65"/>
        <v>0.4088091051992238</v>
      </c>
      <c r="O127" s="116">
        <f t="shared" si="65"/>
        <v>0.3480029219529797</v>
      </c>
      <c r="P127" s="116">
        <f t="shared" si="65"/>
        <v>0.26810552195873055</v>
      </c>
      <c r="Q127" s="116">
        <f t="shared" si="65"/>
        <v>0.15868180941028637</v>
      </c>
      <c r="R127" s="116">
        <f t="shared" si="65"/>
        <v>0.44954128440366947</v>
      </c>
      <c r="S127" s="116">
        <f t="shared" si="65"/>
        <v>0.43623644632173264</v>
      </c>
      <c r="T127" s="116">
        <f t="shared" si="65"/>
        <v>0.4213930720033937</v>
      </c>
      <c r="U127" s="116">
        <f t="shared" si="65"/>
        <v>0.40475923353451027</v>
      </c>
      <c r="V127" s="116">
        <f t="shared" si="65"/>
        <v>0.3860255438336804</v>
      </c>
      <c r="W127" s="116">
        <f t="shared" si="65"/>
        <v>0.3648077606342637</v>
      </c>
      <c r="X127" s="116">
        <f t="shared" si="65"/>
        <v>0.3406226604159255</v>
      </c>
      <c r="Y127" s="116">
        <f t="shared" si="65"/>
        <v>0.3128539353509071</v>
      </c>
      <c r="Z127" s="116">
        <f t="shared" si="65"/>
        <v>0.28070294354579917</v>
      </c>
      <c r="AA127" s="116">
        <f t="shared" si="65"/>
        <v>0.243115836700034</v>
      </c>
      <c r="AB127" s="116">
        <f t="shared" si="65"/>
        <v>0.19867269780496163</v>
      </c>
      <c r="AC127" s="116">
        <f t="shared" si="65"/>
        <v>0.14541338462510564</v>
      </c>
      <c r="AD127" s="116">
        <f t="shared" si="65"/>
        <v>0.08055348669966833</v>
      </c>
      <c r="AE127" s="116">
        <f t="shared" si="65"/>
        <v>-1.3239220079085395E-15</v>
      </c>
      <c r="EB127" s="3"/>
      <c r="EC127" s="100"/>
      <c r="ED127" s="38"/>
      <c r="EE127" s="38"/>
      <c r="EF127" s="38"/>
      <c r="EG127" s="38"/>
      <c r="EH127" s="38"/>
      <c r="EI127" s="38"/>
    </row>
    <row r="128" spans="2:139" ht="15">
      <c r="B128" s="15" t="s">
        <v>163</v>
      </c>
      <c r="C128" s="3"/>
      <c r="D128" s="3"/>
      <c r="E128" s="3"/>
      <c r="F128" s="116">
        <f aca="true" t="shared" si="66" ref="F128:AE128">F122/F$125</f>
        <v>0.3973509933774834</v>
      </c>
      <c r="G128" s="116">
        <f t="shared" si="66"/>
        <v>0.3973509933774834</v>
      </c>
      <c r="H128" s="116">
        <f t="shared" si="66"/>
        <v>0.4058596954288896</v>
      </c>
      <c r="I128" s="116">
        <f t="shared" si="66"/>
        <v>0.42488981833513567</v>
      </c>
      <c r="J128" s="116">
        <f t="shared" si="66"/>
        <v>0.447142145870504</v>
      </c>
      <c r="K128" s="116">
        <f t="shared" si="66"/>
        <v>0.473459750196303</v>
      </c>
      <c r="L128" s="116">
        <f t="shared" si="66"/>
        <v>0.5050070626648978</v>
      </c>
      <c r="M128" s="116">
        <f t="shared" si="66"/>
        <v>0.5434391901310203</v>
      </c>
      <c r="N128" s="116">
        <f t="shared" si="66"/>
        <v>0.5911908948007762</v>
      </c>
      <c r="O128" s="116">
        <f t="shared" si="66"/>
        <v>0.6519970780470202</v>
      </c>
      <c r="P128" s="116">
        <f t="shared" si="66"/>
        <v>0.7318944780412695</v>
      </c>
      <c r="Q128" s="116">
        <f t="shared" si="66"/>
        <v>0.8413181905897137</v>
      </c>
      <c r="R128" s="116">
        <f t="shared" si="66"/>
        <v>0.5504587155963305</v>
      </c>
      <c r="S128" s="116">
        <f t="shared" si="66"/>
        <v>0.5637635536782675</v>
      </c>
      <c r="T128" s="116">
        <f t="shared" si="66"/>
        <v>0.5786069279966063</v>
      </c>
      <c r="U128" s="116">
        <f t="shared" si="66"/>
        <v>0.5952407664654897</v>
      </c>
      <c r="V128" s="116">
        <f t="shared" si="66"/>
        <v>0.6139744561663196</v>
      </c>
      <c r="W128" s="116">
        <f t="shared" si="66"/>
        <v>0.6351922393657363</v>
      </c>
      <c r="X128" s="116">
        <f t="shared" si="66"/>
        <v>0.6593773395840745</v>
      </c>
      <c r="Y128" s="116">
        <f t="shared" si="66"/>
        <v>0.6871460646490928</v>
      </c>
      <c r="Z128" s="116">
        <f t="shared" si="66"/>
        <v>0.7192970564542008</v>
      </c>
      <c r="AA128" s="116">
        <f t="shared" si="66"/>
        <v>0.756884163299966</v>
      </c>
      <c r="AB128" s="116">
        <f t="shared" si="66"/>
        <v>0.8013273021950384</v>
      </c>
      <c r="AC128" s="116">
        <f t="shared" si="66"/>
        <v>0.8545866153748944</v>
      </c>
      <c r="AD128" s="116">
        <f t="shared" si="66"/>
        <v>0.9194465133003316</v>
      </c>
      <c r="AE128" s="116">
        <f t="shared" si="66"/>
        <v>1.0000000000000013</v>
      </c>
      <c r="EB128" s="3"/>
      <c r="EC128" s="100"/>
      <c r="ED128" s="38"/>
      <c r="EE128" s="38"/>
      <c r="EF128" s="38"/>
      <c r="EG128" s="38"/>
      <c r="EH128" s="38"/>
      <c r="EI128" s="38"/>
    </row>
    <row r="130" spans="3:139" ht="15">
      <c r="C130" s="31"/>
      <c r="EB130" s="3"/>
      <c r="EC130" s="100"/>
      <c r="ED130" s="38"/>
      <c r="EE130" s="38"/>
      <c r="EF130" s="38"/>
      <c r="EG130" s="38"/>
      <c r="EH130" s="38"/>
      <c r="EI130" s="38"/>
    </row>
    <row r="131" spans="2:139" s="22" customFormat="1" ht="15">
      <c r="B131" s="23" t="s">
        <v>174</v>
      </c>
      <c r="EB131" s="3"/>
      <c r="EC131" s="100"/>
      <c r="ED131" s="38"/>
      <c r="EE131" s="38"/>
      <c r="EF131" s="38"/>
      <c r="EG131" s="38"/>
      <c r="EH131" s="38"/>
      <c r="EI131" s="38"/>
    </row>
    <row r="132" spans="2:139" ht="15">
      <c r="B132" s="25"/>
      <c r="EB132" s="3"/>
      <c r="EC132" s="100"/>
      <c r="ED132" s="38"/>
      <c r="EE132" s="38"/>
      <c r="EF132" s="38"/>
      <c r="EG132" s="38"/>
      <c r="EH132" s="38"/>
      <c r="EI132" s="38"/>
    </row>
    <row r="133" spans="2:139" ht="15">
      <c r="B133" s="111" t="s">
        <v>173</v>
      </c>
      <c r="C133" s="112"/>
      <c r="D133" s="223">
        <f>J81*4</f>
        <v>0.06</v>
      </c>
      <c r="F133" s="111" t="s">
        <v>166</v>
      </c>
      <c r="G133" s="112"/>
      <c r="H133" s="33"/>
      <c r="I133" s="69"/>
      <c r="J133" s="109">
        <v>0.0003</v>
      </c>
      <c r="EB133" s="3"/>
      <c r="EC133" s="100"/>
      <c r="ED133" s="38"/>
      <c r="EE133" s="38"/>
      <c r="EF133" s="38"/>
      <c r="EG133" s="38"/>
      <c r="EH133" s="38"/>
      <c r="EI133" s="38"/>
    </row>
    <row r="134" spans="2:139" ht="15">
      <c r="B134" s="113" t="s">
        <v>160</v>
      </c>
      <c r="C134" s="110"/>
      <c r="D134" s="123">
        <v>0.04625</v>
      </c>
      <c r="F134" s="114" t="s">
        <v>243</v>
      </c>
      <c r="G134" s="115"/>
      <c r="H134" s="51"/>
      <c r="I134" s="70"/>
      <c r="J134" s="65">
        <v>0.53</v>
      </c>
      <c r="EB134" s="3"/>
      <c r="EC134" s="100"/>
      <c r="ED134" s="38"/>
      <c r="EE134" s="38"/>
      <c r="EF134" s="38"/>
      <c r="EG134" s="38"/>
      <c r="EH134" s="38"/>
      <c r="EI134" s="38"/>
    </row>
    <row r="135" spans="2:139" ht="15">
      <c r="B135" s="113" t="s">
        <v>159</v>
      </c>
      <c r="C135" s="110"/>
      <c r="D135" s="224">
        <f>D49</f>
        <v>0.1</v>
      </c>
      <c r="EB135" s="3"/>
      <c r="EC135" s="100"/>
      <c r="ED135" s="38"/>
      <c r="EE135" s="38"/>
      <c r="EF135" s="38"/>
      <c r="EG135" s="38"/>
      <c r="EH135" s="38"/>
      <c r="EI135" s="38"/>
    </row>
    <row r="136" spans="2:139" ht="15">
      <c r="B136" s="114" t="s">
        <v>161</v>
      </c>
      <c r="C136" s="115"/>
      <c r="D136" s="124">
        <v>0.0727</v>
      </c>
      <c r="EB136" s="3"/>
      <c r="EC136" s="100"/>
      <c r="ED136" s="38"/>
      <c r="EE136" s="38"/>
      <c r="EF136" s="38"/>
      <c r="EG136" s="38"/>
      <c r="EH136" s="38"/>
      <c r="EI136" s="38"/>
    </row>
    <row r="137" spans="2:139" ht="15">
      <c r="B137" s="88"/>
      <c r="C137" s="89"/>
      <c r="EB137" s="3"/>
      <c r="EC137" s="100"/>
      <c r="ED137" s="38"/>
      <c r="EE137" s="38"/>
      <c r="EF137" s="38"/>
      <c r="EG137" s="38"/>
      <c r="EH137" s="38"/>
      <c r="EI137" s="38"/>
    </row>
    <row r="138" spans="2:139" ht="15">
      <c r="B138" s="19"/>
      <c r="C138" s="15"/>
      <c r="D138" s="15"/>
      <c r="E138" s="15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EB138" s="3"/>
      <c r="EC138" s="100"/>
      <c r="ED138" s="38"/>
      <c r="EE138" s="38"/>
      <c r="EF138" s="38"/>
      <c r="EG138" s="38"/>
      <c r="EH138" s="38"/>
      <c r="EI138" s="38"/>
    </row>
    <row r="139" spans="2:139" ht="15">
      <c r="B139" s="19" t="s">
        <v>169</v>
      </c>
      <c r="C139" s="15"/>
      <c r="D139" s="15"/>
      <c r="E139" s="15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EB139" s="3"/>
      <c r="EC139" s="100"/>
      <c r="ED139" s="38"/>
      <c r="EE139" s="38"/>
      <c r="EF139" s="38"/>
      <c r="EG139" s="38"/>
      <c r="EH139" s="38"/>
      <c r="EI139" s="38"/>
    </row>
    <row r="140" spans="2:139" ht="15">
      <c r="B140" s="119" t="s">
        <v>170</v>
      </c>
      <c r="C140" s="15"/>
      <c r="D140" s="15"/>
      <c r="E140" s="15"/>
      <c r="F140" s="120">
        <f aca="true" t="shared" si="67" ref="F140:AE140">F127/F128</f>
        <v>1.5166666666666666</v>
      </c>
      <c r="G140" s="120">
        <f t="shared" si="67"/>
        <v>1.5166666666666666</v>
      </c>
      <c r="H140" s="120">
        <f t="shared" si="67"/>
        <v>1.4639056581936682</v>
      </c>
      <c r="I140" s="120">
        <f t="shared" si="67"/>
        <v>1.3535513369521153</v>
      </c>
      <c r="J140" s="120">
        <f t="shared" si="67"/>
        <v>1.236425282732369</v>
      </c>
      <c r="K140" s="120">
        <f t="shared" si="67"/>
        <v>1.1121119579550027</v>
      </c>
      <c r="L140" s="120">
        <f t="shared" si="67"/>
        <v>0.9801703261792982</v>
      </c>
      <c r="M140" s="120">
        <f t="shared" si="67"/>
        <v>0.8401322874025803</v>
      </c>
      <c r="N140" s="120">
        <f t="shared" si="67"/>
        <v>0.6915010173439617</v>
      </c>
      <c r="O140" s="120">
        <f t="shared" si="67"/>
        <v>0.5337492048206429</v>
      </c>
      <c r="P140" s="120">
        <f t="shared" si="67"/>
        <v>0.36631718096336396</v>
      </c>
      <c r="Q140" s="120">
        <f t="shared" si="67"/>
        <v>0.1886109336338727</v>
      </c>
      <c r="R140" s="120">
        <f t="shared" si="67"/>
        <v>0.8166666666666659</v>
      </c>
      <c r="S140" s="120">
        <f t="shared" si="67"/>
        <v>0.7737932746370602</v>
      </c>
      <c r="T140" s="120">
        <f t="shared" si="67"/>
        <v>0.7282890190451804</v>
      </c>
      <c r="U140" s="120">
        <f t="shared" si="67"/>
        <v>0.6799924607616353</v>
      </c>
      <c r="V140" s="120">
        <f t="shared" si="67"/>
        <v>0.6287322541788446</v>
      </c>
      <c r="W140" s="120">
        <f t="shared" si="67"/>
        <v>0.5743265393143627</v>
      </c>
      <c r="X140" s="120">
        <f t="shared" si="67"/>
        <v>0.516582296611505</v>
      </c>
      <c r="Y140" s="120">
        <f t="shared" si="67"/>
        <v>0.4552946621482483</v>
      </c>
      <c r="Z140" s="120">
        <f t="shared" si="67"/>
        <v>0.390246200824919</v>
      </c>
      <c r="AA140" s="120">
        <f t="shared" si="67"/>
        <v>0.32120613495209716</v>
      </c>
      <c r="AB140" s="120">
        <f t="shared" si="67"/>
        <v>0.2479295255019351</v>
      </c>
      <c r="AC140" s="120">
        <f t="shared" si="67"/>
        <v>0.17015640311814964</v>
      </c>
      <c r="AD140" s="120">
        <f t="shared" si="67"/>
        <v>0.08761084580170247</v>
      </c>
      <c r="AE140" s="120">
        <f t="shared" si="67"/>
        <v>-1.3239220079085377E-15</v>
      </c>
      <c r="EB140" s="3"/>
      <c r="EC140" s="100"/>
      <c r="ED140" s="38"/>
      <c r="EE140" s="38"/>
      <c r="EF140" s="38"/>
      <c r="EG140" s="38"/>
      <c r="EH140" s="38"/>
      <c r="EI140" s="38"/>
    </row>
    <row r="141" spans="2:139" s="3" customFormat="1" ht="15">
      <c r="B141" s="119" t="s">
        <v>171</v>
      </c>
      <c r="C141" s="15"/>
      <c r="D141" s="15"/>
      <c r="E141" s="15"/>
      <c r="F141" s="120">
        <f aca="true" t="shared" si="68" ref="F141:AE141">$J$134/(1+((1-$D$135)*($J$133)))</f>
        <v>0.5298569386265709</v>
      </c>
      <c r="G141" s="120">
        <f t="shared" si="68"/>
        <v>0.5298569386265709</v>
      </c>
      <c r="H141" s="120">
        <f t="shared" si="68"/>
        <v>0.5298569386265709</v>
      </c>
      <c r="I141" s="120">
        <f t="shared" si="68"/>
        <v>0.5298569386265709</v>
      </c>
      <c r="J141" s="120">
        <f t="shared" si="68"/>
        <v>0.5298569386265709</v>
      </c>
      <c r="K141" s="120">
        <f t="shared" si="68"/>
        <v>0.5298569386265709</v>
      </c>
      <c r="L141" s="120">
        <f t="shared" si="68"/>
        <v>0.5298569386265709</v>
      </c>
      <c r="M141" s="120">
        <f t="shared" si="68"/>
        <v>0.5298569386265709</v>
      </c>
      <c r="N141" s="120">
        <f t="shared" si="68"/>
        <v>0.5298569386265709</v>
      </c>
      <c r="O141" s="120">
        <f t="shared" si="68"/>
        <v>0.5298569386265709</v>
      </c>
      <c r="P141" s="120">
        <f t="shared" si="68"/>
        <v>0.5298569386265709</v>
      </c>
      <c r="Q141" s="120">
        <f t="shared" si="68"/>
        <v>0.5298569386265709</v>
      </c>
      <c r="R141" s="120">
        <f t="shared" si="68"/>
        <v>0.5298569386265709</v>
      </c>
      <c r="S141" s="120">
        <f t="shared" si="68"/>
        <v>0.5298569386265709</v>
      </c>
      <c r="T141" s="120">
        <f t="shared" si="68"/>
        <v>0.5298569386265709</v>
      </c>
      <c r="U141" s="120">
        <f t="shared" si="68"/>
        <v>0.5298569386265709</v>
      </c>
      <c r="V141" s="120">
        <f t="shared" si="68"/>
        <v>0.5298569386265709</v>
      </c>
      <c r="W141" s="120">
        <f t="shared" si="68"/>
        <v>0.5298569386265709</v>
      </c>
      <c r="X141" s="120">
        <f t="shared" si="68"/>
        <v>0.5298569386265709</v>
      </c>
      <c r="Y141" s="120">
        <f t="shared" si="68"/>
        <v>0.5298569386265709</v>
      </c>
      <c r="Z141" s="120">
        <f t="shared" si="68"/>
        <v>0.5298569386265709</v>
      </c>
      <c r="AA141" s="120">
        <f t="shared" si="68"/>
        <v>0.5298569386265709</v>
      </c>
      <c r="AB141" s="120">
        <f t="shared" si="68"/>
        <v>0.5298569386265709</v>
      </c>
      <c r="AC141" s="120">
        <f t="shared" si="68"/>
        <v>0.5298569386265709</v>
      </c>
      <c r="AD141" s="120">
        <f t="shared" si="68"/>
        <v>0.5298569386265709</v>
      </c>
      <c r="AE141" s="120">
        <f t="shared" si="68"/>
        <v>0.5298569386265709</v>
      </c>
      <c r="EC141" s="117"/>
      <c r="ED141" s="43"/>
      <c r="EE141" s="43"/>
      <c r="EF141" s="43"/>
      <c r="EG141" s="43"/>
      <c r="EH141" s="43"/>
      <c r="EI141" s="43"/>
    </row>
    <row r="142" spans="2:139" ht="15">
      <c r="B142" s="17" t="s">
        <v>169</v>
      </c>
      <c r="C142" s="13"/>
      <c r="D142" s="13"/>
      <c r="E142" s="13"/>
      <c r="F142" s="122">
        <f aca="true" t="shared" si="69" ref="F142:AE142">F141*(1+((1-$D$135)*F140))</f>
        <v>1.2531116598518404</v>
      </c>
      <c r="G142" s="122">
        <f t="shared" si="69"/>
        <v>1.2531116598518404</v>
      </c>
      <c r="H142" s="122">
        <f t="shared" si="69"/>
        <v>1.227951452066322</v>
      </c>
      <c r="I142" s="122">
        <f t="shared" si="69"/>
        <v>1.1753266495307857</v>
      </c>
      <c r="J142" s="122">
        <f t="shared" si="69"/>
        <v>1.1194726022607295</v>
      </c>
      <c r="K142" s="122">
        <f t="shared" si="69"/>
        <v>1.0601911523334064</v>
      </c>
      <c r="L142" s="122">
        <f t="shared" si="69"/>
        <v>0.9972719821523442</v>
      </c>
      <c r="M142" s="122">
        <f t="shared" si="69"/>
        <v>0.9304918682865936</v>
      </c>
      <c r="N142" s="122">
        <f t="shared" si="69"/>
        <v>0.8596138895228986</v>
      </c>
      <c r="O142" s="122">
        <f t="shared" si="69"/>
        <v>0.7843865863211401</v>
      </c>
      <c r="P142" s="122">
        <f t="shared" si="69"/>
        <v>0.7045430686909782</v>
      </c>
      <c r="Q142" s="122">
        <f t="shared" si="69"/>
        <v>0.6198000693246398</v>
      </c>
      <c r="R142" s="122">
        <f t="shared" si="69"/>
        <v>0.9193017885171002</v>
      </c>
      <c r="S142" s="122">
        <f t="shared" si="69"/>
        <v>0.8988567006926909</v>
      </c>
      <c r="T142" s="122">
        <f t="shared" si="69"/>
        <v>0.8771570296865357</v>
      </c>
      <c r="U142" s="122">
        <f t="shared" si="69"/>
        <v>0.8541257898200488</v>
      </c>
      <c r="V142" s="122">
        <f t="shared" si="69"/>
        <v>0.829681271300058</v>
      </c>
      <c r="W142" s="122">
        <f t="shared" si="69"/>
        <v>0.803736750330362</v>
      </c>
      <c r="X142" s="122">
        <f t="shared" si="69"/>
        <v>0.7762001814347006</v>
      </c>
      <c r="Y142" s="122">
        <f t="shared" si="69"/>
        <v>0.7469738708995717</v>
      </c>
      <c r="Z142" s="122">
        <f t="shared" si="69"/>
        <v>0.7159541301783383</v>
      </c>
      <c r="AA142" s="122">
        <f t="shared" si="69"/>
        <v>0.6830309080269832</v>
      </c>
      <c r="AB142" s="122">
        <f t="shared" si="69"/>
        <v>0.6480874000664052</v>
      </c>
      <c r="AC142" s="122">
        <f t="shared" si="69"/>
        <v>0.6109996343860732</v>
      </c>
      <c r="AD142" s="122">
        <f t="shared" si="69"/>
        <v>0.571636031718848</v>
      </c>
      <c r="AE142" s="122">
        <f t="shared" si="69"/>
        <v>0.5298569386265702</v>
      </c>
      <c r="EB142" s="3"/>
      <c r="EC142" s="100"/>
      <c r="ED142" s="38"/>
      <c r="EE142" s="38"/>
      <c r="EF142" s="38"/>
      <c r="EG142" s="38"/>
      <c r="EH142" s="38"/>
      <c r="EI142" s="38"/>
    </row>
    <row r="143" spans="2:139" ht="15">
      <c r="B143" s="19"/>
      <c r="C143" s="15"/>
      <c r="D143" s="15"/>
      <c r="E143" s="15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EB143" s="3"/>
      <c r="EC143" s="100"/>
      <c r="ED143" s="38"/>
      <c r="EE143" s="38"/>
      <c r="EF143" s="38"/>
      <c r="EG143" s="38"/>
      <c r="EH143" s="38"/>
      <c r="EI143" s="38"/>
    </row>
    <row r="144" spans="2:139" ht="15">
      <c r="B144" s="19" t="s">
        <v>172</v>
      </c>
      <c r="C144" s="15"/>
      <c r="D144" s="15"/>
      <c r="E144" s="15"/>
      <c r="F144" s="121">
        <f>$D$134+($D$136*F142)</f>
        <v>0.1373512176712288</v>
      </c>
      <c r="G144" s="121">
        <f aca="true" t="shared" si="70" ref="G144:AE144">$D$134+($D$136*G142)</f>
        <v>0.1373512176712288</v>
      </c>
      <c r="H144" s="121">
        <f t="shared" si="70"/>
        <v>0.1355220705652216</v>
      </c>
      <c r="I144" s="121">
        <f t="shared" si="70"/>
        <v>0.13169624742088812</v>
      </c>
      <c r="J144" s="121">
        <f t="shared" si="70"/>
        <v>0.12763565818435504</v>
      </c>
      <c r="K144" s="121">
        <f t="shared" si="70"/>
        <v>0.12332589677463865</v>
      </c>
      <c r="L144" s="121">
        <f t="shared" si="70"/>
        <v>0.11875167310247543</v>
      </c>
      <c r="M144" s="121">
        <f t="shared" si="70"/>
        <v>0.11389675882443535</v>
      </c>
      <c r="N144" s="121">
        <f t="shared" si="70"/>
        <v>0.10874392976831473</v>
      </c>
      <c r="O144" s="121">
        <f t="shared" si="70"/>
        <v>0.10327490482554688</v>
      </c>
      <c r="P144" s="121">
        <f t="shared" si="70"/>
        <v>0.09747028109383411</v>
      </c>
      <c r="Q144" s="121">
        <f t="shared" si="70"/>
        <v>0.09130946503990131</v>
      </c>
      <c r="R144" s="121">
        <f t="shared" si="70"/>
        <v>0.11308324002519318</v>
      </c>
      <c r="S144" s="121">
        <f t="shared" si="70"/>
        <v>0.11159688214035862</v>
      </c>
      <c r="T144" s="121">
        <f t="shared" si="70"/>
        <v>0.11001931605821115</v>
      </c>
      <c r="U144" s="121">
        <f t="shared" si="70"/>
        <v>0.10834494491991756</v>
      </c>
      <c r="V144" s="121">
        <f t="shared" si="70"/>
        <v>0.10656782842351421</v>
      </c>
      <c r="W144" s="121">
        <f t="shared" si="70"/>
        <v>0.10468166174901732</v>
      </c>
      <c r="X144" s="121">
        <f t="shared" si="70"/>
        <v>0.10267975319030273</v>
      </c>
      <c r="Y144" s="121">
        <f t="shared" si="70"/>
        <v>0.10055500041439885</v>
      </c>
      <c r="Z144" s="121">
        <f t="shared" si="70"/>
        <v>0.0982998652639652</v>
      </c>
      <c r="AA144" s="121">
        <f t="shared" si="70"/>
        <v>0.09590634701356168</v>
      </c>
      <c r="AB144" s="121">
        <f t="shared" si="70"/>
        <v>0.09336595398482767</v>
      </c>
      <c r="AC144" s="121">
        <f t="shared" si="70"/>
        <v>0.09066967341986752</v>
      </c>
      <c r="AD144" s="121">
        <f t="shared" si="70"/>
        <v>0.08780793950596025</v>
      </c>
      <c r="AE144" s="121">
        <f t="shared" si="70"/>
        <v>0.08477059943815166</v>
      </c>
      <c r="EB144" s="3"/>
      <c r="EC144" s="100"/>
      <c r="ED144" s="38"/>
      <c r="EE144" s="38"/>
      <c r="EF144" s="38"/>
      <c r="EG144" s="38"/>
      <c r="EH144" s="38"/>
      <c r="EI144" s="38"/>
    </row>
    <row r="145" spans="2:139" ht="15">
      <c r="B145" s="19"/>
      <c r="C145" s="15"/>
      <c r="D145" s="15"/>
      <c r="E145" s="15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EB145" s="3"/>
      <c r="EC145" s="100"/>
      <c r="ED145" s="38"/>
      <c r="EE145" s="38"/>
      <c r="EF145" s="38"/>
      <c r="EG145" s="38"/>
      <c r="EH145" s="38"/>
      <c r="EI145" s="38"/>
    </row>
    <row r="146" spans="2:139" ht="15">
      <c r="B146" s="126" t="s">
        <v>52</v>
      </c>
      <c r="C146" s="5"/>
      <c r="D146" s="5"/>
      <c r="E146" s="5"/>
      <c r="F146" s="127">
        <f aca="true" t="shared" si="71" ref="F146:AE146">(F127*$D$133*(1-$D$135))+(F144*F128)</f>
        <v>0.08711968914088561</v>
      </c>
      <c r="G146" s="127">
        <f t="shared" si="71"/>
        <v>0.08711968914088561</v>
      </c>
      <c r="H146" s="127">
        <f t="shared" si="71"/>
        <v>0.08708652273033327</v>
      </c>
      <c r="I146" s="127">
        <f t="shared" si="71"/>
        <v>0.08701234445198291</v>
      </c>
      <c r="J146" s="127">
        <f t="shared" si="71"/>
        <v>0.08692560621313945</v>
      </c>
      <c r="K146" s="127">
        <f t="shared" si="71"/>
        <v>0.0868230217690551</v>
      </c>
      <c r="L146" s="127">
        <f t="shared" si="71"/>
        <v>0.08670005223611879</v>
      </c>
      <c r="M146" s="127">
        <f t="shared" si="71"/>
        <v>0.08655024610702419</v>
      </c>
      <c r="N146" s="127">
        <f t="shared" si="71"/>
        <v>0.08636411282464083</v>
      </c>
      <c r="O146" s="127">
        <f t="shared" si="71"/>
        <v>0.08612709396730159</v>
      </c>
      <c r="P146" s="127">
        <f t="shared" si="71"/>
        <v>0.08581565869147899</v>
      </c>
      <c r="Q146" s="127">
        <f t="shared" si="71"/>
        <v>0.08538913161923994</v>
      </c>
      <c r="R146" s="127">
        <f t="shared" si="71"/>
        <v>0.08652288441753754</v>
      </c>
      <c r="S146" s="127">
        <f t="shared" si="71"/>
        <v>0.0864710229562369</v>
      </c>
      <c r="T146" s="127">
        <f t="shared" si="71"/>
        <v>0.08641316437291252</v>
      </c>
      <c r="U146" s="127">
        <f t="shared" si="71"/>
        <v>0.08634832666765656</v>
      </c>
      <c r="V146" s="127">
        <f t="shared" si="71"/>
        <v>0.08627530386817153</v>
      </c>
      <c r="W146" s="127">
        <f t="shared" si="71"/>
        <v>0.08619259822113509</v>
      </c>
      <c r="X146" s="127">
        <f t="shared" si="71"/>
        <v>0.08609832615023118</v>
      </c>
      <c r="Y146" s="127">
        <f t="shared" si="71"/>
        <v>0.08599008532449105</v>
      </c>
      <c r="Z146" s="127">
        <f t="shared" si="71"/>
        <v>0.08586476268568786</v>
      </c>
      <c r="AA146" s="127">
        <f t="shared" si="71"/>
        <v>0.08571825039631767</v>
      </c>
      <c r="AB146" s="127">
        <f t="shared" si="71"/>
        <v>0.08554501370499598</v>
      </c>
      <c r="AC146" s="127">
        <f t="shared" si="71"/>
        <v>0.08533741209478732</v>
      </c>
      <c r="AD146" s="127">
        <f t="shared" si="71"/>
        <v>0.08508459210062368</v>
      </c>
      <c r="AE146" s="127">
        <f t="shared" si="71"/>
        <v>0.0847705994381517</v>
      </c>
      <c r="EB146" s="3"/>
      <c r="EC146" s="100"/>
      <c r="ED146" s="38"/>
      <c r="EE146" s="38"/>
      <c r="EF146" s="38"/>
      <c r="EG146" s="38"/>
      <c r="EH146" s="38"/>
      <c r="EI146" s="38"/>
    </row>
    <row r="147" spans="2:31" ht="15">
      <c r="B147" s="108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5">
      <c r="B148" s="12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="22" customFormat="1" ht="15">
      <c r="B149" s="23" t="s">
        <v>158</v>
      </c>
    </row>
    <row r="150" spans="2:31" ht="15">
      <c r="B150" s="12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2:32" ht="15">
      <c r="B151" s="118" t="s">
        <v>115</v>
      </c>
      <c r="F151" s="30">
        <v>0</v>
      </c>
      <c r="G151" s="8">
        <f aca="true" t="shared" si="72" ref="G151:AE151">F151+1</f>
        <v>1</v>
      </c>
      <c r="H151" s="8">
        <f t="shared" si="72"/>
        <v>2</v>
      </c>
      <c r="I151" s="8">
        <f t="shared" si="72"/>
        <v>3</v>
      </c>
      <c r="J151" s="8">
        <f t="shared" si="72"/>
        <v>4</v>
      </c>
      <c r="K151" s="8">
        <f t="shared" si="72"/>
        <v>5</v>
      </c>
      <c r="L151" s="8">
        <f t="shared" si="72"/>
        <v>6</v>
      </c>
      <c r="M151" s="8">
        <f t="shared" si="72"/>
        <v>7</v>
      </c>
      <c r="N151" s="8">
        <f t="shared" si="72"/>
        <v>8</v>
      </c>
      <c r="O151" s="8">
        <f t="shared" si="72"/>
        <v>9</v>
      </c>
      <c r="P151" s="8">
        <f t="shared" si="72"/>
        <v>10</v>
      </c>
      <c r="Q151" s="8">
        <f t="shared" si="72"/>
        <v>11</v>
      </c>
      <c r="R151" s="8">
        <f t="shared" si="72"/>
        <v>12</v>
      </c>
      <c r="S151" s="8">
        <f t="shared" si="72"/>
        <v>13</v>
      </c>
      <c r="T151" s="8">
        <f t="shared" si="72"/>
        <v>14</v>
      </c>
      <c r="U151" s="8">
        <f t="shared" si="72"/>
        <v>15</v>
      </c>
      <c r="V151" s="8">
        <f t="shared" si="72"/>
        <v>16</v>
      </c>
      <c r="W151" s="8">
        <f t="shared" si="72"/>
        <v>17</v>
      </c>
      <c r="X151" s="8">
        <f t="shared" si="72"/>
        <v>18</v>
      </c>
      <c r="Y151" s="8">
        <f t="shared" si="72"/>
        <v>19</v>
      </c>
      <c r="Z151" s="8">
        <f t="shared" si="72"/>
        <v>20</v>
      </c>
      <c r="AA151" s="8">
        <f t="shared" si="72"/>
        <v>21</v>
      </c>
      <c r="AB151" s="8">
        <f t="shared" si="72"/>
        <v>22</v>
      </c>
      <c r="AC151" s="8">
        <f t="shared" si="72"/>
        <v>23</v>
      </c>
      <c r="AD151" s="8">
        <f t="shared" si="72"/>
        <v>24</v>
      </c>
      <c r="AE151" s="8">
        <f t="shared" si="72"/>
        <v>25</v>
      </c>
      <c r="AF151" s="4" t="s">
        <v>176</v>
      </c>
    </row>
    <row r="152" spans="2:139" ht="15">
      <c r="B152" s="25"/>
      <c r="EB152" s="3"/>
      <c r="EC152" s="100"/>
      <c r="ED152" s="38"/>
      <c r="EE152" s="38"/>
      <c r="EF152" s="38"/>
      <c r="EG152" s="38"/>
      <c r="EH152" s="38"/>
      <c r="EI152" s="38"/>
    </row>
    <row r="153" spans="2:139" ht="15">
      <c r="B153" s="17" t="s">
        <v>126</v>
      </c>
      <c r="C153" s="13"/>
      <c r="D153" s="13"/>
      <c r="E153" s="13"/>
      <c r="F153" s="40">
        <f>-F122</f>
        <v>-738630144</v>
      </c>
      <c r="G153" s="40">
        <f aca="true" t="shared" si="73" ref="G153:AE153">G120</f>
        <v>178462774.00799996</v>
      </c>
      <c r="H153" s="40">
        <f t="shared" si="73"/>
        <v>158868843.1081484</v>
      </c>
      <c r="I153" s="40">
        <f t="shared" si="73"/>
        <v>117543660.3047575</v>
      </c>
      <c r="J153" s="40">
        <f t="shared" si="73"/>
        <v>114675545.91832046</v>
      </c>
      <c r="K153" s="40">
        <f t="shared" si="73"/>
        <v>111659067.71132392</v>
      </c>
      <c r="L153" s="40">
        <f t="shared" si="73"/>
        <v>108483554.64697465</v>
      </c>
      <c r="M153" s="40">
        <f t="shared" si="73"/>
        <v>105137607.73522231</v>
      </c>
      <c r="N153" s="40">
        <f t="shared" si="73"/>
        <v>101609050.06041044</v>
      </c>
      <c r="O153" s="40">
        <f t="shared" si="73"/>
        <v>97884873.37218091</v>
      </c>
      <c r="P153" s="40">
        <f t="shared" si="73"/>
        <v>93951181.0028187</v>
      </c>
      <c r="Q153" s="40">
        <f t="shared" si="73"/>
        <v>89793126.85787632</v>
      </c>
      <c r="R153" s="40">
        <f t="shared" si="73"/>
        <v>85394850.2094405</v>
      </c>
      <c r="S153" s="40">
        <f t="shared" si="73"/>
        <v>162036986.91929734</v>
      </c>
      <c r="T153" s="40">
        <f t="shared" si="73"/>
        <v>157819284.60512513</v>
      </c>
      <c r="U153" s="40">
        <f t="shared" si="73"/>
        <v>153350721.58734083</v>
      </c>
      <c r="V153" s="40">
        <f t="shared" si="73"/>
        <v>148613316.8753758</v>
      </c>
      <c r="W153" s="40">
        <f t="shared" si="73"/>
        <v>143587839.74743244</v>
      </c>
      <c r="X153" s="40">
        <f t="shared" si="73"/>
        <v>138253722.64399147</v>
      </c>
      <c r="Y153" s="40">
        <f t="shared" si="73"/>
        <v>132588967.98772508</v>
      </c>
      <c r="Z153" s="40">
        <f t="shared" si="73"/>
        <v>126570048.50612605</v>
      </c>
      <c r="AA153" s="40">
        <f t="shared" si="73"/>
        <v>120171800.60359114</v>
      </c>
      <c r="AB153" s="40">
        <f t="shared" si="73"/>
        <v>113367310.29806611</v>
      </c>
      <c r="AC153" s="40">
        <f t="shared" si="73"/>
        <v>106127791.20351624</v>
      </c>
      <c r="AD153" s="40">
        <f t="shared" si="73"/>
        <v>98422454.00328355</v>
      </c>
      <c r="AE153" s="40">
        <f t="shared" si="73"/>
        <v>90218366.82065919</v>
      </c>
      <c r="AF153" s="38">
        <f>AE76</f>
        <v>-1.4901161193847656E-07</v>
      </c>
      <c r="EB153" s="3"/>
      <c r="EC153" s="100"/>
      <c r="ED153" s="38"/>
      <c r="EE153" s="38"/>
      <c r="EF153" s="38"/>
      <c r="EG153" s="38"/>
      <c r="EH153" s="38"/>
      <c r="EI153" s="38"/>
    </row>
    <row r="154" spans="2:139" ht="15">
      <c r="B154" s="19"/>
      <c r="C154" s="15"/>
      <c r="D154" s="15"/>
      <c r="E154" s="15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EB154" s="3"/>
      <c r="EC154" s="100"/>
      <c r="ED154" s="38"/>
      <c r="EE154" s="38"/>
      <c r="EF154" s="38"/>
      <c r="EG154" s="38"/>
      <c r="EH154" s="38"/>
      <c r="EI154" s="38"/>
    </row>
    <row r="155" spans="2:139" ht="15">
      <c r="B155" s="19" t="s">
        <v>52</v>
      </c>
      <c r="C155" s="15"/>
      <c r="D155" s="15"/>
      <c r="E155" s="15"/>
      <c r="F155" s="125">
        <f>F146</f>
        <v>0.08711968914088561</v>
      </c>
      <c r="G155" s="125">
        <f aca="true" t="shared" si="74" ref="G155:AE155">G146</f>
        <v>0.08711968914088561</v>
      </c>
      <c r="H155" s="125">
        <f t="shared" si="74"/>
        <v>0.08708652273033327</v>
      </c>
      <c r="I155" s="125">
        <f t="shared" si="74"/>
        <v>0.08701234445198291</v>
      </c>
      <c r="J155" s="125">
        <f t="shared" si="74"/>
        <v>0.08692560621313945</v>
      </c>
      <c r="K155" s="125">
        <f t="shared" si="74"/>
        <v>0.0868230217690551</v>
      </c>
      <c r="L155" s="125">
        <f t="shared" si="74"/>
        <v>0.08670005223611879</v>
      </c>
      <c r="M155" s="125">
        <f t="shared" si="74"/>
        <v>0.08655024610702419</v>
      </c>
      <c r="N155" s="125">
        <f t="shared" si="74"/>
        <v>0.08636411282464083</v>
      </c>
      <c r="O155" s="125">
        <f t="shared" si="74"/>
        <v>0.08612709396730159</v>
      </c>
      <c r="P155" s="125">
        <f t="shared" si="74"/>
        <v>0.08581565869147899</v>
      </c>
      <c r="Q155" s="125">
        <f t="shared" si="74"/>
        <v>0.08538913161923994</v>
      </c>
      <c r="R155" s="125">
        <f t="shared" si="74"/>
        <v>0.08652288441753754</v>
      </c>
      <c r="S155" s="125">
        <f t="shared" si="74"/>
        <v>0.0864710229562369</v>
      </c>
      <c r="T155" s="125">
        <f t="shared" si="74"/>
        <v>0.08641316437291252</v>
      </c>
      <c r="U155" s="125">
        <f t="shared" si="74"/>
        <v>0.08634832666765656</v>
      </c>
      <c r="V155" s="125">
        <f t="shared" si="74"/>
        <v>0.08627530386817153</v>
      </c>
      <c r="W155" s="125">
        <f t="shared" si="74"/>
        <v>0.08619259822113509</v>
      </c>
      <c r="X155" s="125">
        <f t="shared" si="74"/>
        <v>0.08609832615023118</v>
      </c>
      <c r="Y155" s="125">
        <f t="shared" si="74"/>
        <v>0.08599008532449105</v>
      </c>
      <c r="Z155" s="125">
        <f t="shared" si="74"/>
        <v>0.08586476268568786</v>
      </c>
      <c r="AA155" s="125">
        <f t="shared" si="74"/>
        <v>0.08571825039631767</v>
      </c>
      <c r="AB155" s="125">
        <f t="shared" si="74"/>
        <v>0.08554501370499598</v>
      </c>
      <c r="AC155" s="125">
        <f t="shared" si="74"/>
        <v>0.08533741209478732</v>
      </c>
      <c r="AD155" s="125">
        <f t="shared" si="74"/>
        <v>0.08508459210062368</v>
      </c>
      <c r="AE155" s="125">
        <f t="shared" si="74"/>
        <v>0.0847705994381517</v>
      </c>
      <c r="EB155" s="3"/>
      <c r="EC155" s="100"/>
      <c r="ED155" s="38"/>
      <c r="EE155" s="38"/>
      <c r="EF155" s="38"/>
      <c r="EG155" s="38"/>
      <c r="EH155" s="38"/>
      <c r="EI155" s="38"/>
    </row>
    <row r="156" spans="2:139" ht="15">
      <c r="B156" s="17" t="s">
        <v>175</v>
      </c>
      <c r="C156" s="13"/>
      <c r="D156" s="13"/>
      <c r="E156" s="13"/>
      <c r="F156" s="40">
        <f>F153/((1+F155)^F151)</f>
        <v>-738630144</v>
      </c>
      <c r="G156" s="40">
        <f>G153/((1+G155)^G151)</f>
        <v>164161109.20503438</v>
      </c>
      <c r="H156" s="40">
        <f>H153/((1+H155)^H151)</f>
        <v>134434429.92291504</v>
      </c>
      <c r="I156" s="40">
        <f>I153/((1+I155)^I151)</f>
        <v>91515737.13871631</v>
      </c>
      <c r="J156" s="40">
        <f>J153/((1+J155)^J151)</f>
        <v>82162100.8924537</v>
      </c>
      <c r="K156" s="40">
        <f aca="true" t="shared" si="75" ref="K156:AE156">K153/((1+K155)^K151)</f>
        <v>73637638.18305685</v>
      </c>
      <c r="L156" s="40">
        <f t="shared" si="75"/>
        <v>65872747.747593924</v>
      </c>
      <c r="M156" s="40">
        <f t="shared" si="75"/>
        <v>58804341.28687337</v>
      </c>
      <c r="N156" s="40">
        <f t="shared" si="75"/>
        <v>52375611.48345474</v>
      </c>
      <c r="O156" s="40">
        <f t="shared" si="75"/>
        <v>46536075.53167358</v>
      </c>
      <c r="P156" s="40">
        <f t="shared" si="75"/>
        <v>41242144.532499366</v>
      </c>
      <c r="Q156" s="40">
        <f t="shared" si="75"/>
        <v>36458847.95410209</v>
      </c>
      <c r="R156" s="40">
        <f t="shared" si="75"/>
        <v>31547514.335158117</v>
      </c>
      <c r="S156" s="40">
        <f t="shared" si="75"/>
        <v>55128761.644525416</v>
      </c>
      <c r="T156" s="40">
        <f t="shared" si="75"/>
        <v>49457231.08633418</v>
      </c>
      <c r="U156" s="40">
        <f t="shared" si="75"/>
        <v>44274057.80628823</v>
      </c>
      <c r="V156" s="40">
        <f t="shared" si="75"/>
        <v>39538412.64654808</v>
      </c>
      <c r="W156" s="40">
        <f t="shared" si="75"/>
        <v>35212867.99821601</v>
      </c>
      <c r="X156" s="40">
        <f t="shared" si="75"/>
        <v>31263114.06720114</v>
      </c>
      <c r="Y156" s="40">
        <f t="shared" si="75"/>
        <v>27657698.88377389</v>
      </c>
      <c r="Z156" s="40">
        <f t="shared" si="75"/>
        <v>24367790.07086902</v>
      </c>
      <c r="AA156" s="40">
        <f t="shared" si="75"/>
        <v>21366956.554937124</v>
      </c>
      <c r="AB156" s="40">
        <f t="shared" si="75"/>
        <v>18630968.55777496</v>
      </c>
      <c r="AC156" s="40">
        <f t="shared" si="75"/>
        <v>16137614.348126052</v>
      </c>
      <c r="AD156" s="40">
        <f t="shared" si="75"/>
        <v>13866532.354307596</v>
      </c>
      <c r="AE156" s="40">
        <f t="shared" si="75"/>
        <v>11799057.328993835</v>
      </c>
      <c r="EB156" s="3"/>
      <c r="EC156" s="100"/>
      <c r="ED156" s="38"/>
      <c r="EE156" s="38"/>
      <c r="EF156" s="38"/>
      <c r="EG156" s="38"/>
      <c r="EH156" s="38"/>
      <c r="EI156" s="38"/>
    </row>
    <row r="157" spans="2:139" ht="15">
      <c r="B157" s="19"/>
      <c r="C157" s="15"/>
      <c r="D157" s="15"/>
      <c r="E157" s="15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EB157" s="3"/>
      <c r="EC157" s="100"/>
      <c r="ED157" s="38"/>
      <c r="EE157" s="38"/>
      <c r="EF157" s="38"/>
      <c r="EG157" s="38"/>
      <c r="EH157" s="38"/>
      <c r="EI157" s="38"/>
    </row>
    <row r="158" spans="2:139" ht="15">
      <c r="B158" s="19" t="s">
        <v>194</v>
      </c>
      <c r="C158" s="15"/>
      <c r="D158" s="15"/>
      <c r="E158" s="15"/>
      <c r="F158" s="39">
        <f>SUM(F156:AE156)</f>
        <v>528819217.561427</v>
      </c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EB158" s="3"/>
      <c r="EC158" s="100"/>
      <c r="ED158" s="38"/>
      <c r="EE158" s="38"/>
      <c r="EF158" s="38"/>
      <c r="EG158" s="38"/>
      <c r="EH158" s="38"/>
      <c r="EI158" s="38"/>
    </row>
    <row r="159" spans="2:139" ht="15">
      <c r="B159" s="19"/>
      <c r="C159" s="15"/>
      <c r="D159" s="15"/>
      <c r="E159" s="1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5"/>
      <c r="W159" s="125"/>
      <c r="X159" s="125"/>
      <c r="Y159" s="125"/>
      <c r="Z159" s="125"/>
      <c r="AA159" s="125"/>
      <c r="AB159" s="125"/>
      <c r="AC159" s="125"/>
      <c r="AD159" s="125"/>
      <c r="AE159" s="125"/>
      <c r="EB159" s="3"/>
      <c r="EC159" s="100"/>
      <c r="ED159" s="38"/>
      <c r="EE159" s="38"/>
      <c r="EF159" s="38"/>
      <c r="EG159" s="38"/>
      <c r="EH159" s="38"/>
      <c r="EI159" s="38"/>
    </row>
    <row r="160" s="22" customFormat="1" ht="15">
      <c r="B160" s="23" t="s">
        <v>91</v>
      </c>
    </row>
    <row r="162" spans="2:139" ht="15">
      <c r="B162" s="133" t="s">
        <v>205</v>
      </c>
      <c r="C162" s="134"/>
      <c r="D162" s="225">
        <f>AVERAGE(F155:AE155)</f>
        <v>0.08621790428042399</v>
      </c>
      <c r="G162" s="2" t="s">
        <v>179</v>
      </c>
      <c r="H162" s="2" t="s">
        <v>180</v>
      </c>
      <c r="EB162" s="3"/>
      <c r="EC162" s="100"/>
      <c r="ED162" s="38"/>
      <c r="EE162" s="38"/>
      <c r="EF162" s="38"/>
      <c r="EG162" s="38"/>
      <c r="EH162" s="38"/>
      <c r="EI162" s="38"/>
    </row>
    <row r="163" spans="132:139" ht="15">
      <c r="EB163" s="3"/>
      <c r="EC163" s="100"/>
      <c r="ED163" s="38"/>
      <c r="EE163" s="38"/>
      <c r="EF163" s="38"/>
      <c r="EG163" s="38"/>
      <c r="EH163" s="38"/>
      <c r="EI163" s="38"/>
    </row>
    <row r="164" spans="2:139" ht="15">
      <c r="B164" s="4" t="s">
        <v>190</v>
      </c>
      <c r="F164" s="30">
        <v>0</v>
      </c>
      <c r="G164" s="8">
        <f aca="true" t="shared" si="76" ref="G164:AE164">F164+1</f>
        <v>1</v>
      </c>
      <c r="H164" s="8">
        <f t="shared" si="76"/>
        <v>2</v>
      </c>
      <c r="I164" s="8">
        <f t="shared" si="76"/>
        <v>3</v>
      </c>
      <c r="J164" s="8">
        <f t="shared" si="76"/>
        <v>4</v>
      </c>
      <c r="K164" s="8">
        <f t="shared" si="76"/>
        <v>5</v>
      </c>
      <c r="L164" s="8">
        <f t="shared" si="76"/>
        <v>6</v>
      </c>
      <c r="M164" s="8">
        <f t="shared" si="76"/>
        <v>7</v>
      </c>
      <c r="N164" s="8">
        <f t="shared" si="76"/>
        <v>8</v>
      </c>
      <c r="O164" s="8">
        <f t="shared" si="76"/>
        <v>9</v>
      </c>
      <c r="P164" s="8">
        <f t="shared" si="76"/>
        <v>10</v>
      </c>
      <c r="Q164" s="8">
        <f t="shared" si="76"/>
        <v>11</v>
      </c>
      <c r="R164" s="8">
        <f t="shared" si="76"/>
        <v>12</v>
      </c>
      <c r="S164" s="8">
        <f t="shared" si="76"/>
        <v>13</v>
      </c>
      <c r="T164" s="8">
        <f t="shared" si="76"/>
        <v>14</v>
      </c>
      <c r="U164" s="8">
        <f t="shared" si="76"/>
        <v>15</v>
      </c>
      <c r="V164" s="8">
        <f t="shared" si="76"/>
        <v>16</v>
      </c>
      <c r="W164" s="8">
        <f t="shared" si="76"/>
        <v>17</v>
      </c>
      <c r="X164" s="8">
        <f t="shared" si="76"/>
        <v>18</v>
      </c>
      <c r="Y164" s="8">
        <f t="shared" si="76"/>
        <v>19</v>
      </c>
      <c r="Z164" s="8">
        <f t="shared" si="76"/>
        <v>20</v>
      </c>
      <c r="AA164" s="8">
        <f t="shared" si="76"/>
        <v>21</v>
      </c>
      <c r="AB164" s="8">
        <f t="shared" si="76"/>
        <v>22</v>
      </c>
      <c r="AC164" s="8">
        <f t="shared" si="76"/>
        <v>23</v>
      </c>
      <c r="AD164" s="8">
        <f t="shared" si="76"/>
        <v>24</v>
      </c>
      <c r="AE164" s="8">
        <f t="shared" si="76"/>
        <v>25</v>
      </c>
      <c r="EB164" s="3"/>
      <c r="EC164" s="100"/>
      <c r="ED164" s="38"/>
      <c r="EE164" s="38"/>
      <c r="EF164" s="38"/>
      <c r="EG164" s="38"/>
      <c r="EH164" s="38"/>
      <c r="EI164" s="38"/>
    </row>
    <row r="165" spans="2:139" ht="15">
      <c r="B165" s="98" t="s">
        <v>115</v>
      </c>
      <c r="C165" s="1"/>
      <c r="D165" s="1"/>
      <c r="E165" s="1"/>
      <c r="F165" s="140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EB165" s="3"/>
      <c r="EC165" s="100"/>
      <c r="ED165" s="38"/>
      <c r="EE165" s="38"/>
      <c r="EF165" s="38"/>
      <c r="EG165" s="38"/>
      <c r="EH165" s="38"/>
      <c r="EI165" s="38"/>
    </row>
    <row r="166" spans="2:139" ht="15">
      <c r="B166" s="15"/>
      <c r="C166" s="3"/>
      <c r="D166" s="3"/>
      <c r="E166" s="3"/>
      <c r="F166" s="30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EB166" s="3"/>
      <c r="EC166" s="100"/>
      <c r="ED166" s="38"/>
      <c r="EE166" s="38"/>
      <c r="EF166" s="38"/>
      <c r="EG166" s="38"/>
      <c r="EH166" s="38"/>
      <c r="EI166" s="38"/>
    </row>
    <row r="167" spans="2:139" ht="15">
      <c r="B167" s="136" t="s">
        <v>50</v>
      </c>
      <c r="C167" s="3"/>
      <c r="D167" s="3"/>
      <c r="E167" s="3"/>
      <c r="F167" s="43">
        <f>-C14</f>
        <v>-2462100480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3">
        <v>0</v>
      </c>
      <c r="R167" s="43">
        <v>0</v>
      </c>
      <c r="S167" s="43">
        <v>0</v>
      </c>
      <c r="T167" s="43">
        <v>0</v>
      </c>
      <c r="U167" s="43">
        <v>0</v>
      </c>
      <c r="V167" s="43">
        <v>0</v>
      </c>
      <c r="W167" s="43">
        <v>0</v>
      </c>
      <c r="X167" s="43">
        <v>0</v>
      </c>
      <c r="Y167" s="43">
        <v>0</v>
      </c>
      <c r="Z167" s="43">
        <v>0</v>
      </c>
      <c r="AA167" s="43">
        <v>0</v>
      </c>
      <c r="AB167" s="43">
        <v>0</v>
      </c>
      <c r="AC167" s="43">
        <v>0</v>
      </c>
      <c r="AD167" s="43">
        <v>0</v>
      </c>
      <c r="AE167" s="43">
        <v>0</v>
      </c>
      <c r="EB167" s="3"/>
      <c r="EC167" s="100"/>
      <c r="ED167" s="38"/>
      <c r="EE167" s="38"/>
      <c r="EF167" s="38"/>
      <c r="EG167" s="38"/>
      <c r="EH167" s="38"/>
      <c r="EI167" s="38"/>
    </row>
    <row r="168" spans="2:139" ht="15">
      <c r="B168" s="136" t="s">
        <v>183</v>
      </c>
      <c r="F168" s="38">
        <f aca="true" t="shared" si="77" ref="F168:AE168">F56</f>
        <v>0</v>
      </c>
      <c r="G168" s="38">
        <f t="shared" si="77"/>
        <v>254564645.42399997</v>
      </c>
      <c r="H168" s="38">
        <f t="shared" si="77"/>
        <v>275804473.44479996</v>
      </c>
      <c r="I168" s="38">
        <f t="shared" si="77"/>
        <v>273295053.3080759</v>
      </c>
      <c r="J168" s="38">
        <f t="shared" si="77"/>
        <v>270664015.7792362</v>
      </c>
      <c r="K168" s="38">
        <f t="shared" si="77"/>
        <v>267902232.73667797</v>
      </c>
      <c r="L168" s="38">
        <f t="shared" si="77"/>
        <v>264999940.16480753</v>
      </c>
      <c r="M168" s="38">
        <f t="shared" si="77"/>
        <v>261946693.62608728</v>
      </c>
      <c r="N168" s="38">
        <f t="shared" si="77"/>
        <v>258731320.61620474</v>
      </c>
      <c r="O168" s="38">
        <f t="shared" si="77"/>
        <v>255341869.58417854</v>
      </c>
      <c r="P168" s="38">
        <f t="shared" si="77"/>
        <v>251765555.38394868</v>
      </c>
      <c r="Q168" s="38">
        <f t="shared" si="77"/>
        <v>247988700.90765363</v>
      </c>
      <c r="R168" s="38">
        <f t="shared" si="77"/>
        <v>243996674.6333117</v>
      </c>
      <c r="S168" s="38">
        <f t="shared" si="77"/>
        <v>239773823.80091608</v>
      </c>
      <c r="T168" s="38">
        <f t="shared" si="77"/>
        <v>235303402.91092995</v>
      </c>
      <c r="U168" s="38">
        <f t="shared" si="77"/>
        <v>230567497.21775147</v>
      </c>
      <c r="V168" s="38">
        <f t="shared" si="77"/>
        <v>225546940.86779442</v>
      </c>
      <c r="W168" s="38">
        <f t="shared" si="77"/>
        <v>220221229.30730832</v>
      </c>
      <c r="X168" s="38">
        <f t="shared" si="77"/>
        <v>214568425.5588192</v>
      </c>
      <c r="Y168" s="38">
        <f t="shared" si="77"/>
        <v>208565059.93699342</v>
      </c>
      <c r="Z168" s="38">
        <f t="shared" si="77"/>
        <v>202186022.744685</v>
      </c>
      <c r="AA168" s="38">
        <f t="shared" si="77"/>
        <v>195404449.45777762</v>
      </c>
      <c r="AB168" s="38">
        <f t="shared" si="77"/>
        <v>188191597.87303793</v>
      </c>
      <c r="AC168" s="38">
        <f t="shared" si="77"/>
        <v>180516716.6563892</v>
      </c>
      <c r="AD168" s="38">
        <f t="shared" si="77"/>
        <v>172346904.6896354</v>
      </c>
      <c r="AE168" s="38">
        <f t="shared" si="77"/>
        <v>163646960.57152683</v>
      </c>
      <c r="EB168" s="3"/>
      <c r="EC168" s="100"/>
      <c r="ED168" s="38"/>
      <c r="EE168" s="38"/>
      <c r="EF168" s="38"/>
      <c r="EG168" s="38"/>
      <c r="EH168" s="38"/>
      <c r="EI168" s="38"/>
    </row>
    <row r="169" spans="2:139" ht="15">
      <c r="B169" s="136" t="s">
        <v>149</v>
      </c>
      <c r="F169" s="38">
        <f>F113</f>
        <v>0</v>
      </c>
      <c r="G169" s="38">
        <f aca="true" t="shared" si="78" ref="G169:AE169">G113</f>
        <v>-8886528.311999997</v>
      </c>
      <c r="H169" s="38">
        <f t="shared" si="78"/>
        <v>-11039521.688238308</v>
      </c>
      <c r="I169" s="38">
        <f t="shared" si="78"/>
        <v>-11174518.810491994</v>
      </c>
      <c r="J169" s="38">
        <f t="shared" si="78"/>
        <v>-11411595.668089287</v>
      </c>
      <c r="K169" s="38">
        <f t="shared" si="78"/>
        <v>-11666290.832527637</v>
      </c>
      <c r="L169" s="38">
        <f t="shared" si="78"/>
        <v>-11939511.325006453</v>
      </c>
      <c r="M169" s="38">
        <f t="shared" si="78"/>
        <v>-12232211.698038552</v>
      </c>
      <c r="N169" s="38">
        <f t="shared" si="78"/>
        <v>-12545396.362967873</v>
      </c>
      <c r="O169" s="38">
        <f t="shared" si="78"/>
        <v>-12880122.019171204</v>
      </c>
      <c r="P169" s="38">
        <f t="shared" si="78"/>
        <v>-13237500.188303566</v>
      </c>
      <c r="Q169" s="38">
        <f t="shared" si="78"/>
        <v>-13618699.856950898</v>
      </c>
      <c r="R169" s="38">
        <f t="shared" si="78"/>
        <v>-14024950.231044754</v>
      </c>
      <c r="S169" s="38">
        <f t="shared" si="78"/>
        <v>-10580060.827543717</v>
      </c>
      <c r="T169" s="38">
        <f t="shared" si="78"/>
        <v>-10327342.251729794</v>
      </c>
      <c r="U169" s="38">
        <f t="shared" si="78"/>
        <v>-10059999.576335577</v>
      </c>
      <c r="V169" s="38">
        <f t="shared" si="78"/>
        <v>-9776847.938343585</v>
      </c>
      <c r="W169" s="38">
        <f t="shared" si="78"/>
        <v>-9476613.505800838</v>
      </c>
      <c r="X169" s="38">
        <f t="shared" si="78"/>
        <v>-9157926.86075269</v>
      </c>
      <c r="Y169" s="38">
        <f t="shared" si="78"/>
        <v>-8819315.89519331</v>
      </c>
      <c r="Z169" s="38">
        <f t="shared" si="78"/>
        <v>-8459198.184483914</v>
      </c>
      <c r="AA169" s="38">
        <f t="shared" si="78"/>
        <v>-8075872.800111445</v>
      </c>
      <c r="AB169" s="38">
        <f t="shared" si="78"/>
        <v>-7667511.520896785</v>
      </c>
      <c r="AC169" s="38">
        <f t="shared" si="78"/>
        <v>-7232149.398797922</v>
      </c>
      <c r="AD169" s="38">
        <f t="shared" si="78"/>
        <v>-6767674.632276798</v>
      </c>
      <c r="AE169" s="38">
        <f t="shared" si="78"/>
        <v>-6271817.696792606</v>
      </c>
      <c r="EB169" s="3"/>
      <c r="EC169" s="100"/>
      <c r="ED169" s="38"/>
      <c r="EE169" s="38"/>
      <c r="EF169" s="38"/>
      <c r="EG169" s="38"/>
      <c r="EH169" s="38"/>
      <c r="EI169" s="38"/>
    </row>
    <row r="170" spans="2:139" ht="15">
      <c r="B170" s="136" t="s">
        <v>184</v>
      </c>
      <c r="C170" s="3"/>
      <c r="D170" s="3"/>
      <c r="E170" s="3"/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38">
        <v>0</v>
      </c>
      <c r="AD170" s="38">
        <v>0</v>
      </c>
      <c r="AE170" s="38">
        <f>$AE$76</f>
        <v>-1.4901161193847656E-07</v>
      </c>
      <c r="EB170" s="3"/>
      <c r="EC170" s="100"/>
      <c r="ED170" s="38"/>
      <c r="EE170" s="38"/>
      <c r="EF170" s="38"/>
      <c r="EG170" s="38"/>
      <c r="EH170" s="38"/>
      <c r="EI170" s="38"/>
    </row>
    <row r="171" spans="2:139" ht="15">
      <c r="B171" s="13" t="s">
        <v>51</v>
      </c>
      <c r="C171" s="13"/>
      <c r="D171" s="13"/>
      <c r="E171" s="13"/>
      <c r="F171" s="40">
        <f aca="true" t="shared" si="79" ref="F171:AE171">SUM(F167:F170)</f>
        <v>-2462100480</v>
      </c>
      <c r="G171" s="40">
        <f t="shared" si="79"/>
        <v>245678117.11199996</v>
      </c>
      <c r="H171" s="40">
        <f t="shared" si="79"/>
        <v>264764951.75656164</v>
      </c>
      <c r="I171" s="40">
        <f t="shared" si="79"/>
        <v>262120534.49758393</v>
      </c>
      <c r="J171" s="40">
        <f t="shared" si="79"/>
        <v>259252420.1111469</v>
      </c>
      <c r="K171" s="40">
        <f t="shared" si="79"/>
        <v>256235941.90415034</v>
      </c>
      <c r="L171" s="40">
        <f t="shared" si="79"/>
        <v>253060428.83980107</v>
      </c>
      <c r="M171" s="40">
        <f t="shared" si="79"/>
        <v>249714481.92804873</v>
      </c>
      <c r="N171" s="40">
        <f t="shared" si="79"/>
        <v>246185924.25323686</v>
      </c>
      <c r="O171" s="40">
        <f t="shared" si="79"/>
        <v>242461747.56500733</v>
      </c>
      <c r="P171" s="40">
        <f t="shared" si="79"/>
        <v>238528055.19564512</v>
      </c>
      <c r="Q171" s="40">
        <f t="shared" si="79"/>
        <v>234370001.05070272</v>
      </c>
      <c r="R171" s="40">
        <f t="shared" si="79"/>
        <v>229971724.40226692</v>
      </c>
      <c r="S171" s="40">
        <f t="shared" si="79"/>
        <v>229193762.97337237</v>
      </c>
      <c r="T171" s="40">
        <f t="shared" si="79"/>
        <v>224976060.65920016</v>
      </c>
      <c r="U171" s="40">
        <f t="shared" si="79"/>
        <v>220507497.6414159</v>
      </c>
      <c r="V171" s="40">
        <f t="shared" si="79"/>
        <v>215770092.92945084</v>
      </c>
      <c r="W171" s="40">
        <f t="shared" si="79"/>
        <v>210744615.80150747</v>
      </c>
      <c r="X171" s="40">
        <f t="shared" si="79"/>
        <v>205410498.6980665</v>
      </c>
      <c r="Y171" s="40">
        <f t="shared" si="79"/>
        <v>199745744.0418001</v>
      </c>
      <c r="Z171" s="40">
        <f t="shared" si="79"/>
        <v>193726824.56020108</v>
      </c>
      <c r="AA171" s="40">
        <f t="shared" si="79"/>
        <v>187328576.65766618</v>
      </c>
      <c r="AB171" s="40">
        <f t="shared" si="79"/>
        <v>180524086.35214114</v>
      </c>
      <c r="AC171" s="40">
        <f t="shared" si="79"/>
        <v>173284567.25759128</v>
      </c>
      <c r="AD171" s="40">
        <f t="shared" si="79"/>
        <v>165579230.0573586</v>
      </c>
      <c r="AE171" s="40">
        <f t="shared" si="79"/>
        <v>157375142.87473407</v>
      </c>
      <c r="EB171" s="3"/>
      <c r="EC171" s="100"/>
      <c r="ED171" s="38"/>
      <c r="EE171" s="38"/>
      <c r="EF171" s="38"/>
      <c r="EG171" s="38"/>
      <c r="EH171" s="38"/>
      <c r="EI171" s="38"/>
    </row>
    <row r="172" spans="2:139" ht="15">
      <c r="B172" s="15"/>
      <c r="C172" s="15"/>
      <c r="D172" s="15"/>
      <c r="E172" s="15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EB172" s="3"/>
      <c r="EC172" s="100"/>
      <c r="ED172" s="38"/>
      <c r="EE172" s="38"/>
      <c r="EF172" s="38"/>
      <c r="EG172" s="38"/>
      <c r="EH172" s="38"/>
      <c r="EI172" s="38"/>
    </row>
    <row r="173" spans="2:139" ht="15">
      <c r="B173" s="4" t="s">
        <v>191</v>
      </c>
      <c r="E173" s="38"/>
      <c r="EB173" s="3"/>
      <c r="EC173" s="100"/>
      <c r="ED173" s="38"/>
      <c r="EE173" s="38"/>
      <c r="EF173" s="38"/>
      <c r="EG173" s="38"/>
      <c r="EH173" s="38"/>
      <c r="EI173" s="38"/>
    </row>
    <row r="174" spans="6:139" ht="15">
      <c r="F174" s="30">
        <v>0</v>
      </c>
      <c r="G174" s="8">
        <f aca="true" t="shared" si="80" ref="G174:AE174">F174+1</f>
        <v>1</v>
      </c>
      <c r="H174" s="8">
        <f t="shared" si="80"/>
        <v>2</v>
      </c>
      <c r="I174" s="8">
        <f t="shared" si="80"/>
        <v>3</v>
      </c>
      <c r="J174" s="8">
        <f t="shared" si="80"/>
        <v>4</v>
      </c>
      <c r="K174" s="8">
        <f t="shared" si="80"/>
        <v>5</v>
      </c>
      <c r="L174" s="8">
        <f t="shared" si="80"/>
        <v>6</v>
      </c>
      <c r="M174" s="8">
        <f t="shared" si="80"/>
        <v>7</v>
      </c>
      <c r="N174" s="8">
        <f t="shared" si="80"/>
        <v>8</v>
      </c>
      <c r="O174" s="8">
        <f t="shared" si="80"/>
        <v>9</v>
      </c>
      <c r="P174" s="8">
        <f t="shared" si="80"/>
        <v>10</v>
      </c>
      <c r="Q174" s="8">
        <f t="shared" si="80"/>
        <v>11</v>
      </c>
      <c r="R174" s="8">
        <f t="shared" si="80"/>
        <v>12</v>
      </c>
      <c r="S174" s="8">
        <f t="shared" si="80"/>
        <v>13</v>
      </c>
      <c r="T174" s="8">
        <f t="shared" si="80"/>
        <v>14</v>
      </c>
      <c r="U174" s="8">
        <f t="shared" si="80"/>
        <v>15</v>
      </c>
      <c r="V174" s="8">
        <f t="shared" si="80"/>
        <v>16</v>
      </c>
      <c r="W174" s="8">
        <f t="shared" si="80"/>
        <v>17</v>
      </c>
      <c r="X174" s="8">
        <f t="shared" si="80"/>
        <v>18</v>
      </c>
      <c r="Y174" s="8">
        <f t="shared" si="80"/>
        <v>19</v>
      </c>
      <c r="Z174" s="8">
        <f t="shared" si="80"/>
        <v>20</v>
      </c>
      <c r="AA174" s="8">
        <f t="shared" si="80"/>
        <v>21</v>
      </c>
      <c r="AB174" s="8">
        <f t="shared" si="80"/>
        <v>22</v>
      </c>
      <c r="AC174" s="8">
        <f t="shared" si="80"/>
        <v>23</v>
      </c>
      <c r="AD174" s="8">
        <f t="shared" si="80"/>
        <v>24</v>
      </c>
      <c r="AE174" s="8">
        <f t="shared" si="80"/>
        <v>25</v>
      </c>
      <c r="EB174" s="3"/>
      <c r="EC174" s="100"/>
      <c r="ED174" s="38"/>
      <c r="EE174" s="38"/>
      <c r="EF174" s="38"/>
      <c r="EG174" s="38"/>
      <c r="EH174" s="38"/>
      <c r="EI174" s="38"/>
    </row>
    <row r="175" spans="2:139" ht="15">
      <c r="B175" s="98" t="s">
        <v>115</v>
      </c>
      <c r="C175" s="1"/>
      <c r="D175" s="1"/>
      <c r="E175" s="1"/>
      <c r="F175" s="140"/>
      <c r="G175" s="141"/>
      <c r="H175" s="141"/>
      <c r="I175" s="141"/>
      <c r="J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EB175" s="3"/>
      <c r="EC175" s="100"/>
      <c r="ED175" s="38"/>
      <c r="EE175" s="38"/>
      <c r="EF175" s="38"/>
      <c r="EG175" s="38"/>
      <c r="EH175" s="38"/>
      <c r="EI175" s="38"/>
    </row>
    <row r="176" spans="2:139" ht="15">
      <c r="B176" s="118"/>
      <c r="C176" s="3"/>
      <c r="D176" s="3"/>
      <c r="E176" s="3"/>
      <c r="F176" s="30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EB176" s="3"/>
      <c r="EC176" s="100"/>
      <c r="ED176" s="38"/>
      <c r="EE176" s="38"/>
      <c r="EF176" s="38"/>
      <c r="EG176" s="38"/>
      <c r="EH176" s="38"/>
      <c r="EI176" s="38"/>
    </row>
    <row r="177" spans="2:139" ht="15">
      <c r="B177" s="136" t="s">
        <v>185</v>
      </c>
      <c r="C177" s="3"/>
      <c r="D177" s="3"/>
      <c r="E177" s="3"/>
      <c r="F177" s="43">
        <f>D82</f>
        <v>1723470336</v>
      </c>
      <c r="G177" s="3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  <c r="AC177" s="3">
        <v>0</v>
      </c>
      <c r="AD177" s="3">
        <v>0</v>
      </c>
      <c r="AE177" s="3">
        <v>0</v>
      </c>
      <c r="EB177" s="3"/>
      <c r="EC177" s="100"/>
      <c r="ED177" s="38"/>
      <c r="EE177" s="38"/>
      <c r="EF177" s="38"/>
      <c r="EG177" s="38"/>
      <c r="EH177" s="38"/>
      <c r="EI177" s="38"/>
    </row>
    <row r="178" spans="2:139" ht="15">
      <c r="B178" s="6" t="s">
        <v>186</v>
      </c>
      <c r="F178" s="38">
        <f>F122</f>
        <v>738630144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EB178" s="3"/>
      <c r="EC178" s="100"/>
      <c r="ED178" s="38"/>
      <c r="EE178" s="38"/>
      <c r="EF178" s="38"/>
      <c r="EG178" s="38"/>
      <c r="EH178" s="38"/>
      <c r="EI178" s="38"/>
    </row>
    <row r="179" spans="2:139" ht="15">
      <c r="B179" s="6" t="s">
        <v>187</v>
      </c>
      <c r="F179" s="38">
        <f aca="true" t="shared" si="81" ref="F179:AE179">F117+F118</f>
        <v>0</v>
      </c>
      <c r="G179" s="38">
        <f t="shared" si="81"/>
        <v>-67215343.104</v>
      </c>
      <c r="H179" s="38">
        <f t="shared" si="81"/>
        <v>-105896108.64841321</v>
      </c>
      <c r="I179" s="38">
        <f t="shared" si="81"/>
        <v>-144576874.19282642</v>
      </c>
      <c r="J179" s="38">
        <f t="shared" si="81"/>
        <v>-144576874.19282642</v>
      </c>
      <c r="K179" s="38">
        <f t="shared" si="81"/>
        <v>-144576874.19282642</v>
      </c>
      <c r="L179" s="38">
        <f t="shared" si="81"/>
        <v>-144576874.19282642</v>
      </c>
      <c r="M179" s="38">
        <f t="shared" si="81"/>
        <v>-144576874.19282642</v>
      </c>
      <c r="N179" s="38">
        <f t="shared" si="81"/>
        <v>-144576874.19282642</v>
      </c>
      <c r="O179" s="38">
        <f t="shared" si="81"/>
        <v>-144576874.19282642</v>
      </c>
      <c r="P179" s="38">
        <f t="shared" si="81"/>
        <v>-144576874.19282642</v>
      </c>
      <c r="Q179" s="38">
        <f t="shared" si="81"/>
        <v>-144576874.19282642</v>
      </c>
      <c r="R179" s="38">
        <f t="shared" si="81"/>
        <v>-144576874.19282642</v>
      </c>
      <c r="S179" s="38">
        <f t="shared" si="81"/>
        <v>-67156776.05407503</v>
      </c>
      <c r="T179" s="38">
        <f t="shared" si="81"/>
        <v>-67156776.05407503</v>
      </c>
      <c r="U179" s="38">
        <f t="shared" si="81"/>
        <v>-67156776.05407503</v>
      </c>
      <c r="V179" s="38">
        <f t="shared" si="81"/>
        <v>-67156776.05407503</v>
      </c>
      <c r="W179" s="38">
        <f t="shared" si="81"/>
        <v>-67156776.05407503</v>
      </c>
      <c r="X179" s="38">
        <f t="shared" si="81"/>
        <v>-67156776.05407503</v>
      </c>
      <c r="Y179" s="38">
        <f t="shared" si="81"/>
        <v>-67156776.05407503</v>
      </c>
      <c r="Z179" s="38">
        <f t="shared" si="81"/>
        <v>-67156776.05407503</v>
      </c>
      <c r="AA179" s="38">
        <f t="shared" si="81"/>
        <v>-67156776.05407503</v>
      </c>
      <c r="AB179" s="38">
        <f t="shared" si="81"/>
        <v>-67156776.05407503</v>
      </c>
      <c r="AC179" s="38">
        <f t="shared" si="81"/>
        <v>-67156776.05407503</v>
      </c>
      <c r="AD179" s="38">
        <f t="shared" si="81"/>
        <v>-67156776.05407505</v>
      </c>
      <c r="AE179" s="38">
        <f t="shared" si="81"/>
        <v>-67156776.05407503</v>
      </c>
      <c r="EB179" s="3"/>
      <c r="EC179" s="100"/>
      <c r="ED179" s="38"/>
      <c r="EE179" s="38"/>
      <c r="EF179" s="38"/>
      <c r="EG179" s="38"/>
      <c r="EH179" s="38"/>
      <c r="EI179" s="38"/>
    </row>
    <row r="180" spans="2:139" ht="15">
      <c r="B180" s="17" t="s">
        <v>189</v>
      </c>
      <c r="C180" s="1"/>
      <c r="D180" s="1"/>
      <c r="E180" s="1"/>
      <c r="F180" s="41">
        <f aca="true" t="shared" si="82" ref="F180:AE180">F171+SUM(F177:F179)</f>
        <v>0</v>
      </c>
      <c r="G180" s="41">
        <f t="shared" si="82"/>
        <v>178462774.00799996</v>
      </c>
      <c r="H180" s="41">
        <f t="shared" si="82"/>
        <v>158868843.10814843</v>
      </c>
      <c r="I180" s="41">
        <f t="shared" si="82"/>
        <v>117543660.3047575</v>
      </c>
      <c r="J180" s="41">
        <f t="shared" si="82"/>
        <v>114675545.91832048</v>
      </c>
      <c r="K180" s="41">
        <f t="shared" si="82"/>
        <v>111659067.71132392</v>
      </c>
      <c r="L180" s="41">
        <f t="shared" si="82"/>
        <v>108483554.64697465</v>
      </c>
      <c r="M180" s="41">
        <f t="shared" si="82"/>
        <v>105137607.73522231</v>
      </c>
      <c r="N180" s="41">
        <f t="shared" si="82"/>
        <v>101609050.06041044</v>
      </c>
      <c r="O180" s="41">
        <f t="shared" si="82"/>
        <v>97884873.37218091</v>
      </c>
      <c r="P180" s="41">
        <f t="shared" si="82"/>
        <v>93951181.0028187</v>
      </c>
      <c r="Q180" s="41">
        <f t="shared" si="82"/>
        <v>89793126.8578763</v>
      </c>
      <c r="R180" s="41">
        <f t="shared" si="82"/>
        <v>85394850.2094405</v>
      </c>
      <c r="S180" s="41">
        <f t="shared" si="82"/>
        <v>162036986.91929734</v>
      </c>
      <c r="T180" s="41">
        <f t="shared" si="82"/>
        <v>157819284.60512513</v>
      </c>
      <c r="U180" s="41">
        <f t="shared" si="82"/>
        <v>153350721.58734086</v>
      </c>
      <c r="V180" s="41">
        <f t="shared" si="82"/>
        <v>148613316.8753758</v>
      </c>
      <c r="W180" s="41">
        <f t="shared" si="82"/>
        <v>143587839.74743244</v>
      </c>
      <c r="X180" s="41">
        <f t="shared" si="82"/>
        <v>138253722.64399147</v>
      </c>
      <c r="Y180" s="41">
        <f t="shared" si="82"/>
        <v>132588967.98772508</v>
      </c>
      <c r="Z180" s="41">
        <f t="shared" si="82"/>
        <v>126570048.50612605</v>
      </c>
      <c r="AA180" s="41">
        <f t="shared" si="82"/>
        <v>120171800.60359114</v>
      </c>
      <c r="AB180" s="41">
        <f t="shared" si="82"/>
        <v>113367310.29806611</v>
      </c>
      <c r="AC180" s="41">
        <f t="shared" si="82"/>
        <v>106127791.20351624</v>
      </c>
      <c r="AD180" s="41">
        <f t="shared" si="82"/>
        <v>98422454.00328355</v>
      </c>
      <c r="AE180" s="41">
        <f t="shared" si="82"/>
        <v>90218366.82065904</v>
      </c>
      <c r="EB180" s="3"/>
      <c r="EC180" s="100"/>
      <c r="ED180" s="38"/>
      <c r="EE180" s="38"/>
      <c r="EF180" s="38"/>
      <c r="EG180" s="38"/>
      <c r="EH180" s="38"/>
      <c r="EI180" s="38"/>
    </row>
    <row r="181" spans="2:139" ht="15">
      <c r="B181" s="15"/>
      <c r="C181" s="3"/>
      <c r="D181" s="3"/>
      <c r="E181" s="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EB181" s="3"/>
      <c r="EC181" s="100"/>
      <c r="ED181" s="38"/>
      <c r="EE181" s="38"/>
      <c r="EF181" s="38"/>
      <c r="EG181" s="38"/>
      <c r="EH181" s="38"/>
      <c r="EI181" s="38"/>
    </row>
    <row r="182" spans="2:139" ht="15">
      <c r="B182" s="15" t="s">
        <v>188</v>
      </c>
      <c r="C182" s="3"/>
      <c r="D182" s="3"/>
      <c r="E182" s="3"/>
      <c r="F182" s="43">
        <f>-F178</f>
        <v>-738630144</v>
      </c>
      <c r="G182" s="43">
        <f aca="true" t="shared" si="83" ref="G182:M182">G180</f>
        <v>178462774.00799996</v>
      </c>
      <c r="H182" s="43">
        <f t="shared" si="83"/>
        <v>158868843.10814843</v>
      </c>
      <c r="I182" s="43">
        <f t="shared" si="83"/>
        <v>117543660.3047575</v>
      </c>
      <c r="J182" s="43">
        <f t="shared" si="83"/>
        <v>114675545.91832048</v>
      </c>
      <c r="K182" s="43">
        <f t="shared" si="83"/>
        <v>111659067.71132392</v>
      </c>
      <c r="L182" s="43">
        <f t="shared" si="83"/>
        <v>108483554.64697465</v>
      </c>
      <c r="M182" s="43">
        <f t="shared" si="83"/>
        <v>105137607.73522231</v>
      </c>
      <c r="N182" s="43">
        <f aca="true" t="shared" si="84" ref="N182:AE182">N180</f>
        <v>101609050.06041044</v>
      </c>
      <c r="O182" s="43">
        <f t="shared" si="84"/>
        <v>97884873.37218091</v>
      </c>
      <c r="P182" s="43">
        <f t="shared" si="84"/>
        <v>93951181.0028187</v>
      </c>
      <c r="Q182" s="43">
        <f t="shared" si="84"/>
        <v>89793126.8578763</v>
      </c>
      <c r="R182" s="43">
        <f t="shared" si="84"/>
        <v>85394850.2094405</v>
      </c>
      <c r="S182" s="43">
        <f t="shared" si="84"/>
        <v>162036986.91929734</v>
      </c>
      <c r="T182" s="43">
        <f t="shared" si="84"/>
        <v>157819284.60512513</v>
      </c>
      <c r="U182" s="43">
        <f t="shared" si="84"/>
        <v>153350721.58734086</v>
      </c>
      <c r="V182" s="43">
        <f t="shared" si="84"/>
        <v>148613316.8753758</v>
      </c>
      <c r="W182" s="43">
        <f t="shared" si="84"/>
        <v>143587839.74743244</v>
      </c>
      <c r="X182" s="43">
        <f t="shared" si="84"/>
        <v>138253722.64399147</v>
      </c>
      <c r="Y182" s="43">
        <f t="shared" si="84"/>
        <v>132588967.98772508</v>
      </c>
      <c r="Z182" s="43">
        <f t="shared" si="84"/>
        <v>126570048.50612605</v>
      </c>
      <c r="AA182" s="43">
        <f t="shared" si="84"/>
        <v>120171800.60359114</v>
      </c>
      <c r="AB182" s="43">
        <f t="shared" si="84"/>
        <v>113367310.29806611</v>
      </c>
      <c r="AC182" s="43">
        <f t="shared" si="84"/>
        <v>106127791.20351624</v>
      </c>
      <c r="AD182" s="43">
        <f t="shared" si="84"/>
        <v>98422454.00328355</v>
      </c>
      <c r="AE182" s="43">
        <f t="shared" si="84"/>
        <v>90218366.82065904</v>
      </c>
      <c r="EB182" s="3"/>
      <c r="EC182" s="100"/>
      <c r="ED182" s="38"/>
      <c r="EE182" s="38"/>
      <c r="EF182" s="38"/>
      <c r="EG182" s="38"/>
      <c r="EH182" s="38"/>
      <c r="EI182" s="38"/>
    </row>
    <row r="183" spans="132:139" ht="15">
      <c r="EB183" s="3"/>
      <c r="EC183" s="100"/>
      <c r="ED183" s="38"/>
      <c r="EE183" s="38"/>
      <c r="EF183" s="38"/>
      <c r="EG183" s="38"/>
      <c r="EH183" s="38"/>
      <c r="EI183" s="38"/>
    </row>
    <row r="184" spans="2:139" ht="15">
      <c r="B184" s="4" t="s">
        <v>91</v>
      </c>
      <c r="EB184" s="3"/>
      <c r="EC184" s="100"/>
      <c r="ED184" s="38"/>
      <c r="EE184" s="38"/>
      <c r="EF184" s="38"/>
      <c r="EG184" s="38"/>
      <c r="EH184" s="38"/>
      <c r="EI184" s="38"/>
    </row>
    <row r="185" spans="2:139" ht="15">
      <c r="B185" s="13" t="s">
        <v>192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EB185" s="3"/>
      <c r="EC185" s="100"/>
      <c r="ED185" s="38"/>
      <c r="EE185" s="38"/>
      <c r="EF185" s="38"/>
      <c r="EG185" s="38"/>
      <c r="EH185" s="38"/>
      <c r="EI185" s="38"/>
    </row>
    <row r="186" spans="2:139" ht="15">
      <c r="B186" s="4"/>
      <c r="EB186" s="3"/>
      <c r="EC186" s="100"/>
      <c r="ED186" s="38"/>
      <c r="EE186" s="38"/>
      <c r="EF186" s="38"/>
      <c r="EG186" s="38"/>
      <c r="EH186" s="38"/>
      <c r="EI186" s="38"/>
    </row>
    <row r="187" spans="132:139" ht="15">
      <c r="EB187" s="3"/>
      <c r="EC187" s="100"/>
      <c r="ED187" s="38"/>
      <c r="EE187" s="38"/>
      <c r="EF187" s="38"/>
      <c r="EG187" s="38"/>
      <c r="EH187" s="38"/>
      <c r="EI187" s="38"/>
    </row>
    <row r="188" spans="2:139" ht="15">
      <c r="B188" s="15" t="s">
        <v>33</v>
      </c>
      <c r="C188" s="15"/>
      <c r="D188" s="15"/>
      <c r="E188" s="138">
        <f>IRR($F$171:$AE$171)</f>
        <v>0.08336348210448152</v>
      </c>
      <c r="H188" s="129"/>
      <c r="EB188" s="3"/>
      <c r="EC188" s="100"/>
      <c r="ED188" s="38"/>
      <c r="EE188" s="38"/>
      <c r="EF188" s="38"/>
      <c r="EG188" s="38"/>
      <c r="EH188" s="38"/>
      <c r="EI188" s="38"/>
    </row>
    <row r="189" spans="2:139" ht="15">
      <c r="B189" s="4" t="s">
        <v>35</v>
      </c>
      <c r="C189" s="4"/>
      <c r="D189" s="4"/>
      <c r="E189" s="139">
        <f>IRR(F182:AE182)</f>
        <v>0.17120671510468988</v>
      </c>
      <c r="G189" s="38"/>
      <c r="EB189" s="3"/>
      <c r="EC189" s="100"/>
      <c r="ED189" s="38"/>
      <c r="EE189" s="38"/>
      <c r="EF189" s="38"/>
      <c r="EG189" s="38"/>
      <c r="EH189" s="38"/>
      <c r="EI189" s="38"/>
    </row>
    <row r="190" spans="2:139" ht="15">
      <c r="B190" s="4" t="s">
        <v>53</v>
      </c>
      <c r="E190" s="43">
        <f>NPV($D$162,G171:AE171)+F171</f>
        <v>-53641921.710077286</v>
      </c>
      <c r="EB190" s="3"/>
      <c r="EC190" s="100"/>
      <c r="ED190" s="38"/>
      <c r="EE190" s="38"/>
      <c r="EF190" s="38"/>
      <c r="EG190" s="38"/>
      <c r="EH190" s="38"/>
      <c r="EI190" s="38"/>
    </row>
    <row r="191" spans="2:139" ht="15">
      <c r="B191" s="4" t="s">
        <v>54</v>
      </c>
      <c r="E191" s="43">
        <f>NPV($D$162,$G$182:$AE$182)+$F$182</f>
        <v>528338957.7947848</v>
      </c>
      <c r="K191" s="135"/>
      <c r="EB191" s="3"/>
      <c r="EC191" s="100"/>
      <c r="ED191" s="38"/>
      <c r="EE191" s="38"/>
      <c r="EF191" s="38"/>
      <c r="EG191" s="38"/>
      <c r="EH191" s="38"/>
      <c r="EI191" s="38"/>
    </row>
    <row r="192" spans="2:139" ht="15">
      <c r="B192" s="4" t="s">
        <v>37</v>
      </c>
      <c r="E192" s="130">
        <f>$E$191/(-$F$171)</f>
        <v>0.21458870671061514</v>
      </c>
      <c r="EB192" s="3"/>
      <c r="EC192" s="100"/>
      <c r="ED192" s="38"/>
      <c r="EE192" s="38"/>
      <c r="EF192" s="38"/>
      <c r="EG192" s="38"/>
      <c r="EH192" s="38"/>
      <c r="EI192" s="38"/>
    </row>
    <row r="193" spans="132:139" ht="15">
      <c r="EB193" s="3"/>
      <c r="EC193" s="100"/>
      <c r="ED193" s="38"/>
      <c r="EE193" s="38"/>
      <c r="EF193" s="38"/>
      <c r="EG193" s="38"/>
      <c r="EH193" s="38"/>
      <c r="EI193" s="38"/>
    </row>
    <row r="194" spans="2:139" ht="15">
      <c r="B194" s="4" t="s">
        <v>38</v>
      </c>
      <c r="F194" s="30">
        <v>0</v>
      </c>
      <c r="G194" s="8">
        <f aca="true" t="shared" si="85" ref="G194:AE194">F194+1</f>
        <v>1</v>
      </c>
      <c r="H194" s="8">
        <f t="shared" si="85"/>
        <v>2</v>
      </c>
      <c r="I194" s="8">
        <f t="shared" si="85"/>
        <v>3</v>
      </c>
      <c r="J194" s="8">
        <f t="shared" si="85"/>
        <v>4</v>
      </c>
      <c r="K194" s="8">
        <f t="shared" si="85"/>
        <v>5</v>
      </c>
      <c r="L194" s="8">
        <f t="shared" si="85"/>
        <v>6</v>
      </c>
      <c r="M194" s="8">
        <f t="shared" si="85"/>
        <v>7</v>
      </c>
      <c r="N194" s="8">
        <f t="shared" si="85"/>
        <v>8</v>
      </c>
      <c r="O194" s="8">
        <f t="shared" si="85"/>
        <v>9</v>
      </c>
      <c r="P194" s="8">
        <f t="shared" si="85"/>
        <v>10</v>
      </c>
      <c r="Q194" s="8">
        <f t="shared" si="85"/>
        <v>11</v>
      </c>
      <c r="R194" s="8">
        <f t="shared" si="85"/>
        <v>12</v>
      </c>
      <c r="S194" s="8">
        <f t="shared" si="85"/>
        <v>13</v>
      </c>
      <c r="T194" s="8">
        <f t="shared" si="85"/>
        <v>14</v>
      </c>
      <c r="U194" s="8">
        <f t="shared" si="85"/>
        <v>15</v>
      </c>
      <c r="V194" s="8">
        <f t="shared" si="85"/>
        <v>16</v>
      </c>
      <c r="W194" s="8">
        <f t="shared" si="85"/>
        <v>17</v>
      </c>
      <c r="X194" s="8">
        <f t="shared" si="85"/>
        <v>18</v>
      </c>
      <c r="Y194" s="8">
        <f t="shared" si="85"/>
        <v>19</v>
      </c>
      <c r="Z194" s="8">
        <f t="shared" si="85"/>
        <v>20</v>
      </c>
      <c r="AA194" s="8">
        <f t="shared" si="85"/>
        <v>21</v>
      </c>
      <c r="AB194" s="8">
        <f t="shared" si="85"/>
        <v>22</v>
      </c>
      <c r="AC194" s="8">
        <f t="shared" si="85"/>
        <v>23</v>
      </c>
      <c r="AD194" s="8">
        <f t="shared" si="85"/>
        <v>24</v>
      </c>
      <c r="AE194" s="8">
        <f t="shared" si="85"/>
        <v>25</v>
      </c>
      <c r="EB194" s="3"/>
      <c r="EC194" s="100"/>
      <c r="ED194" s="38"/>
      <c r="EE194" s="38"/>
      <c r="EF194" s="38"/>
      <c r="EG194" s="38"/>
      <c r="EH194" s="38"/>
      <c r="EI194" s="38"/>
    </row>
    <row r="195" spans="2:139" ht="15">
      <c r="B195" s="4"/>
      <c r="EB195" s="3"/>
      <c r="EC195" s="100"/>
      <c r="ED195" s="38"/>
      <c r="EE195" s="38"/>
      <c r="EF195" s="38"/>
      <c r="EG195" s="38"/>
      <c r="EH195" s="38"/>
      <c r="EI195" s="38"/>
    </row>
    <row r="196" spans="2:139" ht="15">
      <c r="B196" s="137" t="s">
        <v>101</v>
      </c>
      <c r="F196" s="38">
        <f>F56</f>
        <v>0</v>
      </c>
      <c r="G196" s="38">
        <f aca="true" t="shared" si="86" ref="G196:AE196">G56</f>
        <v>254564645.42399997</v>
      </c>
      <c r="H196" s="38">
        <f t="shared" si="86"/>
        <v>275804473.44479996</v>
      </c>
      <c r="I196" s="38">
        <f t="shared" si="86"/>
        <v>273295053.3080759</v>
      </c>
      <c r="J196" s="38">
        <f t="shared" si="86"/>
        <v>270664015.7792362</v>
      </c>
      <c r="K196" s="38">
        <f t="shared" si="86"/>
        <v>267902232.73667797</v>
      </c>
      <c r="L196" s="38">
        <f t="shared" si="86"/>
        <v>264999940.16480753</v>
      </c>
      <c r="M196" s="38">
        <f t="shared" si="86"/>
        <v>261946693.62608728</v>
      </c>
      <c r="N196" s="38">
        <f t="shared" si="86"/>
        <v>258731320.61620474</v>
      </c>
      <c r="O196" s="38">
        <f t="shared" si="86"/>
        <v>255341869.58417854</v>
      </c>
      <c r="P196" s="38">
        <f t="shared" si="86"/>
        <v>251765555.38394868</v>
      </c>
      <c r="Q196" s="38">
        <f t="shared" si="86"/>
        <v>247988700.90765363</v>
      </c>
      <c r="R196" s="38">
        <f t="shared" si="86"/>
        <v>243996674.6333117</v>
      </c>
      <c r="S196" s="38">
        <f t="shared" si="86"/>
        <v>239773823.80091608</v>
      </c>
      <c r="T196" s="38">
        <f t="shared" si="86"/>
        <v>235303402.91092995</v>
      </c>
      <c r="U196" s="38">
        <f t="shared" si="86"/>
        <v>230567497.21775147</v>
      </c>
      <c r="V196" s="38">
        <f t="shared" si="86"/>
        <v>225546940.86779442</v>
      </c>
      <c r="W196" s="38">
        <f t="shared" si="86"/>
        <v>220221229.30730832</v>
      </c>
      <c r="X196" s="38">
        <f t="shared" si="86"/>
        <v>214568425.5588192</v>
      </c>
      <c r="Y196" s="38">
        <f t="shared" si="86"/>
        <v>208565059.93699342</v>
      </c>
      <c r="Z196" s="38">
        <f t="shared" si="86"/>
        <v>202186022.744685</v>
      </c>
      <c r="AA196" s="38">
        <f t="shared" si="86"/>
        <v>195404449.45777762</v>
      </c>
      <c r="AB196" s="38">
        <f t="shared" si="86"/>
        <v>188191597.87303793</v>
      </c>
      <c r="AC196" s="38">
        <f t="shared" si="86"/>
        <v>180516716.6563892</v>
      </c>
      <c r="AD196" s="38">
        <f t="shared" si="86"/>
        <v>172346904.6896354</v>
      </c>
      <c r="AE196" s="38">
        <f t="shared" si="86"/>
        <v>163646960.57152683</v>
      </c>
      <c r="EB196" s="3"/>
      <c r="EC196" s="100"/>
      <c r="ED196" s="38"/>
      <c r="EE196" s="38"/>
      <c r="EF196" s="38"/>
      <c r="EG196" s="38"/>
      <c r="EH196" s="38"/>
      <c r="EI196" s="38"/>
    </row>
    <row r="197" spans="132:139" ht="15">
      <c r="EB197" s="3"/>
      <c r="EC197" s="100"/>
      <c r="ED197" s="38"/>
      <c r="EE197" s="38"/>
      <c r="EF197" s="38"/>
      <c r="EG197" s="38"/>
      <c r="EH197" s="38"/>
      <c r="EI197" s="38"/>
    </row>
    <row r="198" spans="2:139" ht="15">
      <c r="B198" s="142" t="s">
        <v>72</v>
      </c>
      <c r="F198" s="38">
        <f>-F118</f>
        <v>0</v>
      </c>
      <c r="G198" s="38">
        <f aca="true" t="shared" si="87" ref="G198:AE198">-G118</f>
        <v>67215343.104</v>
      </c>
      <c r="H198" s="38">
        <f t="shared" si="87"/>
        <v>66925237.36241691</v>
      </c>
      <c r="I198" s="38">
        <f t="shared" si="87"/>
        <v>63065846.00315598</v>
      </c>
      <c r="J198" s="38">
        <f t="shared" si="87"/>
        <v>58064039.89834334</v>
      </c>
      <c r="K198" s="38">
        <f t="shared" si="87"/>
        <v>52755305.21140159</v>
      </c>
      <c r="L198" s="38">
        <f t="shared" si="87"/>
        <v>47120807.71474299</v>
      </c>
      <c r="M198" s="38">
        <f t="shared" si="87"/>
        <v>41140557.44570175</v>
      </c>
      <c r="N198" s="38">
        <f t="shared" si="87"/>
        <v>34793337.786526024</v>
      </c>
      <c r="O198" s="38">
        <f t="shared" si="87"/>
        <v>28056630.192466486</v>
      </c>
      <c r="P198" s="38">
        <f t="shared" si="87"/>
        <v>20906534.300913047</v>
      </c>
      <c r="Q198" s="38">
        <f t="shared" si="87"/>
        <v>13317683.138144663</v>
      </c>
      <c r="R198" s="38">
        <f t="shared" si="87"/>
        <v>5263153.122864152</v>
      </c>
      <c r="S198" s="38">
        <f t="shared" si="87"/>
        <v>35489196.32547893</v>
      </c>
      <c r="T198" s="38">
        <f t="shared" si="87"/>
        <v>33545961.193632003</v>
      </c>
      <c r="U198" s="38">
        <f t="shared" si="87"/>
        <v>31483482.25439571</v>
      </c>
      <c r="V198" s="38">
        <f t="shared" si="87"/>
        <v>29294442.284358583</v>
      </c>
      <c r="W198" s="38">
        <f t="shared" si="87"/>
        <v>26971075.049299937</v>
      </c>
      <c r="X198" s="38">
        <f t="shared" si="87"/>
        <v>24505137.75129231</v>
      </c>
      <c r="Y198" s="38">
        <f t="shared" si="87"/>
        <v>21887881.785060313</v>
      </c>
      <c r="Z198" s="38">
        <f t="shared" si="87"/>
        <v>19110021.699845858</v>
      </c>
      <c r="AA198" s="38">
        <f t="shared" si="87"/>
        <v>16161702.256663172</v>
      </c>
      <c r="AB198" s="38">
        <f t="shared" si="87"/>
        <v>13032463.464070078</v>
      </c>
      <c r="AC198" s="38">
        <f t="shared" si="87"/>
        <v>9711203.468409985</v>
      </c>
      <c r="AD198" s="38">
        <f t="shared" si="87"/>
        <v>6186139.166867415</v>
      </c>
      <c r="AE198" s="38">
        <f t="shared" si="87"/>
        <v>2444764.403600757</v>
      </c>
      <c r="EB198" s="3"/>
      <c r="EC198" s="100"/>
      <c r="ED198" s="38"/>
      <c r="EE198" s="38"/>
      <c r="EF198" s="38"/>
      <c r="EG198" s="38"/>
      <c r="EH198" s="38"/>
      <c r="EI198" s="38"/>
    </row>
    <row r="199" spans="2:139" ht="15">
      <c r="B199" s="142" t="s">
        <v>196</v>
      </c>
      <c r="F199" s="38">
        <f>-F117</f>
        <v>0</v>
      </c>
      <c r="G199" s="38">
        <f aca="true" t="shared" si="88" ref="G199:AE199">-G117</f>
        <v>0</v>
      </c>
      <c r="H199" s="38">
        <f t="shared" si="88"/>
        <v>38970871.2859963</v>
      </c>
      <c r="I199" s="38">
        <f t="shared" si="88"/>
        <v>81511028.18967044</v>
      </c>
      <c r="J199" s="38">
        <f t="shared" si="88"/>
        <v>86512834.29448308</v>
      </c>
      <c r="K199" s="38">
        <f t="shared" si="88"/>
        <v>91821568.98142484</v>
      </c>
      <c r="L199" s="38">
        <f t="shared" si="88"/>
        <v>97456066.47808343</v>
      </c>
      <c r="M199" s="38">
        <f t="shared" si="88"/>
        <v>103436316.74712467</v>
      </c>
      <c r="N199" s="38">
        <f t="shared" si="88"/>
        <v>109783536.4063004</v>
      </c>
      <c r="O199" s="38">
        <f t="shared" si="88"/>
        <v>116520244.00035994</v>
      </c>
      <c r="P199" s="38">
        <f t="shared" si="88"/>
        <v>123670339.89191337</v>
      </c>
      <c r="Q199" s="38">
        <f t="shared" si="88"/>
        <v>131259191.05468175</v>
      </c>
      <c r="R199" s="38">
        <f t="shared" si="88"/>
        <v>139313721.06996226</v>
      </c>
      <c r="S199" s="38">
        <f t="shared" si="88"/>
        <v>31667579.728596106</v>
      </c>
      <c r="T199" s="38">
        <f t="shared" si="88"/>
        <v>33610814.86044303</v>
      </c>
      <c r="U199" s="38">
        <f t="shared" si="88"/>
        <v>35673293.799679324</v>
      </c>
      <c r="V199" s="38">
        <f t="shared" si="88"/>
        <v>37862333.76971645</v>
      </c>
      <c r="W199" s="38">
        <f t="shared" si="88"/>
        <v>40185701.00477509</v>
      </c>
      <c r="X199" s="38">
        <f t="shared" si="88"/>
        <v>42651638.30278272</v>
      </c>
      <c r="Y199" s="38">
        <f t="shared" si="88"/>
        <v>45268894.26901472</v>
      </c>
      <c r="Z199" s="38">
        <f t="shared" si="88"/>
        <v>48046754.354229175</v>
      </c>
      <c r="AA199" s="38">
        <f t="shared" si="88"/>
        <v>50995073.79741186</v>
      </c>
      <c r="AB199" s="38">
        <f t="shared" si="88"/>
        <v>54124312.59000495</v>
      </c>
      <c r="AC199" s="38">
        <f t="shared" si="88"/>
        <v>57445572.58566505</v>
      </c>
      <c r="AD199" s="38">
        <f t="shared" si="88"/>
        <v>60970636.88720763</v>
      </c>
      <c r="AE199" s="38">
        <f t="shared" si="88"/>
        <v>64712011.65047428</v>
      </c>
      <c r="EB199" s="3"/>
      <c r="EC199" s="100"/>
      <c r="ED199" s="38"/>
      <c r="EE199" s="38"/>
      <c r="EF199" s="38"/>
      <c r="EG199" s="38"/>
      <c r="EH199" s="38"/>
      <c r="EI199" s="38"/>
    </row>
    <row r="200" spans="2:139" ht="15">
      <c r="B200" s="143" t="s">
        <v>195</v>
      </c>
      <c r="C200" s="1"/>
      <c r="D200" s="1"/>
      <c r="E200" s="1"/>
      <c r="F200" s="41">
        <f>SUM(F198:F199)</f>
        <v>0</v>
      </c>
      <c r="G200" s="41">
        <f aca="true" t="shared" si="89" ref="G200:AE200">SUM(G198:G199)</f>
        <v>67215343.104</v>
      </c>
      <c r="H200" s="41">
        <f t="shared" si="89"/>
        <v>105896108.64841321</v>
      </c>
      <c r="I200" s="41">
        <f t="shared" si="89"/>
        <v>144576874.19282642</v>
      </c>
      <c r="J200" s="41">
        <f t="shared" si="89"/>
        <v>144576874.19282642</v>
      </c>
      <c r="K200" s="41">
        <f t="shared" si="89"/>
        <v>144576874.19282642</v>
      </c>
      <c r="L200" s="41">
        <f t="shared" si="89"/>
        <v>144576874.19282642</v>
      </c>
      <c r="M200" s="41">
        <f t="shared" si="89"/>
        <v>144576874.19282642</v>
      </c>
      <c r="N200" s="41">
        <f t="shared" si="89"/>
        <v>144576874.19282642</v>
      </c>
      <c r="O200" s="41">
        <f t="shared" si="89"/>
        <v>144576874.19282642</v>
      </c>
      <c r="P200" s="41">
        <f t="shared" si="89"/>
        <v>144576874.19282642</v>
      </c>
      <c r="Q200" s="41">
        <f t="shared" si="89"/>
        <v>144576874.19282642</v>
      </c>
      <c r="R200" s="41">
        <f t="shared" si="89"/>
        <v>144576874.19282642</v>
      </c>
      <c r="S200" s="41">
        <f t="shared" si="89"/>
        <v>67156776.05407503</v>
      </c>
      <c r="T200" s="41">
        <f t="shared" si="89"/>
        <v>67156776.05407503</v>
      </c>
      <c r="U200" s="41">
        <f t="shared" si="89"/>
        <v>67156776.05407503</v>
      </c>
      <c r="V200" s="41">
        <f t="shared" si="89"/>
        <v>67156776.05407503</v>
      </c>
      <c r="W200" s="41">
        <f t="shared" si="89"/>
        <v>67156776.05407503</v>
      </c>
      <c r="X200" s="41">
        <f t="shared" si="89"/>
        <v>67156776.05407503</v>
      </c>
      <c r="Y200" s="41">
        <f t="shared" si="89"/>
        <v>67156776.05407503</v>
      </c>
      <c r="Z200" s="41">
        <f t="shared" si="89"/>
        <v>67156776.05407503</v>
      </c>
      <c r="AA200" s="41">
        <f t="shared" si="89"/>
        <v>67156776.05407503</v>
      </c>
      <c r="AB200" s="41">
        <f t="shared" si="89"/>
        <v>67156776.05407503</v>
      </c>
      <c r="AC200" s="41">
        <f t="shared" si="89"/>
        <v>67156776.05407503</v>
      </c>
      <c r="AD200" s="41">
        <f t="shared" si="89"/>
        <v>67156776.05407505</v>
      </c>
      <c r="AE200" s="41">
        <f t="shared" si="89"/>
        <v>67156776.05407503</v>
      </c>
      <c r="EB200" s="3"/>
      <c r="EC200" s="100"/>
      <c r="ED200" s="38"/>
      <c r="EE200" s="38"/>
      <c r="EF200" s="38"/>
      <c r="EG200" s="38"/>
      <c r="EH200" s="38"/>
      <c r="EI200" s="38"/>
    </row>
    <row r="201" spans="11:139" ht="15">
      <c r="K201" s="135"/>
      <c r="EB201" s="3"/>
      <c r="EC201" s="100"/>
      <c r="ED201" s="38"/>
      <c r="EE201" s="38"/>
      <c r="EF201" s="38"/>
      <c r="EG201" s="38"/>
      <c r="EH201" s="38"/>
      <c r="EI201" s="38"/>
    </row>
    <row r="202" spans="2:139" ht="15">
      <c r="B202" s="4" t="s">
        <v>113</v>
      </c>
      <c r="C202" s="4"/>
      <c r="D202" s="4"/>
      <c r="E202" s="4"/>
      <c r="F202" s="144">
        <f>_xlfn.IFERROR(F196/F200,0)</f>
        <v>0</v>
      </c>
      <c r="G202" s="144">
        <f aca="true" t="shared" si="90" ref="G202:AE202">_xlfn.IFERROR(G196/G200,0)</f>
        <v>3.7872996501724434</v>
      </c>
      <c r="H202" s="144">
        <f t="shared" si="90"/>
        <v>2.6044816657097507</v>
      </c>
      <c r="I202" s="144">
        <f t="shared" si="90"/>
        <v>1.8903096005767441</v>
      </c>
      <c r="J202" s="144">
        <f t="shared" si="90"/>
        <v>1.8721114098665852</v>
      </c>
      <c r="K202" s="144">
        <f t="shared" si="90"/>
        <v>1.8530088870186037</v>
      </c>
      <c r="L202" s="144">
        <f t="shared" si="90"/>
        <v>1.832934496919399</v>
      </c>
      <c r="M202" s="144">
        <f t="shared" si="90"/>
        <v>1.811815998156948</v>
      </c>
      <c r="N202" s="144">
        <f t="shared" si="90"/>
        <v>1.7895761134739099</v>
      </c>
      <c r="O202" s="144">
        <f t="shared" si="90"/>
        <v>1.7661321771531842</v>
      </c>
      <c r="P202" s="144">
        <f t="shared" si="90"/>
        <v>1.7413957577209864</v>
      </c>
      <c r="Q202" s="144">
        <f t="shared" si="90"/>
        <v>1.7152722542396637</v>
      </c>
      <c r="R202" s="144">
        <f t="shared" si="90"/>
        <v>1.6876604643415252</v>
      </c>
      <c r="S202" s="144">
        <f t="shared" si="90"/>
        <v>3.5703593574511197</v>
      </c>
      <c r="T202" s="144">
        <f t="shared" si="90"/>
        <v>3.5037924203130637</v>
      </c>
      <c r="U202" s="144">
        <f t="shared" si="90"/>
        <v>3.43327227370321</v>
      </c>
      <c r="V202" s="144">
        <f t="shared" si="90"/>
        <v>3.3585135279004863</v>
      </c>
      <c r="W202" s="144">
        <f t="shared" si="90"/>
        <v>3.2792108592286335</v>
      </c>
      <c r="X202" s="144">
        <f t="shared" si="90"/>
        <v>3.195037614462723</v>
      </c>
      <c r="Y202" s="144">
        <f t="shared" si="90"/>
        <v>3.105644317545196</v>
      </c>
      <c r="Z202" s="144">
        <f t="shared" si="90"/>
        <v>3.010657071773124</v>
      </c>
      <c r="AA202" s="144">
        <f t="shared" si="90"/>
        <v>2.9096758501396316</v>
      </c>
      <c r="AB202" s="144">
        <f t="shared" si="90"/>
        <v>2.8022726660002997</v>
      </c>
      <c r="AC202" s="144">
        <f t="shared" si="90"/>
        <v>2.68798961568727</v>
      </c>
      <c r="AD202" s="144">
        <f t="shared" si="90"/>
        <v>2.566336784107394</v>
      </c>
      <c r="AE202" s="144">
        <f t="shared" si="90"/>
        <v>2.436790003733314</v>
      </c>
      <c r="EB202" s="3"/>
      <c r="EC202" s="100"/>
      <c r="ED202" s="38"/>
      <c r="EE202" s="38"/>
      <c r="EF202" s="38"/>
      <c r="EG202" s="38"/>
      <c r="EH202" s="38"/>
      <c r="EI202" s="38"/>
    </row>
    <row r="203" spans="2:139" ht="15">
      <c r="B203" s="4" t="s">
        <v>197</v>
      </c>
      <c r="C203" s="4"/>
      <c r="D203" s="4"/>
      <c r="E203" s="4"/>
      <c r="F203" s="144">
        <f>AVERAGE(F202:AE202)</f>
        <v>2.469675032207508</v>
      </c>
      <c r="G203" s="144"/>
      <c r="H203" s="144"/>
      <c r="I203" s="144"/>
      <c r="J203" s="144"/>
      <c r="K203" s="144"/>
      <c r="L203" s="144"/>
      <c r="M203" s="144"/>
      <c r="N203" s="144"/>
      <c r="O203" s="144"/>
      <c r="P203" s="144"/>
      <c r="Q203" s="144"/>
      <c r="R203" s="144"/>
      <c r="S203" s="144"/>
      <c r="T203" s="144"/>
      <c r="U203" s="144"/>
      <c r="V203" s="144"/>
      <c r="W203" s="144"/>
      <c r="X203" s="144"/>
      <c r="Y203" s="144"/>
      <c r="Z203" s="144"/>
      <c r="AA203" s="144"/>
      <c r="AB203" s="144"/>
      <c r="AC203" s="144"/>
      <c r="AD203" s="144"/>
      <c r="AE203" s="144"/>
      <c r="EB203" s="3"/>
      <c r="EC203" s="100"/>
      <c r="ED203" s="38"/>
      <c r="EE203" s="38"/>
      <c r="EF203" s="38"/>
      <c r="EG203" s="38"/>
      <c r="EH203" s="38"/>
      <c r="EI203" s="38"/>
    </row>
    <row r="204" spans="2:139" ht="15">
      <c r="B204" s="4"/>
      <c r="C204" s="4"/>
      <c r="D204" s="4"/>
      <c r="E204" s="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4"/>
      <c r="S204" s="144"/>
      <c r="T204" s="144"/>
      <c r="U204" s="144"/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EB204" s="3"/>
      <c r="EC204" s="100"/>
      <c r="ED204" s="38"/>
      <c r="EE204" s="38"/>
      <c r="EF204" s="38"/>
      <c r="EG204" s="38"/>
      <c r="EH204" s="38"/>
      <c r="EI204" s="38"/>
    </row>
    <row r="205" spans="132:139" ht="15">
      <c r="EB205" s="3"/>
      <c r="EC205" s="100"/>
      <c r="ED205" s="38"/>
      <c r="EE205" s="38"/>
      <c r="EF205" s="38"/>
      <c r="EG205" s="38"/>
      <c r="EH205" s="38"/>
      <c r="EI205" s="38"/>
    </row>
    <row r="206" spans="2:139" s="22" customFormat="1" ht="15">
      <c r="B206" s="23" t="s">
        <v>92</v>
      </c>
      <c r="EB206" s="3"/>
      <c r="EC206" s="100"/>
      <c r="ED206" s="38"/>
      <c r="EE206" s="38"/>
      <c r="EF206" s="38"/>
      <c r="EG206" s="38"/>
      <c r="EH206" s="38"/>
      <c r="EI206" s="38"/>
    </row>
    <row r="207" spans="2:139" ht="15">
      <c r="B207" s="25"/>
      <c r="EB207" s="3"/>
      <c r="EC207" s="100"/>
      <c r="ED207" s="38"/>
      <c r="EE207" s="38"/>
      <c r="EF207" s="38"/>
      <c r="EG207" s="38"/>
      <c r="EH207" s="38"/>
      <c r="EI207" s="38"/>
    </row>
    <row r="208" spans="2:139" ht="15">
      <c r="B208" s="34" t="s">
        <v>203</v>
      </c>
      <c r="EB208" s="3"/>
      <c r="EC208" s="100"/>
      <c r="ED208" s="38"/>
      <c r="EE208" s="38"/>
      <c r="EF208" s="38"/>
      <c r="EG208" s="38"/>
      <c r="EH208" s="38"/>
      <c r="EI208" s="38"/>
    </row>
    <row r="209" spans="2:139" ht="15">
      <c r="B209" s="34"/>
      <c r="EB209" s="3"/>
      <c r="EC209" s="100"/>
      <c r="ED209" s="38"/>
      <c r="EE209" s="38"/>
      <c r="EF209" s="38"/>
      <c r="EG209" s="38"/>
      <c r="EH209" s="38"/>
      <c r="EI209" s="38"/>
    </row>
    <row r="210" spans="2:139" ht="15">
      <c r="B210" s="34" t="s">
        <v>232</v>
      </c>
      <c r="EB210" s="3"/>
      <c r="EC210" s="100"/>
      <c r="ED210" s="38"/>
      <c r="EE210" s="38"/>
      <c r="EF210" s="38"/>
      <c r="EG210" s="38"/>
      <c r="EH210" s="38"/>
      <c r="EI210" s="38"/>
    </row>
    <row r="211" spans="2:139" ht="15">
      <c r="B211" s="34"/>
      <c r="EB211" s="3"/>
      <c r="EC211" s="100"/>
      <c r="ED211" s="38"/>
      <c r="EE211" s="38"/>
      <c r="EF211" s="38"/>
      <c r="EG211" s="38"/>
      <c r="EH211" s="38"/>
      <c r="EI211" s="38"/>
    </row>
    <row r="212" spans="2:139" ht="15">
      <c r="B212" s="75" t="s">
        <v>33</v>
      </c>
      <c r="C212" s="171">
        <v>0.07</v>
      </c>
      <c r="E212" s="75" t="s">
        <v>204</v>
      </c>
      <c r="F212" s="76"/>
      <c r="G212" s="76"/>
      <c r="H212" s="148">
        <v>600000000</v>
      </c>
      <c r="EB212" s="3"/>
      <c r="EC212" s="100"/>
      <c r="ED212" s="38"/>
      <c r="EE212" s="38"/>
      <c r="EF212" s="38"/>
      <c r="EG212" s="38"/>
      <c r="EH212" s="38"/>
      <c r="EI212" s="38"/>
    </row>
    <row r="213" spans="2:139" ht="15">
      <c r="B213" s="77" t="s">
        <v>181</v>
      </c>
      <c r="C213" s="172">
        <v>30000000</v>
      </c>
      <c r="E213" s="77" t="s">
        <v>37</v>
      </c>
      <c r="F213" s="78"/>
      <c r="G213" s="78"/>
      <c r="H213" s="174">
        <v>0.25</v>
      </c>
      <c r="EB213" s="3"/>
      <c r="EC213" s="100"/>
      <c r="ED213" s="38"/>
      <c r="EE213" s="38"/>
      <c r="EF213" s="38"/>
      <c r="EG213" s="38"/>
      <c r="EH213" s="38"/>
      <c r="EI213" s="38"/>
    </row>
    <row r="214" spans="2:139" ht="15">
      <c r="B214" s="79" t="s">
        <v>35</v>
      </c>
      <c r="C214" s="173">
        <v>0.12</v>
      </c>
      <c r="E214" s="79" t="s">
        <v>113</v>
      </c>
      <c r="F214" s="80"/>
      <c r="G214" s="80"/>
      <c r="H214" s="74">
        <v>1.2</v>
      </c>
      <c r="EB214" s="3"/>
      <c r="EC214" s="100"/>
      <c r="ED214" s="38"/>
      <c r="EE214" s="38"/>
      <c r="EF214" s="38"/>
      <c r="EG214" s="38"/>
      <c r="EH214" s="38"/>
      <c r="EI214" s="38"/>
    </row>
    <row r="215" spans="2:139" ht="15">
      <c r="B215" s="25"/>
      <c r="EB215" s="3"/>
      <c r="EC215" s="100"/>
      <c r="ED215" s="38"/>
      <c r="EE215" s="38"/>
      <c r="EF215" s="38"/>
      <c r="EG215" s="38"/>
      <c r="EH215" s="38"/>
      <c r="EI215" s="38"/>
    </row>
    <row r="216" spans="2:139" ht="15">
      <c r="B216" s="147" t="s">
        <v>198</v>
      </c>
      <c r="C216" s="226">
        <f>$C$14</f>
        <v>2462100480</v>
      </c>
      <c r="E216" s="161" t="s">
        <v>199</v>
      </c>
      <c r="F216" s="131"/>
      <c r="G216" s="132"/>
      <c r="H216" s="227">
        <f>$J$12</f>
        <v>8.54</v>
      </c>
      <c r="EB216" s="3"/>
      <c r="EC216" s="100"/>
      <c r="ED216" s="38"/>
      <c r="EE216" s="38"/>
      <c r="EF216" s="38"/>
      <c r="EG216" s="38"/>
      <c r="EH216" s="38"/>
      <c r="EI216" s="38"/>
    </row>
    <row r="217" spans="2:139" s="3" customFormat="1" ht="15">
      <c r="B217" s="149"/>
      <c r="C217" s="150"/>
      <c r="EC217" s="117"/>
      <c r="ED217" s="43"/>
      <c r="EE217" s="43"/>
      <c r="EF217" s="43"/>
      <c r="EG217" s="43"/>
      <c r="EH217" s="43"/>
      <c r="EI217" s="43"/>
    </row>
    <row r="218" spans="2:139" ht="15">
      <c r="B218" s="34" t="s">
        <v>110</v>
      </c>
      <c r="E218" s="34" t="s">
        <v>111</v>
      </c>
      <c r="EB218" s="3"/>
      <c r="EC218" s="100"/>
      <c r="ED218" s="38"/>
      <c r="EE218" s="38"/>
      <c r="EF218" s="38"/>
      <c r="EG218" s="38"/>
      <c r="EH218" s="38"/>
      <c r="EI218" s="38"/>
    </row>
    <row r="219" spans="2:139" ht="15">
      <c r="B219" s="47" t="s">
        <v>112</v>
      </c>
      <c r="C219" s="81">
        <v>0.2</v>
      </c>
      <c r="E219" s="163" t="s">
        <v>112</v>
      </c>
      <c r="F219" s="131"/>
      <c r="G219" s="132"/>
      <c r="H219" s="162">
        <v>0.2</v>
      </c>
      <c r="EB219" s="3"/>
      <c r="EC219" s="100"/>
      <c r="ED219" s="38"/>
      <c r="EE219" s="38"/>
      <c r="EF219" s="38"/>
      <c r="EG219" s="38"/>
      <c r="EH219" s="38"/>
      <c r="EI219" s="38"/>
    </row>
    <row r="220" spans="132:139" ht="15">
      <c r="EB220" s="3"/>
      <c r="EC220" s="100"/>
      <c r="ED220" s="38"/>
      <c r="EE220" s="38"/>
      <c r="EF220" s="38"/>
      <c r="EG220" s="38"/>
      <c r="EH220" s="38"/>
      <c r="EI220" s="38"/>
    </row>
    <row r="221" spans="132:139" ht="15">
      <c r="EB221" s="3"/>
      <c r="EC221" s="100"/>
      <c r="ED221" s="38"/>
      <c r="EE221" s="38"/>
      <c r="EF221" s="38"/>
      <c r="EG221" s="38"/>
      <c r="EH221" s="38"/>
      <c r="EI221" s="38"/>
    </row>
    <row r="222" spans="2:139" ht="15">
      <c r="B222" s="26" t="s">
        <v>117</v>
      </c>
      <c r="C222" s="26" t="s">
        <v>33</v>
      </c>
      <c r="D222" s="26" t="s">
        <v>53</v>
      </c>
      <c r="E222" s="26" t="s">
        <v>35</v>
      </c>
      <c r="F222" s="26" t="s">
        <v>54</v>
      </c>
      <c r="G222" s="26" t="s">
        <v>37</v>
      </c>
      <c r="H222" s="26" t="s">
        <v>113</v>
      </c>
      <c r="EB222" s="3"/>
      <c r="EC222" s="100"/>
      <c r="ED222" s="38"/>
      <c r="EE222" s="38"/>
      <c r="EF222" s="38"/>
      <c r="EG222" s="38"/>
      <c r="EH222" s="38"/>
      <c r="EI222" s="38"/>
    </row>
    <row r="223" spans="2:139" ht="15">
      <c r="B223" s="46">
        <f>$C$14</f>
        <v>2462100480</v>
      </c>
      <c r="C223" s="151">
        <f>$E$188</f>
        <v>0.08336348210448152</v>
      </c>
      <c r="D223" s="152">
        <f>$E$190</f>
        <v>-53641921.710077286</v>
      </c>
      <c r="E223" s="153">
        <f>$E$189</f>
        <v>0.17120671510468988</v>
      </c>
      <c r="F223" s="152">
        <f>$E$191</f>
        <v>528338957.7947848</v>
      </c>
      <c r="G223" s="154">
        <f>$E$192</f>
        <v>0.21458870671061514</v>
      </c>
      <c r="H223" s="175">
        <f>$F$203</f>
        <v>2.469675032207508</v>
      </c>
      <c r="EB223" s="3"/>
      <c r="EC223" s="100"/>
      <c r="ED223" s="38"/>
      <c r="EE223" s="38"/>
      <c r="EF223" s="38"/>
      <c r="EG223" s="38"/>
      <c r="EH223" s="38"/>
      <c r="EI223" s="38"/>
    </row>
    <row r="224" spans="2:139" ht="15">
      <c r="B224" s="46">
        <f>B223*(1+$C$219)</f>
        <v>2954520576</v>
      </c>
      <c r="C224" s="156">
        <f t="dataTable" ref="C224:H225" dt2D="0" dtr="0" r1="C14"/>
        <v>0.061106689875572995</v>
      </c>
      <c r="D224" s="157">
        <v>-550571158.781569</v>
      </c>
      <c r="E224" s="158">
        <v>0.1062425697975169</v>
      </c>
      <c r="F224" s="157">
        <v>147805896.62426317</v>
      </c>
      <c r="G224" s="159">
        <v>0.05002703241429826</v>
      </c>
      <c r="H224" s="176">
        <v>2.0372091245364454</v>
      </c>
      <c r="EB224" s="3"/>
      <c r="EC224" s="100"/>
      <c r="ED224" s="38"/>
      <c r="EE224" s="38"/>
      <c r="EF224" s="38"/>
      <c r="EG224" s="38"/>
      <c r="EH224" s="38"/>
      <c r="EI224" s="38"/>
    </row>
    <row r="225" spans="2:139" ht="15">
      <c r="B225" s="46">
        <f>B223*(1-$C$219)</f>
        <v>1969680384</v>
      </c>
      <c r="C225" s="177">
        <v>0.08873820876203364</v>
      </c>
      <c r="D225" s="178">
        <v>45743925.704221725</v>
      </c>
      <c r="E225" s="179">
        <v>0.18739245229681556</v>
      </c>
      <c r="F225" s="178">
        <v>604445570.0288899</v>
      </c>
      <c r="G225" s="180">
        <v>0.25572912528469466</v>
      </c>
      <c r="H225" s="181">
        <v>2.5777915091252734</v>
      </c>
      <c r="EB225" s="3"/>
      <c r="EC225" s="100"/>
      <c r="ED225" s="38"/>
      <c r="EE225" s="38"/>
      <c r="EF225" s="38"/>
      <c r="EG225" s="38"/>
      <c r="EH225" s="38"/>
      <c r="EI225" s="38"/>
    </row>
    <row r="226" spans="132:139" ht="15">
      <c r="EB226" s="3"/>
      <c r="EC226" s="100"/>
      <c r="ED226" s="38"/>
      <c r="EE226" s="38"/>
      <c r="EF226" s="38"/>
      <c r="EG226" s="38"/>
      <c r="EH226" s="38"/>
      <c r="EI226" s="38"/>
    </row>
    <row r="227" spans="2:139" ht="15">
      <c r="B227" s="26" t="s">
        <v>118</v>
      </c>
      <c r="C227" s="26" t="s">
        <v>33</v>
      </c>
      <c r="D227" s="26" t="s">
        <v>53</v>
      </c>
      <c r="E227" s="26" t="s">
        <v>35</v>
      </c>
      <c r="F227" s="26" t="s">
        <v>54</v>
      </c>
      <c r="G227" s="26" t="s">
        <v>37</v>
      </c>
      <c r="H227" s="26" t="s">
        <v>113</v>
      </c>
      <c r="M227" s="3"/>
      <c r="N227" s="3"/>
      <c r="EB227" s="3"/>
      <c r="EC227" s="100"/>
      <c r="ED227" s="38"/>
      <c r="EE227" s="38"/>
      <c r="EF227" s="38"/>
      <c r="EG227" s="38"/>
      <c r="EH227" s="38"/>
      <c r="EI227" s="38"/>
    </row>
    <row r="228" spans="2:139" ht="15">
      <c r="B228" s="146">
        <f>$J$12</f>
        <v>8.54</v>
      </c>
      <c r="C228" s="151">
        <f>$E$188</f>
        <v>0.08336348210448152</v>
      </c>
      <c r="D228" s="152">
        <f>$E$190</f>
        <v>-53641921.710077286</v>
      </c>
      <c r="E228" s="153">
        <f>$E$189</f>
        <v>0.17120671510468988</v>
      </c>
      <c r="F228" s="152">
        <f>$E$191</f>
        <v>528338957.7947848</v>
      </c>
      <c r="G228" s="154">
        <f>$E$192</f>
        <v>0.21458870671061514</v>
      </c>
      <c r="H228" s="175">
        <f>$F$203</f>
        <v>2.469675032207508</v>
      </c>
      <c r="EB228" s="3"/>
      <c r="EC228" s="100"/>
      <c r="ED228" s="38"/>
      <c r="EE228" s="38"/>
      <c r="EF228" s="38"/>
      <c r="EG228" s="38"/>
      <c r="EH228" s="38"/>
      <c r="EI228" s="38"/>
    </row>
    <row r="229" spans="2:139" ht="15">
      <c r="B229" s="145">
        <f>B228*(1+$H$219)</f>
        <v>10.248</v>
      </c>
      <c r="C229" s="156">
        <f t="dataTable" ref="C229:H230" dt2D="0" dtr="0" r1="J12"/>
        <v>0.11291639800821107</v>
      </c>
      <c r="D229" s="157">
        <v>524863360.09473896</v>
      </c>
      <c r="E229" s="158">
        <v>0.2589637222935701</v>
      </c>
      <c r="F229" s="157">
        <v>1106844239.5996017</v>
      </c>
      <c r="G229" s="159">
        <v>0.44955283043509325</v>
      </c>
      <c r="H229" s="176">
        <v>3.15031827403132</v>
      </c>
      <c r="EB229" s="3"/>
      <c r="EC229" s="100"/>
      <c r="ED229" s="38"/>
      <c r="EE229" s="38"/>
      <c r="EF229" s="38"/>
      <c r="EG229" s="38"/>
      <c r="EH229" s="38"/>
      <c r="EI229" s="38"/>
    </row>
    <row r="230" spans="2:139" ht="15">
      <c r="B230" s="145">
        <f>B228*(1-$H$219)</f>
        <v>6.832</v>
      </c>
      <c r="C230" s="177">
        <v>0.07710680330893771</v>
      </c>
      <c r="D230" s="178">
        <v>-169342978.07104158</v>
      </c>
      <c r="E230" s="179">
        <v>0.15325254058851234</v>
      </c>
      <c r="F230" s="178">
        <v>412637901.4338217</v>
      </c>
      <c r="G230" s="180">
        <v>0.16759588196571965</v>
      </c>
      <c r="H230" s="181">
        <v>2.333546383842746</v>
      </c>
      <c r="EB230" s="3"/>
      <c r="EC230" s="100"/>
      <c r="ED230" s="38"/>
      <c r="EE230" s="38"/>
      <c r="EF230" s="38"/>
      <c r="EG230" s="38"/>
      <c r="EH230" s="38"/>
      <c r="EI230" s="38"/>
    </row>
    <row r="231" spans="132:139" ht="15">
      <c r="EB231" s="3"/>
      <c r="EC231" s="100"/>
      <c r="ED231" s="38"/>
      <c r="EE231" s="38"/>
      <c r="EF231" s="38"/>
      <c r="EG231" s="38"/>
      <c r="EH231" s="38"/>
      <c r="EI231" s="38"/>
    </row>
    <row r="232" spans="10:139" ht="15">
      <c r="J232" s="27"/>
      <c r="K232" s="27"/>
      <c r="L232" s="3"/>
      <c r="EB232" s="3"/>
      <c r="EC232" s="100"/>
      <c r="ED232" s="38"/>
      <c r="EE232" s="38"/>
      <c r="EF232" s="38"/>
      <c r="EG232" s="38"/>
      <c r="EH232" s="38"/>
      <c r="EI232" s="38"/>
    </row>
    <row r="233" spans="2:139" ht="15">
      <c r="B233" s="26" t="s">
        <v>177</v>
      </c>
      <c r="J233" s="3"/>
      <c r="K233" s="3"/>
      <c r="L233" s="3"/>
      <c r="EB233" s="3"/>
      <c r="EC233" s="100"/>
      <c r="ED233" s="38"/>
      <c r="EE233" s="38"/>
      <c r="EF233" s="38"/>
      <c r="EG233" s="38"/>
      <c r="EH233" s="38"/>
      <c r="EI233" s="38"/>
    </row>
    <row r="234" spans="2:139" ht="15">
      <c r="B234" s="166">
        <f>$E$188</f>
        <v>0.08336348210448152</v>
      </c>
      <c r="C234" s="36">
        <f>$J$12</f>
        <v>8.54</v>
      </c>
      <c r="D234" s="37">
        <f>C234*(1-$H$219)</f>
        <v>6.832</v>
      </c>
      <c r="E234" s="37">
        <f>C234*(1+$H$219)</f>
        <v>10.248</v>
      </c>
      <c r="F234" s="20" t="s">
        <v>118</v>
      </c>
      <c r="EB234" s="3"/>
      <c r="EC234" s="100"/>
      <c r="ED234" s="38"/>
      <c r="EE234" s="38"/>
      <c r="EF234" s="38"/>
      <c r="EG234" s="38"/>
      <c r="EH234" s="38"/>
      <c r="EI234" s="38"/>
    </row>
    <row r="235" spans="2:139" ht="15">
      <c r="B235" s="167">
        <f>$C$14</f>
        <v>2462100480</v>
      </c>
      <c r="C235" s="151">
        <f t="dataTable" ref="C235:E237" dt2D="1" dtr="1" r1="J12" r2="C14"/>
        <v>0.08336348210448152</v>
      </c>
      <c r="D235" s="154">
        <v>0.05032541308053928</v>
      </c>
      <c r="E235" s="182">
        <v>0.07710680330893771</v>
      </c>
      <c r="EB235" s="3"/>
      <c r="EC235" s="100"/>
      <c r="ED235" s="38"/>
      <c r="EE235" s="38"/>
      <c r="EF235" s="38"/>
      <c r="EG235" s="38"/>
      <c r="EH235" s="38"/>
      <c r="EI235" s="38"/>
    </row>
    <row r="236" spans="2:139" ht="15">
      <c r="B236" s="167">
        <f>B235*(1-$C$219)</f>
        <v>1969680384</v>
      </c>
      <c r="C236" s="156">
        <v>0.10755042936995052</v>
      </c>
      <c r="D236" s="159">
        <v>0.0703947457470755</v>
      </c>
      <c r="E236" s="183">
        <v>0.10047112156602389</v>
      </c>
      <c r="EB236" s="3"/>
      <c r="EC236" s="100"/>
      <c r="ED236" s="38"/>
      <c r="EE236" s="38"/>
      <c r="EF236" s="38"/>
      <c r="EG236" s="38"/>
      <c r="EH236" s="38"/>
      <c r="EI236" s="38"/>
    </row>
    <row r="237" spans="2:139" ht="15">
      <c r="B237" s="167">
        <f>B235*(1+$C$219)</f>
        <v>2954520576</v>
      </c>
      <c r="C237" s="177">
        <v>0.07601955465152899</v>
      </c>
      <c r="D237" s="180">
        <v>0.04311378679842037</v>
      </c>
      <c r="E237" s="184">
        <v>0.06982204707048378</v>
      </c>
      <c r="EB237" s="3"/>
      <c r="EC237" s="100"/>
      <c r="ED237" s="38"/>
      <c r="EE237" s="38"/>
      <c r="EF237" s="38"/>
      <c r="EG237" s="38"/>
      <c r="EH237" s="38"/>
      <c r="EI237" s="38"/>
    </row>
    <row r="238" spans="2:139" ht="15">
      <c r="B238" s="164" t="s">
        <v>117</v>
      </c>
      <c r="EB238" s="3"/>
      <c r="EC238" s="100"/>
      <c r="ED238" s="38"/>
      <c r="EE238" s="38"/>
      <c r="EF238" s="38"/>
      <c r="EG238" s="38"/>
      <c r="EH238" s="38"/>
      <c r="EI238" s="38"/>
    </row>
    <row r="239" spans="2:139" ht="15">
      <c r="B239" s="164"/>
      <c r="EB239" s="3"/>
      <c r="EC239" s="100"/>
      <c r="ED239" s="38"/>
      <c r="EE239" s="38"/>
      <c r="EF239" s="38"/>
      <c r="EG239" s="38"/>
      <c r="EH239" s="38"/>
      <c r="EI239" s="38"/>
    </row>
    <row r="240" spans="2:139" ht="15">
      <c r="B240" s="26" t="s">
        <v>200</v>
      </c>
      <c r="EB240" s="3"/>
      <c r="EC240" s="100"/>
      <c r="ED240" s="38"/>
      <c r="EE240" s="38"/>
      <c r="EF240" s="38"/>
      <c r="EG240" s="38"/>
      <c r="EH240" s="38"/>
      <c r="EI240" s="38"/>
    </row>
    <row r="241" spans="2:139" ht="15">
      <c r="B241" s="166">
        <f>$E$189</f>
        <v>0.17120671510468988</v>
      </c>
      <c r="C241" s="36">
        <f>$J$12</f>
        <v>8.54</v>
      </c>
      <c r="D241" s="37">
        <f>C241*(1-$H$219)</f>
        <v>6.832</v>
      </c>
      <c r="E241" s="37">
        <f>C241*(1+$H$219)</f>
        <v>10.248</v>
      </c>
      <c r="F241" s="20" t="s">
        <v>118</v>
      </c>
      <c r="EB241" s="3"/>
      <c r="EC241" s="100"/>
      <c r="ED241" s="38"/>
      <c r="EE241" s="38"/>
      <c r="EF241" s="38"/>
      <c r="EG241" s="38"/>
      <c r="EH241" s="38"/>
      <c r="EI241" s="38"/>
    </row>
    <row r="242" spans="2:139" ht="15">
      <c r="B242" s="167">
        <f>$C$14</f>
        <v>2462100480</v>
      </c>
      <c r="C242" s="194">
        <f t="dataTable" ref="C242:E244" dt2D="1" dtr="1" r1="J12" r2="C14"/>
        <v>0.17120671510468988</v>
      </c>
      <c r="D242" s="153">
        <v>0.0774920571625679</v>
      </c>
      <c r="E242" s="195">
        <v>0.15325254058851234</v>
      </c>
      <c r="EB242" s="3"/>
      <c r="EC242" s="100"/>
      <c r="ED242" s="38"/>
      <c r="EE242" s="38"/>
      <c r="EF242" s="38"/>
      <c r="EG242" s="38"/>
      <c r="EH242" s="38"/>
      <c r="EI242" s="38"/>
    </row>
    <row r="243" spans="2:139" ht="15">
      <c r="B243" s="167">
        <f>B242*(1-$C$219)</f>
        <v>1969680384</v>
      </c>
      <c r="C243" s="196">
        <v>0.24642788882992028</v>
      </c>
      <c r="D243" s="158">
        <v>0.13742307508247809</v>
      </c>
      <c r="E243" s="197">
        <v>0.2251556240659638</v>
      </c>
      <c r="EB243" s="3"/>
      <c r="EC243" s="100"/>
      <c r="ED243" s="38"/>
      <c r="EE243" s="38"/>
      <c r="EF243" s="38"/>
      <c r="EG243" s="38"/>
      <c r="EH243" s="38"/>
      <c r="EI243" s="38"/>
    </row>
    <row r="244" spans="2:139" s="3" customFormat="1" ht="15">
      <c r="B244" s="167">
        <f>B242*(1+$C$219)</f>
        <v>2954520576</v>
      </c>
      <c r="C244" s="198">
        <v>0.15070698782832315</v>
      </c>
      <c r="D244" s="179">
        <v>0.056878145268611346</v>
      </c>
      <c r="E244" s="199">
        <v>0.13307905128197084</v>
      </c>
      <c r="F244" s="2"/>
      <c r="G244" s="2"/>
      <c r="EC244" s="100"/>
      <c r="ED244" s="38"/>
      <c r="EE244" s="38"/>
      <c r="EF244" s="38"/>
      <c r="EG244" s="38"/>
      <c r="EH244" s="38"/>
      <c r="EI244" s="38"/>
    </row>
    <row r="245" spans="2:139" ht="15">
      <c r="B245" s="164" t="s">
        <v>117</v>
      </c>
      <c r="EB245" s="3"/>
      <c r="EC245" s="100"/>
      <c r="ED245" s="38"/>
      <c r="EE245" s="38"/>
      <c r="EF245" s="38"/>
      <c r="EG245" s="38"/>
      <c r="EH245" s="38"/>
      <c r="EI245" s="38"/>
    </row>
    <row r="246" spans="2:139" ht="15">
      <c r="B246" s="34"/>
      <c r="EB246" s="3"/>
      <c r="EC246" s="100"/>
      <c r="ED246" s="38"/>
      <c r="EE246" s="38"/>
      <c r="EF246" s="38"/>
      <c r="EG246" s="38"/>
      <c r="EH246" s="38"/>
      <c r="EI246" s="38"/>
    </row>
    <row r="247" spans="2:139" ht="15">
      <c r="B247" s="26" t="s">
        <v>201</v>
      </c>
      <c r="EB247" s="3"/>
      <c r="EC247" s="100"/>
      <c r="ED247" s="38"/>
      <c r="EE247" s="38"/>
      <c r="EF247" s="38"/>
      <c r="EG247" s="38"/>
      <c r="EH247" s="38"/>
      <c r="EI247" s="38"/>
    </row>
    <row r="248" spans="2:139" ht="15">
      <c r="B248" s="168">
        <f>$E$190</f>
        <v>-53641921.710077286</v>
      </c>
      <c r="C248" s="36">
        <f>$J$12</f>
        <v>8.54</v>
      </c>
      <c r="D248" s="37">
        <f>C248*(1-$H$219)</f>
        <v>6.832</v>
      </c>
      <c r="E248" s="37">
        <f>C248*(1+$H$219)</f>
        <v>10.248</v>
      </c>
      <c r="F248" s="20" t="s">
        <v>118</v>
      </c>
      <c r="EB248" s="3"/>
      <c r="EC248" s="100"/>
      <c r="ED248" s="38"/>
      <c r="EE248" s="38"/>
      <c r="EF248" s="38"/>
      <c r="EG248" s="38"/>
      <c r="EH248" s="38"/>
      <c r="EI248" s="38"/>
    </row>
    <row r="249" spans="2:139" ht="15">
      <c r="B249" s="167">
        <f>$C$14</f>
        <v>2462100480</v>
      </c>
      <c r="C249" s="188">
        <f t="dataTable" ref="C249:E251" dt2D="1" dtr="1" r1="J12" r2="C14"/>
        <v>-53641921.710077286</v>
      </c>
      <c r="D249" s="152">
        <v>-632147203.5148945</v>
      </c>
      <c r="E249" s="189">
        <v>-169342978.07104158</v>
      </c>
      <c r="EB249" s="3"/>
      <c r="EC249" s="100"/>
      <c r="ED249" s="38"/>
      <c r="EE249" s="38"/>
      <c r="EF249" s="38"/>
      <c r="EG249" s="38"/>
      <c r="EH249" s="38"/>
      <c r="EI249" s="38"/>
    </row>
    <row r="250" spans="2:139" ht="15">
      <c r="B250" s="167">
        <f>B249*(1-$C$219)</f>
        <v>1969680384</v>
      </c>
      <c r="C250" s="190">
        <v>327586259.0004554</v>
      </c>
      <c r="D250" s="157">
        <v>-227778811.53216887</v>
      </c>
      <c r="E250" s="191">
        <v>216513244.8939309</v>
      </c>
      <c r="EB250" s="3"/>
      <c r="EC250" s="100"/>
      <c r="ED250" s="38"/>
      <c r="EE250" s="38"/>
      <c r="EF250" s="38"/>
      <c r="EG250" s="38"/>
      <c r="EH250" s="38"/>
      <c r="EI250" s="38"/>
    </row>
    <row r="251" spans="2:139" ht="15">
      <c r="B251" s="167">
        <f>B249*(1+$C$219)</f>
        <v>2954520576</v>
      </c>
      <c r="C251" s="192">
        <v>-181030144.7632656</v>
      </c>
      <c r="D251" s="178">
        <v>-714180612.474585</v>
      </c>
      <c r="E251" s="193">
        <v>-287660238.30552936</v>
      </c>
      <c r="EB251" s="3"/>
      <c r="EC251" s="100"/>
      <c r="ED251" s="38"/>
      <c r="EE251" s="38"/>
      <c r="EF251" s="38"/>
      <c r="EG251" s="38"/>
      <c r="EH251" s="38"/>
      <c r="EI251" s="38"/>
    </row>
    <row r="252" spans="2:139" ht="15">
      <c r="B252" s="164" t="s">
        <v>117</v>
      </c>
      <c r="EB252" s="3"/>
      <c r="EC252" s="100"/>
      <c r="ED252" s="38"/>
      <c r="EE252" s="38"/>
      <c r="EF252" s="38"/>
      <c r="EG252" s="38"/>
      <c r="EH252" s="38"/>
      <c r="EI252" s="38"/>
    </row>
    <row r="253" spans="2:139" ht="15">
      <c r="B253" s="164"/>
      <c r="EB253" s="3"/>
      <c r="EC253" s="100"/>
      <c r="ED253" s="38"/>
      <c r="EE253" s="38"/>
      <c r="EF253" s="38"/>
      <c r="EG253" s="38"/>
      <c r="EH253" s="38"/>
      <c r="EI253" s="38"/>
    </row>
    <row r="254" spans="2:139" ht="15">
      <c r="B254" s="26" t="s">
        <v>202</v>
      </c>
      <c r="EB254" s="3"/>
      <c r="EC254" s="100"/>
      <c r="ED254" s="38"/>
      <c r="EE254" s="38"/>
      <c r="EF254" s="38"/>
      <c r="EG254" s="38"/>
      <c r="EH254" s="38"/>
      <c r="EI254" s="38"/>
    </row>
    <row r="255" spans="2:139" ht="15">
      <c r="B255" s="168">
        <f>$E$191</f>
        <v>528338957.7947848</v>
      </c>
      <c r="C255" s="36">
        <f>$J$12</f>
        <v>8.54</v>
      </c>
      <c r="D255" s="37">
        <f>C255*(1-$H$219)</f>
        <v>6.832</v>
      </c>
      <c r="E255" s="37">
        <f>C255*(1+$H$219)</f>
        <v>10.248</v>
      </c>
      <c r="F255" s="20" t="s">
        <v>118</v>
      </c>
      <c r="EB255" s="3"/>
      <c r="EC255" s="100"/>
      <c r="ED255" s="38"/>
      <c r="EE255" s="38"/>
      <c r="EF255" s="38"/>
      <c r="EG255" s="38"/>
      <c r="EH255" s="38"/>
      <c r="EI255" s="38"/>
    </row>
    <row r="256" spans="2:139" ht="15">
      <c r="B256" s="167">
        <f>$C$14</f>
        <v>2462100480</v>
      </c>
      <c r="C256" s="188">
        <f t="dataTable" ref="C256:E258" dt2D="1" dtr="1" r1="J12" r2="C14"/>
        <v>528338957.7947848</v>
      </c>
      <c r="D256" s="152">
        <v>-50166324.01003182</v>
      </c>
      <c r="E256" s="189">
        <v>412637901.4338217</v>
      </c>
      <c r="EB256" s="3"/>
      <c r="EC256" s="100"/>
      <c r="ED256" s="38"/>
      <c r="EE256" s="38"/>
      <c r="EF256" s="38"/>
      <c r="EG256" s="38"/>
      <c r="EH256" s="38"/>
      <c r="EI256" s="38"/>
    </row>
    <row r="257" spans="2:139" ht="15">
      <c r="B257" s="167">
        <f>B256*(1-$C$219)</f>
        <v>1969680384</v>
      </c>
      <c r="C257" s="190">
        <v>793170962.6043448</v>
      </c>
      <c r="D257" s="157">
        <v>237805892.07172143</v>
      </c>
      <c r="E257" s="191">
        <v>682097948.4978204</v>
      </c>
      <c r="EB257" s="3"/>
      <c r="EC257" s="100"/>
      <c r="ED257" s="38"/>
      <c r="EE257" s="38"/>
      <c r="EF257" s="38"/>
      <c r="EG257" s="38"/>
      <c r="EH257" s="38"/>
      <c r="EI257" s="38"/>
    </row>
    <row r="258" spans="2:139" ht="15">
      <c r="B258" s="167">
        <f>B256*(1+$C$219)</f>
        <v>2954520576</v>
      </c>
      <c r="C258" s="192">
        <v>377671499.5614021</v>
      </c>
      <c r="D258" s="178">
        <v>-155478968.14991724</v>
      </c>
      <c r="E258" s="193">
        <v>271041406.01913846</v>
      </c>
      <c r="EB258" s="3"/>
      <c r="EC258" s="100"/>
      <c r="ED258" s="38"/>
      <c r="EE258" s="38"/>
      <c r="EF258" s="38"/>
      <c r="EG258" s="38"/>
      <c r="EH258" s="38"/>
      <c r="EI258" s="38"/>
    </row>
    <row r="259" spans="2:139" ht="15">
      <c r="B259" s="164" t="s">
        <v>117</v>
      </c>
      <c r="EB259" s="3"/>
      <c r="EC259" s="100"/>
      <c r="ED259" s="38"/>
      <c r="EE259" s="38"/>
      <c r="EF259" s="38"/>
      <c r="EG259" s="38"/>
      <c r="EH259" s="38"/>
      <c r="EI259" s="38"/>
    </row>
    <row r="260" spans="2:139" ht="15">
      <c r="B260" s="164"/>
      <c r="EB260" s="3"/>
      <c r="EC260" s="100"/>
      <c r="ED260" s="38"/>
      <c r="EE260" s="38"/>
      <c r="EF260" s="38"/>
      <c r="EG260" s="38"/>
      <c r="EH260" s="38"/>
      <c r="EI260" s="38"/>
    </row>
    <row r="261" spans="2:139" ht="15">
      <c r="B261" s="26" t="s">
        <v>37</v>
      </c>
      <c r="EB261" s="3"/>
      <c r="EC261" s="100"/>
      <c r="ED261" s="38"/>
      <c r="EE261" s="38"/>
      <c r="EF261" s="38"/>
      <c r="EG261" s="38"/>
      <c r="EH261" s="38"/>
      <c r="EI261" s="38"/>
    </row>
    <row r="262" spans="2:139" ht="15">
      <c r="B262" s="169">
        <f>$E$192</f>
        <v>0.21458870671061514</v>
      </c>
      <c r="C262" s="36">
        <f>$J$12</f>
        <v>8.54</v>
      </c>
      <c r="D262" s="37">
        <f>C262*(1-$H$219)</f>
        <v>6.832</v>
      </c>
      <c r="E262" s="37">
        <f>C262*(1+$H$219)</f>
        <v>10.248</v>
      </c>
      <c r="F262" s="20" t="s">
        <v>118</v>
      </c>
      <c r="EB262" s="3"/>
      <c r="EC262" s="100"/>
      <c r="ED262" s="38"/>
      <c r="EE262" s="38"/>
      <c r="EF262" s="38"/>
      <c r="EG262" s="38"/>
      <c r="EH262" s="38"/>
      <c r="EI262" s="38"/>
    </row>
    <row r="263" spans="2:139" ht="15">
      <c r="B263" s="167">
        <f>$C$14</f>
        <v>2462100480</v>
      </c>
      <c r="C263" s="151">
        <f t="dataTable" ref="C263:E265" dt2D="1" dtr="1" r1="J12" r2="C14"/>
        <v>0.21458870671061514</v>
      </c>
      <c r="D263" s="154">
        <v>-0.02037541701386282</v>
      </c>
      <c r="E263" s="182">
        <v>0.16759588196571965</v>
      </c>
      <c r="EB263" s="3"/>
      <c r="EC263" s="100"/>
      <c r="ED263" s="38"/>
      <c r="EE263" s="38"/>
      <c r="EF263" s="38"/>
      <c r="EG263" s="38"/>
      <c r="EH263" s="38"/>
      <c r="EI263" s="38"/>
    </row>
    <row r="264" spans="2:139" ht="15">
      <c r="B264" s="167">
        <f>B263*(1-$C$219)</f>
        <v>1969680384</v>
      </c>
      <c r="C264" s="156">
        <v>0.4026901872239719</v>
      </c>
      <c r="D264" s="159">
        <v>0.12073323875459858</v>
      </c>
      <c r="E264" s="183">
        <v>0.34629879753009735</v>
      </c>
      <c r="EB264" s="3"/>
      <c r="EC264" s="100"/>
      <c r="ED264" s="38"/>
      <c r="EE264" s="38"/>
      <c r="EF264" s="38"/>
      <c r="EG264" s="38"/>
      <c r="EH264" s="38"/>
      <c r="EI264" s="38"/>
    </row>
    <row r="265" spans="2:139" ht="15">
      <c r="B265" s="167">
        <f>B263*(1+$C$219)</f>
        <v>2954520576</v>
      </c>
      <c r="C265" s="177">
        <v>0.15978544143053303</v>
      </c>
      <c r="D265" s="180">
        <v>-0.06578011734496601</v>
      </c>
      <c r="E265" s="184">
        <v>0.11467232967543331</v>
      </c>
      <c r="EB265" s="3"/>
      <c r="EC265" s="100"/>
      <c r="ED265" s="38"/>
      <c r="EE265" s="38"/>
      <c r="EF265" s="38"/>
      <c r="EG265" s="38"/>
      <c r="EH265" s="38"/>
      <c r="EI265" s="38"/>
    </row>
    <row r="266" spans="2:139" ht="15">
      <c r="B266" s="164" t="s">
        <v>117</v>
      </c>
      <c r="EB266" s="3"/>
      <c r="EC266" s="100"/>
      <c r="ED266" s="38"/>
      <c r="EE266" s="38"/>
      <c r="EF266" s="38"/>
      <c r="EG266" s="38"/>
      <c r="EH266" s="38"/>
      <c r="EI266" s="38"/>
    </row>
    <row r="267" spans="2:139" ht="15">
      <c r="B267" s="164"/>
      <c r="EB267" s="3"/>
      <c r="EC267" s="100"/>
      <c r="ED267" s="38"/>
      <c r="EE267" s="38"/>
      <c r="EF267" s="38"/>
      <c r="EG267" s="38"/>
      <c r="EH267" s="38"/>
      <c r="EI267" s="38"/>
    </row>
    <row r="268" spans="2:139" ht="15">
      <c r="B268" s="26" t="str">
        <f>CONCATENATE("DSCR ",$C$71,"-Yr Ave.")</f>
        <v>DSCR 25-Yr Ave.</v>
      </c>
      <c r="EB268" s="3"/>
      <c r="EC268" s="100"/>
      <c r="ED268" s="38"/>
      <c r="EE268" s="38"/>
      <c r="EF268" s="38"/>
      <c r="EG268" s="38"/>
      <c r="EH268" s="38"/>
      <c r="EI268" s="38"/>
    </row>
    <row r="269" spans="2:139" ht="15">
      <c r="B269" s="170">
        <f>$F$203</f>
        <v>2.469675032207508</v>
      </c>
      <c r="C269" s="36">
        <f>$J$12</f>
        <v>8.54</v>
      </c>
      <c r="D269" s="37">
        <f>C269*(1-$H$219)</f>
        <v>6.832</v>
      </c>
      <c r="E269" s="37">
        <f>C269*(1+$H$219)</f>
        <v>10.248</v>
      </c>
      <c r="F269" s="20" t="s">
        <v>118</v>
      </c>
      <c r="EB269" s="3"/>
      <c r="EC269" s="100"/>
      <c r="ED269" s="38"/>
      <c r="EE269" s="38"/>
      <c r="EF269" s="38"/>
      <c r="EG269" s="38"/>
      <c r="EH269" s="38"/>
      <c r="EI269" s="38"/>
    </row>
    <row r="270" spans="2:139" ht="15">
      <c r="B270" s="167">
        <f>$C$14</f>
        <v>2462100480</v>
      </c>
      <c r="C270" s="185">
        <f t="dataTable" ref="C270:E272" dt2D="1" dtr="1" r1="J12" r2="C14"/>
        <v>2.469675032207508</v>
      </c>
      <c r="D270" s="155">
        <v>1.7890317903836968</v>
      </c>
      <c r="E270" s="175">
        <v>2.333546383842746</v>
      </c>
      <c r="EB270" s="3"/>
      <c r="EC270" s="100"/>
      <c r="ED270" s="38"/>
      <c r="EE270" s="38"/>
      <c r="EF270" s="38"/>
      <c r="EG270" s="38"/>
      <c r="EH270" s="38"/>
      <c r="EI270" s="38"/>
    </row>
    <row r="271" spans="2:139" ht="15">
      <c r="B271" s="167">
        <f>B270*(1-$C$219)</f>
        <v>1969680384</v>
      </c>
      <c r="C271" s="186">
        <v>2.9482130832581483</v>
      </c>
      <c r="D271" s="160">
        <v>2.1314411930695756</v>
      </c>
      <c r="E271" s="176">
        <v>2.7848587052204343</v>
      </c>
      <c r="EB271" s="3"/>
      <c r="EC271" s="100"/>
      <c r="ED271" s="38"/>
      <c r="EE271" s="38"/>
      <c r="EF271" s="38"/>
      <c r="EG271" s="38"/>
      <c r="EH271" s="38"/>
      <c r="EI271" s="38"/>
    </row>
    <row r="272" spans="2:139" ht="15">
      <c r="B272" s="167">
        <f>B270*(1+$C$219)</f>
        <v>2954520576</v>
      </c>
      <c r="C272" s="187">
        <v>2.299862185380552</v>
      </c>
      <c r="D272" s="200">
        <v>1.6464446732296933</v>
      </c>
      <c r="E272" s="181">
        <v>2.16917868295038</v>
      </c>
      <c r="EB272" s="3"/>
      <c r="EC272" s="100"/>
      <c r="ED272" s="38"/>
      <c r="EE272" s="38"/>
      <c r="EF272" s="38"/>
      <c r="EG272" s="38"/>
      <c r="EH272" s="38"/>
      <c r="EI272" s="38"/>
    </row>
    <row r="273" spans="2:139" ht="15">
      <c r="B273" s="164" t="s">
        <v>117</v>
      </c>
      <c r="EB273" s="3"/>
      <c r="EC273" s="100"/>
      <c r="ED273" s="38"/>
      <c r="EE273" s="38"/>
      <c r="EF273" s="38"/>
      <c r="EG273" s="38"/>
      <c r="EH273" s="38"/>
      <c r="EI273" s="38"/>
    </row>
    <row r="274" spans="132:139" ht="15">
      <c r="EB274" s="3"/>
      <c r="EC274" s="100"/>
      <c r="ED274" s="38"/>
      <c r="EE274" s="38"/>
      <c r="EF274" s="38"/>
      <c r="EG274" s="38"/>
      <c r="EH274" s="38"/>
      <c r="EI274" s="38"/>
    </row>
    <row r="275" spans="2:139" s="22" customFormat="1" ht="15">
      <c r="B275" s="23" t="s">
        <v>93</v>
      </c>
      <c r="EB275" s="3"/>
      <c r="EC275" s="100"/>
      <c r="ED275" s="38"/>
      <c r="EE275" s="38"/>
      <c r="EF275" s="38"/>
      <c r="EG275" s="38"/>
      <c r="EH275" s="38"/>
      <c r="EI275" s="38"/>
    </row>
    <row r="276" spans="2:139" ht="15">
      <c r="B276" s="25"/>
      <c r="EB276" s="3"/>
      <c r="EC276" s="100"/>
      <c r="ED276" s="38"/>
      <c r="EE276" s="38"/>
      <c r="EF276" s="38"/>
      <c r="EG276" s="38"/>
      <c r="EH276" s="38"/>
      <c r="EI276" s="38"/>
    </row>
    <row r="277" spans="2:139" ht="15">
      <c r="B277" s="213" t="s">
        <v>206</v>
      </c>
      <c r="C277" s="216">
        <v>15000000</v>
      </c>
      <c r="EB277" s="3"/>
      <c r="EC277" s="100"/>
      <c r="ED277" s="38"/>
      <c r="EE277" s="38"/>
      <c r="EF277" s="38"/>
      <c r="EG277" s="38"/>
      <c r="EH277" s="38"/>
      <c r="EI277" s="38"/>
    </row>
    <row r="278" spans="2:139" ht="15">
      <c r="B278" s="214" t="s">
        <v>207</v>
      </c>
      <c r="C278" s="228">
        <f>$J$13</f>
        <v>51</v>
      </c>
      <c r="EB278" s="3"/>
      <c r="EC278" s="100"/>
      <c r="ED278" s="38"/>
      <c r="EE278" s="38"/>
      <c r="EF278" s="38"/>
      <c r="EG278" s="38"/>
      <c r="EH278" s="38"/>
      <c r="EI278" s="38"/>
    </row>
    <row r="279" spans="2:139" ht="15">
      <c r="B279" s="214" t="s">
        <v>208</v>
      </c>
      <c r="C279" s="229">
        <f>$C$278*$C$277</f>
        <v>765000000</v>
      </c>
      <c r="EB279" s="3"/>
      <c r="EC279" s="100"/>
      <c r="ED279" s="38"/>
      <c r="EE279" s="38"/>
      <c r="EF279" s="38"/>
      <c r="EG279" s="38"/>
      <c r="EH279" s="38"/>
      <c r="EI279" s="38"/>
    </row>
    <row r="280" spans="2:139" ht="15">
      <c r="B280" s="214" t="s">
        <v>209</v>
      </c>
      <c r="C280" s="229">
        <f>$C$14</f>
        <v>2462100480</v>
      </c>
      <c r="EB280" s="3"/>
      <c r="EC280" s="100"/>
      <c r="ED280" s="38"/>
      <c r="EE280" s="38"/>
      <c r="EF280" s="38"/>
      <c r="EG280" s="38"/>
      <c r="EH280" s="38"/>
      <c r="EI280" s="38"/>
    </row>
    <row r="281" spans="2:139" ht="15">
      <c r="B281" s="215" t="s">
        <v>210</v>
      </c>
      <c r="C281" s="230">
        <f>C279+C280</f>
        <v>3227100480</v>
      </c>
      <c r="EB281" s="3"/>
      <c r="EC281" s="100"/>
      <c r="ED281" s="38"/>
      <c r="EE281" s="38"/>
      <c r="EF281" s="38"/>
      <c r="EG281" s="38"/>
      <c r="EH281" s="38"/>
      <c r="EI281" s="38"/>
    </row>
    <row r="282" spans="2:139" ht="15">
      <c r="B282" s="25"/>
      <c r="EB282" s="3"/>
      <c r="EC282" s="100"/>
      <c r="ED282" s="38"/>
      <c r="EE282" s="38"/>
      <c r="EF282" s="38"/>
      <c r="EG282" s="38"/>
      <c r="EH282" s="38"/>
      <c r="EI282" s="38"/>
    </row>
    <row r="283" spans="2:139" ht="15">
      <c r="B283" s="26" t="s">
        <v>117</v>
      </c>
      <c r="C283" s="26" t="s">
        <v>33</v>
      </c>
      <c r="D283" s="26" t="s">
        <v>53</v>
      </c>
      <c r="E283" s="26" t="s">
        <v>35</v>
      </c>
      <c r="F283" s="26" t="s">
        <v>54</v>
      </c>
      <c r="G283" s="26" t="s">
        <v>37</v>
      </c>
      <c r="H283" s="26" t="s">
        <v>113</v>
      </c>
      <c r="EB283" s="3"/>
      <c r="EC283" s="100"/>
      <c r="ED283" s="38"/>
      <c r="EE283" s="38"/>
      <c r="EF283" s="38"/>
      <c r="EG283" s="38"/>
      <c r="EH283" s="38"/>
      <c r="EI283" s="38"/>
    </row>
    <row r="284" spans="2:139" ht="15.75" thickBot="1">
      <c r="B284" s="46">
        <f>$C$14</f>
        <v>2462100480</v>
      </c>
      <c r="C284" s="151">
        <f>$E$188</f>
        <v>0.08336348210448152</v>
      </c>
      <c r="D284" s="152">
        <f>$E$190</f>
        <v>-53641921.710077286</v>
      </c>
      <c r="E284" s="153">
        <f>$E$189</f>
        <v>0.17120671510468988</v>
      </c>
      <c r="F284" s="152">
        <f>$E$191</f>
        <v>528338957.7947848</v>
      </c>
      <c r="G284" s="154">
        <f>$E$192</f>
        <v>0.21458870671061514</v>
      </c>
      <c r="H284" s="175">
        <f>$F$203</f>
        <v>2.469675032207508</v>
      </c>
      <c r="EB284" s="3"/>
      <c r="EC284" s="100"/>
      <c r="ED284" s="38"/>
      <c r="EE284" s="38"/>
      <c r="EF284" s="38"/>
      <c r="EG284" s="38"/>
      <c r="EH284" s="38"/>
      <c r="EI284" s="38"/>
    </row>
    <row r="285" spans="2:139" ht="15.75" thickBot="1">
      <c r="B285" s="46">
        <f>$C$280+$C$279</f>
        <v>3227100480</v>
      </c>
      <c r="C285" s="201">
        <f t="dataTable" ref="C285:H285" dt2D="0" dtr="0" r1="C14"/>
        <v>0.051247988412388645</v>
      </c>
      <c r="D285" s="202">
        <v>-825647104.779809</v>
      </c>
      <c r="E285" s="203">
        <v>0.07834548733065727</v>
      </c>
      <c r="F285" s="202">
        <v>-62838766.59169161</v>
      </c>
      <c r="G285" s="204">
        <v>-0.01947220639119722</v>
      </c>
      <c r="H285" s="205">
        <v>1.854566042415478</v>
      </c>
      <c r="EB285" s="3"/>
      <c r="EC285" s="100"/>
      <c r="ED285" s="38"/>
      <c r="EE285" s="38"/>
      <c r="EF285" s="38"/>
      <c r="EG285" s="38"/>
      <c r="EH285" s="38"/>
      <c r="EI285" s="38"/>
    </row>
    <row r="286" spans="2:139" ht="15">
      <c r="B286" s="25"/>
      <c r="EB286" s="3"/>
      <c r="EC286" s="100"/>
      <c r="ED286" s="38"/>
      <c r="EE286" s="38"/>
      <c r="EF286" s="38"/>
      <c r="EG286" s="38"/>
      <c r="EH286" s="38"/>
      <c r="EI286" s="38"/>
    </row>
    <row r="287" spans="2:139" ht="15">
      <c r="B287" s="26" t="s">
        <v>177</v>
      </c>
      <c r="EB287" s="3"/>
      <c r="EC287" s="100"/>
      <c r="ED287" s="38"/>
      <c r="EE287" s="38"/>
      <c r="EF287" s="38"/>
      <c r="EG287" s="38"/>
      <c r="EH287" s="38"/>
      <c r="EI287" s="38"/>
    </row>
    <row r="288" spans="2:139" ht="15">
      <c r="B288" s="166">
        <f>$E$188</f>
        <v>0.08336348210448152</v>
      </c>
      <c r="C288" s="36">
        <f>$J$12</f>
        <v>8.54</v>
      </c>
      <c r="D288" s="37">
        <f>C288*(1-$H$219)</f>
        <v>6.832</v>
      </c>
      <c r="E288" s="37">
        <f>C288*(1+$H$219)</f>
        <v>10.248</v>
      </c>
      <c r="F288" s="20" t="s">
        <v>118</v>
      </c>
      <c r="EB288" s="3"/>
      <c r="EC288" s="100"/>
      <c r="ED288" s="38"/>
      <c r="EE288" s="38"/>
      <c r="EF288" s="38"/>
      <c r="EG288" s="38"/>
      <c r="EH288" s="38"/>
      <c r="EI288" s="38"/>
    </row>
    <row r="289" spans="2:139" ht="15.75" thickBot="1">
      <c r="B289" s="46">
        <f>$C$14</f>
        <v>2462100480</v>
      </c>
      <c r="C289" s="151">
        <f t="dataTable" ref="C289:E290" dt2D="1" dtr="1" r1="J12" r2="C14"/>
        <v>0.08336348210448152</v>
      </c>
      <c r="D289" s="154">
        <v>0.05032541308053928</v>
      </c>
      <c r="E289" s="182">
        <v>0.07710680330893771</v>
      </c>
      <c r="EB289" s="3"/>
      <c r="EC289" s="100"/>
      <c r="ED289" s="38"/>
      <c r="EE289" s="38"/>
      <c r="EF289" s="38"/>
      <c r="EG289" s="38"/>
      <c r="EH289" s="38"/>
      <c r="EI289" s="38"/>
    </row>
    <row r="290" spans="2:139" ht="15.75" thickBot="1">
      <c r="B290" s="46">
        <f>$C$280+$C$279</f>
        <v>3227100480</v>
      </c>
      <c r="C290" s="201">
        <v>0.04588713844685355</v>
      </c>
      <c r="D290" s="204">
        <v>0.01755039796477509</v>
      </c>
      <c r="E290" s="206">
        <v>0.04059379381259576</v>
      </c>
      <c r="EB290" s="3"/>
      <c r="EC290" s="100"/>
      <c r="ED290" s="38"/>
      <c r="EE290" s="38"/>
      <c r="EF290" s="38"/>
      <c r="EG290" s="38"/>
      <c r="EH290" s="38"/>
      <c r="EI290" s="38"/>
    </row>
    <row r="291" spans="2:139" ht="15">
      <c r="B291" s="25"/>
      <c r="EB291" s="3"/>
      <c r="EC291" s="100"/>
      <c r="ED291" s="38"/>
      <c r="EE291" s="38"/>
      <c r="EF291" s="38"/>
      <c r="EG291" s="38"/>
      <c r="EH291" s="38"/>
      <c r="EI291" s="38"/>
    </row>
    <row r="292" spans="2:139" ht="15">
      <c r="B292" s="26" t="s">
        <v>200</v>
      </c>
      <c r="EB292" s="3"/>
      <c r="EC292" s="100"/>
      <c r="ED292" s="38"/>
      <c r="EE292" s="38"/>
      <c r="EF292" s="38"/>
      <c r="EG292" s="38"/>
      <c r="EH292" s="38"/>
      <c r="EI292" s="38"/>
    </row>
    <row r="293" spans="2:139" ht="15">
      <c r="B293" s="166">
        <f>$E$189</f>
        <v>0.17120671510468988</v>
      </c>
      <c r="C293" s="36">
        <f>$J$12</f>
        <v>8.54</v>
      </c>
      <c r="D293" s="37">
        <f>C293*(1-$H$219)</f>
        <v>6.832</v>
      </c>
      <c r="E293" s="37">
        <f>C293*(1+$H$219)</f>
        <v>10.248</v>
      </c>
      <c r="F293" s="20" t="s">
        <v>118</v>
      </c>
      <c r="EB293" s="3"/>
      <c r="EC293" s="100"/>
      <c r="ED293" s="38"/>
      <c r="EE293" s="38"/>
      <c r="EF293" s="38"/>
      <c r="EG293" s="38"/>
      <c r="EH293" s="38"/>
      <c r="EI293" s="38"/>
    </row>
    <row r="294" spans="2:139" ht="15.75" thickBot="1">
      <c r="B294" s="46">
        <f>$C$14</f>
        <v>2462100480</v>
      </c>
      <c r="C294" s="194">
        <f t="dataTable" ref="C294:E295" dt2D="1" dtr="1" r1="J12" r2="C14"/>
        <v>0.17120671510468988</v>
      </c>
      <c r="D294" s="153">
        <v>0.0774920571625679</v>
      </c>
      <c r="E294" s="195">
        <v>0.15325254058851234</v>
      </c>
      <c r="EB294" s="3"/>
      <c r="EC294" s="100"/>
      <c r="ED294" s="38"/>
      <c r="EE294" s="38"/>
      <c r="EF294" s="38"/>
      <c r="EG294" s="38"/>
      <c r="EH294" s="38"/>
      <c r="EI294" s="38"/>
    </row>
    <row r="295" spans="2:139" ht="15.75" thickBot="1">
      <c r="B295" s="46">
        <f>$C$280+$C$279</f>
        <v>3227100480</v>
      </c>
      <c r="C295" s="207">
        <v>0.06347929895908133</v>
      </c>
      <c r="D295" s="203">
        <v>-0.023261790443625863</v>
      </c>
      <c r="E295" s="208">
        <v>0.048618696943325324</v>
      </c>
      <c r="EB295" s="3"/>
      <c r="EC295" s="100"/>
      <c r="ED295" s="38"/>
      <c r="EE295" s="38"/>
      <c r="EF295" s="38"/>
      <c r="EG295" s="38"/>
      <c r="EH295" s="38"/>
      <c r="EI295" s="38"/>
    </row>
    <row r="296" spans="2:139" ht="15">
      <c r="B296" s="164" t="s">
        <v>117</v>
      </c>
      <c r="EB296" s="3"/>
      <c r="EC296" s="100"/>
      <c r="ED296" s="38"/>
      <c r="EE296" s="38"/>
      <c r="EF296" s="38"/>
      <c r="EG296" s="38"/>
      <c r="EH296" s="38"/>
      <c r="EI296" s="38"/>
    </row>
    <row r="297" spans="2:139" ht="15">
      <c r="B297" s="34"/>
      <c r="EB297" s="3"/>
      <c r="EC297" s="100"/>
      <c r="ED297" s="38"/>
      <c r="EE297" s="38"/>
      <c r="EF297" s="38"/>
      <c r="EG297" s="38"/>
      <c r="EH297" s="38"/>
      <c r="EI297" s="38"/>
    </row>
    <row r="298" spans="2:139" ht="15">
      <c r="B298" s="26" t="s">
        <v>201</v>
      </c>
      <c r="EB298" s="3"/>
      <c r="EC298" s="100"/>
      <c r="ED298" s="38"/>
      <c r="EE298" s="38"/>
      <c r="EF298" s="38"/>
      <c r="EG298" s="38"/>
      <c r="EH298" s="38"/>
      <c r="EI298" s="38"/>
    </row>
    <row r="299" spans="2:139" ht="15">
      <c r="B299" s="168">
        <f>$E$190</f>
        <v>-53641921.710077286</v>
      </c>
      <c r="C299" s="36">
        <f>$J$12</f>
        <v>8.54</v>
      </c>
      <c r="D299" s="37">
        <f>C299*(1-$H$219)</f>
        <v>6.832</v>
      </c>
      <c r="E299" s="37">
        <f>C299*(1+$H$219)</f>
        <v>10.248</v>
      </c>
      <c r="F299" s="20" t="s">
        <v>118</v>
      </c>
      <c r="EB299" s="3"/>
      <c r="EC299" s="100"/>
      <c r="ED299" s="38"/>
      <c r="EE299" s="38"/>
      <c r="EF299" s="38"/>
      <c r="EG299" s="38"/>
      <c r="EH299" s="38"/>
      <c r="EI299" s="38"/>
    </row>
    <row r="300" spans="2:139" ht="15.75" thickBot="1">
      <c r="B300" s="46">
        <f>$C$14</f>
        <v>2462100480</v>
      </c>
      <c r="C300" s="188">
        <f t="dataTable" ref="C300:E301" dt2D="1" dtr="1" r1="J12" r2="C14"/>
        <v>-53641921.710077286</v>
      </c>
      <c r="D300" s="152">
        <v>-632147203.5148945</v>
      </c>
      <c r="E300" s="189">
        <v>-169342978.07104158</v>
      </c>
      <c r="EB300" s="3"/>
      <c r="EC300" s="100"/>
      <c r="ED300" s="38"/>
      <c r="EE300" s="38"/>
      <c r="EF300" s="38"/>
      <c r="EG300" s="38"/>
      <c r="EH300" s="38"/>
      <c r="EI300" s="38"/>
    </row>
    <row r="301" spans="2:139" ht="15.75" thickBot="1">
      <c r="B301" s="46">
        <f>$C$280+$C$279</f>
        <v>3227100480</v>
      </c>
      <c r="C301" s="209">
        <v>-941348161.1407704</v>
      </c>
      <c r="D301" s="202">
        <v>-1496131804.0049653</v>
      </c>
      <c r="E301" s="210">
        <v>-1052421175.2472954</v>
      </c>
      <c r="EB301" s="3"/>
      <c r="EC301" s="100"/>
      <c r="ED301" s="38"/>
      <c r="EE301" s="38"/>
      <c r="EF301" s="38"/>
      <c r="EG301" s="38"/>
      <c r="EH301" s="38"/>
      <c r="EI301" s="38"/>
    </row>
    <row r="302" spans="2:139" ht="15">
      <c r="B302" s="164" t="s">
        <v>117</v>
      </c>
      <c r="EB302" s="3"/>
      <c r="EC302" s="100"/>
      <c r="ED302" s="38"/>
      <c r="EE302" s="38"/>
      <c r="EF302" s="38"/>
      <c r="EG302" s="38"/>
      <c r="EH302" s="38"/>
      <c r="EI302" s="38"/>
    </row>
    <row r="303" spans="2:139" ht="15">
      <c r="B303" s="164"/>
      <c r="EB303" s="3"/>
      <c r="EC303" s="100"/>
      <c r="ED303" s="38"/>
      <c r="EE303" s="38"/>
      <c r="EF303" s="38"/>
      <c r="EG303" s="38"/>
      <c r="EH303" s="38"/>
      <c r="EI303" s="38"/>
    </row>
    <row r="304" spans="2:139" ht="15">
      <c r="B304" s="26" t="s">
        <v>202</v>
      </c>
      <c r="EB304" s="3"/>
      <c r="EC304" s="100"/>
      <c r="ED304" s="38"/>
      <c r="EE304" s="38"/>
      <c r="EF304" s="38"/>
      <c r="EG304" s="38"/>
      <c r="EH304" s="38"/>
      <c r="EI304" s="38"/>
    </row>
    <row r="305" spans="2:139" ht="15">
      <c r="B305" s="168">
        <f>$E$191</f>
        <v>528338957.7947848</v>
      </c>
      <c r="C305" s="36">
        <f>$J$12</f>
        <v>8.54</v>
      </c>
      <c r="D305" s="37">
        <f>C305*(1-$H$219)</f>
        <v>6.832</v>
      </c>
      <c r="E305" s="37">
        <f>C305*(1+$H$219)</f>
        <v>10.248</v>
      </c>
      <c r="F305" s="20" t="s">
        <v>118</v>
      </c>
      <c r="EB305" s="3"/>
      <c r="EC305" s="100"/>
      <c r="ED305" s="38"/>
      <c r="EE305" s="38"/>
      <c r="EF305" s="38"/>
      <c r="EG305" s="38"/>
      <c r="EH305" s="38"/>
      <c r="EI305" s="38"/>
    </row>
    <row r="306" spans="2:139" ht="15.75" thickBot="1">
      <c r="B306" s="46">
        <f>$C$14</f>
        <v>2462100480</v>
      </c>
      <c r="C306" s="188">
        <f t="dataTable" ref="C306:E307" dt2D="1" dtr="1" r1="J12" r2="C14"/>
        <v>528338957.7947848</v>
      </c>
      <c r="D306" s="152">
        <v>-50166324.01003182</v>
      </c>
      <c r="E306" s="189">
        <v>412637901.4338217</v>
      </c>
      <c r="EB306" s="3"/>
      <c r="EC306" s="100"/>
      <c r="ED306" s="38"/>
      <c r="EE306" s="38"/>
      <c r="EF306" s="38"/>
      <c r="EG306" s="38"/>
      <c r="EH306" s="38"/>
      <c r="EI306" s="38"/>
    </row>
    <row r="307" spans="2:139" ht="15.75" thickBot="1">
      <c r="B307" s="46">
        <f>$C$280+$C$279</f>
        <v>3227100480</v>
      </c>
      <c r="C307" s="209">
        <v>-178539822.95265472</v>
      </c>
      <c r="D307" s="202">
        <v>-733810767.0723956</v>
      </c>
      <c r="E307" s="210">
        <v>-289612837.0591794</v>
      </c>
      <c r="EB307" s="3"/>
      <c r="EC307" s="100"/>
      <c r="ED307" s="38"/>
      <c r="EE307" s="38"/>
      <c r="EF307" s="38"/>
      <c r="EG307" s="38"/>
      <c r="EH307" s="38"/>
      <c r="EI307" s="38"/>
    </row>
    <row r="308" spans="2:139" ht="15">
      <c r="B308" s="164" t="s">
        <v>117</v>
      </c>
      <c r="EB308" s="3"/>
      <c r="EC308" s="100"/>
      <c r="ED308" s="38"/>
      <c r="EE308" s="38"/>
      <c r="EF308" s="38"/>
      <c r="EG308" s="38"/>
      <c r="EH308" s="38"/>
      <c r="EI308" s="38"/>
    </row>
    <row r="309" spans="2:139" ht="15">
      <c r="B309" s="164"/>
      <c r="EB309" s="3"/>
      <c r="EC309" s="100"/>
      <c r="ED309" s="38"/>
      <c r="EE309" s="38"/>
      <c r="EF309" s="38"/>
      <c r="EG309" s="38"/>
      <c r="EH309" s="38"/>
      <c r="EI309" s="38"/>
    </row>
    <row r="310" spans="2:139" ht="15">
      <c r="B310" s="26" t="s">
        <v>37</v>
      </c>
      <c r="EB310" s="3"/>
      <c r="EC310" s="100"/>
      <c r="ED310" s="38"/>
      <c r="EE310" s="38"/>
      <c r="EF310" s="38"/>
      <c r="EG310" s="38"/>
      <c r="EH310" s="38"/>
      <c r="EI310" s="38"/>
    </row>
    <row r="311" spans="2:139" ht="15">
      <c r="B311" s="169">
        <f>$E$192</f>
        <v>0.21458870671061514</v>
      </c>
      <c r="C311" s="36">
        <f>$J$12</f>
        <v>8.54</v>
      </c>
      <c r="D311" s="37">
        <f>C311*(1-$H$219)</f>
        <v>6.832</v>
      </c>
      <c r="E311" s="37">
        <f>C311*(1+$H$219)</f>
        <v>10.248</v>
      </c>
      <c r="F311" s="20" t="s">
        <v>118</v>
      </c>
      <c r="EB311" s="3"/>
      <c r="EC311" s="100"/>
      <c r="ED311" s="38"/>
      <c r="EE311" s="38"/>
      <c r="EF311" s="38"/>
      <c r="EG311" s="38"/>
      <c r="EH311" s="38"/>
      <c r="EI311" s="38"/>
    </row>
    <row r="312" spans="2:139" ht="15.75" thickBot="1">
      <c r="B312" s="46">
        <f>$C$14</f>
        <v>2462100480</v>
      </c>
      <c r="C312" s="151">
        <f t="dataTable" ref="C312:E313" dt2D="1" dtr="1" r1="J12" r2="C14"/>
        <v>0.21458870671061514</v>
      </c>
      <c r="D312" s="154">
        <v>-0.02037541701386282</v>
      </c>
      <c r="E312" s="182">
        <v>0.16759588196571965</v>
      </c>
      <c r="EB312" s="3"/>
      <c r="EC312" s="100"/>
      <c r="ED312" s="38"/>
      <c r="EE312" s="38"/>
      <c r="EF312" s="38"/>
      <c r="EG312" s="38"/>
      <c r="EH312" s="38"/>
      <c r="EI312" s="38"/>
    </row>
    <row r="313" spans="2:139" ht="15.75" thickBot="1">
      <c r="B313" s="46">
        <f>$C$280+$C$279</f>
        <v>3227100480</v>
      </c>
      <c r="C313" s="201">
        <v>-0.05532515149719005</v>
      </c>
      <c r="D313" s="204">
        <v>-0.2273901205184648</v>
      </c>
      <c r="E313" s="206">
        <v>-0.0897439787989432</v>
      </c>
      <c r="EB313" s="3"/>
      <c r="EC313" s="100"/>
      <c r="ED313" s="38"/>
      <c r="EE313" s="38"/>
      <c r="EF313" s="38"/>
      <c r="EG313" s="38"/>
      <c r="EH313" s="38"/>
      <c r="EI313" s="38"/>
    </row>
    <row r="314" spans="2:139" ht="15">
      <c r="B314" s="164" t="s">
        <v>117</v>
      </c>
      <c r="EB314" s="3"/>
      <c r="EC314" s="100"/>
      <c r="ED314" s="38"/>
      <c r="EE314" s="38"/>
      <c r="EF314" s="38"/>
      <c r="EG314" s="38"/>
      <c r="EH314" s="38"/>
      <c r="EI314" s="38"/>
    </row>
    <row r="315" spans="2:139" ht="15">
      <c r="B315" s="164"/>
      <c r="EB315" s="3"/>
      <c r="EC315" s="100"/>
      <c r="ED315" s="38"/>
      <c r="EE315" s="38"/>
      <c r="EF315" s="38"/>
      <c r="EG315" s="38"/>
      <c r="EH315" s="38"/>
      <c r="EI315" s="38"/>
    </row>
    <row r="316" spans="2:139" ht="15">
      <c r="B316" s="26" t="str">
        <f>CONCATENATE("DSCR ",$C$71,"-Yr Ave.")</f>
        <v>DSCR 25-Yr Ave.</v>
      </c>
      <c r="EB316" s="3"/>
      <c r="EC316" s="100"/>
      <c r="ED316" s="38"/>
      <c r="EE316" s="38"/>
      <c r="EF316" s="38"/>
      <c r="EG316" s="38"/>
      <c r="EH316" s="38"/>
      <c r="EI316" s="38"/>
    </row>
    <row r="317" spans="2:139" ht="15">
      <c r="B317" s="170">
        <f>$F$203</f>
        <v>2.469675032207508</v>
      </c>
      <c r="C317" s="36">
        <f>$J$12</f>
        <v>8.54</v>
      </c>
      <c r="D317" s="37">
        <f>C317*(1-$H$219)</f>
        <v>6.832</v>
      </c>
      <c r="E317" s="37">
        <f>C317*(1+$H$219)</f>
        <v>10.248</v>
      </c>
      <c r="F317" s="20" t="s">
        <v>118</v>
      </c>
      <c r="EB317" s="3"/>
      <c r="EC317" s="100"/>
      <c r="ED317" s="38"/>
      <c r="EE317" s="38"/>
      <c r="EF317" s="38"/>
      <c r="EG317" s="38"/>
      <c r="EH317" s="38"/>
      <c r="EI317" s="38"/>
    </row>
    <row r="318" spans="2:139" ht="15.75" thickBot="1">
      <c r="B318" s="46">
        <f>$C$14</f>
        <v>2462100480</v>
      </c>
      <c r="C318" s="185">
        <f t="dataTable" ref="C318:E319" dt2D="1" dtr="1" r1="J12" r2="C14"/>
        <v>2.469675032207508</v>
      </c>
      <c r="D318" s="155">
        <v>1.7890317903836968</v>
      </c>
      <c r="E318" s="175">
        <v>2.333546383842746</v>
      </c>
      <c r="EB318" s="3"/>
      <c r="EC318" s="100"/>
      <c r="ED318" s="38"/>
      <c r="EE318" s="38"/>
      <c r="EF318" s="38"/>
      <c r="EG318" s="38"/>
      <c r="EH318" s="38"/>
      <c r="EI318" s="38"/>
    </row>
    <row r="319" spans="2:139" ht="15.75" thickBot="1">
      <c r="B319" s="46">
        <f>$C$280+$C$279</f>
        <v>3227100480</v>
      </c>
      <c r="C319" s="211">
        <v>1.7507073579531236</v>
      </c>
      <c r="D319" s="212">
        <v>1.252185672533823</v>
      </c>
      <c r="E319" s="205">
        <v>1.6510030208692634</v>
      </c>
      <c r="EB319" s="3"/>
      <c r="EC319" s="100"/>
      <c r="ED319" s="38"/>
      <c r="EE319" s="38"/>
      <c r="EF319" s="38"/>
      <c r="EG319" s="38"/>
      <c r="EH319" s="38"/>
      <c r="EI319" s="38"/>
    </row>
    <row r="320" spans="2:139" ht="15">
      <c r="B320" s="164" t="s">
        <v>117</v>
      </c>
      <c r="EB320" s="3"/>
      <c r="EC320" s="100"/>
      <c r="ED320" s="38"/>
      <c r="EE320" s="38"/>
      <c r="EF320" s="38"/>
      <c r="EG320" s="38"/>
      <c r="EH320" s="38"/>
      <c r="EI320" s="38"/>
    </row>
    <row r="321" spans="2:139" ht="15">
      <c r="B321" s="25"/>
      <c r="EB321" s="3"/>
      <c r="EC321" s="100"/>
      <c r="ED321" s="38"/>
      <c r="EE321" s="38"/>
      <c r="EF321" s="38"/>
      <c r="EG321" s="38"/>
      <c r="EH321" s="38"/>
      <c r="EI321" s="38"/>
    </row>
    <row r="322" spans="2:139" ht="15">
      <c r="B322" s="164" t="s">
        <v>216</v>
      </c>
      <c r="EB322" s="3"/>
      <c r="EC322" s="100"/>
      <c r="ED322" s="38"/>
      <c r="EE322" s="38"/>
      <c r="EF322" s="38"/>
      <c r="EG322" s="38"/>
      <c r="EH322" s="38"/>
      <c r="EI322" s="38"/>
    </row>
    <row r="323" spans="2:139" ht="15">
      <c r="B323" s="25"/>
      <c r="EB323" s="3"/>
      <c r="EC323" s="100"/>
      <c r="ED323" s="38"/>
      <c r="EE323" s="38"/>
      <c r="EF323" s="38"/>
      <c r="EG323" s="38"/>
      <c r="EH323" s="38"/>
      <c r="EI323" s="38"/>
    </row>
    <row r="324" spans="2:139" ht="15">
      <c r="B324" s="25"/>
      <c r="C324" s="2" t="s">
        <v>244</v>
      </c>
      <c r="EB324" s="3"/>
      <c r="EC324" s="100"/>
      <c r="ED324" s="38"/>
      <c r="EE324" s="38"/>
      <c r="EF324" s="38"/>
      <c r="EG324" s="38"/>
      <c r="EH324" s="38"/>
      <c r="EI324" s="38"/>
    </row>
    <row r="325" spans="2:139" ht="15">
      <c r="B325" s="25"/>
      <c r="C325" s="2" t="s">
        <v>217</v>
      </c>
      <c r="EB325" s="3"/>
      <c r="EC325" s="100"/>
      <c r="ED325" s="38"/>
      <c r="EE325" s="38"/>
      <c r="EF325" s="38"/>
      <c r="EG325" s="38"/>
      <c r="EH325" s="38"/>
      <c r="EI325" s="38"/>
    </row>
    <row r="326" spans="2:139" ht="15">
      <c r="B326" s="25"/>
      <c r="C326" s="2" t="s">
        <v>218</v>
      </c>
      <c r="EB326" s="3"/>
      <c r="EC326" s="100"/>
      <c r="ED326" s="38"/>
      <c r="EE326" s="38"/>
      <c r="EF326" s="38"/>
      <c r="EG326" s="38"/>
      <c r="EH326" s="38"/>
      <c r="EI326" s="38"/>
    </row>
    <row r="327" spans="2:139" ht="15">
      <c r="B327" s="25"/>
      <c r="EB327" s="3"/>
      <c r="EC327" s="100"/>
      <c r="ED327" s="38"/>
      <c r="EE327" s="38"/>
      <c r="EF327" s="38"/>
      <c r="EG327" s="38"/>
      <c r="EH327" s="38"/>
      <c r="EI327" s="38"/>
    </row>
    <row r="328" spans="2:139" ht="15">
      <c r="B328" s="25"/>
      <c r="EB328" s="3"/>
      <c r="EC328" s="100"/>
      <c r="ED328" s="38"/>
      <c r="EE328" s="38"/>
      <c r="EF328" s="38"/>
      <c r="EG328" s="38"/>
      <c r="EH328" s="38"/>
      <c r="EI328" s="38"/>
    </row>
    <row r="329" spans="2:139" ht="15">
      <c r="B329" s="20" t="str">
        <f>CONCATENATE("Management Decision - Acquire ",TEXT($C$331,"0%")," stake at company")</f>
        <v>Management Decision - Acquire 60% stake at company</v>
      </c>
      <c r="EB329" s="3"/>
      <c r="EC329" s="100"/>
      <c r="ED329" s="38"/>
      <c r="EE329" s="38"/>
      <c r="EF329" s="38"/>
      <c r="EG329" s="38"/>
      <c r="EH329" s="38"/>
      <c r="EI329" s="38"/>
    </row>
    <row r="330" spans="2:139" ht="15">
      <c r="B330" s="25"/>
      <c r="EB330" s="3"/>
      <c r="EC330" s="100"/>
      <c r="ED330" s="38"/>
      <c r="EE330" s="38"/>
      <c r="EF330" s="38"/>
      <c r="EG330" s="38"/>
      <c r="EH330" s="38"/>
      <c r="EI330" s="38"/>
    </row>
    <row r="331" spans="2:139" ht="15">
      <c r="B331" s="213" t="s">
        <v>219</v>
      </c>
      <c r="C331" s="239">
        <v>0.6</v>
      </c>
      <c r="E331" s="48"/>
      <c r="F331" s="33"/>
      <c r="G331" s="242" t="s">
        <v>228</v>
      </c>
      <c r="H331" s="221">
        <f>$C$14</f>
        <v>2462100480</v>
      </c>
      <c r="EB331" s="3"/>
      <c r="EC331" s="100"/>
      <c r="ED331" s="38"/>
      <c r="EE331" s="38"/>
      <c r="EF331" s="38"/>
      <c r="EG331" s="38"/>
      <c r="EH331" s="38"/>
      <c r="EI331" s="38"/>
    </row>
    <row r="332" spans="2:139" ht="15">
      <c r="B332" s="215" t="s">
        <v>205</v>
      </c>
      <c r="C332" s="244">
        <f>$D$162</f>
        <v>0.08621790428042399</v>
      </c>
      <c r="E332" s="50"/>
      <c r="F332" s="51"/>
      <c r="G332" s="243" t="s">
        <v>231</v>
      </c>
      <c r="H332" s="240">
        <f>$H$331*$C$331</f>
        <v>1477260288</v>
      </c>
      <c r="EB332" s="3"/>
      <c r="EC332" s="100"/>
      <c r="ED332" s="38"/>
      <c r="EE332" s="38"/>
      <c r="EF332" s="38"/>
      <c r="EG332" s="38"/>
      <c r="EH332" s="38"/>
      <c r="EI332" s="38"/>
    </row>
    <row r="333" spans="2:139" ht="15">
      <c r="B333" s="25"/>
      <c r="E333" s="3"/>
      <c r="F333" s="241"/>
      <c r="G333" s="43"/>
      <c r="EB333" s="3"/>
      <c r="EC333" s="100"/>
      <c r="ED333" s="38"/>
      <c r="EE333" s="38"/>
      <c r="EF333" s="38"/>
      <c r="EG333" s="38"/>
      <c r="EH333" s="38"/>
      <c r="EI333" s="38"/>
    </row>
    <row r="334" spans="2:139" ht="15">
      <c r="B334" s="25"/>
      <c r="E334" s="3"/>
      <c r="F334" s="241"/>
      <c r="G334" s="43"/>
      <c r="EB334" s="3"/>
      <c r="EC334" s="100"/>
      <c r="ED334" s="38"/>
      <c r="EE334" s="38"/>
      <c r="EF334" s="38"/>
      <c r="EG334" s="38"/>
      <c r="EH334" s="38"/>
      <c r="EI334" s="38"/>
    </row>
    <row r="335" spans="132:139" ht="15">
      <c r="EB335" s="3"/>
      <c r="EC335" s="100"/>
      <c r="ED335" s="38"/>
      <c r="EE335" s="38"/>
      <c r="EF335" s="38"/>
      <c r="EG335" s="38"/>
      <c r="EH335" s="38"/>
      <c r="EI335" s="38"/>
    </row>
    <row r="336" spans="2:139" ht="15">
      <c r="B336" s="164" t="s">
        <v>216</v>
      </c>
      <c r="C336" s="2" t="s">
        <v>220</v>
      </c>
      <c r="EB336" s="3"/>
      <c r="EC336" s="100"/>
      <c r="ED336" s="38"/>
      <c r="EE336" s="38"/>
      <c r="EF336" s="38"/>
      <c r="EG336" s="38"/>
      <c r="EH336" s="38"/>
      <c r="EI336" s="38"/>
    </row>
    <row r="337" spans="2:139" ht="15">
      <c r="B337" s="25"/>
      <c r="C337" s="235" t="s">
        <v>221</v>
      </c>
      <c r="EB337" s="3"/>
      <c r="EC337" s="100"/>
      <c r="ED337" s="38"/>
      <c r="EE337" s="38"/>
      <c r="EF337" s="38"/>
      <c r="EG337" s="38"/>
      <c r="EH337" s="38"/>
      <c r="EI337" s="38"/>
    </row>
    <row r="338" spans="2:139" ht="15">
      <c r="B338" s="25"/>
      <c r="EB338" s="3"/>
      <c r="EC338" s="100"/>
      <c r="ED338" s="38"/>
      <c r="EE338" s="38"/>
      <c r="EF338" s="38"/>
      <c r="EG338" s="38"/>
      <c r="EH338" s="38"/>
      <c r="EI338" s="38"/>
    </row>
    <row r="339" spans="2:139" ht="15">
      <c r="B339" s="25"/>
      <c r="C339" s="4" t="s">
        <v>222</v>
      </c>
      <c r="E339" s="4" t="s">
        <v>226</v>
      </c>
      <c r="EB339" s="3"/>
      <c r="EC339" s="100"/>
      <c r="ED339" s="38"/>
      <c r="EE339" s="38"/>
      <c r="EF339" s="38"/>
      <c r="EG339" s="38"/>
      <c r="EH339" s="38"/>
      <c r="EI339" s="38"/>
    </row>
    <row r="340" spans="2:139" ht="15">
      <c r="B340" s="25"/>
      <c r="C340" s="2" t="s">
        <v>223</v>
      </c>
      <c r="E340" s="2" t="s">
        <v>227</v>
      </c>
      <c r="EB340" s="3"/>
      <c r="EC340" s="100"/>
      <c r="ED340" s="38"/>
      <c r="EE340" s="38"/>
      <c r="EF340" s="38"/>
      <c r="EG340" s="38"/>
      <c r="EH340" s="38"/>
      <c r="EI340" s="38"/>
    </row>
    <row r="341" spans="2:139" ht="15">
      <c r="B341" s="25"/>
      <c r="C341" s="2" t="s">
        <v>224</v>
      </c>
      <c r="EB341" s="3"/>
      <c r="EC341" s="100"/>
      <c r="ED341" s="38"/>
      <c r="EE341" s="38"/>
      <c r="EF341" s="38"/>
      <c r="EG341" s="38"/>
      <c r="EH341" s="38"/>
      <c r="EI341" s="38"/>
    </row>
    <row r="342" spans="2:139" ht="15">
      <c r="B342" s="25"/>
      <c r="C342" s="2" t="s">
        <v>225</v>
      </c>
      <c r="E342" s="26"/>
      <c r="F342" s="26"/>
      <c r="EB342" s="3"/>
      <c r="EC342" s="100"/>
      <c r="ED342" s="38"/>
      <c r="EE342" s="38"/>
      <c r="EF342" s="38"/>
      <c r="EG342" s="38"/>
      <c r="EH342" s="38"/>
      <c r="EI342" s="38"/>
    </row>
    <row r="343" spans="2:139" ht="15">
      <c r="B343" s="25"/>
      <c r="E343" s="165"/>
      <c r="F343" s="237"/>
      <c r="EB343" s="3"/>
      <c r="EC343" s="100"/>
      <c r="ED343" s="38"/>
      <c r="EE343" s="38"/>
      <c r="EF343" s="38"/>
      <c r="EG343" s="38"/>
      <c r="EH343" s="38"/>
      <c r="EI343" s="38"/>
    </row>
    <row r="344" spans="5:139" ht="15">
      <c r="E344" s="20" t="s">
        <v>229</v>
      </c>
      <c r="G344" s="238">
        <v>0.1286</v>
      </c>
      <c r="EB344" s="3"/>
      <c r="EC344" s="100"/>
      <c r="ED344" s="38"/>
      <c r="EE344" s="38"/>
      <c r="EF344" s="38"/>
      <c r="EG344" s="38"/>
      <c r="EH344" s="38"/>
      <c r="EI344" s="38"/>
    </row>
    <row r="345" spans="5:139" ht="15">
      <c r="E345" s="165"/>
      <c r="F345" s="237"/>
      <c r="EB345" s="3"/>
      <c r="EC345" s="100"/>
      <c r="ED345" s="38"/>
      <c r="EE345" s="38"/>
      <c r="EF345" s="38"/>
      <c r="EG345" s="38"/>
      <c r="EH345" s="38"/>
      <c r="EI345" s="38"/>
    </row>
    <row r="346" spans="132:139" ht="15">
      <c r="EB346" s="3"/>
      <c r="EC346" s="100"/>
      <c r="ED346" s="38"/>
      <c r="EE346" s="38"/>
      <c r="EF346" s="38"/>
      <c r="EG346" s="38"/>
      <c r="EH346" s="38"/>
      <c r="EI346" s="38"/>
    </row>
    <row r="347" spans="2:139" ht="15">
      <c r="B347" s="4" t="s">
        <v>190</v>
      </c>
      <c r="F347" s="30">
        <v>0</v>
      </c>
      <c r="G347" s="8">
        <f aca="true" t="shared" si="91" ref="G347:AE347">F347+1</f>
        <v>1</v>
      </c>
      <c r="H347" s="8">
        <f t="shared" si="91"/>
        <v>2</v>
      </c>
      <c r="I347" s="8">
        <f t="shared" si="91"/>
        <v>3</v>
      </c>
      <c r="J347" s="8">
        <f t="shared" si="91"/>
        <v>4</v>
      </c>
      <c r="K347" s="8">
        <f t="shared" si="91"/>
        <v>5</v>
      </c>
      <c r="L347" s="8">
        <f t="shared" si="91"/>
        <v>6</v>
      </c>
      <c r="M347" s="8">
        <f t="shared" si="91"/>
        <v>7</v>
      </c>
      <c r="N347" s="8">
        <f t="shared" si="91"/>
        <v>8</v>
      </c>
      <c r="O347" s="8">
        <f t="shared" si="91"/>
        <v>9</v>
      </c>
      <c r="P347" s="8">
        <f t="shared" si="91"/>
        <v>10</v>
      </c>
      <c r="Q347" s="8">
        <f t="shared" si="91"/>
        <v>11</v>
      </c>
      <c r="R347" s="8">
        <f t="shared" si="91"/>
        <v>12</v>
      </c>
      <c r="S347" s="8">
        <f t="shared" si="91"/>
        <v>13</v>
      </c>
      <c r="T347" s="8">
        <f t="shared" si="91"/>
        <v>14</v>
      </c>
      <c r="U347" s="8">
        <f t="shared" si="91"/>
        <v>15</v>
      </c>
      <c r="V347" s="8">
        <f t="shared" si="91"/>
        <v>16</v>
      </c>
      <c r="W347" s="8">
        <f t="shared" si="91"/>
        <v>17</v>
      </c>
      <c r="X347" s="8">
        <f t="shared" si="91"/>
        <v>18</v>
      </c>
      <c r="Y347" s="8">
        <f t="shared" si="91"/>
        <v>19</v>
      </c>
      <c r="Z347" s="8">
        <f t="shared" si="91"/>
        <v>20</v>
      </c>
      <c r="AA347" s="8">
        <f t="shared" si="91"/>
        <v>21</v>
      </c>
      <c r="AB347" s="8">
        <f t="shared" si="91"/>
        <v>22</v>
      </c>
      <c r="AC347" s="8">
        <f t="shared" si="91"/>
        <v>23</v>
      </c>
      <c r="AD347" s="8">
        <f t="shared" si="91"/>
        <v>24</v>
      </c>
      <c r="AE347" s="8">
        <f t="shared" si="91"/>
        <v>25</v>
      </c>
      <c r="EB347" s="3"/>
      <c r="EC347" s="100"/>
      <c r="ED347" s="38"/>
      <c r="EE347" s="38"/>
      <c r="EF347" s="38"/>
      <c r="EG347" s="38"/>
      <c r="EH347" s="38"/>
      <c r="EI347" s="38"/>
    </row>
    <row r="348" spans="2:139" ht="15">
      <c r="B348" s="98" t="s">
        <v>115</v>
      </c>
      <c r="C348" s="1"/>
      <c r="D348" s="1"/>
      <c r="E348" s="1"/>
      <c r="F348" s="140"/>
      <c r="G348" s="141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  <c r="T348" s="141"/>
      <c r="U348" s="141"/>
      <c r="V348" s="141"/>
      <c r="W348" s="141"/>
      <c r="X348" s="141"/>
      <c r="Y348" s="141"/>
      <c r="Z348" s="141"/>
      <c r="AA348" s="141"/>
      <c r="AB348" s="141"/>
      <c r="AC348" s="141"/>
      <c r="AD348" s="141"/>
      <c r="AE348" s="141"/>
      <c r="EB348" s="3"/>
      <c r="EC348" s="100"/>
      <c r="ED348" s="38"/>
      <c r="EE348" s="38"/>
      <c r="EF348" s="38"/>
      <c r="EG348" s="38"/>
      <c r="EH348" s="38"/>
      <c r="EI348" s="38"/>
    </row>
    <row r="349" spans="2:139" ht="15">
      <c r="B349" s="15"/>
      <c r="C349" s="3"/>
      <c r="D349" s="3"/>
      <c r="E349" s="3"/>
      <c r="F349" s="30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EB349" s="3"/>
      <c r="EC349" s="100"/>
      <c r="ED349" s="38"/>
      <c r="EE349" s="38"/>
      <c r="EF349" s="38"/>
      <c r="EG349" s="38"/>
      <c r="EH349" s="38"/>
      <c r="EI349" s="38"/>
    </row>
    <row r="350" spans="2:139" ht="15">
      <c r="B350" s="136" t="s">
        <v>50</v>
      </c>
      <c r="C350" s="3"/>
      <c r="D350" s="3"/>
      <c r="E350" s="3"/>
      <c r="F350" s="43">
        <f>-C14*$C$331</f>
        <v>-1477260288</v>
      </c>
      <c r="G350" s="43">
        <f aca="true" t="shared" si="92" ref="G350:AE350">-D14*$C$331</f>
        <v>0</v>
      </c>
      <c r="H350" s="43">
        <f t="shared" si="92"/>
        <v>0</v>
      </c>
      <c r="I350" s="43">
        <f t="shared" si="92"/>
        <v>0</v>
      </c>
      <c r="J350" s="43">
        <f t="shared" si="92"/>
        <v>0</v>
      </c>
      <c r="K350" s="43">
        <f t="shared" si="92"/>
        <v>0</v>
      </c>
      <c r="L350" s="43">
        <f t="shared" si="92"/>
        <v>0</v>
      </c>
      <c r="M350" s="43">
        <f t="shared" si="92"/>
        <v>0</v>
      </c>
      <c r="N350" s="43">
        <f t="shared" si="92"/>
        <v>0</v>
      </c>
      <c r="O350" s="43">
        <f t="shared" si="92"/>
        <v>0</v>
      </c>
      <c r="P350" s="43">
        <f t="shared" si="92"/>
        <v>0</v>
      </c>
      <c r="Q350" s="43">
        <f t="shared" si="92"/>
        <v>0</v>
      </c>
      <c r="R350" s="43">
        <f t="shared" si="92"/>
        <v>0</v>
      </c>
      <c r="S350" s="43">
        <f t="shared" si="92"/>
        <v>0</v>
      </c>
      <c r="T350" s="43">
        <f t="shared" si="92"/>
        <v>0</v>
      </c>
      <c r="U350" s="43">
        <f t="shared" si="92"/>
        <v>0</v>
      </c>
      <c r="V350" s="43">
        <f t="shared" si="92"/>
        <v>0</v>
      </c>
      <c r="W350" s="43">
        <f t="shared" si="92"/>
        <v>0</v>
      </c>
      <c r="X350" s="43">
        <f t="shared" si="92"/>
        <v>0</v>
      </c>
      <c r="Y350" s="43">
        <f t="shared" si="92"/>
        <v>0</v>
      </c>
      <c r="Z350" s="43">
        <f t="shared" si="92"/>
        <v>0</v>
      </c>
      <c r="AA350" s="43">
        <f t="shared" si="92"/>
        <v>0</v>
      </c>
      <c r="AB350" s="43">
        <f t="shared" si="92"/>
        <v>0</v>
      </c>
      <c r="AC350" s="43">
        <f t="shared" si="92"/>
        <v>0</v>
      </c>
      <c r="AD350" s="43">
        <f t="shared" si="92"/>
        <v>0</v>
      </c>
      <c r="AE350" s="43">
        <f t="shared" si="92"/>
        <v>0</v>
      </c>
      <c r="EB350" s="3"/>
      <c r="EC350" s="100"/>
      <c r="ED350" s="38"/>
      <c r="EE350" s="38"/>
      <c r="EF350" s="38"/>
      <c r="EG350" s="38"/>
      <c r="EH350" s="38"/>
      <c r="EI350" s="38"/>
    </row>
    <row r="351" spans="2:139" ht="15">
      <c r="B351" s="136" t="s">
        <v>183</v>
      </c>
      <c r="F351" s="38">
        <f>F56*$C$331</f>
        <v>0</v>
      </c>
      <c r="G351" s="38">
        <f aca="true" t="shared" si="93" ref="G351:AE351">G56*$C$331</f>
        <v>152738787.25439999</v>
      </c>
      <c r="H351" s="38">
        <f t="shared" si="93"/>
        <v>165482684.06687996</v>
      </c>
      <c r="I351" s="38">
        <f t="shared" si="93"/>
        <v>163977031.98484555</v>
      </c>
      <c r="J351" s="38">
        <f t="shared" si="93"/>
        <v>162398409.46754172</v>
      </c>
      <c r="K351" s="38">
        <f t="shared" si="93"/>
        <v>160741339.64200678</v>
      </c>
      <c r="L351" s="38">
        <f t="shared" si="93"/>
        <v>158999964.09888452</v>
      </c>
      <c r="M351" s="38">
        <f t="shared" si="93"/>
        <v>157168016.17565235</v>
      </c>
      <c r="N351" s="38">
        <f t="shared" si="93"/>
        <v>155238792.36972284</v>
      </c>
      <c r="O351" s="38">
        <f t="shared" si="93"/>
        <v>153205121.75050712</v>
      </c>
      <c r="P351" s="38">
        <f t="shared" si="93"/>
        <v>151059333.2303692</v>
      </c>
      <c r="Q351" s="38">
        <f t="shared" si="93"/>
        <v>148793220.54459217</v>
      </c>
      <c r="R351" s="38">
        <f t="shared" si="93"/>
        <v>146398004.779987</v>
      </c>
      <c r="S351" s="38">
        <f t="shared" si="93"/>
        <v>143864294.28054965</v>
      </c>
      <c r="T351" s="38">
        <f t="shared" si="93"/>
        <v>141182041.74655795</v>
      </c>
      <c r="U351" s="38">
        <f t="shared" si="93"/>
        <v>138340498.33065087</v>
      </c>
      <c r="V351" s="38">
        <f t="shared" si="93"/>
        <v>135328164.52067664</v>
      </c>
      <c r="W351" s="38">
        <f t="shared" si="93"/>
        <v>132132737.58438498</v>
      </c>
      <c r="X351" s="38">
        <f t="shared" si="93"/>
        <v>128741055.33529152</v>
      </c>
      <c r="Y351" s="38">
        <f t="shared" si="93"/>
        <v>125139035.96219605</v>
      </c>
      <c r="Z351" s="38">
        <f t="shared" si="93"/>
        <v>121311613.646811</v>
      </c>
      <c r="AA351" s="38">
        <f t="shared" si="93"/>
        <v>117242669.67466657</v>
      </c>
      <c r="AB351" s="38">
        <f t="shared" si="93"/>
        <v>112914958.72382276</v>
      </c>
      <c r="AC351" s="38">
        <f t="shared" si="93"/>
        <v>108310029.99383353</v>
      </c>
      <c r="AD351" s="38">
        <f t="shared" si="93"/>
        <v>103408142.81378123</v>
      </c>
      <c r="AE351" s="38">
        <f t="shared" si="93"/>
        <v>98188176.34291609</v>
      </c>
      <c r="EB351" s="3"/>
      <c r="EC351" s="100"/>
      <c r="ED351" s="38"/>
      <c r="EE351" s="38"/>
      <c r="EF351" s="38"/>
      <c r="EG351" s="38"/>
      <c r="EH351" s="38"/>
      <c r="EI351" s="38"/>
    </row>
    <row r="352" spans="2:139" ht="15">
      <c r="B352" s="136" t="s">
        <v>149</v>
      </c>
      <c r="F352" s="38">
        <f>F113*$C$331</f>
        <v>0</v>
      </c>
      <c r="G352" s="38">
        <f aca="true" t="shared" si="94" ref="G352:AE352">G113*$C$331</f>
        <v>-5331916.987199998</v>
      </c>
      <c r="H352" s="38">
        <f t="shared" si="94"/>
        <v>-6623713.012942985</v>
      </c>
      <c r="I352" s="38">
        <f t="shared" si="94"/>
        <v>-6704711.286295196</v>
      </c>
      <c r="J352" s="38">
        <f t="shared" si="94"/>
        <v>-6846957.400853572</v>
      </c>
      <c r="K352" s="38">
        <f t="shared" si="94"/>
        <v>-6999774.499516582</v>
      </c>
      <c r="L352" s="38">
        <f t="shared" si="94"/>
        <v>-7163706.795003871</v>
      </c>
      <c r="M352" s="38">
        <f t="shared" si="94"/>
        <v>-7339327.018823131</v>
      </c>
      <c r="N352" s="38">
        <f t="shared" si="94"/>
        <v>-7527237.817780724</v>
      </c>
      <c r="O352" s="38">
        <f t="shared" si="94"/>
        <v>-7728073.211502722</v>
      </c>
      <c r="P352" s="38">
        <f t="shared" si="94"/>
        <v>-7942500.112982139</v>
      </c>
      <c r="Q352" s="38">
        <f t="shared" si="94"/>
        <v>-8171219.914170538</v>
      </c>
      <c r="R352" s="38">
        <f t="shared" si="94"/>
        <v>-8414970.138626853</v>
      </c>
      <c r="S352" s="38">
        <f t="shared" si="94"/>
        <v>-6348036.49652623</v>
      </c>
      <c r="T352" s="38">
        <f t="shared" si="94"/>
        <v>-6196405.351037876</v>
      </c>
      <c r="U352" s="38">
        <f t="shared" si="94"/>
        <v>-6035999.745801346</v>
      </c>
      <c r="V352" s="38">
        <f t="shared" si="94"/>
        <v>-5866108.763006151</v>
      </c>
      <c r="W352" s="38">
        <f t="shared" si="94"/>
        <v>-5685968.103480502</v>
      </c>
      <c r="X352" s="38">
        <f t="shared" si="94"/>
        <v>-5494756.116451615</v>
      </c>
      <c r="Y352" s="38">
        <f t="shared" si="94"/>
        <v>-5291589.537115986</v>
      </c>
      <c r="Z352" s="38">
        <f t="shared" si="94"/>
        <v>-5075518.910690348</v>
      </c>
      <c r="AA352" s="38">
        <f t="shared" si="94"/>
        <v>-4845523.680066867</v>
      </c>
      <c r="AB352" s="38">
        <f t="shared" si="94"/>
        <v>-4600506.912538071</v>
      </c>
      <c r="AC352" s="38">
        <f t="shared" si="94"/>
        <v>-4339289.639278753</v>
      </c>
      <c r="AD352" s="38">
        <f t="shared" si="94"/>
        <v>-4060604.7793660783</v>
      </c>
      <c r="AE352" s="38">
        <f t="shared" si="94"/>
        <v>-3763090.6180755636</v>
      </c>
      <c r="EB352" s="3"/>
      <c r="EC352" s="100"/>
      <c r="ED352" s="38"/>
      <c r="EE352" s="38"/>
      <c r="EF352" s="38"/>
      <c r="EG352" s="38"/>
      <c r="EH352" s="38"/>
      <c r="EI352" s="38"/>
    </row>
    <row r="353" spans="2:139" ht="15">
      <c r="B353" s="136" t="s">
        <v>184</v>
      </c>
      <c r="C353" s="3"/>
      <c r="D353" s="3"/>
      <c r="E353" s="3"/>
      <c r="F353" s="38">
        <v>0</v>
      </c>
      <c r="G353" s="38">
        <v>0</v>
      </c>
      <c r="H353" s="38">
        <v>0</v>
      </c>
      <c r="I353" s="38">
        <v>0</v>
      </c>
      <c r="J353" s="38">
        <v>0</v>
      </c>
      <c r="K353" s="38">
        <v>0</v>
      </c>
      <c r="L353" s="38">
        <v>0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0</v>
      </c>
      <c r="X353" s="38">
        <v>0</v>
      </c>
      <c r="Y353" s="38">
        <v>0</v>
      </c>
      <c r="Z353" s="38">
        <v>0</v>
      </c>
      <c r="AA353" s="38">
        <v>0</v>
      </c>
      <c r="AB353" s="38">
        <v>0</v>
      </c>
      <c r="AC353" s="38">
        <v>0</v>
      </c>
      <c r="AD353" s="38">
        <v>0</v>
      </c>
      <c r="AE353" s="38">
        <v>0</v>
      </c>
      <c r="EB353" s="3"/>
      <c r="EC353" s="100"/>
      <c r="ED353" s="38"/>
      <c r="EE353" s="38"/>
      <c r="EF353" s="38"/>
      <c r="EG353" s="38"/>
      <c r="EH353" s="38"/>
      <c r="EI353" s="38"/>
    </row>
    <row r="354" spans="2:139" ht="15">
      <c r="B354" s="13" t="s">
        <v>234</v>
      </c>
      <c r="C354" s="13"/>
      <c r="D354" s="13"/>
      <c r="E354" s="13"/>
      <c r="F354" s="40">
        <f aca="true" t="shared" si="95" ref="F354:AE354">SUM(F350:F353)</f>
        <v>-1477260288</v>
      </c>
      <c r="G354" s="40">
        <f t="shared" si="95"/>
        <v>147406870.2672</v>
      </c>
      <c r="H354" s="40">
        <f t="shared" si="95"/>
        <v>158858971.05393696</v>
      </c>
      <c r="I354" s="40">
        <f t="shared" si="95"/>
        <v>157272320.69855034</v>
      </c>
      <c r="J354" s="40">
        <f t="shared" si="95"/>
        <v>155551452.06668815</v>
      </c>
      <c r="K354" s="40">
        <f t="shared" si="95"/>
        <v>153741565.1424902</v>
      </c>
      <c r="L354" s="40">
        <f t="shared" si="95"/>
        <v>151836257.30388066</v>
      </c>
      <c r="M354" s="40">
        <f t="shared" si="95"/>
        <v>149828689.15682924</v>
      </c>
      <c r="N354" s="40">
        <f t="shared" si="95"/>
        <v>147711554.5519421</v>
      </c>
      <c r="O354" s="40">
        <f t="shared" si="95"/>
        <v>145477048.5390044</v>
      </c>
      <c r="P354" s="40">
        <f t="shared" si="95"/>
        <v>143116833.11738706</v>
      </c>
      <c r="Q354" s="40">
        <f t="shared" si="95"/>
        <v>140622000.63042164</v>
      </c>
      <c r="R354" s="40">
        <f t="shared" si="95"/>
        <v>137983034.64136016</v>
      </c>
      <c r="S354" s="40">
        <f t="shared" si="95"/>
        <v>137516257.7840234</v>
      </c>
      <c r="T354" s="40">
        <f t="shared" si="95"/>
        <v>134985636.39552006</v>
      </c>
      <c r="U354" s="40">
        <f t="shared" si="95"/>
        <v>132304498.58484952</v>
      </c>
      <c r="V354" s="40">
        <f t="shared" si="95"/>
        <v>129462055.75767049</v>
      </c>
      <c r="W354" s="40">
        <f t="shared" si="95"/>
        <v>126446769.48090447</v>
      </c>
      <c r="X354" s="40">
        <f t="shared" si="95"/>
        <v>123246299.2188399</v>
      </c>
      <c r="Y354" s="40">
        <f t="shared" si="95"/>
        <v>119847446.42508006</v>
      </c>
      <c r="Z354" s="40">
        <f t="shared" si="95"/>
        <v>116236094.73612064</v>
      </c>
      <c r="AA354" s="40">
        <f t="shared" si="95"/>
        <v>112397145.9945997</v>
      </c>
      <c r="AB354" s="40">
        <f t="shared" si="95"/>
        <v>108314451.81128469</v>
      </c>
      <c r="AC354" s="40">
        <f t="shared" si="95"/>
        <v>103970740.35455477</v>
      </c>
      <c r="AD354" s="40">
        <f t="shared" si="95"/>
        <v>99347538.03441516</v>
      </c>
      <c r="AE354" s="40">
        <f t="shared" si="95"/>
        <v>94425085.72484052</v>
      </c>
      <c r="EB354" s="3"/>
      <c r="EC354" s="100"/>
      <c r="ED354" s="38"/>
      <c r="EE354" s="38"/>
      <c r="EF354" s="38"/>
      <c r="EG354" s="38"/>
      <c r="EH354" s="38"/>
      <c r="EI354" s="38"/>
    </row>
    <row r="355" spans="2:139" ht="15">
      <c r="B355" s="15"/>
      <c r="C355" s="15"/>
      <c r="D355" s="15"/>
      <c r="E355" s="15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EB355" s="3"/>
      <c r="EC355" s="100"/>
      <c r="ED355" s="38"/>
      <c r="EE355" s="38"/>
      <c r="EF355" s="38"/>
      <c r="EG355" s="38"/>
      <c r="EH355" s="38"/>
      <c r="EI355" s="38"/>
    </row>
    <row r="356" spans="2:139" ht="15">
      <c r="B356" s="4" t="s">
        <v>191</v>
      </c>
      <c r="E356" s="38"/>
      <c r="EB356" s="3"/>
      <c r="EC356" s="100"/>
      <c r="ED356" s="38"/>
      <c r="EE356" s="38"/>
      <c r="EF356" s="38"/>
      <c r="EG356" s="38"/>
      <c r="EH356" s="38"/>
      <c r="EI356" s="38"/>
    </row>
    <row r="357" spans="6:31" ht="15">
      <c r="F357" s="30">
        <v>0</v>
      </c>
      <c r="G357" s="8">
        <f aca="true" t="shared" si="96" ref="G357:AE357">F357+1</f>
        <v>1</v>
      </c>
      <c r="H357" s="8">
        <f t="shared" si="96"/>
        <v>2</v>
      </c>
      <c r="I357" s="8">
        <f t="shared" si="96"/>
        <v>3</v>
      </c>
      <c r="J357" s="8">
        <f t="shared" si="96"/>
        <v>4</v>
      </c>
      <c r="K357" s="8">
        <f t="shared" si="96"/>
        <v>5</v>
      </c>
      <c r="L357" s="8">
        <f t="shared" si="96"/>
        <v>6</v>
      </c>
      <c r="M357" s="8">
        <f t="shared" si="96"/>
        <v>7</v>
      </c>
      <c r="N357" s="8">
        <f t="shared" si="96"/>
        <v>8</v>
      </c>
      <c r="O357" s="8">
        <f t="shared" si="96"/>
        <v>9</v>
      </c>
      <c r="P357" s="8">
        <f t="shared" si="96"/>
        <v>10</v>
      </c>
      <c r="Q357" s="8">
        <f t="shared" si="96"/>
        <v>11</v>
      </c>
      <c r="R357" s="8">
        <f t="shared" si="96"/>
        <v>12</v>
      </c>
      <c r="S357" s="8">
        <f t="shared" si="96"/>
        <v>13</v>
      </c>
      <c r="T357" s="8">
        <f t="shared" si="96"/>
        <v>14</v>
      </c>
      <c r="U357" s="8">
        <f t="shared" si="96"/>
        <v>15</v>
      </c>
      <c r="V357" s="8">
        <f t="shared" si="96"/>
        <v>16</v>
      </c>
      <c r="W357" s="8">
        <f t="shared" si="96"/>
        <v>17</v>
      </c>
      <c r="X357" s="8">
        <f t="shared" si="96"/>
        <v>18</v>
      </c>
      <c r="Y357" s="8">
        <f t="shared" si="96"/>
        <v>19</v>
      </c>
      <c r="Z357" s="8">
        <f t="shared" si="96"/>
        <v>20</v>
      </c>
      <c r="AA357" s="8">
        <f t="shared" si="96"/>
        <v>21</v>
      </c>
      <c r="AB357" s="8">
        <f t="shared" si="96"/>
        <v>22</v>
      </c>
      <c r="AC357" s="8">
        <f t="shared" si="96"/>
        <v>23</v>
      </c>
      <c r="AD357" s="8">
        <f t="shared" si="96"/>
        <v>24</v>
      </c>
      <c r="AE357" s="8">
        <f t="shared" si="96"/>
        <v>25</v>
      </c>
    </row>
    <row r="358" spans="2:31" ht="15">
      <c r="B358" s="98" t="s">
        <v>115</v>
      </c>
      <c r="C358" s="1"/>
      <c r="D358" s="1"/>
      <c r="E358" s="1"/>
      <c r="F358" s="140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1"/>
      <c r="AC358" s="141"/>
      <c r="AD358" s="141"/>
      <c r="AE358" s="141"/>
    </row>
    <row r="359" spans="2:31" ht="15">
      <c r="B359" s="118"/>
      <c r="C359" s="3"/>
      <c r="D359" s="3"/>
      <c r="E359" s="3"/>
      <c r="F359" s="30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</row>
    <row r="360" spans="2:139" ht="15">
      <c r="B360" s="136" t="s">
        <v>185</v>
      </c>
      <c r="C360" s="3"/>
      <c r="D360" s="3"/>
      <c r="E360" s="3"/>
      <c r="F360" s="43">
        <f>D82*$C$331</f>
        <v>1034082201.5999999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0</v>
      </c>
      <c r="AC360" s="3">
        <v>0</v>
      </c>
      <c r="AD360" s="3">
        <v>0</v>
      </c>
      <c r="AE360" s="3">
        <v>0</v>
      </c>
      <c r="EB360" s="3"/>
      <c r="EC360" s="100"/>
      <c r="ED360" s="38"/>
      <c r="EE360" s="38"/>
      <c r="EF360" s="38"/>
      <c r="EG360" s="38"/>
      <c r="EH360" s="38"/>
      <c r="EI360" s="38"/>
    </row>
    <row r="361" spans="2:139" ht="15">
      <c r="B361" s="6" t="s">
        <v>186</v>
      </c>
      <c r="F361" s="38">
        <f>F122*$C$331</f>
        <v>443178086.4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0</v>
      </c>
      <c r="AC361" s="3">
        <v>0</v>
      </c>
      <c r="AD361" s="3">
        <v>0</v>
      </c>
      <c r="AE361" s="3">
        <v>0</v>
      </c>
      <c r="EB361" s="3"/>
      <c r="EC361" s="100"/>
      <c r="ED361" s="38"/>
      <c r="EE361" s="38"/>
      <c r="EF361" s="38"/>
      <c r="EG361" s="38"/>
      <c r="EH361" s="38"/>
      <c r="EI361" s="38"/>
    </row>
    <row r="362" spans="2:139" ht="15">
      <c r="B362" s="6" t="s">
        <v>187</v>
      </c>
      <c r="F362" s="38">
        <f>(F117+F118)*$C$331</f>
        <v>0</v>
      </c>
      <c r="G362" s="38">
        <f aca="true" t="shared" si="97" ref="G362:AE362">(G117+G118)*$C$331</f>
        <v>-40329205.8624</v>
      </c>
      <c r="H362" s="38">
        <f t="shared" si="97"/>
        <v>-63537665.189047925</v>
      </c>
      <c r="I362" s="38">
        <f t="shared" si="97"/>
        <v>-86746124.51569586</v>
      </c>
      <c r="J362" s="38">
        <f t="shared" si="97"/>
        <v>-86746124.51569586</v>
      </c>
      <c r="K362" s="38">
        <f t="shared" si="97"/>
        <v>-86746124.51569586</v>
      </c>
      <c r="L362" s="38">
        <f t="shared" si="97"/>
        <v>-86746124.51569586</v>
      </c>
      <c r="M362" s="38">
        <f t="shared" si="97"/>
        <v>-86746124.51569586</v>
      </c>
      <c r="N362" s="38">
        <f t="shared" si="97"/>
        <v>-86746124.51569586</v>
      </c>
      <c r="O362" s="38">
        <f t="shared" si="97"/>
        <v>-86746124.51569586</v>
      </c>
      <c r="P362" s="38">
        <f t="shared" si="97"/>
        <v>-86746124.51569586</v>
      </c>
      <c r="Q362" s="38">
        <f t="shared" si="97"/>
        <v>-86746124.51569586</v>
      </c>
      <c r="R362" s="38">
        <f t="shared" si="97"/>
        <v>-86746124.51569586</v>
      </c>
      <c r="S362" s="38">
        <f t="shared" si="97"/>
        <v>-40294065.632445015</v>
      </c>
      <c r="T362" s="38">
        <f t="shared" si="97"/>
        <v>-40294065.632445015</v>
      </c>
      <c r="U362" s="38">
        <f t="shared" si="97"/>
        <v>-40294065.632445015</v>
      </c>
      <c r="V362" s="38">
        <f t="shared" si="97"/>
        <v>-40294065.632445015</v>
      </c>
      <c r="W362" s="38">
        <f t="shared" si="97"/>
        <v>-40294065.632445015</v>
      </c>
      <c r="X362" s="38">
        <f t="shared" si="97"/>
        <v>-40294065.632445015</v>
      </c>
      <c r="Y362" s="38">
        <f t="shared" si="97"/>
        <v>-40294065.632445015</v>
      </c>
      <c r="Z362" s="38">
        <f t="shared" si="97"/>
        <v>-40294065.632445015</v>
      </c>
      <c r="AA362" s="38">
        <f t="shared" si="97"/>
        <v>-40294065.632445015</v>
      </c>
      <c r="AB362" s="38">
        <f t="shared" si="97"/>
        <v>-40294065.632445015</v>
      </c>
      <c r="AC362" s="38">
        <f t="shared" si="97"/>
        <v>-40294065.632445015</v>
      </c>
      <c r="AD362" s="38">
        <f t="shared" si="97"/>
        <v>-40294065.63244503</v>
      </c>
      <c r="AE362" s="38">
        <f t="shared" si="97"/>
        <v>-40294065.632445015</v>
      </c>
      <c r="EB362" s="3"/>
      <c r="EC362" s="100"/>
      <c r="ED362" s="38"/>
      <c r="EE362" s="38"/>
      <c r="EF362" s="38"/>
      <c r="EG362" s="38"/>
      <c r="EH362" s="38"/>
      <c r="EI362" s="38"/>
    </row>
    <row r="363" spans="2:139" ht="15">
      <c r="B363" s="17" t="s">
        <v>233</v>
      </c>
      <c r="C363" s="1"/>
      <c r="D363" s="1"/>
      <c r="E363" s="1"/>
      <c r="F363" s="41">
        <f aca="true" t="shared" si="98" ref="F363:AE363">F354+SUM(F360:F362)</f>
        <v>0</v>
      </c>
      <c r="G363" s="41">
        <f t="shared" si="98"/>
        <v>107077664.4048</v>
      </c>
      <c r="H363" s="41">
        <f t="shared" si="98"/>
        <v>95321305.86488903</v>
      </c>
      <c r="I363" s="41">
        <f t="shared" si="98"/>
        <v>70526196.18285449</v>
      </c>
      <c r="J363" s="41">
        <f t="shared" si="98"/>
        <v>68805327.5509923</v>
      </c>
      <c r="K363" s="41">
        <f t="shared" si="98"/>
        <v>66995440.62679435</v>
      </c>
      <c r="L363" s="41">
        <f t="shared" si="98"/>
        <v>65090132.78818481</v>
      </c>
      <c r="M363" s="41">
        <f t="shared" si="98"/>
        <v>63082564.64113338</v>
      </c>
      <c r="N363" s="41">
        <f t="shared" si="98"/>
        <v>60965430.036246255</v>
      </c>
      <c r="O363" s="41">
        <f t="shared" si="98"/>
        <v>58730924.02330853</v>
      </c>
      <c r="P363" s="41">
        <f t="shared" si="98"/>
        <v>56370708.6016912</v>
      </c>
      <c r="Q363" s="41">
        <f t="shared" si="98"/>
        <v>53875876.11472578</v>
      </c>
      <c r="R363" s="41">
        <f t="shared" si="98"/>
        <v>51236910.12566431</v>
      </c>
      <c r="S363" s="41">
        <f t="shared" si="98"/>
        <v>97222192.1515784</v>
      </c>
      <c r="T363" s="41">
        <f t="shared" si="98"/>
        <v>94691570.76307505</v>
      </c>
      <c r="U363" s="41">
        <f t="shared" si="98"/>
        <v>92010432.9524045</v>
      </c>
      <c r="V363" s="41">
        <f t="shared" si="98"/>
        <v>89167990.12522548</v>
      </c>
      <c r="W363" s="41">
        <f t="shared" si="98"/>
        <v>86152703.84845945</v>
      </c>
      <c r="X363" s="41">
        <f t="shared" si="98"/>
        <v>82952233.58639488</v>
      </c>
      <c r="Y363" s="41">
        <f t="shared" si="98"/>
        <v>79553380.79263505</v>
      </c>
      <c r="Z363" s="41">
        <f t="shared" si="98"/>
        <v>75942029.10367563</v>
      </c>
      <c r="AA363" s="41">
        <f t="shared" si="98"/>
        <v>72103080.36215469</v>
      </c>
      <c r="AB363" s="41">
        <f t="shared" si="98"/>
        <v>68020386.17883968</v>
      </c>
      <c r="AC363" s="41">
        <f t="shared" si="98"/>
        <v>63676674.72210976</v>
      </c>
      <c r="AD363" s="41">
        <f t="shared" si="98"/>
        <v>59053472.401970126</v>
      </c>
      <c r="AE363" s="41">
        <f t="shared" si="98"/>
        <v>54131020.09239551</v>
      </c>
      <c r="EB363" s="3"/>
      <c r="EC363" s="100"/>
      <c r="ED363" s="38"/>
      <c r="EE363" s="38"/>
      <c r="EF363" s="38"/>
      <c r="EG363" s="38"/>
      <c r="EH363" s="38"/>
      <c r="EI363" s="38"/>
    </row>
    <row r="364" spans="2:139" ht="15">
      <c r="B364" s="15"/>
      <c r="C364" s="3"/>
      <c r="D364" s="3"/>
      <c r="E364" s="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EB364" s="3"/>
      <c r="EC364" s="100"/>
      <c r="ED364" s="38"/>
      <c r="EE364" s="38"/>
      <c r="EF364" s="38"/>
      <c r="EG364" s="38"/>
      <c r="EH364" s="38"/>
      <c r="EI364" s="38"/>
    </row>
    <row r="365" spans="2:139" ht="15">
      <c r="B365" s="4" t="s">
        <v>235</v>
      </c>
      <c r="E365" s="167">
        <f>NPV($C$332,$G$354:$AE$354)+F354</f>
        <v>-32185153.026046038</v>
      </c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EB365" s="3"/>
      <c r="EC365" s="100"/>
      <c r="ED365" s="38"/>
      <c r="EE365" s="38"/>
      <c r="EF365" s="38"/>
      <c r="EG365" s="38"/>
      <c r="EH365" s="38"/>
      <c r="EI365" s="38"/>
    </row>
    <row r="366" spans="2:139" ht="15">
      <c r="B366" s="19" t="s">
        <v>230</v>
      </c>
      <c r="C366" s="236"/>
      <c r="E366" s="167">
        <f>E191</f>
        <v>528338957.7947848</v>
      </c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EB366" s="3"/>
      <c r="EC366" s="100"/>
      <c r="ED366" s="38"/>
      <c r="EE366" s="38"/>
      <c r="EF366" s="38"/>
      <c r="EG366" s="38"/>
      <c r="EH366" s="38"/>
      <c r="EI366" s="38"/>
    </row>
    <row r="367" spans="2:139" ht="15">
      <c r="B367" s="164"/>
      <c r="C367" s="236"/>
      <c r="E367" s="167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EB367" s="3"/>
      <c r="EC367" s="100"/>
      <c r="ED367" s="38"/>
      <c r="EE367" s="38"/>
      <c r="EF367" s="38"/>
      <c r="EG367" s="38"/>
      <c r="EH367" s="38"/>
      <c r="EI367" s="38"/>
    </row>
    <row r="368" spans="2:139" ht="15">
      <c r="B368" s="4"/>
      <c r="E368" s="38"/>
      <c r="EB368" s="3"/>
      <c r="EC368" s="100"/>
      <c r="ED368" s="38"/>
      <c r="EE368" s="38"/>
      <c r="EF368" s="38"/>
      <c r="EG368" s="38"/>
      <c r="EH368" s="38"/>
      <c r="EI368" s="38"/>
    </row>
    <row r="369" spans="2:139" ht="15">
      <c r="B369" s="20"/>
      <c r="C369" s="236"/>
      <c r="E369" s="167"/>
      <c r="EB369" s="3"/>
      <c r="EC369" s="100"/>
      <c r="ED369" s="38"/>
      <c r="EE369" s="38"/>
      <c r="EF369" s="38"/>
      <c r="EG369" s="38"/>
      <c r="EH369" s="38"/>
      <c r="EI369" s="38"/>
    </row>
    <row r="370" spans="2:139" ht="15">
      <c r="B370" s="20"/>
      <c r="E370" s="38"/>
      <c r="EB370" s="3"/>
      <c r="EC370" s="100"/>
      <c r="ED370" s="38"/>
      <c r="EE370" s="38"/>
      <c r="EF370" s="38"/>
      <c r="EG370" s="38"/>
      <c r="EH370" s="38"/>
      <c r="EI370" s="38"/>
    </row>
    <row r="371" spans="132:139" ht="15">
      <c r="EB371" s="3"/>
      <c r="EC371" s="100"/>
      <c r="ED371" s="38"/>
      <c r="EE371" s="38"/>
      <c r="EF371" s="38"/>
      <c r="EG371" s="38"/>
      <c r="EH371" s="38"/>
      <c r="EI371" s="38"/>
    </row>
    <row r="372" spans="132:139" ht="15">
      <c r="EB372" s="3"/>
      <c r="EC372" s="100"/>
      <c r="ED372" s="38"/>
      <c r="EE372" s="38"/>
      <c r="EF372" s="38"/>
      <c r="EG372" s="38"/>
      <c r="EH372" s="38"/>
      <c r="EI372" s="38"/>
    </row>
  </sheetData>
  <sheetProtection/>
  <conditionalFormatting sqref="C223:C225">
    <cfRule type="cellIs" priority="56" dxfId="0" operator="greaterThanOrEqual">
      <formula>$C$212</formula>
    </cfRule>
  </conditionalFormatting>
  <conditionalFormatting sqref="D223:D225 C300:E301">
    <cfRule type="cellIs" priority="55" dxfId="0" operator="greaterThanOrEqual">
      <formula>$C$213</formula>
    </cfRule>
  </conditionalFormatting>
  <conditionalFormatting sqref="E223:E225">
    <cfRule type="cellIs" priority="54" dxfId="0" operator="greaterThanOrEqual">
      <formula>$C$214</formula>
    </cfRule>
  </conditionalFormatting>
  <conditionalFormatting sqref="F223:F225">
    <cfRule type="cellIs" priority="53" dxfId="0" operator="greaterThanOrEqual">
      <formula>$H$212</formula>
    </cfRule>
  </conditionalFormatting>
  <conditionalFormatting sqref="G223:G225">
    <cfRule type="cellIs" priority="52" dxfId="0" operator="greaterThanOrEqual">
      <formula>$H$213</formula>
    </cfRule>
  </conditionalFormatting>
  <conditionalFormatting sqref="H223:H225">
    <cfRule type="cellIs" priority="51" dxfId="0" operator="greaterThanOrEqual">
      <formula>$H$214</formula>
    </cfRule>
  </conditionalFormatting>
  <conditionalFormatting sqref="C228:C230">
    <cfRule type="cellIs" priority="50" dxfId="0" operator="greaterThanOrEqual">
      <formula>$C$212</formula>
    </cfRule>
  </conditionalFormatting>
  <conditionalFormatting sqref="D228:D230">
    <cfRule type="cellIs" priority="49" dxfId="0" operator="greaterThanOrEqual">
      <formula>$C$213</formula>
    </cfRule>
  </conditionalFormatting>
  <conditionalFormatting sqref="E228:E230">
    <cfRule type="cellIs" priority="48" dxfId="0" operator="greaterThanOrEqual">
      <formula>$C$214</formula>
    </cfRule>
  </conditionalFormatting>
  <conditionalFormatting sqref="F228:F230">
    <cfRule type="cellIs" priority="47" dxfId="0" operator="greaterThanOrEqual">
      <formula>$H$212</formula>
    </cfRule>
  </conditionalFormatting>
  <conditionalFormatting sqref="G228:G230">
    <cfRule type="cellIs" priority="46" dxfId="0" operator="greaterThanOrEqual">
      <formula>$H$213</formula>
    </cfRule>
  </conditionalFormatting>
  <conditionalFormatting sqref="H228:H230">
    <cfRule type="cellIs" priority="45" dxfId="0" operator="greaterThanOrEqual">
      <formula>$H$214</formula>
    </cfRule>
  </conditionalFormatting>
  <conditionalFormatting sqref="C249:E251">
    <cfRule type="cellIs" priority="28" dxfId="0" operator="greaterThanOrEqual">
      <formula>$C$213</formula>
    </cfRule>
  </conditionalFormatting>
  <conditionalFormatting sqref="C242:E244">
    <cfRule type="cellIs" priority="30" dxfId="0" operator="greaterThanOrEqual">
      <formula>$C$214</formula>
    </cfRule>
  </conditionalFormatting>
  <conditionalFormatting sqref="C235:E237">
    <cfRule type="cellIs" priority="29" dxfId="0" operator="greaterThanOrEqual">
      <formula>$C$212</formula>
    </cfRule>
  </conditionalFormatting>
  <conditionalFormatting sqref="C256:E258">
    <cfRule type="cellIs" priority="27" dxfId="0" operator="greaterThanOrEqual">
      <formula>$H$212</formula>
    </cfRule>
  </conditionalFormatting>
  <conditionalFormatting sqref="C263:C265">
    <cfRule type="cellIs" priority="26" dxfId="0" operator="greaterThanOrEqual">
      <formula>$H$213</formula>
    </cfRule>
  </conditionalFormatting>
  <conditionalFormatting sqref="D263:E265">
    <cfRule type="cellIs" priority="25" dxfId="0" operator="greaterThanOrEqual">
      <formula>$H$213</formula>
    </cfRule>
  </conditionalFormatting>
  <conditionalFormatting sqref="C270:E272">
    <cfRule type="cellIs" priority="24" dxfId="0" operator="greaterThanOrEqual">
      <formula>$H$214</formula>
    </cfRule>
  </conditionalFormatting>
  <conditionalFormatting sqref="C289:E290">
    <cfRule type="cellIs" priority="17" dxfId="0" operator="greaterThanOrEqual">
      <formula>$C$212</formula>
    </cfRule>
  </conditionalFormatting>
  <conditionalFormatting sqref="C284">
    <cfRule type="cellIs" priority="23" dxfId="0" operator="greaterThanOrEqual">
      <formula>$C$212</formula>
    </cfRule>
  </conditionalFormatting>
  <conditionalFormatting sqref="D284">
    <cfRule type="cellIs" priority="22" dxfId="0" operator="greaterThanOrEqual">
      <formula>$C$213</formula>
    </cfRule>
  </conditionalFormatting>
  <conditionalFormatting sqref="E284">
    <cfRule type="cellIs" priority="21" dxfId="0" operator="greaterThanOrEqual">
      <formula>$C$214</formula>
    </cfRule>
  </conditionalFormatting>
  <conditionalFormatting sqref="F284">
    <cfRule type="cellIs" priority="20" dxfId="0" operator="greaterThanOrEqual">
      <formula>$H$212</formula>
    </cfRule>
  </conditionalFormatting>
  <conditionalFormatting sqref="G284">
    <cfRule type="cellIs" priority="19" dxfId="0" operator="greaterThanOrEqual">
      <formula>$H$213</formula>
    </cfRule>
  </conditionalFormatting>
  <conditionalFormatting sqref="H284">
    <cfRule type="cellIs" priority="18" dxfId="0" operator="greaterThanOrEqual">
      <formula>$H$214</formula>
    </cfRule>
  </conditionalFormatting>
  <conditionalFormatting sqref="C294:E295">
    <cfRule type="cellIs" priority="16" dxfId="0" operator="greaterThanOrEqual">
      <formula>$C$214</formula>
    </cfRule>
  </conditionalFormatting>
  <conditionalFormatting sqref="C306:E307">
    <cfRule type="cellIs" priority="14" dxfId="0" operator="greaterThanOrEqual">
      <formula>$H$212</formula>
    </cfRule>
  </conditionalFormatting>
  <conditionalFormatting sqref="C312:C313">
    <cfRule type="cellIs" priority="13" dxfId="0" operator="greaterThanOrEqual">
      <formula>$H$213</formula>
    </cfRule>
  </conditionalFormatting>
  <conditionalFormatting sqref="D312:E313">
    <cfRule type="cellIs" priority="12" dxfId="0" operator="greaterThanOrEqual">
      <formula>$H$213</formula>
    </cfRule>
  </conditionalFormatting>
  <conditionalFormatting sqref="C318:E319">
    <cfRule type="cellIs" priority="11" dxfId="0" operator="greaterThanOrEqual">
      <formula>$H$214</formula>
    </cfRule>
  </conditionalFormatting>
  <conditionalFormatting sqref="C285">
    <cfRule type="cellIs" priority="8" dxfId="0" operator="greaterThanOrEqual">
      <formula>$C$212</formula>
    </cfRule>
  </conditionalFormatting>
  <conditionalFormatting sqref="D285">
    <cfRule type="cellIs" priority="7" dxfId="0" operator="greaterThanOrEqual">
      <formula>$C$213</formula>
    </cfRule>
  </conditionalFormatting>
  <conditionalFormatting sqref="E285">
    <cfRule type="cellIs" priority="6" dxfId="0" operator="greaterThanOrEqual">
      <formula>$C$214</formula>
    </cfRule>
  </conditionalFormatting>
  <conditionalFormatting sqref="F285">
    <cfRule type="cellIs" priority="5" dxfId="0" operator="greaterThanOrEqual">
      <formula>$H$212</formula>
    </cfRule>
  </conditionalFormatting>
  <conditionalFormatting sqref="G285">
    <cfRule type="cellIs" priority="4" dxfId="0" operator="greaterThanOrEqual">
      <formula>$H$213</formula>
    </cfRule>
  </conditionalFormatting>
  <conditionalFormatting sqref="H285">
    <cfRule type="cellIs" priority="3" dxfId="0" operator="greaterThanOrEqual">
      <formula>$H$214</formula>
    </cfRule>
  </conditionalFormatting>
  <hyperlinks>
    <hyperlink ref="D134" r:id="rId1" display="http://www.bsp.gov.ph/statistics/keystat/winteresrates.htm"/>
    <hyperlink ref="D136" r:id="rId2" display="http://pages.stern.nyu.edu/~adamodar/New_Home_Page/datafile/ctryprem.html"/>
    <hyperlink ref="G344" r:id="rId3" display="http://www.philequity.net/ppse.php?mode=Snapshot"/>
  </hyperlinks>
  <printOptions/>
  <pageMargins left="0.7" right="0.7" top="0.75" bottom="0.75" header="0.3" footer="0.3"/>
  <pageSetup horizontalDpi="600" verticalDpi="600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17"/>
  <sheetViews>
    <sheetView zoomScalePageLayoutView="0" workbookViewId="0" topLeftCell="A109">
      <selection activeCell="E3" sqref="E3"/>
    </sheetView>
  </sheetViews>
  <sheetFormatPr defaultColWidth="9.140625" defaultRowHeight="15"/>
  <cols>
    <col min="1" max="2" width="9.140625" style="246" customWidth="1"/>
    <col min="3" max="3" width="21.8515625" style="246" bestFit="1" customWidth="1"/>
    <col min="4" max="4" width="9.140625" style="246" customWidth="1"/>
    <col min="5" max="5" width="17.421875" style="246" bestFit="1" customWidth="1"/>
    <col min="6" max="6" width="8.8515625" style="246" customWidth="1"/>
    <col min="7" max="7" width="8.00390625" style="246" customWidth="1"/>
    <col min="8" max="8" width="17.28125" style="246" customWidth="1"/>
    <col min="9" max="9" width="20.28125" style="246" customWidth="1"/>
    <col min="10" max="10" width="14.421875" style="246" bestFit="1" customWidth="1"/>
    <col min="11" max="16384" width="9.140625" style="246" customWidth="1"/>
  </cols>
  <sheetData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48" t="s">
        <v>142</v>
      </c>
      <c r="C3" s="33"/>
      <c r="D3" s="94">
        <f>Model!D80</f>
        <v>2462100480</v>
      </c>
      <c r="E3" s="2"/>
      <c r="F3" s="2"/>
      <c r="G3" s="48" t="s">
        <v>138</v>
      </c>
      <c r="H3" s="33"/>
      <c r="I3" s="33"/>
      <c r="J3" s="69"/>
      <c r="K3" s="96">
        <f>Model!J80</f>
        <v>0.06</v>
      </c>
      <c r="L3" s="2"/>
      <c r="M3" s="2"/>
    </row>
    <row r="4" spans="1:13" ht="15">
      <c r="A4" s="2"/>
      <c r="B4" s="49" t="s">
        <v>141</v>
      </c>
      <c r="C4" s="24"/>
      <c r="D4" s="91">
        <f>Model!D81</f>
        <v>0.7</v>
      </c>
      <c r="E4" s="2"/>
      <c r="F4" s="2"/>
      <c r="G4" s="49" t="s">
        <v>140</v>
      </c>
      <c r="H4" s="24"/>
      <c r="I4" s="24"/>
      <c r="J4" s="73"/>
      <c r="K4" s="95">
        <f>Model!J81</f>
        <v>0.015</v>
      </c>
      <c r="L4" s="2"/>
      <c r="M4" s="2"/>
    </row>
    <row r="5" spans="1:13" ht="15">
      <c r="A5" s="2"/>
      <c r="B5" s="49" t="s">
        <v>133</v>
      </c>
      <c r="C5" s="24"/>
      <c r="D5" s="64">
        <f>Model!D82</f>
        <v>1723470336</v>
      </c>
      <c r="E5" s="2"/>
      <c r="F5" s="2"/>
      <c r="G5" s="49" t="s">
        <v>143</v>
      </c>
      <c r="H5" s="24"/>
      <c r="I5" s="24"/>
      <c r="J5" s="73"/>
      <c r="K5" s="64">
        <f>Model!J82</f>
        <v>603214617.5999999</v>
      </c>
      <c r="L5" s="2"/>
      <c r="M5" s="2"/>
    </row>
    <row r="6" spans="1:13" ht="15">
      <c r="A6" s="2"/>
      <c r="B6" s="49" t="s">
        <v>127</v>
      </c>
      <c r="C6" s="24"/>
      <c r="D6" s="95">
        <f>Model!D83</f>
        <v>0.35</v>
      </c>
      <c r="E6" s="2"/>
      <c r="F6" s="2"/>
      <c r="G6" s="49" t="s">
        <v>144</v>
      </c>
      <c r="H6" s="24"/>
      <c r="I6" s="24"/>
      <c r="J6" s="73"/>
      <c r="K6" s="64">
        <f>Model!J83</f>
        <v>1120255718.4</v>
      </c>
      <c r="L6" s="2"/>
      <c r="M6" s="2"/>
    </row>
    <row r="7" spans="1:13" ht="15">
      <c r="A7" s="2"/>
      <c r="B7" s="49" t="s">
        <v>134</v>
      </c>
      <c r="C7" s="24"/>
      <c r="D7" s="92">
        <f>Model!D84</f>
        <v>12</v>
      </c>
      <c r="E7" s="2"/>
      <c r="F7" s="2"/>
      <c r="G7" s="49" t="s">
        <v>145</v>
      </c>
      <c r="H7" s="24"/>
      <c r="I7" s="24"/>
      <c r="J7" s="73"/>
      <c r="K7" s="64">
        <f>Model!J84</f>
        <v>-36144218.548206605</v>
      </c>
      <c r="L7" s="2"/>
      <c r="M7" s="2"/>
    </row>
    <row r="8" spans="1:13" ht="15">
      <c r="A8" s="2"/>
      <c r="B8" s="49" t="s">
        <v>135</v>
      </c>
      <c r="C8" s="24"/>
      <c r="D8" s="92">
        <f>Model!D85</f>
        <v>48</v>
      </c>
      <c r="E8" s="2"/>
      <c r="F8" s="2"/>
      <c r="G8" s="49" t="s">
        <v>178</v>
      </c>
      <c r="H8" s="24"/>
      <c r="I8" s="24"/>
      <c r="J8" s="73"/>
      <c r="K8" s="95">
        <f>Model!J85</f>
        <v>0.015</v>
      </c>
      <c r="L8" s="2"/>
      <c r="M8" s="2"/>
    </row>
    <row r="9" spans="1:13" ht="15">
      <c r="A9" s="2"/>
      <c r="B9" s="49" t="s">
        <v>136</v>
      </c>
      <c r="C9" s="24"/>
      <c r="D9" s="92">
        <f>Model!D86</f>
        <v>6</v>
      </c>
      <c r="E9" s="2"/>
      <c r="F9" s="2"/>
      <c r="G9" s="49" t="s">
        <v>168</v>
      </c>
      <c r="H9" s="24"/>
      <c r="I9" s="24"/>
      <c r="J9" s="73"/>
      <c r="K9" s="64">
        <f>Model!J86</f>
        <v>-16789194.013518758</v>
      </c>
      <c r="L9" s="2"/>
      <c r="M9" s="2"/>
    </row>
    <row r="10" spans="1:13" ht="15">
      <c r="A10" s="2"/>
      <c r="B10" s="50" t="s">
        <v>137</v>
      </c>
      <c r="C10" s="51"/>
      <c r="D10" s="65">
        <f>Model!D87</f>
        <v>42</v>
      </c>
      <c r="E10" s="2"/>
      <c r="F10" s="2"/>
      <c r="G10" s="50" t="s">
        <v>167</v>
      </c>
      <c r="H10" s="51"/>
      <c r="I10" s="51"/>
      <c r="J10" s="70"/>
      <c r="K10" s="65">
        <f>Model!J87</f>
        <v>52</v>
      </c>
      <c r="L10" s="2"/>
      <c r="M10" s="2"/>
    </row>
    <row r="11" spans="1:13" ht="15">
      <c r="A11" s="2"/>
      <c r="B11" s="2"/>
      <c r="C11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s="2"/>
      <c r="B12" s="2"/>
      <c r="C12" s="4" t="s">
        <v>146</v>
      </c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thickBot="1">
      <c r="A13" s="2"/>
      <c r="B13" s="2"/>
      <c r="C13" s="4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2"/>
      <c r="B14" s="2"/>
      <c r="C14" s="250" t="s">
        <v>193</v>
      </c>
      <c r="D14" s="251" t="s">
        <v>129</v>
      </c>
      <c r="E14" s="252" t="s">
        <v>130</v>
      </c>
      <c r="F14" s="252" t="s">
        <v>128</v>
      </c>
      <c r="G14" s="252" t="s">
        <v>131</v>
      </c>
      <c r="H14" s="252" t="s">
        <v>148</v>
      </c>
      <c r="I14" s="252" t="s">
        <v>139</v>
      </c>
      <c r="J14" s="253" t="s">
        <v>132</v>
      </c>
      <c r="K14" s="2"/>
      <c r="L14" s="2"/>
      <c r="M14" s="2"/>
    </row>
    <row r="15" spans="1:13" ht="15">
      <c r="A15" s="2"/>
      <c r="B15" s="2"/>
      <c r="C15" s="254">
        <f>ROUNDUP(D15/4,0)</f>
        <v>1</v>
      </c>
      <c r="D15" s="247">
        <v>1</v>
      </c>
      <c r="E15" s="248">
        <f>IF(D15&lt;=$D$9,$K$6,J14)</f>
        <v>1120255718.4</v>
      </c>
      <c r="F15" s="248">
        <f>IF(D15&lt;=$D$9,G15,IF(D15&gt;$D$8,$K$9,$K$7))</f>
        <v>-16803835.776</v>
      </c>
      <c r="G15" s="249">
        <f>-E15*(IF(D15&lt;=$D$8,$K$4,$K$8))</f>
        <v>-16803835.776</v>
      </c>
      <c r="H15" s="249">
        <f>F15-G15</f>
        <v>0</v>
      </c>
      <c r="I15" s="249">
        <f>IF(D15=$D$8,$K$5,0)</f>
        <v>0</v>
      </c>
      <c r="J15" s="255">
        <f>E15+H15+I15</f>
        <v>1120255718.4</v>
      </c>
      <c r="K15" s="2"/>
      <c r="L15" s="2"/>
      <c r="M15" s="2"/>
    </row>
    <row r="16" spans="1:13" ht="15">
      <c r="A16" s="2"/>
      <c r="B16" s="2"/>
      <c r="C16" s="254">
        <f aca="true" t="shared" si="0" ref="C16:C79">ROUNDUP(D16/4,0)</f>
        <v>1</v>
      </c>
      <c r="D16" s="247">
        <f aca="true" t="shared" si="1" ref="D16:D47">D15+1</f>
        <v>2</v>
      </c>
      <c r="E16" s="248">
        <f aca="true" t="shared" si="2" ref="E16:E79">IF(D16&lt;=$D$9,$K$6,J15)</f>
        <v>1120255718.4</v>
      </c>
      <c r="F16" s="248">
        <f aca="true" t="shared" si="3" ref="F16:F79">IF(D16&lt;=$D$9,G16,IF(D16&gt;$D$8,$K$9,$K$7))</f>
        <v>-16803835.776</v>
      </c>
      <c r="G16" s="249">
        <f aca="true" t="shared" si="4" ref="G16:G79">-E16*(IF(D16&lt;=$D$8,$K$4,$K$8))</f>
        <v>-16803835.776</v>
      </c>
      <c r="H16" s="249">
        <f aca="true" t="shared" si="5" ref="H16:H79">F16-G16</f>
        <v>0</v>
      </c>
      <c r="I16" s="249">
        <f aca="true" t="shared" si="6" ref="I16:I79">IF(D16=$D$8,$K$5,0)</f>
        <v>0</v>
      </c>
      <c r="J16" s="255">
        <f aca="true" t="shared" si="7" ref="J16:J79">E16+H16+I16</f>
        <v>1120255718.4</v>
      </c>
      <c r="K16" s="2"/>
      <c r="L16" s="2"/>
      <c r="M16" s="2"/>
    </row>
    <row r="17" spans="1:13" ht="15">
      <c r="A17" s="2"/>
      <c r="B17" s="2"/>
      <c r="C17" s="254">
        <f t="shared" si="0"/>
        <v>1</v>
      </c>
      <c r="D17" s="247">
        <f t="shared" si="1"/>
        <v>3</v>
      </c>
      <c r="E17" s="248">
        <f t="shared" si="2"/>
        <v>1120255718.4</v>
      </c>
      <c r="F17" s="248">
        <f t="shared" si="3"/>
        <v>-16803835.776</v>
      </c>
      <c r="G17" s="249">
        <f t="shared" si="4"/>
        <v>-16803835.776</v>
      </c>
      <c r="H17" s="249">
        <f t="shared" si="5"/>
        <v>0</v>
      </c>
      <c r="I17" s="249">
        <f t="shared" si="6"/>
        <v>0</v>
      </c>
      <c r="J17" s="255">
        <f t="shared" si="7"/>
        <v>1120255718.4</v>
      </c>
      <c r="K17" s="2"/>
      <c r="L17" s="2"/>
      <c r="M17" s="2"/>
    </row>
    <row r="18" spans="1:13" ht="15">
      <c r="A18" s="2"/>
      <c r="B18" s="2"/>
      <c r="C18" s="254">
        <f t="shared" si="0"/>
        <v>1</v>
      </c>
      <c r="D18" s="247">
        <f t="shared" si="1"/>
        <v>4</v>
      </c>
      <c r="E18" s="248">
        <f t="shared" si="2"/>
        <v>1120255718.4</v>
      </c>
      <c r="F18" s="248">
        <f t="shared" si="3"/>
        <v>-16803835.776</v>
      </c>
      <c r="G18" s="249">
        <f t="shared" si="4"/>
        <v>-16803835.776</v>
      </c>
      <c r="H18" s="249">
        <f t="shared" si="5"/>
        <v>0</v>
      </c>
      <c r="I18" s="249">
        <f t="shared" si="6"/>
        <v>0</v>
      </c>
      <c r="J18" s="255">
        <f t="shared" si="7"/>
        <v>1120255718.4</v>
      </c>
      <c r="K18" s="2"/>
      <c r="L18" s="2"/>
      <c r="M18" s="2"/>
    </row>
    <row r="19" spans="1:13" ht="15">
      <c r="A19" s="2"/>
      <c r="B19" s="2"/>
      <c r="C19" s="254">
        <f t="shared" si="0"/>
        <v>2</v>
      </c>
      <c r="D19" s="247">
        <f t="shared" si="1"/>
        <v>5</v>
      </c>
      <c r="E19" s="248">
        <f t="shared" si="2"/>
        <v>1120255718.4</v>
      </c>
      <c r="F19" s="248">
        <f t="shared" si="3"/>
        <v>-16803835.776</v>
      </c>
      <c r="G19" s="249">
        <f t="shared" si="4"/>
        <v>-16803835.776</v>
      </c>
      <c r="H19" s="249">
        <f t="shared" si="5"/>
        <v>0</v>
      </c>
      <c r="I19" s="249">
        <f t="shared" si="6"/>
        <v>0</v>
      </c>
      <c r="J19" s="255">
        <f t="shared" si="7"/>
        <v>1120255718.4</v>
      </c>
      <c r="K19" s="2"/>
      <c r="L19" s="2"/>
      <c r="M19" s="2"/>
    </row>
    <row r="20" spans="1:13" ht="15">
      <c r="A20" s="2"/>
      <c r="B20" s="2"/>
      <c r="C20" s="254">
        <f t="shared" si="0"/>
        <v>2</v>
      </c>
      <c r="D20" s="247">
        <f t="shared" si="1"/>
        <v>6</v>
      </c>
      <c r="E20" s="248">
        <f t="shared" si="2"/>
        <v>1120255718.4</v>
      </c>
      <c r="F20" s="248">
        <f t="shared" si="3"/>
        <v>-16803835.776</v>
      </c>
      <c r="G20" s="249">
        <f t="shared" si="4"/>
        <v>-16803835.776</v>
      </c>
      <c r="H20" s="249">
        <f t="shared" si="5"/>
        <v>0</v>
      </c>
      <c r="I20" s="249">
        <f t="shared" si="6"/>
        <v>0</v>
      </c>
      <c r="J20" s="255">
        <f t="shared" si="7"/>
        <v>1120255718.4</v>
      </c>
      <c r="K20" s="2"/>
      <c r="L20" s="2"/>
      <c r="M20" s="2"/>
    </row>
    <row r="21" spans="1:13" ht="15">
      <c r="A21" s="2"/>
      <c r="B21" s="2"/>
      <c r="C21" s="254">
        <f t="shared" si="0"/>
        <v>2</v>
      </c>
      <c r="D21" s="247">
        <f t="shared" si="1"/>
        <v>7</v>
      </c>
      <c r="E21" s="248">
        <f t="shared" si="2"/>
        <v>1120255718.4</v>
      </c>
      <c r="F21" s="248">
        <f t="shared" si="3"/>
        <v>-36144218.548206605</v>
      </c>
      <c r="G21" s="249">
        <f t="shared" si="4"/>
        <v>-16803835.776</v>
      </c>
      <c r="H21" s="249">
        <f t="shared" si="5"/>
        <v>-19340382.772206604</v>
      </c>
      <c r="I21" s="249">
        <f t="shared" si="6"/>
        <v>0</v>
      </c>
      <c r="J21" s="255">
        <f t="shared" si="7"/>
        <v>1100915335.6277936</v>
      </c>
      <c r="K21" s="2"/>
      <c r="L21" s="2"/>
      <c r="M21" s="2"/>
    </row>
    <row r="22" spans="1:13" ht="15">
      <c r="A22" s="2"/>
      <c r="B22" s="2"/>
      <c r="C22" s="254">
        <f t="shared" si="0"/>
        <v>2</v>
      </c>
      <c r="D22" s="247">
        <f t="shared" si="1"/>
        <v>8</v>
      </c>
      <c r="E22" s="248">
        <f t="shared" si="2"/>
        <v>1100915335.6277936</v>
      </c>
      <c r="F22" s="248">
        <f t="shared" si="3"/>
        <v>-36144218.548206605</v>
      </c>
      <c r="G22" s="249">
        <f t="shared" si="4"/>
        <v>-16513730.034416903</v>
      </c>
      <c r="H22" s="249">
        <f t="shared" si="5"/>
        <v>-19630488.513789702</v>
      </c>
      <c r="I22" s="249">
        <f t="shared" si="6"/>
        <v>0</v>
      </c>
      <c r="J22" s="255">
        <f t="shared" si="7"/>
        <v>1081284847.114004</v>
      </c>
      <c r="K22" s="2"/>
      <c r="L22" s="2"/>
      <c r="M22" s="2"/>
    </row>
    <row r="23" spans="1:13" ht="15">
      <c r="A23" s="2"/>
      <c r="B23" s="2"/>
      <c r="C23" s="254">
        <f t="shared" si="0"/>
        <v>3</v>
      </c>
      <c r="D23" s="247">
        <f t="shared" si="1"/>
        <v>9</v>
      </c>
      <c r="E23" s="248">
        <f t="shared" si="2"/>
        <v>1081284847.114004</v>
      </c>
      <c r="F23" s="248">
        <f t="shared" si="3"/>
        <v>-36144218.548206605</v>
      </c>
      <c r="G23" s="249">
        <f t="shared" si="4"/>
        <v>-16219272.706710057</v>
      </c>
      <c r="H23" s="249">
        <f t="shared" si="5"/>
        <v>-19924945.84149655</v>
      </c>
      <c r="I23" s="249">
        <f t="shared" si="6"/>
        <v>0</v>
      </c>
      <c r="J23" s="255">
        <f t="shared" si="7"/>
        <v>1061359901.2725073</v>
      </c>
      <c r="K23" s="2"/>
      <c r="L23" s="2"/>
      <c r="M23" s="2"/>
    </row>
    <row r="24" spans="1:13" ht="15">
      <c r="A24" s="2"/>
      <c r="B24" s="2"/>
      <c r="C24" s="254">
        <f t="shared" si="0"/>
        <v>3</v>
      </c>
      <c r="D24" s="247">
        <f t="shared" si="1"/>
        <v>10</v>
      </c>
      <c r="E24" s="248">
        <f t="shared" si="2"/>
        <v>1061359901.2725073</v>
      </c>
      <c r="F24" s="248">
        <f t="shared" si="3"/>
        <v>-36144218.548206605</v>
      </c>
      <c r="G24" s="249">
        <f t="shared" si="4"/>
        <v>-15920398.519087609</v>
      </c>
      <c r="H24" s="249">
        <f t="shared" si="5"/>
        <v>-20223820.029118996</v>
      </c>
      <c r="I24" s="249">
        <f t="shared" si="6"/>
        <v>0</v>
      </c>
      <c r="J24" s="255">
        <f t="shared" si="7"/>
        <v>1041136081.2433883</v>
      </c>
      <c r="K24" s="2"/>
      <c r="L24" s="2"/>
      <c r="M24" s="2"/>
    </row>
    <row r="25" spans="1:13" ht="15">
      <c r="A25" s="2"/>
      <c r="B25" s="2"/>
      <c r="C25" s="254">
        <f t="shared" si="0"/>
        <v>3</v>
      </c>
      <c r="D25" s="247">
        <f t="shared" si="1"/>
        <v>11</v>
      </c>
      <c r="E25" s="248">
        <f t="shared" si="2"/>
        <v>1041136081.2433883</v>
      </c>
      <c r="F25" s="248">
        <f t="shared" si="3"/>
        <v>-36144218.548206605</v>
      </c>
      <c r="G25" s="249">
        <f t="shared" si="4"/>
        <v>-15617041.218650823</v>
      </c>
      <c r="H25" s="249">
        <f t="shared" si="5"/>
        <v>-20527177.32955578</v>
      </c>
      <c r="I25" s="249">
        <f t="shared" si="6"/>
        <v>0</v>
      </c>
      <c r="J25" s="255">
        <f t="shared" si="7"/>
        <v>1020608903.9138325</v>
      </c>
      <c r="K25" s="2"/>
      <c r="L25" s="2"/>
      <c r="M25" s="2"/>
    </row>
    <row r="26" spans="1:13" ht="15">
      <c r="A26" s="2"/>
      <c r="B26" s="2"/>
      <c r="C26" s="254">
        <f t="shared" si="0"/>
        <v>3</v>
      </c>
      <c r="D26" s="247">
        <f t="shared" si="1"/>
        <v>12</v>
      </c>
      <c r="E26" s="248">
        <f t="shared" si="2"/>
        <v>1020608903.9138325</v>
      </c>
      <c r="F26" s="248">
        <f t="shared" si="3"/>
        <v>-36144218.548206605</v>
      </c>
      <c r="G26" s="249">
        <f t="shared" si="4"/>
        <v>-15309133.558707487</v>
      </c>
      <c r="H26" s="249">
        <f t="shared" si="5"/>
        <v>-20835084.98949912</v>
      </c>
      <c r="I26" s="249">
        <f t="shared" si="6"/>
        <v>0</v>
      </c>
      <c r="J26" s="255">
        <f t="shared" si="7"/>
        <v>999773818.9243335</v>
      </c>
      <c r="K26" s="2"/>
      <c r="L26" s="2"/>
      <c r="M26" s="2"/>
    </row>
    <row r="27" spans="1:13" ht="15">
      <c r="A27" s="2"/>
      <c r="B27" s="2"/>
      <c r="C27" s="254">
        <f t="shared" si="0"/>
        <v>4</v>
      </c>
      <c r="D27" s="247">
        <f t="shared" si="1"/>
        <v>13</v>
      </c>
      <c r="E27" s="248">
        <f t="shared" si="2"/>
        <v>999773818.9243335</v>
      </c>
      <c r="F27" s="248">
        <f t="shared" si="3"/>
        <v>-36144218.548206605</v>
      </c>
      <c r="G27" s="249">
        <f t="shared" si="4"/>
        <v>-14996607.283865001</v>
      </c>
      <c r="H27" s="249">
        <f t="shared" si="5"/>
        <v>-21147611.264341604</v>
      </c>
      <c r="I27" s="249">
        <f t="shared" si="6"/>
        <v>0</v>
      </c>
      <c r="J27" s="255">
        <f t="shared" si="7"/>
        <v>978626207.6599919</v>
      </c>
      <c r="K27" s="2"/>
      <c r="L27" s="2"/>
      <c r="M27" s="2"/>
    </row>
    <row r="28" spans="1:13" ht="15">
      <c r="A28" s="2"/>
      <c r="B28" s="2"/>
      <c r="C28" s="254">
        <f t="shared" si="0"/>
        <v>4</v>
      </c>
      <c r="D28" s="247">
        <f t="shared" si="1"/>
        <v>14</v>
      </c>
      <c r="E28" s="248">
        <f t="shared" si="2"/>
        <v>978626207.6599919</v>
      </c>
      <c r="F28" s="248">
        <f t="shared" si="3"/>
        <v>-36144218.548206605</v>
      </c>
      <c r="G28" s="249">
        <f t="shared" si="4"/>
        <v>-14679393.114899877</v>
      </c>
      <c r="H28" s="249">
        <f t="shared" si="5"/>
        <v>-21464825.433306728</v>
      </c>
      <c r="I28" s="249">
        <f t="shared" si="6"/>
        <v>0</v>
      </c>
      <c r="J28" s="255">
        <f t="shared" si="7"/>
        <v>957161382.2266852</v>
      </c>
      <c r="K28" s="2"/>
      <c r="L28" s="2"/>
      <c r="M28" s="2"/>
    </row>
    <row r="29" spans="1:13" ht="15">
      <c r="A29" s="2"/>
      <c r="B29" s="2"/>
      <c r="C29" s="254">
        <f t="shared" si="0"/>
        <v>4</v>
      </c>
      <c r="D29" s="247">
        <f t="shared" si="1"/>
        <v>15</v>
      </c>
      <c r="E29" s="248">
        <f t="shared" si="2"/>
        <v>957161382.2266852</v>
      </c>
      <c r="F29" s="248">
        <f t="shared" si="3"/>
        <v>-36144218.548206605</v>
      </c>
      <c r="G29" s="249">
        <f t="shared" si="4"/>
        <v>-14357420.733400278</v>
      </c>
      <c r="H29" s="249">
        <f t="shared" si="5"/>
        <v>-21786797.814806327</v>
      </c>
      <c r="I29" s="249">
        <f t="shared" si="6"/>
        <v>0</v>
      </c>
      <c r="J29" s="255">
        <f t="shared" si="7"/>
        <v>935374584.4118788</v>
      </c>
      <c r="K29" s="2"/>
      <c r="L29" s="2"/>
      <c r="M29" s="2"/>
    </row>
    <row r="30" spans="1:13" ht="15">
      <c r="A30" s="2"/>
      <c r="B30" s="2"/>
      <c r="C30" s="254">
        <f t="shared" si="0"/>
        <v>4</v>
      </c>
      <c r="D30" s="247">
        <f t="shared" si="1"/>
        <v>16</v>
      </c>
      <c r="E30" s="248">
        <f t="shared" si="2"/>
        <v>935374584.4118788</v>
      </c>
      <c r="F30" s="248">
        <f t="shared" si="3"/>
        <v>-36144218.548206605</v>
      </c>
      <c r="G30" s="249">
        <f t="shared" si="4"/>
        <v>-14030618.766178181</v>
      </c>
      <c r="H30" s="249">
        <f t="shared" si="5"/>
        <v>-22113599.78202842</v>
      </c>
      <c r="I30" s="249">
        <f t="shared" si="6"/>
        <v>0</v>
      </c>
      <c r="J30" s="255">
        <f t="shared" si="7"/>
        <v>913260984.6298504</v>
      </c>
      <c r="K30" s="2"/>
      <c r="L30" s="2"/>
      <c r="M30" s="2"/>
    </row>
    <row r="31" spans="1:13" ht="15">
      <c r="A31" s="2"/>
      <c r="B31" s="2"/>
      <c r="C31" s="254">
        <f t="shared" si="0"/>
        <v>5</v>
      </c>
      <c r="D31" s="247">
        <f t="shared" si="1"/>
        <v>17</v>
      </c>
      <c r="E31" s="248">
        <f t="shared" si="2"/>
        <v>913260984.6298504</v>
      </c>
      <c r="F31" s="248">
        <f t="shared" si="3"/>
        <v>-36144218.548206605</v>
      </c>
      <c r="G31" s="249">
        <f t="shared" si="4"/>
        <v>-13698914.769447755</v>
      </c>
      <c r="H31" s="249">
        <f t="shared" si="5"/>
        <v>-22445303.77875885</v>
      </c>
      <c r="I31" s="249">
        <f t="shared" si="6"/>
        <v>0</v>
      </c>
      <c r="J31" s="255">
        <f t="shared" si="7"/>
        <v>890815680.8510915</v>
      </c>
      <c r="K31" s="2"/>
      <c r="L31" s="2"/>
      <c r="M31" s="2"/>
    </row>
    <row r="32" spans="1:13" ht="15">
      <c r="A32" s="2"/>
      <c r="B32" s="2"/>
      <c r="C32" s="254">
        <f t="shared" si="0"/>
        <v>5</v>
      </c>
      <c r="D32" s="247">
        <f t="shared" si="1"/>
        <v>18</v>
      </c>
      <c r="E32" s="248">
        <f t="shared" si="2"/>
        <v>890815680.8510915</v>
      </c>
      <c r="F32" s="248">
        <f t="shared" si="3"/>
        <v>-36144218.548206605</v>
      </c>
      <c r="G32" s="249">
        <f t="shared" si="4"/>
        <v>-13362235.212766372</v>
      </c>
      <c r="H32" s="249">
        <f t="shared" si="5"/>
        <v>-22781983.335440233</v>
      </c>
      <c r="I32" s="249">
        <f t="shared" si="6"/>
        <v>0</v>
      </c>
      <c r="J32" s="255">
        <f t="shared" si="7"/>
        <v>868033697.5156512</v>
      </c>
      <c r="K32" s="2"/>
      <c r="L32" s="2"/>
      <c r="M32" s="2"/>
    </row>
    <row r="33" spans="1:13" ht="15">
      <c r="A33" s="2"/>
      <c r="B33" s="2"/>
      <c r="C33" s="254">
        <f t="shared" si="0"/>
        <v>5</v>
      </c>
      <c r="D33" s="247">
        <f t="shared" si="1"/>
        <v>19</v>
      </c>
      <c r="E33" s="248">
        <f t="shared" si="2"/>
        <v>868033697.5156512</v>
      </c>
      <c r="F33" s="248">
        <f t="shared" si="3"/>
        <v>-36144218.548206605</v>
      </c>
      <c r="G33" s="249">
        <f t="shared" si="4"/>
        <v>-13020505.462734768</v>
      </c>
      <c r="H33" s="249">
        <f t="shared" si="5"/>
        <v>-23123713.08547184</v>
      </c>
      <c r="I33" s="249">
        <f t="shared" si="6"/>
        <v>0</v>
      </c>
      <c r="J33" s="255">
        <f t="shared" si="7"/>
        <v>844909984.4301794</v>
      </c>
      <c r="K33" s="2"/>
      <c r="L33" s="2"/>
      <c r="M33" s="2"/>
    </row>
    <row r="34" spans="1:13" ht="15">
      <c r="A34" s="2"/>
      <c r="B34" s="2"/>
      <c r="C34" s="254">
        <f t="shared" si="0"/>
        <v>5</v>
      </c>
      <c r="D34" s="247">
        <f t="shared" si="1"/>
        <v>20</v>
      </c>
      <c r="E34" s="248">
        <f t="shared" si="2"/>
        <v>844909984.4301794</v>
      </c>
      <c r="F34" s="248">
        <f t="shared" si="3"/>
        <v>-36144218.548206605</v>
      </c>
      <c r="G34" s="249">
        <f t="shared" si="4"/>
        <v>-12673649.76645269</v>
      </c>
      <c r="H34" s="249">
        <f t="shared" si="5"/>
        <v>-23470568.781753913</v>
      </c>
      <c r="I34" s="249">
        <f t="shared" si="6"/>
        <v>0</v>
      </c>
      <c r="J34" s="255">
        <f t="shared" si="7"/>
        <v>821439415.6484255</v>
      </c>
      <c r="K34" s="2"/>
      <c r="L34" s="2"/>
      <c r="M34" s="2"/>
    </row>
    <row r="35" spans="1:13" ht="15">
      <c r="A35" s="2"/>
      <c r="B35" s="2"/>
      <c r="C35" s="254">
        <f t="shared" si="0"/>
        <v>6</v>
      </c>
      <c r="D35" s="247">
        <f t="shared" si="1"/>
        <v>21</v>
      </c>
      <c r="E35" s="248">
        <f t="shared" si="2"/>
        <v>821439415.6484255</v>
      </c>
      <c r="F35" s="248">
        <f t="shared" si="3"/>
        <v>-36144218.548206605</v>
      </c>
      <c r="G35" s="249">
        <f t="shared" si="4"/>
        <v>-12321591.23472638</v>
      </c>
      <c r="H35" s="249">
        <f t="shared" si="5"/>
        <v>-23822627.313480224</v>
      </c>
      <c r="I35" s="249">
        <f t="shared" si="6"/>
        <v>0</v>
      </c>
      <c r="J35" s="255">
        <f t="shared" si="7"/>
        <v>797616788.3349452</v>
      </c>
      <c r="K35" s="2"/>
      <c r="L35" s="2"/>
      <c r="M35" s="2"/>
    </row>
    <row r="36" spans="1:13" ht="15">
      <c r="A36" s="2"/>
      <c r="B36" s="2"/>
      <c r="C36" s="254">
        <f t="shared" si="0"/>
        <v>6</v>
      </c>
      <c r="D36" s="247">
        <f t="shared" si="1"/>
        <v>22</v>
      </c>
      <c r="E36" s="248">
        <f t="shared" si="2"/>
        <v>797616788.3349452</v>
      </c>
      <c r="F36" s="248">
        <f t="shared" si="3"/>
        <v>-36144218.548206605</v>
      </c>
      <c r="G36" s="249">
        <f t="shared" si="4"/>
        <v>-11964251.825024178</v>
      </c>
      <c r="H36" s="249">
        <f t="shared" si="5"/>
        <v>-24179966.723182425</v>
      </c>
      <c r="I36" s="249">
        <f t="shared" si="6"/>
        <v>0</v>
      </c>
      <c r="J36" s="255">
        <f t="shared" si="7"/>
        <v>773436821.6117628</v>
      </c>
      <c r="K36" s="2"/>
      <c r="L36" s="2"/>
      <c r="M36" s="2"/>
    </row>
    <row r="37" spans="1:13" ht="15">
      <c r="A37" s="2"/>
      <c r="B37" s="2"/>
      <c r="C37" s="254">
        <f t="shared" si="0"/>
        <v>6</v>
      </c>
      <c r="D37" s="247">
        <f t="shared" si="1"/>
        <v>23</v>
      </c>
      <c r="E37" s="248">
        <f t="shared" si="2"/>
        <v>773436821.6117628</v>
      </c>
      <c r="F37" s="248">
        <f t="shared" si="3"/>
        <v>-36144218.548206605</v>
      </c>
      <c r="G37" s="249">
        <f t="shared" si="4"/>
        <v>-11601552.324176442</v>
      </c>
      <c r="H37" s="249">
        <f t="shared" si="5"/>
        <v>-24542666.224030163</v>
      </c>
      <c r="I37" s="249">
        <f t="shared" si="6"/>
        <v>0</v>
      </c>
      <c r="J37" s="255">
        <f t="shared" si="7"/>
        <v>748894155.3877326</v>
      </c>
      <c r="K37" s="2"/>
      <c r="L37" s="2"/>
      <c r="M37" s="2"/>
    </row>
    <row r="38" spans="1:13" ht="15">
      <c r="A38" s="2"/>
      <c r="B38" s="2"/>
      <c r="C38" s="254">
        <f t="shared" si="0"/>
        <v>6</v>
      </c>
      <c r="D38" s="247">
        <f t="shared" si="1"/>
        <v>24</v>
      </c>
      <c r="E38" s="248">
        <f t="shared" si="2"/>
        <v>748894155.3877326</v>
      </c>
      <c r="F38" s="248">
        <f t="shared" si="3"/>
        <v>-36144218.548206605</v>
      </c>
      <c r="G38" s="249">
        <f t="shared" si="4"/>
        <v>-11233412.33081599</v>
      </c>
      <c r="H38" s="249">
        <f t="shared" si="5"/>
        <v>-24910806.217390615</v>
      </c>
      <c r="I38" s="249">
        <f t="shared" si="6"/>
        <v>0</v>
      </c>
      <c r="J38" s="255">
        <f t="shared" si="7"/>
        <v>723983349.170342</v>
      </c>
      <c r="K38" s="2"/>
      <c r="L38" s="2"/>
      <c r="M38" s="2"/>
    </row>
    <row r="39" spans="1:13" ht="15">
      <c r="A39" s="2"/>
      <c r="B39" s="2"/>
      <c r="C39" s="254">
        <f t="shared" si="0"/>
        <v>7</v>
      </c>
      <c r="D39" s="247">
        <f t="shared" si="1"/>
        <v>25</v>
      </c>
      <c r="E39" s="248">
        <f t="shared" si="2"/>
        <v>723983349.170342</v>
      </c>
      <c r="F39" s="248">
        <f t="shared" si="3"/>
        <v>-36144218.548206605</v>
      </c>
      <c r="G39" s="249">
        <f t="shared" si="4"/>
        <v>-10859750.23755513</v>
      </c>
      <c r="H39" s="249">
        <f t="shared" si="5"/>
        <v>-25284468.310651474</v>
      </c>
      <c r="I39" s="249">
        <f t="shared" si="6"/>
        <v>0</v>
      </c>
      <c r="J39" s="255">
        <f t="shared" si="7"/>
        <v>698698880.8596905</v>
      </c>
      <c r="K39" s="2"/>
      <c r="L39" s="2"/>
      <c r="M39" s="2"/>
    </row>
    <row r="40" spans="1:13" ht="15">
      <c r="A40" s="2"/>
      <c r="B40" s="2"/>
      <c r="C40" s="254">
        <f t="shared" si="0"/>
        <v>7</v>
      </c>
      <c r="D40" s="247">
        <f t="shared" si="1"/>
        <v>26</v>
      </c>
      <c r="E40" s="248">
        <f t="shared" si="2"/>
        <v>698698880.8596905</v>
      </c>
      <c r="F40" s="248">
        <f t="shared" si="3"/>
        <v>-36144218.548206605</v>
      </c>
      <c r="G40" s="249">
        <f t="shared" si="4"/>
        <v>-10480483.212895358</v>
      </c>
      <c r="H40" s="249">
        <f t="shared" si="5"/>
        <v>-25663735.33531125</v>
      </c>
      <c r="I40" s="249">
        <f t="shared" si="6"/>
        <v>0</v>
      </c>
      <c r="J40" s="255">
        <f t="shared" si="7"/>
        <v>673035145.5243793</v>
      </c>
      <c r="K40" s="2"/>
      <c r="L40" s="2"/>
      <c r="M40" s="2"/>
    </row>
    <row r="41" spans="1:13" ht="15">
      <c r="A41" s="2"/>
      <c r="B41" s="2"/>
      <c r="C41" s="254">
        <f t="shared" si="0"/>
        <v>7</v>
      </c>
      <c r="D41" s="247">
        <f t="shared" si="1"/>
        <v>27</v>
      </c>
      <c r="E41" s="248">
        <f t="shared" si="2"/>
        <v>673035145.5243793</v>
      </c>
      <c r="F41" s="248">
        <f t="shared" si="3"/>
        <v>-36144218.548206605</v>
      </c>
      <c r="G41" s="249">
        <f t="shared" si="4"/>
        <v>-10095527.182865689</v>
      </c>
      <c r="H41" s="249">
        <f t="shared" si="5"/>
        <v>-26048691.36534092</v>
      </c>
      <c r="I41" s="249">
        <f t="shared" si="6"/>
        <v>0</v>
      </c>
      <c r="J41" s="255">
        <f t="shared" si="7"/>
        <v>646986454.1590383</v>
      </c>
      <c r="K41" s="2"/>
      <c r="L41" s="2"/>
      <c r="M41" s="2"/>
    </row>
    <row r="42" spans="1:13" ht="15">
      <c r="A42" s="2"/>
      <c r="B42" s="2"/>
      <c r="C42" s="254">
        <f t="shared" si="0"/>
        <v>7</v>
      </c>
      <c r="D42" s="247">
        <f t="shared" si="1"/>
        <v>28</v>
      </c>
      <c r="E42" s="248">
        <f t="shared" si="2"/>
        <v>646986454.1590383</v>
      </c>
      <c r="F42" s="248">
        <f t="shared" si="3"/>
        <v>-36144218.548206605</v>
      </c>
      <c r="G42" s="249">
        <f t="shared" si="4"/>
        <v>-9704796.812385574</v>
      </c>
      <c r="H42" s="249">
        <f t="shared" si="5"/>
        <v>-26439421.73582103</v>
      </c>
      <c r="I42" s="249">
        <f t="shared" si="6"/>
        <v>0</v>
      </c>
      <c r="J42" s="255">
        <f t="shared" si="7"/>
        <v>620547032.4232173</v>
      </c>
      <c r="K42" s="2"/>
      <c r="L42" s="2"/>
      <c r="M42" s="2"/>
    </row>
    <row r="43" spans="1:13" ht="15">
      <c r="A43" s="2"/>
      <c r="B43" s="2"/>
      <c r="C43" s="254">
        <f t="shared" si="0"/>
        <v>8</v>
      </c>
      <c r="D43" s="247">
        <f t="shared" si="1"/>
        <v>29</v>
      </c>
      <c r="E43" s="248">
        <f t="shared" si="2"/>
        <v>620547032.4232173</v>
      </c>
      <c r="F43" s="248">
        <f t="shared" si="3"/>
        <v>-36144218.548206605</v>
      </c>
      <c r="G43" s="249">
        <f t="shared" si="4"/>
        <v>-9308205.486348258</v>
      </c>
      <c r="H43" s="249">
        <f t="shared" si="5"/>
        <v>-26836013.06185835</v>
      </c>
      <c r="I43" s="249">
        <f t="shared" si="6"/>
        <v>0</v>
      </c>
      <c r="J43" s="255">
        <f t="shared" si="7"/>
        <v>593711019.361359</v>
      </c>
      <c r="K43" s="2"/>
      <c r="L43" s="2"/>
      <c r="M43" s="2"/>
    </row>
    <row r="44" spans="1:13" ht="15">
      <c r="A44" s="2"/>
      <c r="B44" s="2"/>
      <c r="C44" s="254">
        <f t="shared" si="0"/>
        <v>8</v>
      </c>
      <c r="D44" s="247">
        <f t="shared" si="1"/>
        <v>30</v>
      </c>
      <c r="E44" s="248">
        <f t="shared" si="2"/>
        <v>593711019.361359</v>
      </c>
      <c r="F44" s="248">
        <f t="shared" si="3"/>
        <v>-36144218.548206605</v>
      </c>
      <c r="G44" s="249">
        <f t="shared" si="4"/>
        <v>-8905665.290420385</v>
      </c>
      <c r="H44" s="249">
        <f t="shared" si="5"/>
        <v>-27238553.25778622</v>
      </c>
      <c r="I44" s="249">
        <f t="shared" si="6"/>
        <v>0</v>
      </c>
      <c r="J44" s="255">
        <f t="shared" si="7"/>
        <v>566472466.1035727</v>
      </c>
      <c r="K44" s="2"/>
      <c r="L44" s="2"/>
      <c r="M44" s="2"/>
    </row>
    <row r="45" spans="1:13" ht="15">
      <c r="A45" s="2"/>
      <c r="B45" s="2"/>
      <c r="C45" s="254">
        <f t="shared" si="0"/>
        <v>8</v>
      </c>
      <c r="D45" s="247">
        <f t="shared" si="1"/>
        <v>31</v>
      </c>
      <c r="E45" s="248">
        <f t="shared" si="2"/>
        <v>566472466.1035727</v>
      </c>
      <c r="F45" s="248">
        <f t="shared" si="3"/>
        <v>-36144218.548206605</v>
      </c>
      <c r="G45" s="249">
        <f t="shared" si="4"/>
        <v>-8497086.99155359</v>
      </c>
      <c r="H45" s="249">
        <f t="shared" si="5"/>
        <v>-27647131.556653015</v>
      </c>
      <c r="I45" s="249">
        <f t="shared" si="6"/>
        <v>0</v>
      </c>
      <c r="J45" s="255">
        <f t="shared" si="7"/>
        <v>538825334.5469197</v>
      </c>
      <c r="K45" s="2"/>
      <c r="L45" s="2"/>
      <c r="M45" s="2"/>
    </row>
    <row r="46" spans="1:13" ht="15">
      <c r="A46" s="2"/>
      <c r="B46" s="2"/>
      <c r="C46" s="254">
        <f t="shared" si="0"/>
        <v>8</v>
      </c>
      <c r="D46" s="247">
        <f t="shared" si="1"/>
        <v>32</v>
      </c>
      <c r="E46" s="248">
        <f t="shared" si="2"/>
        <v>538825334.5469197</v>
      </c>
      <c r="F46" s="248">
        <f t="shared" si="3"/>
        <v>-36144218.548206605</v>
      </c>
      <c r="G46" s="249">
        <f t="shared" si="4"/>
        <v>-8082380.018203795</v>
      </c>
      <c r="H46" s="249">
        <f t="shared" si="5"/>
        <v>-28061838.53000281</v>
      </c>
      <c r="I46" s="249">
        <f t="shared" si="6"/>
        <v>0</v>
      </c>
      <c r="J46" s="255">
        <f t="shared" si="7"/>
        <v>510763496.0169169</v>
      </c>
      <c r="K46" s="2"/>
      <c r="L46" s="2"/>
      <c r="M46" s="2"/>
    </row>
    <row r="47" spans="1:13" ht="15">
      <c r="A47" s="2"/>
      <c r="B47" s="2"/>
      <c r="C47" s="254">
        <f t="shared" si="0"/>
        <v>9</v>
      </c>
      <c r="D47" s="247">
        <f t="shared" si="1"/>
        <v>33</v>
      </c>
      <c r="E47" s="248">
        <f t="shared" si="2"/>
        <v>510763496.0169169</v>
      </c>
      <c r="F47" s="248">
        <f t="shared" si="3"/>
        <v>-36144218.548206605</v>
      </c>
      <c r="G47" s="249">
        <f t="shared" si="4"/>
        <v>-7661452.440253753</v>
      </c>
      <c r="H47" s="249">
        <f t="shared" si="5"/>
        <v>-28482766.10795285</v>
      </c>
      <c r="I47" s="249">
        <f t="shared" si="6"/>
        <v>0</v>
      </c>
      <c r="J47" s="255">
        <f t="shared" si="7"/>
        <v>482280729.90896404</v>
      </c>
      <c r="K47" s="2"/>
      <c r="L47" s="2"/>
      <c r="M47" s="2"/>
    </row>
    <row r="48" spans="1:13" ht="15">
      <c r="A48" s="2"/>
      <c r="B48" s="2"/>
      <c r="C48" s="254">
        <f t="shared" si="0"/>
        <v>9</v>
      </c>
      <c r="D48" s="247">
        <f aca="true" t="shared" si="8" ref="D48:D79">D47+1</f>
        <v>34</v>
      </c>
      <c r="E48" s="248">
        <f t="shared" si="2"/>
        <v>482280729.90896404</v>
      </c>
      <c r="F48" s="248">
        <f t="shared" si="3"/>
        <v>-36144218.548206605</v>
      </c>
      <c r="G48" s="249">
        <f t="shared" si="4"/>
        <v>-7234210.948634461</v>
      </c>
      <c r="H48" s="249">
        <f t="shared" si="5"/>
        <v>-28910007.599572144</v>
      </c>
      <c r="I48" s="249">
        <f t="shared" si="6"/>
        <v>0</v>
      </c>
      <c r="J48" s="255">
        <f t="shared" si="7"/>
        <v>453370722.3093919</v>
      </c>
      <c r="K48" s="2"/>
      <c r="L48" s="2"/>
      <c r="M48" s="2"/>
    </row>
    <row r="49" spans="1:13" ht="15">
      <c r="A49" s="2"/>
      <c r="B49" s="2"/>
      <c r="C49" s="254">
        <f t="shared" si="0"/>
        <v>9</v>
      </c>
      <c r="D49" s="247">
        <f t="shared" si="8"/>
        <v>35</v>
      </c>
      <c r="E49" s="248">
        <f t="shared" si="2"/>
        <v>453370722.3093919</v>
      </c>
      <c r="F49" s="248">
        <f t="shared" si="3"/>
        <v>-36144218.548206605</v>
      </c>
      <c r="G49" s="249">
        <f t="shared" si="4"/>
        <v>-6800560.834640878</v>
      </c>
      <c r="H49" s="249">
        <f t="shared" si="5"/>
        <v>-29343657.713565726</v>
      </c>
      <c r="I49" s="249">
        <f t="shared" si="6"/>
        <v>0</v>
      </c>
      <c r="J49" s="255">
        <f t="shared" si="7"/>
        <v>424027064.5958262</v>
      </c>
      <c r="K49" s="2"/>
      <c r="L49" s="2"/>
      <c r="M49" s="2"/>
    </row>
    <row r="50" spans="1:13" ht="15">
      <c r="A50" s="2"/>
      <c r="B50" s="2"/>
      <c r="C50" s="254">
        <f t="shared" si="0"/>
        <v>9</v>
      </c>
      <c r="D50" s="247">
        <f t="shared" si="8"/>
        <v>36</v>
      </c>
      <c r="E50" s="248">
        <f t="shared" si="2"/>
        <v>424027064.5958262</v>
      </c>
      <c r="F50" s="248">
        <f t="shared" si="3"/>
        <v>-36144218.548206605</v>
      </c>
      <c r="G50" s="249">
        <f t="shared" si="4"/>
        <v>-6360405.968937393</v>
      </c>
      <c r="H50" s="249">
        <f t="shared" si="5"/>
        <v>-29783812.57926921</v>
      </c>
      <c r="I50" s="249">
        <f t="shared" si="6"/>
        <v>0</v>
      </c>
      <c r="J50" s="255">
        <f t="shared" si="7"/>
        <v>394243252.016557</v>
      </c>
      <c r="K50" s="2"/>
      <c r="L50" s="2"/>
      <c r="M50" s="2"/>
    </row>
    <row r="51" spans="1:13" ht="15">
      <c r="A51" s="2"/>
      <c r="B51" s="2"/>
      <c r="C51" s="254">
        <f t="shared" si="0"/>
        <v>10</v>
      </c>
      <c r="D51" s="247">
        <f t="shared" si="8"/>
        <v>37</v>
      </c>
      <c r="E51" s="248">
        <f t="shared" si="2"/>
        <v>394243252.016557</v>
      </c>
      <c r="F51" s="248">
        <f t="shared" si="3"/>
        <v>-36144218.548206605</v>
      </c>
      <c r="G51" s="249">
        <f t="shared" si="4"/>
        <v>-5913648.780248354</v>
      </c>
      <c r="H51" s="249">
        <f t="shared" si="5"/>
        <v>-30230569.76795825</v>
      </c>
      <c r="I51" s="249">
        <f t="shared" si="6"/>
        <v>0</v>
      </c>
      <c r="J51" s="255">
        <f t="shared" si="7"/>
        <v>364012682.24859875</v>
      </c>
      <c r="K51" s="2"/>
      <c r="L51" s="2"/>
      <c r="M51" s="2"/>
    </row>
    <row r="52" spans="1:13" ht="15">
      <c r="A52" s="2"/>
      <c r="B52" s="2"/>
      <c r="C52" s="254">
        <f t="shared" si="0"/>
        <v>10</v>
      </c>
      <c r="D52" s="247">
        <f t="shared" si="8"/>
        <v>38</v>
      </c>
      <c r="E52" s="248">
        <f t="shared" si="2"/>
        <v>364012682.24859875</v>
      </c>
      <c r="F52" s="248">
        <f t="shared" si="3"/>
        <v>-36144218.548206605</v>
      </c>
      <c r="G52" s="249">
        <f t="shared" si="4"/>
        <v>-5460190.233728982</v>
      </c>
      <c r="H52" s="249">
        <f t="shared" si="5"/>
        <v>-30684028.314477623</v>
      </c>
      <c r="I52" s="249">
        <f t="shared" si="6"/>
        <v>0</v>
      </c>
      <c r="J52" s="255">
        <f t="shared" si="7"/>
        <v>333328653.93412113</v>
      </c>
      <c r="K52" s="2"/>
      <c r="L52" s="2"/>
      <c r="M52" s="2"/>
    </row>
    <row r="53" spans="1:13" ht="15">
      <c r="A53" s="2"/>
      <c r="B53" s="2"/>
      <c r="C53" s="254">
        <f t="shared" si="0"/>
        <v>10</v>
      </c>
      <c r="D53" s="247">
        <f t="shared" si="8"/>
        <v>39</v>
      </c>
      <c r="E53" s="248">
        <f t="shared" si="2"/>
        <v>333328653.93412113</v>
      </c>
      <c r="F53" s="248">
        <f t="shared" si="3"/>
        <v>-36144218.548206605</v>
      </c>
      <c r="G53" s="249">
        <f t="shared" si="4"/>
        <v>-4999929.809011817</v>
      </c>
      <c r="H53" s="249">
        <f t="shared" si="5"/>
        <v>-31144288.739194788</v>
      </c>
      <c r="I53" s="249">
        <f t="shared" si="6"/>
        <v>0</v>
      </c>
      <c r="J53" s="255">
        <f t="shared" si="7"/>
        <v>302184365.1949263</v>
      </c>
      <c r="K53" s="2"/>
      <c r="L53" s="2"/>
      <c r="M53" s="2"/>
    </row>
    <row r="54" spans="1:13" ht="15">
      <c r="A54" s="2"/>
      <c r="B54" s="2"/>
      <c r="C54" s="254">
        <f t="shared" si="0"/>
        <v>10</v>
      </c>
      <c r="D54" s="247">
        <f t="shared" si="8"/>
        <v>40</v>
      </c>
      <c r="E54" s="248">
        <f t="shared" si="2"/>
        <v>302184365.1949263</v>
      </c>
      <c r="F54" s="248">
        <f t="shared" si="3"/>
        <v>-36144218.548206605</v>
      </c>
      <c r="G54" s="249">
        <f t="shared" si="4"/>
        <v>-4532765.477923894</v>
      </c>
      <c r="H54" s="249">
        <f t="shared" si="5"/>
        <v>-31611453.070282713</v>
      </c>
      <c r="I54" s="249">
        <f t="shared" si="6"/>
        <v>0</v>
      </c>
      <c r="J54" s="255">
        <f t="shared" si="7"/>
        <v>270572912.1246436</v>
      </c>
      <c r="K54" s="2"/>
      <c r="L54" s="2"/>
      <c r="M54" s="2"/>
    </row>
    <row r="55" spans="1:13" ht="15">
      <c r="A55" s="2"/>
      <c r="B55" s="2"/>
      <c r="C55" s="254">
        <f t="shared" si="0"/>
        <v>11</v>
      </c>
      <c r="D55" s="247">
        <f t="shared" si="8"/>
        <v>41</v>
      </c>
      <c r="E55" s="248">
        <f t="shared" si="2"/>
        <v>270572912.1246436</v>
      </c>
      <c r="F55" s="248">
        <f t="shared" si="3"/>
        <v>-36144218.548206605</v>
      </c>
      <c r="G55" s="249">
        <f t="shared" si="4"/>
        <v>-4058593.681869654</v>
      </c>
      <c r="H55" s="249">
        <f t="shared" si="5"/>
        <v>-32085624.86633695</v>
      </c>
      <c r="I55" s="249">
        <f t="shared" si="6"/>
        <v>0</v>
      </c>
      <c r="J55" s="255">
        <f t="shared" si="7"/>
        <v>238487287.25830668</v>
      </c>
      <c r="K55" s="2"/>
      <c r="L55" s="2"/>
      <c r="M55" s="2"/>
    </row>
    <row r="56" spans="1:13" ht="15">
      <c r="A56" s="2"/>
      <c r="B56" s="2"/>
      <c r="C56" s="254">
        <f t="shared" si="0"/>
        <v>11</v>
      </c>
      <c r="D56" s="247">
        <f t="shared" si="8"/>
        <v>42</v>
      </c>
      <c r="E56" s="248">
        <f t="shared" si="2"/>
        <v>238487287.25830668</v>
      </c>
      <c r="F56" s="248">
        <f t="shared" si="3"/>
        <v>-36144218.548206605</v>
      </c>
      <c r="G56" s="249">
        <f t="shared" si="4"/>
        <v>-3577309.3088746</v>
      </c>
      <c r="H56" s="249">
        <f t="shared" si="5"/>
        <v>-32566909.239332005</v>
      </c>
      <c r="I56" s="249">
        <f t="shared" si="6"/>
        <v>0</v>
      </c>
      <c r="J56" s="255">
        <f t="shared" si="7"/>
        <v>205920378.01897466</v>
      </c>
      <c r="K56" s="2"/>
      <c r="L56" s="2"/>
      <c r="M56" s="2"/>
    </row>
    <row r="57" spans="1:13" ht="15">
      <c r="A57" s="2"/>
      <c r="B57" s="2"/>
      <c r="C57" s="254">
        <f t="shared" si="0"/>
        <v>11</v>
      </c>
      <c r="D57" s="247">
        <f t="shared" si="8"/>
        <v>43</v>
      </c>
      <c r="E57" s="248">
        <f t="shared" si="2"/>
        <v>205920378.01897466</v>
      </c>
      <c r="F57" s="248">
        <f t="shared" si="3"/>
        <v>-36144218.548206605</v>
      </c>
      <c r="G57" s="249">
        <f t="shared" si="4"/>
        <v>-3088805.67028462</v>
      </c>
      <c r="H57" s="249">
        <f t="shared" si="5"/>
        <v>-33055412.877921984</v>
      </c>
      <c r="I57" s="249">
        <f t="shared" si="6"/>
        <v>0</v>
      </c>
      <c r="J57" s="255">
        <f t="shared" si="7"/>
        <v>172864965.14105266</v>
      </c>
      <c r="K57" s="2"/>
      <c r="L57" s="2"/>
      <c r="M57" s="2"/>
    </row>
    <row r="58" spans="1:13" ht="15">
      <c r="A58" s="2"/>
      <c r="B58" s="2"/>
      <c r="C58" s="254">
        <f t="shared" si="0"/>
        <v>11</v>
      </c>
      <c r="D58" s="247">
        <f t="shared" si="8"/>
        <v>44</v>
      </c>
      <c r="E58" s="248">
        <f t="shared" si="2"/>
        <v>172864965.14105266</v>
      </c>
      <c r="F58" s="248">
        <f t="shared" si="3"/>
        <v>-36144218.548206605</v>
      </c>
      <c r="G58" s="249">
        <f t="shared" si="4"/>
        <v>-2592974.47711579</v>
      </c>
      <c r="H58" s="249">
        <f t="shared" si="5"/>
        <v>-33551244.071090814</v>
      </c>
      <c r="I58" s="249">
        <f t="shared" si="6"/>
        <v>0</v>
      </c>
      <c r="J58" s="255">
        <f t="shared" si="7"/>
        <v>139313721.06996185</v>
      </c>
      <c r="K58" s="2"/>
      <c r="L58" s="2"/>
      <c r="M58" s="2"/>
    </row>
    <row r="59" spans="1:13" ht="15">
      <c r="A59" s="2"/>
      <c r="B59" s="2"/>
      <c r="C59" s="254">
        <f t="shared" si="0"/>
        <v>12</v>
      </c>
      <c r="D59" s="247">
        <f t="shared" si="8"/>
        <v>45</v>
      </c>
      <c r="E59" s="248">
        <f t="shared" si="2"/>
        <v>139313721.06996185</v>
      </c>
      <c r="F59" s="248">
        <f t="shared" si="3"/>
        <v>-36144218.548206605</v>
      </c>
      <c r="G59" s="249">
        <f t="shared" si="4"/>
        <v>-2089705.8160494277</v>
      </c>
      <c r="H59" s="249">
        <f t="shared" si="5"/>
        <v>-34054512.73215718</v>
      </c>
      <c r="I59" s="249">
        <f t="shared" si="6"/>
        <v>0</v>
      </c>
      <c r="J59" s="255">
        <f t="shared" si="7"/>
        <v>105259208.33780468</v>
      </c>
      <c r="K59" s="2"/>
      <c r="L59" s="2"/>
      <c r="M59" s="2"/>
    </row>
    <row r="60" spans="1:13" ht="15">
      <c r="A60" s="2"/>
      <c r="B60" s="2"/>
      <c r="C60" s="254">
        <f t="shared" si="0"/>
        <v>12</v>
      </c>
      <c r="D60" s="247">
        <f t="shared" si="8"/>
        <v>46</v>
      </c>
      <c r="E60" s="248">
        <f t="shared" si="2"/>
        <v>105259208.33780468</v>
      </c>
      <c r="F60" s="248">
        <f t="shared" si="3"/>
        <v>-36144218.548206605</v>
      </c>
      <c r="G60" s="249">
        <f t="shared" si="4"/>
        <v>-1578888.1250670701</v>
      </c>
      <c r="H60" s="249">
        <f t="shared" si="5"/>
        <v>-34565330.423139535</v>
      </c>
      <c r="I60" s="249">
        <f t="shared" si="6"/>
        <v>0</v>
      </c>
      <c r="J60" s="255">
        <f t="shared" si="7"/>
        <v>70693877.91466513</v>
      </c>
      <c r="K60" s="2"/>
      <c r="L60" s="2"/>
      <c r="M60" s="2"/>
    </row>
    <row r="61" spans="1:13" ht="15">
      <c r="A61" s="2"/>
      <c r="B61" s="2"/>
      <c r="C61" s="254">
        <f t="shared" si="0"/>
        <v>12</v>
      </c>
      <c r="D61" s="247">
        <f t="shared" si="8"/>
        <v>47</v>
      </c>
      <c r="E61" s="248">
        <f t="shared" si="2"/>
        <v>70693877.91466513</v>
      </c>
      <c r="F61" s="248">
        <f t="shared" si="3"/>
        <v>-36144218.548206605</v>
      </c>
      <c r="G61" s="249">
        <f t="shared" si="4"/>
        <v>-1060408.168719977</v>
      </c>
      <c r="H61" s="249">
        <f t="shared" si="5"/>
        <v>-35083810.37948663</v>
      </c>
      <c r="I61" s="249">
        <f t="shared" si="6"/>
        <v>0</v>
      </c>
      <c r="J61" s="255">
        <f t="shared" si="7"/>
        <v>35610067.535178505</v>
      </c>
      <c r="K61" s="2"/>
      <c r="L61" s="2"/>
      <c r="M61" s="2"/>
    </row>
    <row r="62" spans="1:13" ht="15">
      <c r="A62" s="2"/>
      <c r="B62" s="2"/>
      <c r="C62" s="254">
        <f t="shared" si="0"/>
        <v>12</v>
      </c>
      <c r="D62" s="247">
        <f t="shared" si="8"/>
        <v>48</v>
      </c>
      <c r="E62" s="248">
        <f t="shared" si="2"/>
        <v>35610067.535178505</v>
      </c>
      <c r="F62" s="248">
        <f t="shared" si="3"/>
        <v>-36144218.548206605</v>
      </c>
      <c r="G62" s="249">
        <f t="shared" si="4"/>
        <v>-534151.0130276775</v>
      </c>
      <c r="H62" s="249">
        <f t="shared" si="5"/>
        <v>-35610067.53517893</v>
      </c>
      <c r="I62" s="249">
        <f>IF(D62=$D$8,$K$5,0)</f>
        <v>603214617.5999999</v>
      </c>
      <c r="J62" s="255">
        <f t="shared" si="7"/>
        <v>603214617.5999994</v>
      </c>
      <c r="K62" s="2"/>
      <c r="L62" s="2"/>
      <c r="M62" s="2"/>
    </row>
    <row r="63" spans="1:13" ht="15">
      <c r="A63" s="2"/>
      <c r="B63" s="2"/>
      <c r="C63" s="254">
        <f t="shared" si="0"/>
        <v>13</v>
      </c>
      <c r="D63" s="247">
        <f t="shared" si="8"/>
        <v>49</v>
      </c>
      <c r="E63" s="248">
        <f>IF(D63&lt;=$D$9,$K$6,J62)</f>
        <v>603214617.5999994</v>
      </c>
      <c r="F63" s="248">
        <f t="shared" si="3"/>
        <v>-16789194.013518758</v>
      </c>
      <c r="G63" s="249">
        <f t="shared" si="4"/>
        <v>-9048219.263999991</v>
      </c>
      <c r="H63" s="249">
        <f t="shared" si="5"/>
        <v>-7740974.749518767</v>
      </c>
      <c r="I63" s="249">
        <f t="shared" si="6"/>
        <v>0</v>
      </c>
      <c r="J63" s="255">
        <f t="shared" si="7"/>
        <v>595473642.8504807</v>
      </c>
      <c r="K63" s="2"/>
      <c r="L63" s="2"/>
      <c r="M63" s="2"/>
    </row>
    <row r="64" spans="1:13" ht="15">
      <c r="A64" s="2"/>
      <c r="B64" s="2"/>
      <c r="C64" s="254">
        <f t="shared" si="0"/>
        <v>13</v>
      </c>
      <c r="D64" s="247">
        <f t="shared" si="8"/>
        <v>50</v>
      </c>
      <c r="E64" s="248">
        <f t="shared" si="2"/>
        <v>595473642.8504807</v>
      </c>
      <c r="F64" s="248">
        <f t="shared" si="3"/>
        <v>-16789194.013518758</v>
      </c>
      <c r="G64" s="249">
        <f t="shared" si="4"/>
        <v>-8932104.642757209</v>
      </c>
      <c r="H64" s="249">
        <f t="shared" si="5"/>
        <v>-7857089.370761549</v>
      </c>
      <c r="I64" s="249">
        <f t="shared" si="6"/>
        <v>0</v>
      </c>
      <c r="J64" s="255">
        <f t="shared" si="7"/>
        <v>587616553.4797192</v>
      </c>
      <c r="K64" s="2"/>
      <c r="L64" s="2"/>
      <c r="M64" s="2"/>
    </row>
    <row r="65" spans="1:13" ht="15">
      <c r="A65" s="2"/>
      <c r="B65" s="2"/>
      <c r="C65" s="254">
        <f t="shared" si="0"/>
        <v>13</v>
      </c>
      <c r="D65" s="247">
        <f t="shared" si="8"/>
        <v>51</v>
      </c>
      <c r="E65" s="248">
        <f t="shared" si="2"/>
        <v>587616553.4797192</v>
      </c>
      <c r="F65" s="248">
        <f t="shared" si="3"/>
        <v>-16789194.013518758</v>
      </c>
      <c r="G65" s="249">
        <f t="shared" si="4"/>
        <v>-8814248.302195787</v>
      </c>
      <c r="H65" s="249">
        <f t="shared" si="5"/>
        <v>-7974945.711322971</v>
      </c>
      <c r="I65" s="249">
        <f t="shared" si="6"/>
        <v>0</v>
      </c>
      <c r="J65" s="255">
        <f t="shared" si="7"/>
        <v>579641607.7683961</v>
      </c>
      <c r="K65" s="2"/>
      <c r="L65" s="2"/>
      <c r="M65" s="2"/>
    </row>
    <row r="66" spans="1:13" ht="15">
      <c r="A66" s="2"/>
      <c r="B66" s="2"/>
      <c r="C66" s="254">
        <f t="shared" si="0"/>
        <v>13</v>
      </c>
      <c r="D66" s="247">
        <f t="shared" si="8"/>
        <v>52</v>
      </c>
      <c r="E66" s="248">
        <f t="shared" si="2"/>
        <v>579641607.7683961</v>
      </c>
      <c r="F66" s="248">
        <f t="shared" si="3"/>
        <v>-16789194.013518758</v>
      </c>
      <c r="G66" s="249">
        <f t="shared" si="4"/>
        <v>-8694624.116525942</v>
      </c>
      <c r="H66" s="249">
        <f t="shared" si="5"/>
        <v>-8094569.896992816</v>
      </c>
      <c r="I66" s="249">
        <f t="shared" si="6"/>
        <v>0</v>
      </c>
      <c r="J66" s="255">
        <f t="shared" si="7"/>
        <v>571547037.8714033</v>
      </c>
      <c r="K66" s="2"/>
      <c r="L66" s="2"/>
      <c r="M66" s="2"/>
    </row>
    <row r="67" spans="1:13" ht="15">
      <c r="A67" s="2"/>
      <c r="B67" s="2"/>
      <c r="C67" s="254">
        <f t="shared" si="0"/>
        <v>14</v>
      </c>
      <c r="D67" s="247">
        <f t="shared" si="8"/>
        <v>53</v>
      </c>
      <c r="E67" s="248">
        <f t="shared" si="2"/>
        <v>571547037.8714033</v>
      </c>
      <c r="F67" s="248">
        <f t="shared" si="3"/>
        <v>-16789194.013518758</v>
      </c>
      <c r="G67" s="249">
        <f t="shared" si="4"/>
        <v>-8573205.56807105</v>
      </c>
      <c r="H67" s="249">
        <f t="shared" si="5"/>
        <v>-8215988.445447708</v>
      </c>
      <c r="I67" s="249">
        <f t="shared" si="6"/>
        <v>0</v>
      </c>
      <c r="J67" s="255">
        <f t="shared" si="7"/>
        <v>563331049.4259557</v>
      </c>
      <c r="K67" s="2"/>
      <c r="L67" s="2"/>
      <c r="M67" s="2"/>
    </row>
    <row r="68" spans="1:13" ht="15">
      <c r="A68" s="2"/>
      <c r="B68" s="2"/>
      <c r="C68" s="254">
        <f t="shared" si="0"/>
        <v>14</v>
      </c>
      <c r="D68" s="247">
        <f t="shared" si="8"/>
        <v>54</v>
      </c>
      <c r="E68" s="248">
        <f t="shared" si="2"/>
        <v>563331049.4259557</v>
      </c>
      <c r="F68" s="248">
        <f t="shared" si="3"/>
        <v>-16789194.013518758</v>
      </c>
      <c r="G68" s="249">
        <f t="shared" si="4"/>
        <v>-8449965.741389334</v>
      </c>
      <c r="H68" s="249">
        <f t="shared" si="5"/>
        <v>-8339228.272129424</v>
      </c>
      <c r="I68" s="249">
        <f t="shared" si="6"/>
        <v>0</v>
      </c>
      <c r="J68" s="255">
        <f t="shared" si="7"/>
        <v>554991821.1538262</v>
      </c>
      <c r="K68" s="2"/>
      <c r="L68" s="2"/>
      <c r="M68" s="2"/>
    </row>
    <row r="69" spans="1:13" ht="15">
      <c r="A69" s="2"/>
      <c r="B69" s="2"/>
      <c r="C69" s="254">
        <f t="shared" si="0"/>
        <v>14</v>
      </c>
      <c r="D69" s="247">
        <f t="shared" si="8"/>
        <v>55</v>
      </c>
      <c r="E69" s="248">
        <f t="shared" si="2"/>
        <v>554991821.1538262</v>
      </c>
      <c r="F69" s="248">
        <f t="shared" si="3"/>
        <v>-16789194.013518758</v>
      </c>
      <c r="G69" s="249">
        <f t="shared" si="4"/>
        <v>-8324877.317307393</v>
      </c>
      <c r="H69" s="249">
        <f t="shared" si="5"/>
        <v>-8464316.696211364</v>
      </c>
      <c r="I69" s="249">
        <f t="shared" si="6"/>
        <v>0</v>
      </c>
      <c r="J69" s="255">
        <f t="shared" si="7"/>
        <v>546527504.4576149</v>
      </c>
      <c r="K69" s="2"/>
      <c r="L69" s="2"/>
      <c r="M69" s="2"/>
    </row>
    <row r="70" spans="1:13" ht="15">
      <c r="A70" s="2"/>
      <c r="B70" s="2"/>
      <c r="C70" s="254">
        <f t="shared" si="0"/>
        <v>14</v>
      </c>
      <c r="D70" s="247">
        <f t="shared" si="8"/>
        <v>56</v>
      </c>
      <c r="E70" s="248">
        <f t="shared" si="2"/>
        <v>546527504.4576149</v>
      </c>
      <c r="F70" s="248">
        <f t="shared" si="3"/>
        <v>-16789194.013518758</v>
      </c>
      <c r="G70" s="249">
        <f t="shared" si="4"/>
        <v>-8197912.566864223</v>
      </c>
      <c r="H70" s="249">
        <f t="shared" si="5"/>
        <v>-8591281.446654536</v>
      </c>
      <c r="I70" s="249">
        <f t="shared" si="6"/>
        <v>0</v>
      </c>
      <c r="J70" s="255">
        <f t="shared" si="7"/>
        <v>537936223.0109603</v>
      </c>
      <c r="K70" s="2"/>
      <c r="L70" s="2"/>
      <c r="M70" s="2"/>
    </row>
    <row r="71" spans="1:13" ht="15">
      <c r="A71" s="2"/>
      <c r="B71" s="2"/>
      <c r="C71" s="254">
        <f t="shared" si="0"/>
        <v>15</v>
      </c>
      <c r="D71" s="247">
        <f t="shared" si="8"/>
        <v>57</v>
      </c>
      <c r="E71" s="248">
        <f t="shared" si="2"/>
        <v>537936223.0109603</v>
      </c>
      <c r="F71" s="248">
        <f t="shared" si="3"/>
        <v>-16789194.013518758</v>
      </c>
      <c r="G71" s="249">
        <f t="shared" si="4"/>
        <v>-8069043.345164405</v>
      </c>
      <c r="H71" s="249">
        <f t="shared" si="5"/>
        <v>-8720150.668354353</v>
      </c>
      <c r="I71" s="249">
        <f t="shared" si="6"/>
        <v>0</v>
      </c>
      <c r="J71" s="255">
        <f t="shared" si="7"/>
        <v>529216072.342606</v>
      </c>
      <c r="K71" s="2"/>
      <c r="L71" s="2"/>
      <c r="M71" s="2"/>
    </row>
    <row r="72" spans="1:13" ht="15">
      <c r="A72" s="2"/>
      <c r="B72" s="2"/>
      <c r="C72" s="254">
        <f t="shared" si="0"/>
        <v>15</v>
      </c>
      <c r="D72" s="247">
        <f t="shared" si="8"/>
        <v>58</v>
      </c>
      <c r="E72" s="248">
        <f t="shared" si="2"/>
        <v>529216072.342606</v>
      </c>
      <c r="F72" s="248">
        <f t="shared" si="3"/>
        <v>-16789194.013518758</v>
      </c>
      <c r="G72" s="249">
        <f t="shared" si="4"/>
        <v>-7938241.08513909</v>
      </c>
      <c r="H72" s="249">
        <f t="shared" si="5"/>
        <v>-8850952.928379668</v>
      </c>
      <c r="I72" s="249">
        <f t="shared" si="6"/>
        <v>0</v>
      </c>
      <c r="J72" s="255">
        <f t="shared" si="7"/>
        <v>520365119.41422635</v>
      </c>
      <c r="K72" s="2"/>
      <c r="L72" s="2"/>
      <c r="M72" s="2"/>
    </row>
    <row r="73" spans="1:13" ht="15">
      <c r="A73" s="2"/>
      <c r="B73" s="2"/>
      <c r="C73" s="254">
        <f t="shared" si="0"/>
        <v>15</v>
      </c>
      <c r="D73" s="247">
        <f t="shared" si="8"/>
        <v>59</v>
      </c>
      <c r="E73" s="248">
        <f t="shared" si="2"/>
        <v>520365119.41422635</v>
      </c>
      <c r="F73" s="248">
        <f t="shared" si="3"/>
        <v>-16789194.013518758</v>
      </c>
      <c r="G73" s="249">
        <f t="shared" si="4"/>
        <v>-7805476.791213395</v>
      </c>
      <c r="H73" s="249">
        <f t="shared" si="5"/>
        <v>-8983717.222305363</v>
      </c>
      <c r="I73" s="249">
        <f t="shared" si="6"/>
        <v>0</v>
      </c>
      <c r="J73" s="255">
        <f t="shared" si="7"/>
        <v>511381402.191921</v>
      </c>
      <c r="K73" s="2"/>
      <c r="L73" s="2"/>
      <c r="M73" s="2"/>
    </row>
    <row r="74" spans="1:13" ht="15">
      <c r="A74" s="2"/>
      <c r="B74" s="2"/>
      <c r="C74" s="254">
        <f t="shared" si="0"/>
        <v>15</v>
      </c>
      <c r="D74" s="247">
        <f t="shared" si="8"/>
        <v>60</v>
      </c>
      <c r="E74" s="248">
        <f t="shared" si="2"/>
        <v>511381402.191921</v>
      </c>
      <c r="F74" s="248">
        <f t="shared" si="3"/>
        <v>-16789194.013518758</v>
      </c>
      <c r="G74" s="249">
        <f t="shared" si="4"/>
        <v>-7670721.032878814</v>
      </c>
      <c r="H74" s="249">
        <f t="shared" si="5"/>
        <v>-9118472.980639944</v>
      </c>
      <c r="I74" s="249">
        <f t="shared" si="6"/>
        <v>0</v>
      </c>
      <c r="J74" s="255">
        <f t="shared" si="7"/>
        <v>502262929.21128106</v>
      </c>
      <c r="K74" s="2"/>
      <c r="L74" s="2"/>
      <c r="M74" s="2"/>
    </row>
    <row r="75" spans="1:13" ht="15">
      <c r="A75" s="2"/>
      <c r="B75" s="2"/>
      <c r="C75" s="254">
        <f t="shared" si="0"/>
        <v>16</v>
      </c>
      <c r="D75" s="247">
        <f t="shared" si="8"/>
        <v>61</v>
      </c>
      <c r="E75" s="248">
        <f t="shared" si="2"/>
        <v>502262929.21128106</v>
      </c>
      <c r="F75" s="248">
        <f t="shared" si="3"/>
        <v>-16789194.013518758</v>
      </c>
      <c r="G75" s="249">
        <f t="shared" si="4"/>
        <v>-7533943.938169216</v>
      </c>
      <c r="H75" s="249">
        <f t="shared" si="5"/>
        <v>-9255250.075349543</v>
      </c>
      <c r="I75" s="249">
        <f t="shared" si="6"/>
        <v>0</v>
      </c>
      <c r="J75" s="255">
        <f t="shared" si="7"/>
        <v>493007679.1359315</v>
      </c>
      <c r="K75" s="2"/>
      <c r="L75" s="2"/>
      <c r="M75" s="2"/>
    </row>
    <row r="76" spans="1:13" ht="15">
      <c r="A76" s="2"/>
      <c r="B76" s="2"/>
      <c r="C76" s="254">
        <f t="shared" si="0"/>
        <v>16</v>
      </c>
      <c r="D76" s="247">
        <f t="shared" si="8"/>
        <v>62</v>
      </c>
      <c r="E76" s="248">
        <f t="shared" si="2"/>
        <v>493007679.1359315</v>
      </c>
      <c r="F76" s="248">
        <f t="shared" si="3"/>
        <v>-16789194.013518758</v>
      </c>
      <c r="G76" s="249">
        <f t="shared" si="4"/>
        <v>-7395115.187038972</v>
      </c>
      <c r="H76" s="249">
        <f t="shared" si="5"/>
        <v>-9394078.826479785</v>
      </c>
      <c r="I76" s="249">
        <f t="shared" si="6"/>
        <v>0</v>
      </c>
      <c r="J76" s="255">
        <f t="shared" si="7"/>
        <v>483613600.3094517</v>
      </c>
      <c r="K76" s="2"/>
      <c r="L76" s="2"/>
      <c r="M76" s="2"/>
    </row>
    <row r="77" spans="1:13" ht="15">
      <c r="A77" s="2"/>
      <c r="B77" s="2"/>
      <c r="C77" s="254">
        <f t="shared" si="0"/>
        <v>16</v>
      </c>
      <c r="D77" s="247">
        <f t="shared" si="8"/>
        <v>63</v>
      </c>
      <c r="E77" s="248">
        <f t="shared" si="2"/>
        <v>483613600.3094517</v>
      </c>
      <c r="F77" s="248">
        <f t="shared" si="3"/>
        <v>-16789194.013518758</v>
      </c>
      <c r="G77" s="249">
        <f t="shared" si="4"/>
        <v>-7254204.004641775</v>
      </c>
      <c r="H77" s="249">
        <f t="shared" si="5"/>
        <v>-9534990.008876983</v>
      </c>
      <c r="I77" s="249">
        <f t="shared" si="6"/>
        <v>0</v>
      </c>
      <c r="J77" s="255">
        <f t="shared" si="7"/>
        <v>474078610.3005747</v>
      </c>
      <c r="K77" s="2"/>
      <c r="L77" s="2"/>
      <c r="M77" s="2"/>
    </row>
    <row r="78" spans="1:13" ht="15">
      <c r="A78" s="2"/>
      <c r="B78" s="2"/>
      <c r="C78" s="254">
        <f t="shared" si="0"/>
        <v>16</v>
      </c>
      <c r="D78" s="247">
        <f t="shared" si="8"/>
        <v>64</v>
      </c>
      <c r="E78" s="248">
        <f t="shared" si="2"/>
        <v>474078610.3005747</v>
      </c>
      <c r="F78" s="248">
        <f t="shared" si="3"/>
        <v>-16789194.013518758</v>
      </c>
      <c r="G78" s="249">
        <f t="shared" si="4"/>
        <v>-7111179.1545086205</v>
      </c>
      <c r="H78" s="249">
        <f t="shared" si="5"/>
        <v>-9678014.859010138</v>
      </c>
      <c r="I78" s="249">
        <f t="shared" si="6"/>
        <v>0</v>
      </c>
      <c r="J78" s="255">
        <f t="shared" si="7"/>
        <v>464400595.44156456</v>
      </c>
      <c r="K78" s="2"/>
      <c r="L78" s="2"/>
      <c r="M78" s="2"/>
    </row>
    <row r="79" spans="1:13" ht="15">
      <c r="A79" s="2"/>
      <c r="B79" s="2"/>
      <c r="C79" s="254">
        <f t="shared" si="0"/>
        <v>17</v>
      </c>
      <c r="D79" s="247">
        <f t="shared" si="8"/>
        <v>65</v>
      </c>
      <c r="E79" s="248">
        <f t="shared" si="2"/>
        <v>464400595.44156456</v>
      </c>
      <c r="F79" s="248">
        <f t="shared" si="3"/>
        <v>-16789194.013518758</v>
      </c>
      <c r="G79" s="249">
        <f t="shared" si="4"/>
        <v>-6966008.931623468</v>
      </c>
      <c r="H79" s="249">
        <f t="shared" si="5"/>
        <v>-9823185.08189529</v>
      </c>
      <c r="I79" s="249">
        <f t="shared" si="6"/>
        <v>0</v>
      </c>
      <c r="J79" s="255">
        <f t="shared" si="7"/>
        <v>454577410.35966927</v>
      </c>
      <c r="K79" s="2"/>
      <c r="L79" s="2"/>
      <c r="M79" s="2"/>
    </row>
    <row r="80" spans="1:13" ht="15">
      <c r="A80" s="2"/>
      <c r="B80" s="2"/>
      <c r="C80" s="254">
        <f aca="true" t="shared" si="9" ref="C80:C114">ROUNDUP(D80/4,0)</f>
        <v>17</v>
      </c>
      <c r="D80" s="247">
        <f aca="true" t="shared" si="10" ref="D80:D114">D79+1</f>
        <v>66</v>
      </c>
      <c r="E80" s="248">
        <f aca="true" t="shared" si="11" ref="E80:E114">IF(D80&lt;=$D$9,$K$6,J79)</f>
        <v>454577410.35966927</v>
      </c>
      <c r="F80" s="248">
        <f aca="true" t="shared" si="12" ref="F80:F114">IF(D80&lt;=$D$9,G80,IF(D80&gt;$D$8,$K$9,$K$7))</f>
        <v>-16789194.013518758</v>
      </c>
      <c r="G80" s="249">
        <f aca="true" t="shared" si="13" ref="G80:G114">-E80*(IF(D80&lt;=$D$8,$K$4,$K$8))</f>
        <v>-6818661.155395038</v>
      </c>
      <c r="H80" s="249">
        <f aca="true" t="shared" si="14" ref="H80:H114">F80-G80</f>
        <v>-9970532.85812372</v>
      </c>
      <c r="I80" s="249">
        <f aca="true" t="shared" si="15" ref="I80:I114">IF(D80=$D$8,$K$5,0)</f>
        <v>0</v>
      </c>
      <c r="J80" s="255">
        <f aca="true" t="shared" si="16" ref="J80:J114">E80+H80+I80</f>
        <v>444606877.50154555</v>
      </c>
      <c r="K80" s="2"/>
      <c r="L80" s="2"/>
      <c r="M80" s="2"/>
    </row>
    <row r="81" spans="1:13" ht="15">
      <c r="A81" s="2"/>
      <c r="B81" s="2"/>
      <c r="C81" s="254">
        <f t="shared" si="9"/>
        <v>17</v>
      </c>
      <c r="D81" s="247">
        <f t="shared" si="10"/>
        <v>67</v>
      </c>
      <c r="E81" s="248">
        <f t="shared" si="11"/>
        <v>444606877.50154555</v>
      </c>
      <c r="F81" s="248">
        <f t="shared" si="12"/>
        <v>-16789194.013518758</v>
      </c>
      <c r="G81" s="249">
        <f t="shared" si="13"/>
        <v>-6669103.162523183</v>
      </c>
      <c r="H81" s="249">
        <f t="shared" si="14"/>
        <v>-10120090.850995574</v>
      </c>
      <c r="I81" s="249">
        <f t="shared" si="15"/>
        <v>0</v>
      </c>
      <c r="J81" s="255">
        <f t="shared" si="16"/>
        <v>434486786.65054995</v>
      </c>
      <c r="K81" s="2"/>
      <c r="L81" s="2"/>
      <c r="M81" s="2"/>
    </row>
    <row r="82" spans="1:13" ht="15">
      <c r="A82" s="2"/>
      <c r="B82" s="2"/>
      <c r="C82" s="254">
        <f t="shared" si="9"/>
        <v>17</v>
      </c>
      <c r="D82" s="247">
        <f t="shared" si="10"/>
        <v>68</v>
      </c>
      <c r="E82" s="248">
        <f t="shared" si="11"/>
        <v>434486786.65054995</v>
      </c>
      <c r="F82" s="248">
        <f t="shared" si="12"/>
        <v>-16789194.013518758</v>
      </c>
      <c r="G82" s="249">
        <f t="shared" si="13"/>
        <v>-6517301.799758249</v>
      </c>
      <c r="H82" s="249">
        <f t="shared" si="14"/>
        <v>-10271892.21376051</v>
      </c>
      <c r="I82" s="249">
        <f t="shared" si="15"/>
        <v>0</v>
      </c>
      <c r="J82" s="255">
        <f t="shared" si="16"/>
        <v>424214894.43678945</v>
      </c>
      <c r="K82" s="2"/>
      <c r="L82" s="2"/>
      <c r="M82" s="2"/>
    </row>
    <row r="83" spans="1:13" ht="15">
      <c r="A83" s="2"/>
      <c r="B83" s="2"/>
      <c r="C83" s="254">
        <f t="shared" si="9"/>
        <v>18</v>
      </c>
      <c r="D83" s="247">
        <f t="shared" si="10"/>
        <v>69</v>
      </c>
      <c r="E83" s="248">
        <f t="shared" si="11"/>
        <v>424214894.43678945</v>
      </c>
      <c r="F83" s="248">
        <f t="shared" si="12"/>
        <v>-16789194.013518758</v>
      </c>
      <c r="G83" s="249">
        <f t="shared" si="13"/>
        <v>-6363223.416551841</v>
      </c>
      <c r="H83" s="249">
        <f t="shared" si="14"/>
        <v>-10425970.596966917</v>
      </c>
      <c r="I83" s="249">
        <f t="shared" si="15"/>
        <v>0</v>
      </c>
      <c r="J83" s="255">
        <f t="shared" si="16"/>
        <v>413788923.83982253</v>
      </c>
      <c r="K83" s="2"/>
      <c r="L83" s="2"/>
      <c r="M83" s="2"/>
    </row>
    <row r="84" spans="1:13" ht="15">
      <c r="A84" s="2"/>
      <c r="B84" s="2"/>
      <c r="C84" s="254">
        <f t="shared" si="9"/>
        <v>18</v>
      </c>
      <c r="D84" s="247">
        <f t="shared" si="10"/>
        <v>70</v>
      </c>
      <c r="E84" s="248">
        <f t="shared" si="11"/>
        <v>413788923.83982253</v>
      </c>
      <c r="F84" s="248">
        <f t="shared" si="12"/>
        <v>-16789194.013518758</v>
      </c>
      <c r="G84" s="249">
        <f t="shared" si="13"/>
        <v>-6206833.857597338</v>
      </c>
      <c r="H84" s="249">
        <f t="shared" si="14"/>
        <v>-10582360.15592142</v>
      </c>
      <c r="I84" s="249">
        <f t="shared" si="15"/>
        <v>0</v>
      </c>
      <c r="J84" s="255">
        <f t="shared" si="16"/>
        <v>403206563.68390113</v>
      </c>
      <c r="K84" s="2"/>
      <c r="L84" s="2"/>
      <c r="M84" s="2"/>
    </row>
    <row r="85" spans="1:13" ht="15">
      <c r="A85" s="2"/>
      <c r="B85" s="2"/>
      <c r="C85" s="254">
        <f t="shared" si="9"/>
        <v>18</v>
      </c>
      <c r="D85" s="247">
        <f t="shared" si="10"/>
        <v>71</v>
      </c>
      <c r="E85" s="248">
        <f t="shared" si="11"/>
        <v>403206563.68390113</v>
      </c>
      <c r="F85" s="248">
        <f t="shared" si="12"/>
        <v>-16789194.013518758</v>
      </c>
      <c r="G85" s="249">
        <f t="shared" si="13"/>
        <v>-6048098.455258517</v>
      </c>
      <c r="H85" s="249">
        <f t="shared" si="14"/>
        <v>-10741095.558260242</v>
      </c>
      <c r="I85" s="249">
        <f t="shared" si="15"/>
        <v>0</v>
      </c>
      <c r="J85" s="255">
        <f t="shared" si="16"/>
        <v>392465468.12564087</v>
      </c>
      <c r="K85" s="2"/>
      <c r="L85" s="2"/>
      <c r="M85" s="2"/>
    </row>
    <row r="86" spans="1:13" ht="15">
      <c r="A86" s="2"/>
      <c r="B86" s="2"/>
      <c r="C86" s="254">
        <f t="shared" si="9"/>
        <v>18</v>
      </c>
      <c r="D86" s="247">
        <f t="shared" si="10"/>
        <v>72</v>
      </c>
      <c r="E86" s="248">
        <f t="shared" si="11"/>
        <v>392465468.12564087</v>
      </c>
      <c r="F86" s="248">
        <f t="shared" si="12"/>
        <v>-16789194.013518758</v>
      </c>
      <c r="G86" s="249">
        <f t="shared" si="13"/>
        <v>-5886982.021884613</v>
      </c>
      <c r="H86" s="249">
        <f t="shared" si="14"/>
        <v>-10902211.991634145</v>
      </c>
      <c r="I86" s="249">
        <f t="shared" si="15"/>
        <v>0</v>
      </c>
      <c r="J86" s="255">
        <f t="shared" si="16"/>
        <v>381563256.13400674</v>
      </c>
      <c r="K86" s="2"/>
      <c r="L86" s="2"/>
      <c r="M86" s="2"/>
    </row>
    <row r="87" spans="1:13" ht="15">
      <c r="A87" s="2"/>
      <c r="B87" s="2"/>
      <c r="C87" s="254">
        <f t="shared" si="9"/>
        <v>19</v>
      </c>
      <c r="D87" s="247">
        <f t="shared" si="10"/>
        <v>73</v>
      </c>
      <c r="E87" s="248">
        <f t="shared" si="11"/>
        <v>381563256.13400674</v>
      </c>
      <c r="F87" s="248">
        <f t="shared" si="12"/>
        <v>-16789194.013518758</v>
      </c>
      <c r="G87" s="249">
        <f t="shared" si="13"/>
        <v>-5723448.842010101</v>
      </c>
      <c r="H87" s="249">
        <f t="shared" si="14"/>
        <v>-11065745.171508657</v>
      </c>
      <c r="I87" s="249">
        <f t="shared" si="15"/>
        <v>0</v>
      </c>
      <c r="J87" s="255">
        <f t="shared" si="16"/>
        <v>370497510.96249807</v>
      </c>
      <c r="K87" s="2"/>
      <c r="L87" s="2"/>
      <c r="M87" s="2"/>
    </row>
    <row r="88" spans="1:13" ht="15">
      <c r="A88" s="2"/>
      <c r="B88" s="2"/>
      <c r="C88" s="254">
        <f t="shared" si="9"/>
        <v>19</v>
      </c>
      <c r="D88" s="247">
        <f t="shared" si="10"/>
        <v>74</v>
      </c>
      <c r="E88" s="248">
        <f t="shared" si="11"/>
        <v>370497510.96249807</v>
      </c>
      <c r="F88" s="248">
        <f t="shared" si="12"/>
        <v>-16789194.013518758</v>
      </c>
      <c r="G88" s="249">
        <f t="shared" si="13"/>
        <v>-5557462.664437471</v>
      </c>
      <c r="H88" s="249">
        <f t="shared" si="14"/>
        <v>-11231731.349081287</v>
      </c>
      <c r="I88" s="249">
        <f t="shared" si="15"/>
        <v>0</v>
      </c>
      <c r="J88" s="255">
        <f t="shared" si="16"/>
        <v>359265779.6134168</v>
      </c>
      <c r="K88" s="2"/>
      <c r="L88" s="2"/>
      <c r="M88" s="2"/>
    </row>
    <row r="89" spans="1:13" ht="15">
      <c r="A89" s="2"/>
      <c r="B89" s="2"/>
      <c r="C89" s="254">
        <f t="shared" si="9"/>
        <v>19</v>
      </c>
      <c r="D89" s="247">
        <f t="shared" si="10"/>
        <v>75</v>
      </c>
      <c r="E89" s="248">
        <f t="shared" si="11"/>
        <v>359265779.6134168</v>
      </c>
      <c r="F89" s="248">
        <f t="shared" si="12"/>
        <v>-16789194.013518758</v>
      </c>
      <c r="G89" s="249">
        <f t="shared" si="13"/>
        <v>-5388986.6942012515</v>
      </c>
      <c r="H89" s="249">
        <f t="shared" si="14"/>
        <v>-11400207.319317507</v>
      </c>
      <c r="I89" s="249">
        <f t="shared" si="15"/>
        <v>0</v>
      </c>
      <c r="J89" s="255">
        <f t="shared" si="16"/>
        <v>347865572.2940993</v>
      </c>
      <c r="K89" s="2"/>
      <c r="L89" s="2"/>
      <c r="M89" s="2"/>
    </row>
    <row r="90" spans="1:13" ht="15">
      <c r="A90" s="2"/>
      <c r="B90" s="2"/>
      <c r="C90" s="254">
        <f t="shared" si="9"/>
        <v>19</v>
      </c>
      <c r="D90" s="247">
        <f t="shared" si="10"/>
        <v>76</v>
      </c>
      <c r="E90" s="248">
        <f t="shared" si="11"/>
        <v>347865572.2940993</v>
      </c>
      <c r="F90" s="248">
        <f t="shared" si="12"/>
        <v>-16789194.013518758</v>
      </c>
      <c r="G90" s="249">
        <f t="shared" si="13"/>
        <v>-5217983.584411489</v>
      </c>
      <c r="H90" s="249">
        <f t="shared" si="14"/>
        <v>-11571210.42910727</v>
      </c>
      <c r="I90" s="249">
        <f t="shared" si="15"/>
        <v>0</v>
      </c>
      <c r="J90" s="255">
        <f t="shared" si="16"/>
        <v>336294361.864992</v>
      </c>
      <c r="K90" s="2"/>
      <c r="L90" s="2"/>
      <c r="M90" s="2"/>
    </row>
    <row r="91" spans="1:13" ht="15">
      <c r="A91" s="2"/>
      <c r="B91" s="2"/>
      <c r="C91" s="254">
        <f t="shared" si="9"/>
        <v>20</v>
      </c>
      <c r="D91" s="247">
        <f t="shared" si="10"/>
        <v>77</v>
      </c>
      <c r="E91" s="248">
        <f t="shared" si="11"/>
        <v>336294361.864992</v>
      </c>
      <c r="F91" s="248">
        <f t="shared" si="12"/>
        <v>-16789194.013518758</v>
      </c>
      <c r="G91" s="249">
        <f t="shared" si="13"/>
        <v>-5044415.42797488</v>
      </c>
      <c r="H91" s="249">
        <f t="shared" si="14"/>
        <v>-11744778.585543878</v>
      </c>
      <c r="I91" s="249">
        <f t="shared" si="15"/>
        <v>0</v>
      </c>
      <c r="J91" s="255">
        <f t="shared" si="16"/>
        <v>324549583.27944815</v>
      </c>
      <c r="K91" s="2"/>
      <c r="L91" s="2"/>
      <c r="M91" s="2"/>
    </row>
    <row r="92" spans="1:13" ht="15">
      <c r="A92" s="2"/>
      <c r="B92" s="2"/>
      <c r="C92" s="254">
        <f t="shared" si="9"/>
        <v>20</v>
      </c>
      <c r="D92" s="247">
        <f t="shared" si="10"/>
        <v>78</v>
      </c>
      <c r="E92" s="248">
        <f t="shared" si="11"/>
        <v>324549583.27944815</v>
      </c>
      <c r="F92" s="248">
        <f t="shared" si="12"/>
        <v>-16789194.013518758</v>
      </c>
      <c r="G92" s="249">
        <f t="shared" si="13"/>
        <v>-4868243.749191722</v>
      </c>
      <c r="H92" s="249">
        <f t="shared" si="14"/>
        <v>-11920950.264327036</v>
      </c>
      <c r="I92" s="249">
        <f t="shared" si="15"/>
        <v>0</v>
      </c>
      <c r="J92" s="255">
        <f t="shared" si="16"/>
        <v>312628633.0151211</v>
      </c>
      <c r="K92" s="2"/>
      <c r="L92" s="2"/>
      <c r="M92" s="2"/>
    </row>
    <row r="93" spans="1:13" ht="15">
      <c r="A93" s="2"/>
      <c r="B93" s="2"/>
      <c r="C93" s="254">
        <f t="shared" si="9"/>
        <v>20</v>
      </c>
      <c r="D93" s="247">
        <f t="shared" si="10"/>
        <v>79</v>
      </c>
      <c r="E93" s="248">
        <f t="shared" si="11"/>
        <v>312628633.0151211</v>
      </c>
      <c r="F93" s="248">
        <f t="shared" si="12"/>
        <v>-16789194.013518758</v>
      </c>
      <c r="G93" s="249">
        <f t="shared" si="13"/>
        <v>-4689429.495226816</v>
      </c>
      <c r="H93" s="249">
        <f t="shared" si="14"/>
        <v>-12099764.518291943</v>
      </c>
      <c r="I93" s="249">
        <f t="shared" si="15"/>
        <v>0</v>
      </c>
      <c r="J93" s="255">
        <f t="shared" si="16"/>
        <v>300528868.49682915</v>
      </c>
      <c r="K93" s="2"/>
      <c r="L93" s="2"/>
      <c r="M93" s="2"/>
    </row>
    <row r="94" spans="1:13" ht="15">
      <c r="A94" s="2"/>
      <c r="B94" s="2"/>
      <c r="C94" s="254">
        <f t="shared" si="9"/>
        <v>20</v>
      </c>
      <c r="D94" s="247">
        <f t="shared" si="10"/>
        <v>80</v>
      </c>
      <c r="E94" s="248">
        <f t="shared" si="11"/>
        <v>300528868.49682915</v>
      </c>
      <c r="F94" s="248">
        <f t="shared" si="12"/>
        <v>-16789194.013518758</v>
      </c>
      <c r="G94" s="249">
        <f t="shared" si="13"/>
        <v>-4507933.027452437</v>
      </c>
      <c r="H94" s="249">
        <f t="shared" si="14"/>
        <v>-12281260.98606632</v>
      </c>
      <c r="I94" s="249">
        <f t="shared" si="15"/>
        <v>0</v>
      </c>
      <c r="J94" s="255">
        <f t="shared" si="16"/>
        <v>288247607.5107628</v>
      </c>
      <c r="K94" s="2"/>
      <c r="L94" s="2"/>
      <c r="M94" s="2"/>
    </row>
    <row r="95" spans="1:13" ht="15">
      <c r="A95" s="2"/>
      <c r="B95" s="2"/>
      <c r="C95" s="254">
        <f t="shared" si="9"/>
        <v>21</v>
      </c>
      <c r="D95" s="247">
        <f t="shared" si="10"/>
        <v>81</v>
      </c>
      <c r="E95" s="248">
        <f t="shared" si="11"/>
        <v>288247607.5107628</v>
      </c>
      <c r="F95" s="248">
        <f t="shared" si="12"/>
        <v>-16789194.013518758</v>
      </c>
      <c r="G95" s="249">
        <f t="shared" si="13"/>
        <v>-4323714.112661442</v>
      </c>
      <c r="H95" s="249">
        <f t="shared" si="14"/>
        <v>-12465479.900857316</v>
      </c>
      <c r="I95" s="249">
        <f t="shared" si="15"/>
        <v>0</v>
      </c>
      <c r="J95" s="255">
        <f t="shared" si="16"/>
        <v>275782127.6099055</v>
      </c>
      <c r="K95" s="2"/>
      <c r="L95" s="2"/>
      <c r="M95" s="2"/>
    </row>
    <row r="96" spans="1:13" ht="15">
      <c r="A96" s="2"/>
      <c r="B96" s="2"/>
      <c r="C96" s="254">
        <f t="shared" si="9"/>
        <v>21</v>
      </c>
      <c r="D96" s="247">
        <f t="shared" si="10"/>
        <v>82</v>
      </c>
      <c r="E96" s="248">
        <f t="shared" si="11"/>
        <v>275782127.6099055</v>
      </c>
      <c r="F96" s="248">
        <f t="shared" si="12"/>
        <v>-16789194.013518758</v>
      </c>
      <c r="G96" s="249">
        <f t="shared" si="13"/>
        <v>-4136731.914148582</v>
      </c>
      <c r="H96" s="249">
        <f t="shared" si="14"/>
        <v>-12652462.099370176</v>
      </c>
      <c r="I96" s="249">
        <f t="shared" si="15"/>
        <v>0</v>
      </c>
      <c r="J96" s="255">
        <f t="shared" si="16"/>
        <v>263129665.5105353</v>
      </c>
      <c r="K96" s="2"/>
      <c r="L96" s="2"/>
      <c r="M96" s="2"/>
    </row>
    <row r="97" spans="1:13" ht="15">
      <c r="A97" s="2"/>
      <c r="B97" s="2"/>
      <c r="C97" s="254">
        <f t="shared" si="9"/>
        <v>21</v>
      </c>
      <c r="D97" s="247">
        <f t="shared" si="10"/>
        <v>83</v>
      </c>
      <c r="E97" s="248">
        <f t="shared" si="11"/>
        <v>263129665.5105353</v>
      </c>
      <c r="F97" s="248">
        <f t="shared" si="12"/>
        <v>-16789194.013518758</v>
      </c>
      <c r="G97" s="249">
        <f t="shared" si="13"/>
        <v>-3946944.9826580295</v>
      </c>
      <c r="H97" s="249">
        <f t="shared" si="14"/>
        <v>-12842249.03086073</v>
      </c>
      <c r="I97" s="249">
        <f t="shared" si="15"/>
        <v>0</v>
      </c>
      <c r="J97" s="255">
        <f t="shared" si="16"/>
        <v>250287416.47967458</v>
      </c>
      <c r="K97" s="2"/>
      <c r="L97" s="2"/>
      <c r="M97" s="2"/>
    </row>
    <row r="98" spans="1:13" ht="15">
      <c r="A98" s="2"/>
      <c r="B98" s="2"/>
      <c r="C98" s="254">
        <f t="shared" si="9"/>
        <v>21</v>
      </c>
      <c r="D98" s="247">
        <f t="shared" si="10"/>
        <v>84</v>
      </c>
      <c r="E98" s="248">
        <f t="shared" si="11"/>
        <v>250287416.47967458</v>
      </c>
      <c r="F98" s="248">
        <f t="shared" si="12"/>
        <v>-16789194.013518758</v>
      </c>
      <c r="G98" s="249">
        <f t="shared" si="13"/>
        <v>-3754311.2471951186</v>
      </c>
      <c r="H98" s="249">
        <f t="shared" si="14"/>
        <v>-13034882.76632364</v>
      </c>
      <c r="I98" s="249">
        <f t="shared" si="15"/>
        <v>0</v>
      </c>
      <c r="J98" s="255">
        <f t="shared" si="16"/>
        <v>237252533.71335095</v>
      </c>
      <c r="K98" s="2"/>
      <c r="L98" s="2"/>
      <c r="M98" s="2"/>
    </row>
    <row r="99" spans="1:13" ht="15">
      <c r="A99" s="2"/>
      <c r="B99" s="2"/>
      <c r="C99" s="254">
        <f t="shared" si="9"/>
        <v>22</v>
      </c>
      <c r="D99" s="247">
        <f t="shared" si="10"/>
        <v>85</v>
      </c>
      <c r="E99" s="248">
        <f t="shared" si="11"/>
        <v>237252533.71335095</v>
      </c>
      <c r="F99" s="248">
        <f t="shared" si="12"/>
        <v>-16789194.013518758</v>
      </c>
      <c r="G99" s="249">
        <f t="shared" si="13"/>
        <v>-3558788.005700264</v>
      </c>
      <c r="H99" s="249">
        <f t="shared" si="14"/>
        <v>-13230406.007818494</v>
      </c>
      <c r="I99" s="249">
        <f t="shared" si="15"/>
        <v>0</v>
      </c>
      <c r="J99" s="255">
        <f t="shared" si="16"/>
        <v>224022127.70553246</v>
      </c>
      <c r="K99" s="2"/>
      <c r="L99" s="2"/>
      <c r="M99" s="2"/>
    </row>
    <row r="100" spans="1:13" ht="15">
      <c r="A100" s="2"/>
      <c r="B100" s="2"/>
      <c r="C100" s="254">
        <f t="shared" si="9"/>
        <v>22</v>
      </c>
      <c r="D100" s="247">
        <f t="shared" si="10"/>
        <v>86</v>
      </c>
      <c r="E100" s="248">
        <f t="shared" si="11"/>
        <v>224022127.70553246</v>
      </c>
      <c r="F100" s="248">
        <f t="shared" si="12"/>
        <v>-16789194.013518758</v>
      </c>
      <c r="G100" s="249">
        <f t="shared" si="13"/>
        <v>-3360331.915582987</v>
      </c>
      <c r="H100" s="249">
        <f t="shared" si="14"/>
        <v>-13428862.097935772</v>
      </c>
      <c r="I100" s="249">
        <f t="shared" si="15"/>
        <v>0</v>
      </c>
      <c r="J100" s="255">
        <f t="shared" si="16"/>
        <v>210593265.6075967</v>
      </c>
      <c r="K100" s="2"/>
      <c r="L100" s="2"/>
      <c r="M100" s="2"/>
    </row>
    <row r="101" spans="1:13" ht="15">
      <c r="A101" s="2"/>
      <c r="B101" s="2"/>
      <c r="C101" s="254">
        <f t="shared" si="9"/>
        <v>22</v>
      </c>
      <c r="D101" s="247">
        <f t="shared" si="10"/>
        <v>87</v>
      </c>
      <c r="E101" s="248">
        <f t="shared" si="11"/>
        <v>210593265.6075967</v>
      </c>
      <c r="F101" s="248">
        <f t="shared" si="12"/>
        <v>-16789194.013518758</v>
      </c>
      <c r="G101" s="249">
        <f t="shared" si="13"/>
        <v>-3158898.9841139503</v>
      </c>
      <c r="H101" s="249">
        <f t="shared" si="14"/>
        <v>-13630295.029404808</v>
      </c>
      <c r="I101" s="249">
        <f t="shared" si="15"/>
        <v>0</v>
      </c>
      <c r="J101" s="255">
        <f t="shared" si="16"/>
        <v>196962970.57819188</v>
      </c>
      <c r="K101" s="2"/>
      <c r="L101" s="2"/>
      <c r="M101" s="2"/>
    </row>
    <row r="102" spans="1:13" ht="15">
      <c r="A102" s="2"/>
      <c r="B102" s="2"/>
      <c r="C102" s="254">
        <f t="shared" si="9"/>
        <v>22</v>
      </c>
      <c r="D102" s="247">
        <f t="shared" si="10"/>
        <v>88</v>
      </c>
      <c r="E102" s="248">
        <f t="shared" si="11"/>
        <v>196962970.57819188</v>
      </c>
      <c r="F102" s="248">
        <f t="shared" si="12"/>
        <v>-16789194.013518758</v>
      </c>
      <c r="G102" s="249">
        <f t="shared" si="13"/>
        <v>-2954444.558672878</v>
      </c>
      <c r="H102" s="249">
        <f t="shared" si="14"/>
        <v>-13834749.45484588</v>
      </c>
      <c r="I102" s="249">
        <f t="shared" si="15"/>
        <v>0</v>
      </c>
      <c r="J102" s="255">
        <f t="shared" si="16"/>
        <v>183128221.123346</v>
      </c>
      <c r="K102" s="2"/>
      <c r="L102" s="2"/>
      <c r="M102" s="2"/>
    </row>
    <row r="103" spans="1:13" ht="15">
      <c r="A103" s="2"/>
      <c r="B103" s="2"/>
      <c r="C103" s="254">
        <f t="shared" si="9"/>
        <v>23</v>
      </c>
      <c r="D103" s="247">
        <f t="shared" si="10"/>
        <v>89</v>
      </c>
      <c r="E103" s="248">
        <f t="shared" si="11"/>
        <v>183128221.123346</v>
      </c>
      <c r="F103" s="248">
        <f t="shared" si="12"/>
        <v>-16789194.013518758</v>
      </c>
      <c r="G103" s="249">
        <f t="shared" si="13"/>
        <v>-2746923.31685019</v>
      </c>
      <c r="H103" s="249">
        <f t="shared" si="14"/>
        <v>-14042270.696668569</v>
      </c>
      <c r="I103" s="249">
        <f t="shared" si="15"/>
        <v>0</v>
      </c>
      <c r="J103" s="255">
        <f t="shared" si="16"/>
        <v>169085950.42667744</v>
      </c>
      <c r="K103" s="2"/>
      <c r="L103" s="2"/>
      <c r="M103" s="2"/>
    </row>
    <row r="104" spans="1:13" ht="15">
      <c r="A104" s="2"/>
      <c r="B104" s="2"/>
      <c r="C104" s="254">
        <f t="shared" si="9"/>
        <v>23</v>
      </c>
      <c r="D104" s="247">
        <f t="shared" si="10"/>
        <v>90</v>
      </c>
      <c r="E104" s="248">
        <f t="shared" si="11"/>
        <v>169085950.42667744</v>
      </c>
      <c r="F104" s="248">
        <f t="shared" si="12"/>
        <v>-16789194.013518758</v>
      </c>
      <c r="G104" s="249">
        <f t="shared" si="13"/>
        <v>-2536289.2564001614</v>
      </c>
      <c r="H104" s="249">
        <f t="shared" si="14"/>
        <v>-14252904.757118598</v>
      </c>
      <c r="I104" s="249">
        <f t="shared" si="15"/>
        <v>0</v>
      </c>
      <c r="J104" s="255">
        <f t="shared" si="16"/>
        <v>154833045.66955882</v>
      </c>
      <c r="K104" s="2"/>
      <c r="L104" s="2"/>
      <c r="M104" s="2"/>
    </row>
    <row r="105" spans="1:13" ht="15">
      <c r="A105" s="2"/>
      <c r="B105" s="2"/>
      <c r="C105" s="254">
        <f t="shared" si="9"/>
        <v>23</v>
      </c>
      <c r="D105" s="247">
        <f t="shared" si="10"/>
        <v>91</v>
      </c>
      <c r="E105" s="248">
        <f t="shared" si="11"/>
        <v>154833045.66955882</v>
      </c>
      <c r="F105" s="248">
        <f t="shared" si="12"/>
        <v>-16789194.013518758</v>
      </c>
      <c r="G105" s="249">
        <f t="shared" si="13"/>
        <v>-2322495.6850433825</v>
      </c>
      <c r="H105" s="249">
        <f t="shared" si="14"/>
        <v>-14466698.328475375</v>
      </c>
      <c r="I105" s="249">
        <f t="shared" si="15"/>
        <v>0</v>
      </c>
      <c r="J105" s="255">
        <f t="shared" si="16"/>
        <v>140366347.34108344</v>
      </c>
      <c r="K105" s="2"/>
      <c r="L105" s="2"/>
      <c r="M105" s="2"/>
    </row>
    <row r="106" spans="1:13" ht="15">
      <c r="A106" s="2"/>
      <c r="B106" s="2"/>
      <c r="C106" s="254">
        <f t="shared" si="9"/>
        <v>23</v>
      </c>
      <c r="D106" s="247">
        <f t="shared" si="10"/>
        <v>92</v>
      </c>
      <c r="E106" s="248">
        <f t="shared" si="11"/>
        <v>140366347.34108344</v>
      </c>
      <c r="F106" s="248">
        <f t="shared" si="12"/>
        <v>-16789194.013518758</v>
      </c>
      <c r="G106" s="249">
        <f t="shared" si="13"/>
        <v>-2105495.2101162514</v>
      </c>
      <c r="H106" s="249">
        <f t="shared" si="14"/>
        <v>-14683698.803402506</v>
      </c>
      <c r="I106" s="249">
        <f t="shared" si="15"/>
        <v>0</v>
      </c>
      <c r="J106" s="255">
        <f t="shared" si="16"/>
        <v>125682648.53768092</v>
      </c>
      <c r="K106" s="2"/>
      <c r="L106" s="2"/>
      <c r="M106" s="2"/>
    </row>
    <row r="107" spans="1:13" ht="15">
      <c r="A107" s="2"/>
      <c r="B107" s="2"/>
      <c r="C107" s="254">
        <f t="shared" si="9"/>
        <v>24</v>
      </c>
      <c r="D107" s="247">
        <f t="shared" si="10"/>
        <v>93</v>
      </c>
      <c r="E107" s="248">
        <f t="shared" si="11"/>
        <v>125682648.53768092</v>
      </c>
      <c r="F107" s="248">
        <f t="shared" si="12"/>
        <v>-16789194.013518758</v>
      </c>
      <c r="G107" s="249">
        <f t="shared" si="13"/>
        <v>-1885239.728065214</v>
      </c>
      <c r="H107" s="249">
        <f t="shared" si="14"/>
        <v>-14903954.285453545</v>
      </c>
      <c r="I107" s="249">
        <f t="shared" si="15"/>
        <v>0</v>
      </c>
      <c r="J107" s="255">
        <f t="shared" si="16"/>
        <v>110778694.25222738</v>
      </c>
      <c r="K107" s="2"/>
      <c r="L107" s="2"/>
      <c r="M107" s="2"/>
    </row>
    <row r="108" spans="1:13" ht="15">
      <c r="A108" s="2"/>
      <c r="B108" s="2"/>
      <c r="C108" s="254">
        <f t="shared" si="9"/>
        <v>24</v>
      </c>
      <c r="D108" s="247">
        <f t="shared" si="10"/>
        <v>94</v>
      </c>
      <c r="E108" s="248">
        <f t="shared" si="11"/>
        <v>110778694.25222738</v>
      </c>
      <c r="F108" s="248">
        <f t="shared" si="12"/>
        <v>-16789194.013518758</v>
      </c>
      <c r="G108" s="249">
        <f t="shared" si="13"/>
        <v>-1661680.4137834106</v>
      </c>
      <c r="H108" s="249">
        <f t="shared" si="14"/>
        <v>-15127513.599735348</v>
      </c>
      <c r="I108" s="249">
        <f t="shared" si="15"/>
        <v>0</v>
      </c>
      <c r="J108" s="255">
        <f t="shared" si="16"/>
        <v>95651180.65249203</v>
      </c>
      <c r="K108" s="2"/>
      <c r="L108" s="2"/>
      <c r="M108" s="2"/>
    </row>
    <row r="109" spans="1:13" ht="15">
      <c r="A109" s="2"/>
      <c r="B109" s="2"/>
      <c r="C109" s="254">
        <f t="shared" si="9"/>
        <v>24</v>
      </c>
      <c r="D109" s="247">
        <f t="shared" si="10"/>
        <v>95</v>
      </c>
      <c r="E109" s="248">
        <f t="shared" si="11"/>
        <v>95651180.65249203</v>
      </c>
      <c r="F109" s="248">
        <f t="shared" si="12"/>
        <v>-16789194.013518758</v>
      </c>
      <c r="G109" s="249">
        <f t="shared" si="13"/>
        <v>-1434767.7097873804</v>
      </c>
      <c r="H109" s="249">
        <f t="shared" si="14"/>
        <v>-15354426.303731378</v>
      </c>
      <c r="I109" s="249">
        <f t="shared" si="15"/>
        <v>0</v>
      </c>
      <c r="J109" s="255">
        <f t="shared" si="16"/>
        <v>80296754.34876065</v>
      </c>
      <c r="K109" s="2"/>
      <c r="L109" s="2"/>
      <c r="M109" s="2"/>
    </row>
    <row r="110" spans="1:13" ht="15">
      <c r="A110" s="2"/>
      <c r="B110" s="2"/>
      <c r="C110" s="254">
        <f t="shared" si="9"/>
        <v>24</v>
      </c>
      <c r="D110" s="247">
        <f t="shared" si="10"/>
        <v>96</v>
      </c>
      <c r="E110" s="248">
        <f t="shared" si="11"/>
        <v>80296754.34876065</v>
      </c>
      <c r="F110" s="248">
        <f t="shared" si="12"/>
        <v>-16789194.013518758</v>
      </c>
      <c r="G110" s="249">
        <f t="shared" si="13"/>
        <v>-1204451.3152314096</v>
      </c>
      <c r="H110" s="249">
        <f t="shared" si="14"/>
        <v>-15584742.69828735</v>
      </c>
      <c r="I110" s="249">
        <f t="shared" si="15"/>
        <v>0</v>
      </c>
      <c r="J110" s="255">
        <f t="shared" si="16"/>
        <v>64712011.6504733</v>
      </c>
      <c r="K110" s="2"/>
      <c r="L110" s="2"/>
      <c r="M110" s="2"/>
    </row>
    <row r="111" spans="1:13" ht="15">
      <c r="A111" s="2"/>
      <c r="B111" s="2"/>
      <c r="C111" s="254">
        <f t="shared" si="9"/>
        <v>25</v>
      </c>
      <c r="D111" s="247">
        <f t="shared" si="10"/>
        <v>97</v>
      </c>
      <c r="E111" s="248">
        <f t="shared" si="11"/>
        <v>64712011.6504733</v>
      </c>
      <c r="F111" s="248">
        <f t="shared" si="12"/>
        <v>-16789194.013518758</v>
      </c>
      <c r="G111" s="249">
        <f t="shared" si="13"/>
        <v>-970680.1747570994</v>
      </c>
      <c r="H111" s="249">
        <f t="shared" si="14"/>
        <v>-15818513.83876166</v>
      </c>
      <c r="I111" s="249">
        <f t="shared" si="15"/>
        <v>0</v>
      </c>
      <c r="J111" s="255">
        <f t="shared" si="16"/>
        <v>48893497.81171164</v>
      </c>
      <c r="K111" s="2"/>
      <c r="L111" s="2"/>
      <c r="M111" s="2"/>
    </row>
    <row r="112" spans="1:13" ht="15">
      <c r="A112" s="2"/>
      <c r="B112" s="2"/>
      <c r="C112" s="254">
        <f t="shared" si="9"/>
        <v>25</v>
      </c>
      <c r="D112" s="247">
        <f t="shared" si="10"/>
        <v>98</v>
      </c>
      <c r="E112" s="248">
        <f t="shared" si="11"/>
        <v>48893497.81171164</v>
      </c>
      <c r="F112" s="248">
        <f t="shared" si="12"/>
        <v>-16789194.013518758</v>
      </c>
      <c r="G112" s="249">
        <f t="shared" si="13"/>
        <v>-733402.4671756745</v>
      </c>
      <c r="H112" s="249">
        <f t="shared" si="14"/>
        <v>-16055791.546343084</v>
      </c>
      <c r="I112" s="249">
        <f t="shared" si="15"/>
        <v>0</v>
      </c>
      <c r="J112" s="255">
        <f t="shared" si="16"/>
        <v>32837706.265368555</v>
      </c>
      <c r="K112" s="2"/>
      <c r="L112" s="2"/>
      <c r="M112" s="2"/>
    </row>
    <row r="113" spans="1:13" ht="15">
      <c r="A113" s="2"/>
      <c r="B113" s="2"/>
      <c r="C113" s="254">
        <f t="shared" si="9"/>
        <v>25</v>
      </c>
      <c r="D113" s="247">
        <f t="shared" si="10"/>
        <v>99</v>
      </c>
      <c r="E113" s="248">
        <f t="shared" si="11"/>
        <v>32837706.265368555</v>
      </c>
      <c r="F113" s="248">
        <f t="shared" si="12"/>
        <v>-16789194.013518758</v>
      </c>
      <c r="G113" s="249">
        <f t="shared" si="13"/>
        <v>-492565.5939805283</v>
      </c>
      <c r="H113" s="249">
        <f t="shared" si="14"/>
        <v>-16296628.41953823</v>
      </c>
      <c r="I113" s="249">
        <f t="shared" si="15"/>
        <v>0</v>
      </c>
      <c r="J113" s="255">
        <f t="shared" si="16"/>
        <v>16541077.845830325</v>
      </c>
      <c r="K113" s="2"/>
      <c r="L113" s="2"/>
      <c r="M113" s="2"/>
    </row>
    <row r="114" spans="1:13" ht="15.75" thickBot="1">
      <c r="A114" s="2"/>
      <c r="B114" s="2"/>
      <c r="C114" s="256">
        <f t="shared" si="9"/>
        <v>25</v>
      </c>
      <c r="D114" s="257">
        <f t="shared" si="10"/>
        <v>100</v>
      </c>
      <c r="E114" s="258">
        <f t="shared" si="11"/>
        <v>16541077.845830325</v>
      </c>
      <c r="F114" s="258">
        <f t="shared" si="12"/>
        <v>-16789194.013518758</v>
      </c>
      <c r="G114" s="259">
        <f t="shared" si="13"/>
        <v>-248116.16768745487</v>
      </c>
      <c r="H114" s="259">
        <f t="shared" si="14"/>
        <v>-16541077.845831303</v>
      </c>
      <c r="I114" s="259">
        <f t="shared" si="15"/>
        <v>0</v>
      </c>
      <c r="J114" s="260">
        <f t="shared" si="16"/>
        <v>-9.778887033462524E-07</v>
      </c>
      <c r="K114" s="2"/>
      <c r="L114" s="2"/>
      <c r="M114" s="2"/>
    </row>
    <row r="115" spans="1:13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2018-01-18T13:11:51Z</dcterms:created>
  <dcterms:modified xsi:type="dcterms:W3CDTF">2018-02-06T11:09:59Z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