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ng\Desktop\"/>
    </mc:Choice>
  </mc:AlternateContent>
  <xr:revisionPtr revIDLastSave="0" documentId="13_ncr:1_{88522015-9ADD-43E2-922D-D8CFD34CFBFF}" xr6:coauthVersionLast="45" xr6:coauthVersionMax="45" xr10:uidLastSave="{00000000-0000-0000-0000-000000000000}"/>
  <bookViews>
    <workbookView xWindow="-120" yWindow="-120" windowWidth="29040" windowHeight="15840" xr2:uid="{0EE17C61-C428-439A-B398-B1F59BFA24C3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3" i="1" l="1"/>
  <c r="I53" i="1"/>
  <c r="J53" i="1" s="1"/>
  <c r="K53" i="1" s="1"/>
  <c r="G53" i="1"/>
  <c r="F172" i="1"/>
  <c r="G59" i="1"/>
  <c r="H213" i="1" l="1"/>
  <c r="I213" i="1"/>
  <c r="J213" i="1"/>
  <c r="K213" i="1"/>
  <c r="G213" i="1"/>
  <c r="F44" i="1"/>
  <c r="H205" i="1" l="1"/>
  <c r="I205" i="1"/>
  <c r="J205" i="1"/>
  <c r="K205" i="1"/>
  <c r="H208" i="1"/>
  <c r="I208" i="1"/>
  <c r="J208" i="1"/>
  <c r="K208" i="1"/>
  <c r="H209" i="1"/>
  <c r="I209" i="1"/>
  <c r="J209" i="1"/>
  <c r="K209" i="1"/>
  <c r="H210" i="1"/>
  <c r="I210" i="1"/>
  <c r="J210" i="1"/>
  <c r="K210" i="1"/>
  <c r="H211" i="1"/>
  <c r="I211" i="1"/>
  <c r="J211" i="1"/>
  <c r="K211" i="1"/>
  <c r="H81" i="1"/>
  <c r="I81" i="1" s="1"/>
  <c r="J81" i="1" s="1"/>
  <c r="K81" i="1" s="1"/>
  <c r="H73" i="1"/>
  <c r="I73" i="1" s="1"/>
  <c r="H56" i="1"/>
  <c r="I56" i="1" s="1"/>
  <c r="J56" i="1" s="1"/>
  <c r="K56" i="1" s="1"/>
  <c r="H62" i="1"/>
  <c r="I62" i="1" s="1"/>
  <c r="J62" i="1" s="1"/>
  <c r="K62" i="1" s="1"/>
  <c r="H63" i="1"/>
  <c r="I63" i="1" s="1"/>
  <c r="J63" i="1" s="1"/>
  <c r="K63" i="1" s="1"/>
  <c r="G211" i="1"/>
  <c r="G210" i="1"/>
  <c r="G209" i="1"/>
  <c r="G208" i="1"/>
  <c r="G205" i="1"/>
  <c r="F187" i="1"/>
  <c r="F191" i="1"/>
  <c r="G191" i="1"/>
  <c r="J191" i="1"/>
  <c r="K191" i="1"/>
  <c r="F192" i="1"/>
  <c r="D192" i="1"/>
  <c r="G81" i="1"/>
  <c r="G80" i="1"/>
  <c r="G212" i="1" s="1"/>
  <c r="G74" i="1"/>
  <c r="H74" i="1" s="1"/>
  <c r="I74" i="1" s="1"/>
  <c r="J74" i="1" s="1"/>
  <c r="K74" i="1" s="1"/>
  <c r="G73" i="1"/>
  <c r="G72" i="1"/>
  <c r="H72" i="1" s="1"/>
  <c r="G70" i="1"/>
  <c r="H70" i="1" s="1"/>
  <c r="I70" i="1" s="1"/>
  <c r="J70" i="1" s="1"/>
  <c r="K70" i="1" s="1"/>
  <c r="G63" i="1"/>
  <c r="G62" i="1"/>
  <c r="G60" i="1"/>
  <c r="H60" i="1" s="1"/>
  <c r="I60" i="1" s="1"/>
  <c r="J60" i="1" s="1"/>
  <c r="K60" i="1" s="1"/>
  <c r="G58" i="1"/>
  <c r="H58" i="1" s="1"/>
  <c r="I58" i="1" s="1"/>
  <c r="J58" i="1" s="1"/>
  <c r="K58" i="1" s="1"/>
  <c r="G57" i="1"/>
  <c r="H57" i="1" s="1"/>
  <c r="I57" i="1" s="1"/>
  <c r="J57" i="1" s="1"/>
  <c r="K57" i="1" s="1"/>
  <c r="G56" i="1"/>
  <c r="F181" i="1"/>
  <c r="E184" i="1"/>
  <c r="G179" i="1"/>
  <c r="H179" i="1"/>
  <c r="K179" i="1"/>
  <c r="G169" i="1"/>
  <c r="G165" i="1"/>
  <c r="G167" i="1" s="1"/>
  <c r="H165" i="1" s="1"/>
  <c r="H167" i="1" s="1"/>
  <c r="I165" i="1" s="1"/>
  <c r="I167" i="1" s="1"/>
  <c r="J165" i="1" s="1"/>
  <c r="J167" i="1" s="1"/>
  <c r="K165" i="1" s="1"/>
  <c r="K167" i="1" s="1"/>
  <c r="K79" i="1" s="1"/>
  <c r="F167" i="1"/>
  <c r="F160" i="1"/>
  <c r="F163" i="1" s="1"/>
  <c r="E160" i="1"/>
  <c r="E163" i="1" s="1"/>
  <c r="G163" i="1" s="1"/>
  <c r="F161" i="1"/>
  <c r="G158" i="1" s="1"/>
  <c r="E161" i="1"/>
  <c r="F158" i="1" s="1"/>
  <c r="F157" i="1"/>
  <c r="F154" i="1"/>
  <c r="G151" i="1" s="1"/>
  <c r="G154" i="1" s="1"/>
  <c r="G61" i="1" s="1"/>
  <c r="E154" i="1"/>
  <c r="F151" i="1" s="1"/>
  <c r="F146" i="1"/>
  <c r="G143" i="1" s="1"/>
  <c r="E146" i="1"/>
  <c r="F143" i="1" s="1"/>
  <c r="E149" i="1"/>
  <c r="F149" i="1"/>
  <c r="D149" i="1"/>
  <c r="G148" i="1"/>
  <c r="J148" i="1" s="1"/>
  <c r="E148" i="1"/>
  <c r="F148" i="1"/>
  <c r="D148" i="1"/>
  <c r="I141" i="1"/>
  <c r="G118" i="1"/>
  <c r="F119" i="1"/>
  <c r="F118" i="1"/>
  <c r="F120" i="1"/>
  <c r="F122" i="1" s="1"/>
  <c r="E120" i="1"/>
  <c r="E122" i="1" s="1"/>
  <c r="F113" i="1"/>
  <c r="F115" i="1" s="1"/>
  <c r="E113" i="1"/>
  <c r="F111" i="1" s="1"/>
  <c r="F106" i="1"/>
  <c r="F108" i="1" s="1"/>
  <c r="E106" i="1"/>
  <c r="F99" i="1"/>
  <c r="E99" i="1"/>
  <c r="F97" i="1" s="1"/>
  <c r="F92" i="1"/>
  <c r="E92" i="1"/>
  <c r="E94" i="1" s="1"/>
  <c r="F57" i="1"/>
  <c r="F64" i="1" s="1"/>
  <c r="F82" i="1"/>
  <c r="F71" i="1"/>
  <c r="E82" i="1"/>
  <c r="E71" i="1"/>
  <c r="E75" i="1" s="1"/>
  <c r="E57" i="1"/>
  <c r="E64" i="1" s="1"/>
  <c r="G50" i="1"/>
  <c r="F19" i="1"/>
  <c r="F38" i="1" s="1"/>
  <c r="I38" i="1" s="1"/>
  <c r="E19" i="1"/>
  <c r="E38" i="1" s="1"/>
  <c r="D19" i="1"/>
  <c r="D38" i="1" s="1"/>
  <c r="H39" i="1"/>
  <c r="I39" i="1"/>
  <c r="J39" i="1"/>
  <c r="K39" i="1"/>
  <c r="G39" i="1"/>
  <c r="F36" i="1"/>
  <c r="H36" i="1" s="1"/>
  <c r="F26" i="1"/>
  <c r="F40" i="1" s="1"/>
  <c r="F23" i="1"/>
  <c r="E26" i="1"/>
  <c r="E40" i="1" s="1"/>
  <c r="E23" i="1"/>
  <c r="E21" i="1"/>
  <c r="E18" i="1"/>
  <c r="E37" i="1" s="1"/>
  <c r="F18" i="1"/>
  <c r="F37" i="1" s="1"/>
  <c r="E36" i="1"/>
  <c r="D40" i="1"/>
  <c r="D23" i="1"/>
  <c r="D18" i="1"/>
  <c r="D37" i="1" s="1"/>
  <c r="F14" i="1"/>
  <c r="E14" i="1" s="1"/>
  <c r="D14" i="1" s="1"/>
  <c r="D51" i="1" s="1"/>
  <c r="F13" i="1"/>
  <c r="G13" i="1" s="1"/>
  <c r="H13" i="1" s="1"/>
  <c r="I13" i="1" s="1"/>
  <c r="J13" i="1" s="1"/>
  <c r="K13" i="1" s="1"/>
  <c r="K88" i="1" s="1"/>
  <c r="F101" i="1" l="1"/>
  <c r="G97" i="1"/>
  <c r="H80" i="1"/>
  <c r="F104" i="1"/>
  <c r="E108" i="1"/>
  <c r="F75" i="1"/>
  <c r="F184" i="1"/>
  <c r="J179" i="1"/>
  <c r="F179" i="1"/>
  <c r="I191" i="1"/>
  <c r="G214" i="1"/>
  <c r="I126" i="1"/>
  <c r="I179" i="1"/>
  <c r="E192" i="1"/>
  <c r="H191" i="1"/>
  <c r="I72" i="1"/>
  <c r="J72" i="1" s="1"/>
  <c r="K72" i="1" s="1"/>
  <c r="J73" i="1"/>
  <c r="K73" i="1" s="1"/>
  <c r="H79" i="1"/>
  <c r="J79" i="1"/>
  <c r="I79" i="1"/>
  <c r="F112" i="1"/>
  <c r="G79" i="1"/>
  <c r="G104" i="1"/>
  <c r="G111" i="1"/>
  <c r="G122" i="1"/>
  <c r="K163" i="1"/>
  <c r="H163" i="1"/>
  <c r="J163" i="1"/>
  <c r="I163" i="1"/>
  <c r="I148" i="1"/>
  <c r="E84" i="1"/>
  <c r="J88" i="1"/>
  <c r="F90" i="1"/>
  <c r="F91" i="1" s="1"/>
  <c r="F105" i="1"/>
  <c r="E115" i="1"/>
  <c r="G115" i="1" s="1"/>
  <c r="H126" i="1"/>
  <c r="H141" i="1"/>
  <c r="H148" i="1"/>
  <c r="I157" i="1"/>
  <c r="J157" i="1"/>
  <c r="F88" i="1"/>
  <c r="G90" i="1"/>
  <c r="F94" i="1"/>
  <c r="G94" i="1" s="1"/>
  <c r="E101" i="1"/>
  <c r="K126" i="1"/>
  <c r="G126" i="1"/>
  <c r="K141" i="1"/>
  <c r="G141" i="1"/>
  <c r="K148" i="1"/>
  <c r="H157" i="1"/>
  <c r="K50" i="1"/>
  <c r="J126" i="1"/>
  <c r="F126" i="1"/>
  <c r="J141" i="1"/>
  <c r="F141" i="1"/>
  <c r="K157" i="1"/>
  <c r="G157" i="1"/>
  <c r="H151" i="1"/>
  <c r="H154" i="1" s="1"/>
  <c r="G149" i="1"/>
  <c r="G101" i="1"/>
  <c r="F98" i="1"/>
  <c r="J50" i="1"/>
  <c r="F50" i="1"/>
  <c r="I88" i="1"/>
  <c r="F51" i="1"/>
  <c r="I50" i="1"/>
  <c r="H88" i="1"/>
  <c r="G14" i="1"/>
  <c r="G192" i="1" s="1"/>
  <c r="D20" i="1"/>
  <c r="D43" i="1" s="1"/>
  <c r="D46" i="1" s="1"/>
  <c r="E51" i="1"/>
  <c r="H50" i="1"/>
  <c r="G88" i="1"/>
  <c r="F84" i="1"/>
  <c r="I37" i="1"/>
  <c r="J37" i="1"/>
  <c r="K37" i="1"/>
  <c r="H37" i="1"/>
  <c r="G37" i="1"/>
  <c r="J40" i="1"/>
  <c r="K40" i="1"/>
  <c r="H40" i="1"/>
  <c r="G40" i="1"/>
  <c r="I40" i="1"/>
  <c r="K36" i="1"/>
  <c r="J36" i="1"/>
  <c r="E13" i="1"/>
  <c r="I36" i="1"/>
  <c r="G36" i="1"/>
  <c r="G16" i="1" s="1"/>
  <c r="G144" i="1" s="1"/>
  <c r="G204" i="1" s="1"/>
  <c r="G206" i="1" s="1"/>
  <c r="G38" i="1"/>
  <c r="H38" i="1"/>
  <c r="K38" i="1"/>
  <c r="J38" i="1"/>
  <c r="F20" i="1"/>
  <c r="E20" i="1"/>
  <c r="E43" i="1" s="1"/>
  <c r="E46" i="1" s="1"/>
  <c r="I80" i="1" l="1"/>
  <c r="H212" i="1"/>
  <c r="H214" i="1" s="1"/>
  <c r="E179" i="1"/>
  <c r="E191" i="1"/>
  <c r="I151" i="1"/>
  <c r="I154" i="1" s="1"/>
  <c r="H61" i="1"/>
  <c r="F186" i="1"/>
  <c r="G181" i="1"/>
  <c r="G184" i="1" s="1"/>
  <c r="G92" i="1"/>
  <c r="G54" i="1" s="1"/>
  <c r="J94" i="1"/>
  <c r="H94" i="1"/>
  <c r="I94" i="1"/>
  <c r="K94" i="1"/>
  <c r="I122" i="1"/>
  <c r="H122" i="1"/>
  <c r="J122" i="1"/>
  <c r="K122" i="1"/>
  <c r="G120" i="1"/>
  <c r="E157" i="1"/>
  <c r="E141" i="1"/>
  <c r="E126" i="1"/>
  <c r="I101" i="1"/>
  <c r="H101" i="1"/>
  <c r="J101" i="1"/>
  <c r="K101" i="1"/>
  <c r="G99" i="1"/>
  <c r="G145" i="1"/>
  <c r="I115" i="1"/>
  <c r="H115" i="1"/>
  <c r="J115" i="1"/>
  <c r="G113" i="1"/>
  <c r="K115" i="1"/>
  <c r="G160" i="1"/>
  <c r="D24" i="1"/>
  <c r="D27" i="1" s="1"/>
  <c r="K149" i="1"/>
  <c r="H149" i="1"/>
  <c r="J149" i="1"/>
  <c r="I149" i="1"/>
  <c r="H16" i="1"/>
  <c r="H160" i="1" s="1"/>
  <c r="G19" i="1"/>
  <c r="H17" i="1"/>
  <c r="H14" i="1"/>
  <c r="H192" i="1" s="1"/>
  <c r="G51" i="1"/>
  <c r="D13" i="1"/>
  <c r="E50" i="1"/>
  <c r="E88" i="1"/>
  <c r="G26" i="1"/>
  <c r="F24" i="1"/>
  <c r="F39" i="1" s="1"/>
  <c r="F43" i="1"/>
  <c r="F46" i="1" s="1"/>
  <c r="G17" i="1"/>
  <c r="D39" i="1"/>
  <c r="E24" i="1"/>
  <c r="G55" i="1" l="1"/>
  <c r="G198" i="1"/>
  <c r="I186" i="1"/>
  <c r="H186" i="1"/>
  <c r="J186" i="1"/>
  <c r="K186" i="1"/>
  <c r="G186" i="1"/>
  <c r="G161" i="1"/>
  <c r="H158" i="1" s="1"/>
  <c r="H161" i="1" s="1"/>
  <c r="G45" i="1"/>
  <c r="G196" i="1"/>
  <c r="D191" i="1"/>
  <c r="D179" i="1"/>
  <c r="J151" i="1"/>
  <c r="J154" i="1" s="1"/>
  <c r="I61" i="1"/>
  <c r="I212" i="1"/>
  <c r="I214" i="1" s="1"/>
  <c r="J80" i="1"/>
  <c r="H45" i="1"/>
  <c r="H196" i="1"/>
  <c r="G146" i="1"/>
  <c r="H143" i="1" s="1"/>
  <c r="G44" i="1"/>
  <c r="G195" i="1"/>
  <c r="H181" i="1"/>
  <c r="H184" i="1" s="1"/>
  <c r="G187" i="1"/>
  <c r="G22" i="1" s="1"/>
  <c r="G71" i="1"/>
  <c r="G77" i="1"/>
  <c r="G98" i="1"/>
  <c r="G91" i="1"/>
  <c r="G197" i="1" s="1"/>
  <c r="G18" i="1"/>
  <c r="G20" i="1" s="1"/>
  <c r="G106" i="1"/>
  <c r="H18" i="1"/>
  <c r="H106" i="1"/>
  <c r="H67" i="1" s="1"/>
  <c r="H144" i="1"/>
  <c r="H204" i="1" s="1"/>
  <c r="H206" i="1" s="1"/>
  <c r="H92" i="1"/>
  <c r="D157" i="1"/>
  <c r="D141" i="1"/>
  <c r="D126" i="1"/>
  <c r="H26" i="1"/>
  <c r="H97" i="1"/>
  <c r="H98" i="1" s="1"/>
  <c r="H90" i="1"/>
  <c r="H111" i="1"/>
  <c r="G68" i="1"/>
  <c r="G112" i="1"/>
  <c r="G200" i="1" s="1"/>
  <c r="H99" i="1"/>
  <c r="H120" i="1"/>
  <c r="H113" i="1"/>
  <c r="H118" i="1"/>
  <c r="G69" i="1"/>
  <c r="G119" i="1"/>
  <c r="G201" i="1" s="1"/>
  <c r="F27" i="1"/>
  <c r="F171" i="1" s="1"/>
  <c r="D50" i="1"/>
  <c r="D88" i="1"/>
  <c r="I14" i="1"/>
  <c r="I192" i="1" s="1"/>
  <c r="H51" i="1"/>
  <c r="I16" i="1"/>
  <c r="H19" i="1"/>
  <c r="E27" i="1"/>
  <c r="E39" i="1"/>
  <c r="I158" i="1" l="1"/>
  <c r="H77" i="1"/>
  <c r="H75" i="1"/>
  <c r="I90" i="1"/>
  <c r="H54" i="1"/>
  <c r="I181" i="1"/>
  <c r="I184" i="1" s="1"/>
  <c r="H187" i="1"/>
  <c r="H22" i="1" s="1"/>
  <c r="H71" i="1"/>
  <c r="I111" i="1"/>
  <c r="H68" i="1"/>
  <c r="K151" i="1"/>
  <c r="K154" i="1" s="1"/>
  <c r="K61" i="1" s="1"/>
  <c r="J61" i="1"/>
  <c r="I118" i="1"/>
  <c r="H69" i="1"/>
  <c r="I97" i="1"/>
  <c r="H198" i="1"/>
  <c r="H55" i="1"/>
  <c r="H145" i="1"/>
  <c r="G24" i="1"/>
  <c r="G25" i="1" s="1"/>
  <c r="G27" i="1" s="1"/>
  <c r="G43" i="1"/>
  <c r="G46" i="1" s="1"/>
  <c r="K80" i="1"/>
  <c r="K212" i="1" s="1"/>
  <c r="K214" i="1" s="1"/>
  <c r="J212" i="1"/>
  <c r="J214" i="1" s="1"/>
  <c r="H91" i="1"/>
  <c r="H197" i="1" s="1"/>
  <c r="I160" i="1"/>
  <c r="I144" i="1"/>
  <c r="I113" i="1"/>
  <c r="I112" i="1" s="1"/>
  <c r="I200" i="1" s="1"/>
  <c r="I104" i="1"/>
  <c r="H112" i="1"/>
  <c r="H200" i="1" s="1"/>
  <c r="H146" i="1"/>
  <c r="H20" i="1"/>
  <c r="I120" i="1"/>
  <c r="I99" i="1"/>
  <c r="H104" i="1"/>
  <c r="H105" i="1" s="1"/>
  <c r="H199" i="1" s="1"/>
  <c r="G67" i="1"/>
  <c r="G75" i="1" s="1"/>
  <c r="G105" i="1"/>
  <c r="G199" i="1" s="1"/>
  <c r="I161" i="1"/>
  <c r="I92" i="1"/>
  <c r="H119" i="1"/>
  <c r="H201" i="1" s="1"/>
  <c r="I19" i="1"/>
  <c r="I26" i="1"/>
  <c r="J16" i="1"/>
  <c r="I17" i="1"/>
  <c r="J14" i="1"/>
  <c r="J192" i="1" s="1"/>
  <c r="I51" i="1"/>
  <c r="G171" i="1" l="1"/>
  <c r="G172" i="1" s="1"/>
  <c r="G194" i="1"/>
  <c r="G202" i="1" s="1"/>
  <c r="G216" i="1" s="1"/>
  <c r="I198" i="1"/>
  <c r="I55" i="1"/>
  <c r="I45" i="1"/>
  <c r="I196" i="1"/>
  <c r="H44" i="1"/>
  <c r="H195" i="1"/>
  <c r="J90" i="1"/>
  <c r="I54" i="1"/>
  <c r="H24" i="1"/>
  <c r="H25" i="1" s="1"/>
  <c r="H27" i="1" s="1"/>
  <c r="H43" i="1"/>
  <c r="H46" i="1" s="1"/>
  <c r="J111" i="1"/>
  <c r="I68" i="1"/>
  <c r="J158" i="1"/>
  <c r="I77" i="1"/>
  <c r="I143" i="1"/>
  <c r="H59" i="1"/>
  <c r="I145" i="1"/>
  <c r="I204" i="1"/>
  <c r="I206" i="1" s="1"/>
  <c r="J181" i="1"/>
  <c r="J184" i="1" s="1"/>
  <c r="I71" i="1"/>
  <c r="I187" i="1"/>
  <c r="I22" i="1" s="1"/>
  <c r="J118" i="1"/>
  <c r="I69" i="1"/>
  <c r="J144" i="1"/>
  <c r="J160" i="1"/>
  <c r="J99" i="1"/>
  <c r="J113" i="1"/>
  <c r="J68" i="1" s="1"/>
  <c r="J120" i="1"/>
  <c r="J69" i="1" s="1"/>
  <c r="J92" i="1"/>
  <c r="J97" i="1"/>
  <c r="I98" i="1"/>
  <c r="I91" i="1"/>
  <c r="I197" i="1" s="1"/>
  <c r="I18" i="1"/>
  <c r="I20" i="1" s="1"/>
  <c r="I106" i="1"/>
  <c r="I119" i="1"/>
  <c r="I201" i="1" s="1"/>
  <c r="I146" i="1"/>
  <c r="J91" i="1"/>
  <c r="J197" i="1" s="1"/>
  <c r="J17" i="1"/>
  <c r="K16" i="1"/>
  <c r="J19" i="1"/>
  <c r="J26" i="1"/>
  <c r="K14" i="1"/>
  <c r="J51" i="1"/>
  <c r="J143" i="1" l="1"/>
  <c r="J146" i="1" s="1"/>
  <c r="I59" i="1"/>
  <c r="J145" i="1"/>
  <c r="J204" i="1"/>
  <c r="J206" i="1" s="1"/>
  <c r="H169" i="1"/>
  <c r="G78" i="1"/>
  <c r="G82" i="1" s="1"/>
  <c r="I44" i="1"/>
  <c r="I195" i="1"/>
  <c r="H171" i="1"/>
  <c r="H194" i="1"/>
  <c r="H202" i="1" s="1"/>
  <c r="H216" i="1" s="1"/>
  <c r="K51" i="1"/>
  <c r="K192" i="1"/>
  <c r="J104" i="1"/>
  <c r="I67" i="1"/>
  <c r="I75" i="1" s="1"/>
  <c r="J198" i="1"/>
  <c r="J55" i="1"/>
  <c r="I24" i="1"/>
  <c r="I25" i="1" s="1"/>
  <c r="I27" i="1" s="1"/>
  <c r="I43" i="1"/>
  <c r="K90" i="1"/>
  <c r="J54" i="1"/>
  <c r="J161" i="1"/>
  <c r="J45" i="1"/>
  <c r="J196" i="1"/>
  <c r="K181" i="1"/>
  <c r="K184" i="1" s="1"/>
  <c r="J187" i="1"/>
  <c r="J22" i="1" s="1"/>
  <c r="J71" i="1"/>
  <c r="G64" i="1"/>
  <c r="K97" i="1"/>
  <c r="J98" i="1"/>
  <c r="K144" i="1"/>
  <c r="K160" i="1"/>
  <c r="K99" i="1"/>
  <c r="K120" i="1"/>
  <c r="K69" i="1" s="1"/>
  <c r="K113" i="1"/>
  <c r="K68" i="1" s="1"/>
  <c r="K92" i="1"/>
  <c r="J18" i="1"/>
  <c r="J20" i="1" s="1"/>
  <c r="J106" i="1"/>
  <c r="J67" i="1" s="1"/>
  <c r="K118" i="1"/>
  <c r="J119" i="1"/>
  <c r="J201" i="1" s="1"/>
  <c r="I105" i="1"/>
  <c r="I199" i="1" s="1"/>
  <c r="J112" i="1"/>
  <c r="J200" i="1" s="1"/>
  <c r="K111" i="1"/>
  <c r="K26" i="1"/>
  <c r="K17" i="1"/>
  <c r="K19" i="1"/>
  <c r="J24" i="1" l="1"/>
  <c r="J25" i="1" s="1"/>
  <c r="J27" i="1" s="1"/>
  <c r="J194" i="1" s="1"/>
  <c r="J202" i="1" s="1"/>
  <c r="J216" i="1" s="1"/>
  <c r="J43" i="1"/>
  <c r="H64" i="1"/>
  <c r="K143" i="1"/>
  <c r="K146" i="1" s="1"/>
  <c r="K59" i="1" s="1"/>
  <c r="J59" i="1"/>
  <c r="K98" i="1"/>
  <c r="K198" i="1"/>
  <c r="K55" i="1"/>
  <c r="I46" i="1"/>
  <c r="K91" i="1"/>
  <c r="K197" i="1" s="1"/>
  <c r="K54" i="1"/>
  <c r="K161" i="1"/>
  <c r="K77" i="1" s="1"/>
  <c r="K45" i="1"/>
  <c r="K196" i="1"/>
  <c r="K158" i="1"/>
  <c r="J77" i="1"/>
  <c r="I171" i="1"/>
  <c r="I194" i="1"/>
  <c r="I202" i="1" s="1"/>
  <c r="I216" i="1" s="1"/>
  <c r="I64" i="1" s="1"/>
  <c r="H172" i="1"/>
  <c r="J44" i="1"/>
  <c r="J195" i="1"/>
  <c r="J75" i="1"/>
  <c r="K145" i="1"/>
  <c r="K204" i="1"/>
  <c r="K206" i="1" s="1"/>
  <c r="G84" i="1"/>
  <c r="K71" i="1"/>
  <c r="K187" i="1"/>
  <c r="K22" i="1" s="1"/>
  <c r="J171" i="1"/>
  <c r="K112" i="1"/>
  <c r="K200" i="1" s="1"/>
  <c r="K119" i="1"/>
  <c r="K201" i="1" s="1"/>
  <c r="K104" i="1"/>
  <c r="J105" i="1"/>
  <c r="J199" i="1" s="1"/>
  <c r="K18" i="1"/>
  <c r="K20" i="1" s="1"/>
  <c r="K106" i="1"/>
  <c r="K67" i="1" s="1"/>
  <c r="K75" i="1" s="1"/>
  <c r="J64" i="1" l="1"/>
  <c r="K24" i="1"/>
  <c r="K25" i="1" s="1"/>
  <c r="K27" i="1" s="1"/>
  <c r="K43" i="1"/>
  <c r="K44" i="1"/>
  <c r="K195" i="1"/>
  <c r="I169" i="1"/>
  <c r="I172" i="1" s="1"/>
  <c r="H78" i="1"/>
  <c r="H82" i="1" s="1"/>
  <c r="H84" i="1" s="1"/>
  <c r="J46" i="1"/>
  <c r="K171" i="1"/>
  <c r="K194" i="1"/>
  <c r="K105" i="1"/>
  <c r="K199" i="1" s="1"/>
  <c r="K202" i="1" l="1"/>
  <c r="K216" i="1" s="1"/>
  <c r="K64" i="1" s="1"/>
  <c r="K46" i="1"/>
  <c r="J169" i="1"/>
  <c r="J172" i="1" s="1"/>
  <c r="I78" i="1"/>
  <c r="I82" i="1" s="1"/>
  <c r="I84" i="1" s="1"/>
  <c r="K169" i="1" l="1"/>
  <c r="K172" i="1" s="1"/>
  <c r="K78" i="1" s="1"/>
  <c r="K82" i="1" s="1"/>
  <c r="K84" i="1" s="1"/>
  <c r="J78" i="1"/>
  <c r="J82" i="1" s="1"/>
  <c r="J8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tc={4F99F23A-2E23-444B-A929-83B6D2EC0931}</author>
  </authors>
  <commentList>
    <comment ref="B23" authorId="0" shapeId="0" xr:uid="{4F99F23A-2E23-444B-A929-83B6D2EC0931}">
      <text>
        <t>[Threaded comment]
Your version of Excel allows you to read this threaded comment; however, any edits to it will get removed if the file is opened in a newer version of Excel. Learn more: https://go.microsoft.com/fwlink/?linkid=870924
Comment:
    Loss on extinguishment of debt and other expense/ income</t>
      </text>
    </comment>
  </commentList>
</comments>
</file>

<file path=xl/sharedStrings.xml><?xml version="1.0" encoding="utf-8"?>
<sst xmlns="http://schemas.openxmlformats.org/spreadsheetml/2006/main" count="171" uniqueCount="135">
  <si>
    <t>Financial Statement Model</t>
  </si>
  <si>
    <t>number in millions unless stated otherwise</t>
  </si>
  <si>
    <t>Company</t>
  </si>
  <si>
    <t>Ticker</t>
  </si>
  <si>
    <t>Valuation Date</t>
  </si>
  <si>
    <t>Lastest FY</t>
  </si>
  <si>
    <t>Lastest Quarter</t>
  </si>
  <si>
    <t>IQVIA Holdings Inc</t>
  </si>
  <si>
    <t>2Q</t>
  </si>
  <si>
    <t>IQVIA</t>
  </si>
  <si>
    <t>Income Statement</t>
  </si>
  <si>
    <t>Fiscal Year</t>
  </si>
  <si>
    <t>FY Date</t>
  </si>
  <si>
    <t>Revenue</t>
  </si>
  <si>
    <t>COGS</t>
  </si>
  <si>
    <t>Gross Profit</t>
  </si>
  <si>
    <t>D&amp;A</t>
  </si>
  <si>
    <t>EBIT</t>
  </si>
  <si>
    <t>Interest Expense</t>
  </si>
  <si>
    <t>Interest Income</t>
  </si>
  <si>
    <t>Other Expenses</t>
  </si>
  <si>
    <t>EBT</t>
  </si>
  <si>
    <t>Tax Expense</t>
  </si>
  <si>
    <t>NCI&amp; Unconsolidated Affliates</t>
  </si>
  <si>
    <t>Net Income</t>
  </si>
  <si>
    <t>Basic EPS</t>
  </si>
  <si>
    <t>Diluted EPS</t>
  </si>
  <si>
    <t>Basic Shares</t>
  </si>
  <si>
    <t>Diluted Shares</t>
  </si>
  <si>
    <t>Margins &amp; Rates</t>
  </si>
  <si>
    <t>Revenue Growth</t>
  </si>
  <si>
    <t>Gross Margin</t>
  </si>
  <si>
    <t>Operating Cost Margin</t>
  </si>
  <si>
    <t>Tax Rate</t>
  </si>
  <si>
    <t>NCI&amp; Other Margin</t>
  </si>
  <si>
    <t>Operating Expense</t>
  </si>
  <si>
    <t>Balance Sheet</t>
  </si>
  <si>
    <t>EBITDA Recon</t>
  </si>
  <si>
    <t>SBC</t>
  </si>
  <si>
    <t xml:space="preserve">EBITDA </t>
  </si>
  <si>
    <t>Cash and cash equivalents</t>
  </si>
  <si>
    <t>Accounts Receivable</t>
  </si>
  <si>
    <t>Prepaid Expenses</t>
  </si>
  <si>
    <t>Income Taxes Receivable</t>
  </si>
  <si>
    <t>Other Current Asset</t>
  </si>
  <si>
    <t>PPE</t>
  </si>
  <si>
    <t>Investments (ST, LT &amp;Unconsolidated Affliates)</t>
  </si>
  <si>
    <t>Goodwill</t>
  </si>
  <si>
    <t>Other Identifiable Intangibles</t>
  </si>
  <si>
    <t>DTA</t>
  </si>
  <si>
    <t>Other Assets</t>
  </si>
  <si>
    <t>Accounts Payable</t>
  </si>
  <si>
    <t>Accrued Expenses</t>
  </si>
  <si>
    <t>Deferred Revenue</t>
  </si>
  <si>
    <t>Income Taxes Payable</t>
  </si>
  <si>
    <t>Debt (ST &amp; LT)</t>
  </si>
  <si>
    <t>DTL</t>
  </si>
  <si>
    <t>Other Liabilities</t>
  </si>
  <si>
    <t>Total Liabilities</t>
  </si>
  <si>
    <t>Total Assets</t>
  </si>
  <si>
    <t>Common Stock &amp; APIC</t>
  </si>
  <si>
    <t>Retained Earnings</t>
  </si>
  <si>
    <t>Treasury Stock</t>
  </si>
  <si>
    <t>Accumulated OCI</t>
  </si>
  <si>
    <t>NCI</t>
  </si>
  <si>
    <t>Total Stockholder's Equity</t>
  </si>
  <si>
    <t>Other Current Liabilities</t>
  </si>
  <si>
    <t>Balance Check</t>
  </si>
  <si>
    <t>Net Working Capital Forecast</t>
  </si>
  <si>
    <t>A/P</t>
  </si>
  <si>
    <t>Beg</t>
  </si>
  <si>
    <t>End</t>
  </si>
  <si>
    <t>Prepaid  Expenses as % Rev or Operating Expenses</t>
  </si>
  <si>
    <t>A/R</t>
  </si>
  <si>
    <t>A/R as % Rev</t>
  </si>
  <si>
    <t>A/P as % COGS</t>
  </si>
  <si>
    <t>Change</t>
  </si>
  <si>
    <t>Deferred Revenue as % Rev</t>
  </si>
  <si>
    <t>Accrued Expenses as % Rev</t>
  </si>
  <si>
    <t>Other Asset &amp; Liabilities</t>
  </si>
  <si>
    <t xml:space="preserve">Income Tax Receivable </t>
  </si>
  <si>
    <t xml:space="preserve">Investments </t>
  </si>
  <si>
    <t>Other Current Assets</t>
  </si>
  <si>
    <t xml:space="preserve">DTA </t>
  </si>
  <si>
    <t xml:space="preserve">Other Current Liabilities </t>
  </si>
  <si>
    <t xml:space="preserve">DTL </t>
  </si>
  <si>
    <t>Long Term Assets</t>
  </si>
  <si>
    <t>Plus: Capex</t>
  </si>
  <si>
    <t>Less: Depreciation</t>
  </si>
  <si>
    <t>PPE Beg</t>
  </si>
  <si>
    <t>PPE End</t>
  </si>
  <si>
    <t>Capex as % Rev</t>
  </si>
  <si>
    <t>Depreciation as % Capex</t>
  </si>
  <si>
    <t>Intangibles Beg</t>
  </si>
  <si>
    <t>Plus: Purchases</t>
  </si>
  <si>
    <t>Less: Amortization</t>
  </si>
  <si>
    <t>Intangibles End</t>
  </si>
  <si>
    <t>Shareholder's Equity Forecast</t>
  </si>
  <si>
    <t>Plus: Common Stock Issuance</t>
  </si>
  <si>
    <t>Plus: Stock Based Compensation</t>
  </si>
  <si>
    <t>Common Stock &amp; APIC End</t>
  </si>
  <si>
    <t>Common Stock &amp; APIC Beg</t>
  </si>
  <si>
    <t>SBC as % Rev</t>
  </si>
  <si>
    <t>Treasury Stock Beg</t>
  </si>
  <si>
    <t>Buy Backs</t>
  </si>
  <si>
    <t>Treasur Stock End</t>
  </si>
  <si>
    <t>Less: Dividends</t>
  </si>
  <si>
    <t>Plus: N/I</t>
  </si>
  <si>
    <t>NCI Changes</t>
  </si>
  <si>
    <t>RE End</t>
  </si>
  <si>
    <t>RE Beg</t>
  </si>
  <si>
    <t>OCI Changes</t>
  </si>
  <si>
    <t xml:space="preserve">Debt </t>
  </si>
  <si>
    <t>Debt Beginning</t>
  </si>
  <si>
    <t>Repayments/ Addition Borrowing</t>
  </si>
  <si>
    <t>PIK Accrual</t>
  </si>
  <si>
    <t>Debt Ending</t>
  </si>
  <si>
    <t>Cash Interest Rate</t>
  </si>
  <si>
    <t>Cash Interest Expense</t>
  </si>
  <si>
    <t>Revolver</t>
  </si>
  <si>
    <t>Cash Flow Statement</t>
  </si>
  <si>
    <t>Date</t>
  </si>
  <si>
    <t>Stock Based Compensation</t>
  </si>
  <si>
    <t>CFO</t>
  </si>
  <si>
    <t>Capex</t>
  </si>
  <si>
    <t>CFI</t>
  </si>
  <si>
    <t>Repayment of Debt</t>
  </si>
  <si>
    <t>Purchase of Intangibles</t>
  </si>
  <si>
    <t>Dividends</t>
  </si>
  <si>
    <t>New Shares</t>
  </si>
  <si>
    <t>Share repurchases</t>
  </si>
  <si>
    <t>OCI</t>
  </si>
  <si>
    <t>CFF</t>
  </si>
  <si>
    <t>Total Change in Cash</t>
  </si>
  <si>
    <t>Changes (Straight Line items, no changes YoY)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</si>
</sst>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&quot;A&quot;"/>
    <numFmt numFmtId="165" formatCode="#&quot;P&quot;"/>
    <numFmt numFmtId="166" formatCode="0.0%"/>
    <numFmt numFmtId="167" formatCode="#,###;\(#,###\);\-\-"/>
    <numFmt numFmtId="168" formatCode="_(* #,##0_);_(* \(#,##0\);_(* &quot;-&quot;??_);_(@_)"/>
    <numFmt numFmtId="169" formatCode="###;\(###\)"/>
    <numFmt numFmtId="170" formatCode="###;\(###\);\-\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2" borderId="0" xfId="0" applyFill="1"/>
    <xf numFmtId="0" fontId="2" fillId="2" borderId="0" xfId="0" applyFont="1" applyFill="1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14" fontId="5" fillId="0" borderId="1" xfId="0" applyNumberFormat="1" applyFont="1" applyBorder="1"/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9" fontId="0" fillId="0" borderId="0" xfId="0" applyNumberFormat="1"/>
    <xf numFmtId="166" fontId="0" fillId="0" borderId="0" xfId="0" applyNumberFormat="1"/>
    <xf numFmtId="10" fontId="0" fillId="0" borderId="0" xfId="0" applyNumberFormat="1"/>
    <xf numFmtId="0" fontId="6" fillId="0" borderId="0" xfId="0" applyFont="1"/>
    <xf numFmtId="167" fontId="6" fillId="0" borderId="0" xfId="0" applyNumberFormat="1" applyFont="1"/>
    <xf numFmtId="167" fontId="7" fillId="0" borderId="0" xfId="0" applyNumberFormat="1" applyFont="1"/>
    <xf numFmtId="0" fontId="6" fillId="0" borderId="0" xfId="0" applyNumberFormat="1" applyFont="1"/>
    <xf numFmtId="166" fontId="9" fillId="0" borderId="0" xfId="0" applyNumberFormat="1" applyFont="1"/>
    <xf numFmtId="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167" fontId="5" fillId="0" borderId="0" xfId="0" applyNumberFormat="1" applyFont="1"/>
    <xf numFmtId="167" fontId="8" fillId="0" borderId="0" xfId="0" applyNumberFormat="1" applyFont="1"/>
    <xf numFmtId="0" fontId="0" fillId="0" borderId="0" xfId="0" applyFont="1"/>
    <xf numFmtId="168" fontId="3" fillId="0" borderId="0" xfId="1" applyNumberFormat="1" applyFont="1"/>
    <xf numFmtId="167" fontId="3" fillId="0" borderId="0" xfId="0" applyNumberFormat="1" applyFont="1"/>
    <xf numFmtId="168" fontId="0" fillId="0" borderId="0" xfId="0" applyNumberFormat="1"/>
    <xf numFmtId="167" fontId="0" fillId="0" borderId="0" xfId="0" applyNumberFormat="1"/>
    <xf numFmtId="9" fontId="6" fillId="0" borderId="0" xfId="0" applyNumberFormat="1" applyFont="1"/>
    <xf numFmtId="165" fontId="5" fillId="0" borderId="0" xfId="0" applyNumberFormat="1" applyFont="1"/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169" fontId="6" fillId="0" borderId="0" xfId="0" applyNumberFormat="1" applyFont="1"/>
    <xf numFmtId="169" fontId="0" fillId="0" borderId="0" xfId="0" applyNumberFormat="1"/>
    <xf numFmtId="170" fontId="6" fillId="0" borderId="0" xfId="0" applyNumberFormat="1" applyFont="1"/>
    <xf numFmtId="164" fontId="5" fillId="0" borderId="1" xfId="0" applyNumberFormat="1" applyFont="1" applyBorder="1"/>
    <xf numFmtId="0" fontId="3" fillId="0" borderId="0" xfId="0" applyFont="1" applyBorder="1"/>
    <xf numFmtId="0" fontId="5" fillId="0" borderId="0" xfId="0" applyFont="1"/>
    <xf numFmtId="165" fontId="5" fillId="0" borderId="1" xfId="0" applyNumberFormat="1" applyFont="1" applyBorder="1"/>
    <xf numFmtId="168" fontId="3" fillId="0" borderId="0" xfId="0" applyNumberFormat="1" applyFont="1"/>
    <xf numFmtId="1" fontId="6" fillId="0" borderId="0" xfId="0" applyNumberFormat="1" applyFont="1"/>
    <xf numFmtId="169" fontId="5" fillId="0" borderId="0" xfId="0" applyNumberFormat="1" applyFont="1"/>
  </cellXfs>
  <cellStyles count="2">
    <cellStyle name="Comma" xfId="1" builtinId="3"/>
    <cellStyle name="Normal" xfId="0" builtinId="0"/>
  </cellStyles>
  <dxfs count="4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ong Yip" id="{45A314D7-367A-4417-8882-084EB3FE7821}" userId="Long Yip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3" dT="2019-10-09T00:58:43.80" personId="{45A314D7-367A-4417-8882-084EB3FE7821}" id="{4F99F23A-2E23-444B-A929-83B6D2EC0931}">
    <text>Loss on extinguishment of debt and other expense/ income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93B1-BA57-4679-92BE-97BA18EC28FF}">
  <dimension ref="A1:M216"/>
  <sheetViews>
    <sheetView tabSelected="1" topLeftCell="A52" workbookViewId="0">
      <selection activeCell="G46" sqref="G46 G61 H151 G202"/>
    </sheetView>
  </sheetViews>
  <sheetFormatPr defaultRowHeight="15" x14ac:dyDescent="0.25"/>
  <cols>
    <col min="2" max="2" width="43.5703125" bestFit="1" customWidth="1"/>
    <col min="3" max="11" width="10.7109375" bestFit="1" customWidth="1"/>
  </cols>
  <sheetData>
    <row r="1" spans="1:11" ht="26.25" x14ac:dyDescent="0.4">
      <c r="A1" s="1" t="s">
        <v>0</v>
      </c>
    </row>
    <row r="2" spans="1:11" x14ac:dyDescent="0.25">
      <c r="A2" t="s">
        <v>1</v>
      </c>
    </row>
    <row r="4" spans="1:11" x14ac:dyDescent="0.25">
      <c r="B4" t="s">
        <v>2</v>
      </c>
      <c r="C4" s="2" t="s">
        <v>7</v>
      </c>
    </row>
    <row r="5" spans="1:11" x14ac:dyDescent="0.25">
      <c r="B5" t="s">
        <v>3</v>
      </c>
      <c r="C5" s="2" t="s">
        <v>9</v>
      </c>
    </row>
    <row r="6" spans="1:11" x14ac:dyDescent="0.25">
      <c r="B6" t="s">
        <v>4</v>
      </c>
      <c r="C6" s="3">
        <v>43745</v>
      </c>
    </row>
    <row r="7" spans="1:11" x14ac:dyDescent="0.25">
      <c r="B7" t="s">
        <v>5</v>
      </c>
      <c r="C7" s="3">
        <v>43465</v>
      </c>
    </row>
    <row r="8" spans="1:11" x14ac:dyDescent="0.25">
      <c r="B8" t="s">
        <v>6</v>
      </c>
      <c r="C8" s="2" t="s">
        <v>8</v>
      </c>
    </row>
    <row r="11" spans="1:11" s="4" customFormat="1" x14ac:dyDescent="0.25">
      <c r="A11" s="5" t="s">
        <v>10</v>
      </c>
    </row>
    <row r="13" spans="1:11" x14ac:dyDescent="0.25">
      <c r="B13" s="6" t="s">
        <v>11</v>
      </c>
      <c r="D13" s="11">
        <f>E13-1</f>
        <v>2016</v>
      </c>
      <c r="E13" s="11">
        <f>F13-1</f>
        <v>2017</v>
      </c>
      <c r="F13" s="11">
        <f>YEAR(C7)</f>
        <v>2018</v>
      </c>
      <c r="G13" s="12">
        <f>F13+1</f>
        <v>2019</v>
      </c>
      <c r="H13" s="12">
        <f t="shared" ref="H13:K13" si="0">G13+1</f>
        <v>2020</v>
      </c>
      <c r="I13" s="12">
        <f t="shared" si="0"/>
        <v>2021</v>
      </c>
      <c r="J13" s="12">
        <f t="shared" si="0"/>
        <v>2022</v>
      </c>
      <c r="K13" s="12">
        <f t="shared" si="0"/>
        <v>2023</v>
      </c>
    </row>
    <row r="14" spans="1:11" ht="15.75" thickBot="1" x14ac:dyDescent="0.3">
      <c r="B14" s="7" t="s">
        <v>12</v>
      </c>
      <c r="C14" s="8"/>
      <c r="D14" s="9">
        <f>EOMONTH(E14,-12)</f>
        <v>42735</v>
      </c>
      <c r="E14" s="9">
        <f>EOMONTH(F14,-12)</f>
        <v>43100</v>
      </c>
      <c r="F14" s="10">
        <f>C7</f>
        <v>43465</v>
      </c>
      <c r="G14" s="9">
        <f>EOMONTH(F14,12)</f>
        <v>43830</v>
      </c>
      <c r="H14" s="9">
        <f t="shared" ref="H14:K14" si="1">EOMONTH(G14,12)</f>
        <v>44196</v>
      </c>
      <c r="I14" s="9">
        <f t="shared" si="1"/>
        <v>44561</v>
      </c>
      <c r="J14" s="9">
        <f t="shared" si="1"/>
        <v>44926</v>
      </c>
      <c r="K14" s="9">
        <f t="shared" si="1"/>
        <v>45291</v>
      </c>
    </row>
    <row r="15" spans="1:11" ht="15.75" thickTop="1" x14ac:dyDescent="0.25"/>
    <row r="16" spans="1:11" x14ac:dyDescent="0.25">
      <c r="B16" t="s">
        <v>13</v>
      </c>
      <c r="D16" s="17">
        <v>6815</v>
      </c>
      <c r="E16" s="17">
        <v>9702</v>
      </c>
      <c r="F16" s="17">
        <v>10412</v>
      </c>
      <c r="G16" s="17">
        <f>F16*(1+G36)</f>
        <v>11173.958359101216</v>
      </c>
      <c r="H16" s="17">
        <f t="shared" ref="H16:K16" si="2">G16*(1+H36)</f>
        <v>11991.677430938144</v>
      </c>
      <c r="I16" s="17">
        <f t="shared" si="2"/>
        <v>12869.237828378475</v>
      </c>
      <c r="J16" s="17">
        <f t="shared" si="2"/>
        <v>13811.018786752906</v>
      </c>
      <c r="K16" s="17">
        <f t="shared" si="2"/>
        <v>14821.720017282134</v>
      </c>
    </row>
    <row r="17" spans="2:11" x14ac:dyDescent="0.25">
      <c r="B17" t="s">
        <v>14</v>
      </c>
      <c r="D17" s="17">
        <v>-4748</v>
      </c>
      <c r="E17" s="17">
        <v>-6301</v>
      </c>
      <c r="F17" s="17">
        <v>-6746</v>
      </c>
      <c r="G17" s="17">
        <f>-G16*(1-G37)</f>
        <v>-7239.6775922490206</v>
      </c>
      <c r="H17" s="17">
        <f t="shared" ref="H17:K17" si="3">-H16*(1-H37)</f>
        <v>-7769.4828994533918</v>
      </c>
      <c r="I17" s="17">
        <f t="shared" si="3"/>
        <v>-8338.0597762429097</v>
      </c>
      <c r="J17" s="17">
        <f t="shared" si="3"/>
        <v>-8948.2455566111312</v>
      </c>
      <c r="K17" s="17">
        <f t="shared" si="3"/>
        <v>-9603.0852128875595</v>
      </c>
    </row>
    <row r="18" spans="2:11" x14ac:dyDescent="0.25">
      <c r="B18" s="6" t="s">
        <v>15</v>
      </c>
      <c r="D18" s="18">
        <f>SUM(D16:D17)</f>
        <v>2067</v>
      </c>
      <c r="E18" s="18">
        <f t="shared" ref="E18:G18" si="4">SUM(E16:E17)</f>
        <v>3401</v>
      </c>
      <c r="F18" s="18">
        <f t="shared" si="4"/>
        <v>3666</v>
      </c>
      <c r="G18" s="18">
        <f t="shared" si="4"/>
        <v>3934.2807668521955</v>
      </c>
      <c r="H18" s="18">
        <f t="shared" ref="H18" si="5">SUM(H16:H17)</f>
        <v>4222.1945314847517</v>
      </c>
      <c r="I18" s="18">
        <f t="shared" ref="I18" si="6">SUM(I16:I17)</f>
        <v>4531.1780521355649</v>
      </c>
      <c r="J18" s="18">
        <f t="shared" ref="J18" si="7">SUM(J16:J17)</f>
        <v>4862.7732301417745</v>
      </c>
      <c r="K18" s="18">
        <f t="shared" ref="K18" si="8">SUM(K16:K17)</f>
        <v>5218.6348043945745</v>
      </c>
    </row>
    <row r="19" spans="2:11" x14ac:dyDescent="0.25">
      <c r="B19" t="s">
        <v>35</v>
      </c>
      <c r="D19" s="17">
        <f>-1016-289-186</f>
        <v>-1491</v>
      </c>
      <c r="E19" s="17">
        <f>-1622-1011-103</f>
        <v>-2736</v>
      </c>
      <c r="F19" s="17">
        <f>-1716-1141-68</f>
        <v>-2925</v>
      </c>
      <c r="G19" s="17">
        <f>G16*-G38</f>
        <v>-3139.0538033395173</v>
      </c>
      <c r="H19" s="17">
        <f t="shared" ref="H19:K19" si="9">H16*-H38</f>
        <v>-3368.7722325676209</v>
      </c>
      <c r="I19" s="17">
        <f t="shared" si="9"/>
        <v>-3615.3016373422047</v>
      </c>
      <c r="J19" s="17">
        <f t="shared" si="9"/>
        <v>-3879.8722580918406</v>
      </c>
      <c r="K19" s="17">
        <f t="shared" si="9"/>
        <v>-4163.8043652084361</v>
      </c>
    </row>
    <row r="20" spans="2:11" x14ac:dyDescent="0.25">
      <c r="B20" s="6" t="s">
        <v>17</v>
      </c>
      <c r="D20" s="18">
        <f>SUM(D18:D19)</f>
        <v>576</v>
      </c>
      <c r="E20" s="18">
        <f>SUM(E18:E19)</f>
        <v>665</v>
      </c>
      <c r="F20" s="18">
        <f>SUM(F18:F19)</f>
        <v>741</v>
      </c>
      <c r="G20" s="18">
        <f>SUM(G18:G19)</f>
        <v>795.22696351267814</v>
      </c>
      <c r="H20" s="18">
        <f t="shared" ref="H20:K20" si="10">SUM(H18:H19)</f>
        <v>853.42229891713077</v>
      </c>
      <c r="I20" s="18">
        <f t="shared" si="10"/>
        <v>915.87641479336025</v>
      </c>
      <c r="J20" s="18">
        <f t="shared" si="10"/>
        <v>982.9009720499339</v>
      </c>
      <c r="K20" s="18">
        <f t="shared" si="10"/>
        <v>1054.8304391861384</v>
      </c>
    </row>
    <row r="21" spans="2:11" x14ac:dyDescent="0.25">
      <c r="B21" t="s">
        <v>19</v>
      </c>
      <c r="D21" s="17">
        <v>4</v>
      </c>
      <c r="E21" s="17">
        <f>7</f>
        <v>7</v>
      </c>
      <c r="F21" s="17">
        <v>8</v>
      </c>
      <c r="G21" s="17"/>
      <c r="H21" s="17"/>
      <c r="I21" s="17"/>
      <c r="J21" s="17"/>
      <c r="K21" s="17"/>
    </row>
    <row r="22" spans="2:11" x14ac:dyDescent="0.25">
      <c r="B22" t="s">
        <v>18</v>
      </c>
      <c r="D22" s="17">
        <v>-144</v>
      </c>
      <c r="E22" s="17">
        <v>-346</v>
      </c>
      <c r="F22" s="17">
        <v>-414</v>
      </c>
      <c r="G22" s="24">
        <f>-G187</f>
        <v>-413.82262304540308</v>
      </c>
      <c r="H22" s="24">
        <f t="shared" ref="H22:K22" si="11">-H187</f>
        <v>-409.92121243877159</v>
      </c>
      <c r="I22" s="24">
        <f t="shared" si="11"/>
        <v>-406.0198018321401</v>
      </c>
      <c r="J22" s="24">
        <f t="shared" si="11"/>
        <v>-402.11839122550856</v>
      </c>
      <c r="K22" s="24">
        <f t="shared" si="11"/>
        <v>-398.21698061887707</v>
      </c>
    </row>
    <row r="23" spans="2:11" x14ac:dyDescent="0.25">
      <c r="B23" t="s">
        <v>20</v>
      </c>
      <c r="D23" s="17">
        <f>-31+11</f>
        <v>-20</v>
      </c>
      <c r="E23" s="17">
        <f>-19-13</f>
        <v>-32</v>
      </c>
      <c r="F23" s="17">
        <f>-2-5</f>
        <v>-7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</row>
    <row r="24" spans="2:11" x14ac:dyDescent="0.25">
      <c r="B24" s="6" t="s">
        <v>21</v>
      </c>
      <c r="D24" s="18">
        <f>SUM(D20:D23)</f>
        <v>416</v>
      </c>
      <c r="E24" s="18">
        <f>SUM(E20:E23)</f>
        <v>294</v>
      </c>
      <c r="F24" s="18">
        <f t="shared" ref="F24:G24" si="12">SUM(F20:F23)</f>
        <v>328</v>
      </c>
      <c r="G24" s="18">
        <f t="shared" si="12"/>
        <v>381.40434046727506</v>
      </c>
      <c r="H24" s="18">
        <f t="shared" ref="H24" si="13">SUM(H20:H23)</f>
        <v>443.50108647835918</v>
      </c>
      <c r="I24" s="18">
        <f t="shared" ref="I24" si="14">SUM(I20:I23)</f>
        <v>509.85661296122015</v>
      </c>
      <c r="J24" s="18">
        <f t="shared" ref="J24" si="15">SUM(J20:J23)</f>
        <v>580.78258082442539</v>
      </c>
      <c r="K24" s="18">
        <f t="shared" ref="K24" si="16">SUM(K20:K23)</f>
        <v>656.61345856726132</v>
      </c>
    </row>
    <row r="25" spans="2:11" x14ac:dyDescent="0.25">
      <c r="B25" t="s">
        <v>22</v>
      </c>
      <c r="D25" s="17">
        <v>-325</v>
      </c>
      <c r="E25" s="17">
        <v>992</v>
      </c>
      <c r="F25" s="17">
        <v>-59</v>
      </c>
      <c r="G25" s="17">
        <f>-G39*(G24)</f>
        <v>-133.49151916354626</v>
      </c>
      <c r="H25" s="17">
        <f t="shared" ref="H25:K25" si="17">-H39*(H24)</f>
        <v>-155.22538026742569</v>
      </c>
      <c r="I25" s="17">
        <f t="shared" si="17"/>
        <v>-178.44981453642706</v>
      </c>
      <c r="J25" s="17">
        <f t="shared" si="17"/>
        <v>-203.27390328854887</v>
      </c>
      <c r="K25" s="17">
        <f t="shared" si="17"/>
        <v>-229.81471049854144</v>
      </c>
    </row>
    <row r="26" spans="2:11" x14ac:dyDescent="0.25">
      <c r="B26" t="s">
        <v>23</v>
      </c>
      <c r="D26" s="17">
        <v>-19</v>
      </c>
      <c r="E26" s="17">
        <f>10-19</f>
        <v>-9</v>
      </c>
      <c r="F26" s="17">
        <f>15-25</f>
        <v>-10</v>
      </c>
      <c r="G26" s="17">
        <f>-G40*G16</f>
        <v>-10.731807874665018</v>
      </c>
      <c r="H26" s="17">
        <f t="shared" ref="H26:K26" si="18">-H40*H16</f>
        <v>-11.517170025872208</v>
      </c>
      <c r="I26" s="17">
        <f t="shared" si="18"/>
        <v>-12.360005597751128</v>
      </c>
      <c r="J26" s="17">
        <f t="shared" si="18"/>
        <v>-13.264520540484927</v>
      </c>
      <c r="K26" s="17">
        <f t="shared" si="18"/>
        <v>-14.235228599003202</v>
      </c>
    </row>
    <row r="27" spans="2:11" x14ac:dyDescent="0.25">
      <c r="B27" s="6" t="s">
        <v>24</v>
      </c>
      <c r="D27" s="18">
        <f>SUM(D24:D26)</f>
        <v>72</v>
      </c>
      <c r="E27" s="18">
        <f t="shared" ref="E27:G27" si="19">SUM(E24:E26)</f>
        <v>1277</v>
      </c>
      <c r="F27" s="18">
        <f t="shared" si="19"/>
        <v>259</v>
      </c>
      <c r="G27" s="18">
        <f t="shared" si="19"/>
        <v>237.1810134290638</v>
      </c>
      <c r="H27" s="18">
        <f t="shared" ref="H27" si="20">SUM(H24:H26)</f>
        <v>276.7585361850613</v>
      </c>
      <c r="I27" s="18">
        <f t="shared" ref="I27" si="21">SUM(I24:I26)</f>
        <v>319.046792827042</v>
      </c>
      <c r="J27" s="18">
        <f t="shared" ref="J27" si="22">SUM(J24:J26)</f>
        <v>364.24415699539162</v>
      </c>
      <c r="K27" s="18">
        <f t="shared" ref="K27" si="23">SUM(K24:K26)</f>
        <v>412.56351946971665</v>
      </c>
    </row>
    <row r="28" spans="2:11" x14ac:dyDescent="0.25">
      <c r="D28" s="17"/>
      <c r="E28" s="17"/>
      <c r="F28" s="17"/>
      <c r="G28" s="17"/>
      <c r="H28" s="17"/>
      <c r="I28" s="17"/>
      <c r="J28" s="17"/>
      <c r="K28" s="17"/>
    </row>
    <row r="29" spans="2:11" x14ac:dyDescent="0.25">
      <c r="B29" t="s">
        <v>25</v>
      </c>
      <c r="D29" s="19">
        <v>0.48</v>
      </c>
      <c r="E29" s="19">
        <v>5.86</v>
      </c>
      <c r="F29" s="19">
        <v>1.27</v>
      </c>
      <c r="G29" s="19"/>
      <c r="H29" s="19"/>
      <c r="I29" s="19"/>
      <c r="J29" s="19"/>
      <c r="K29" s="19"/>
    </row>
    <row r="30" spans="2:11" x14ac:dyDescent="0.25">
      <c r="B30" t="s">
        <v>26</v>
      </c>
      <c r="D30" s="19">
        <v>0.47</v>
      </c>
      <c r="E30" s="19">
        <v>5.74</v>
      </c>
      <c r="F30" s="19">
        <v>1.24</v>
      </c>
      <c r="G30" s="19"/>
      <c r="H30" s="19"/>
      <c r="I30" s="19"/>
      <c r="J30" s="19"/>
      <c r="K30" s="19"/>
    </row>
    <row r="31" spans="2:11" x14ac:dyDescent="0.25">
      <c r="D31" s="17"/>
      <c r="E31" s="17"/>
      <c r="F31" s="17"/>
      <c r="G31" s="17"/>
      <c r="H31" s="17"/>
      <c r="I31" s="17"/>
      <c r="J31" s="17"/>
      <c r="K31" s="17"/>
    </row>
    <row r="32" spans="2:11" x14ac:dyDescent="0.25">
      <c r="B32" t="s">
        <v>27</v>
      </c>
      <c r="D32" s="17">
        <v>149.1</v>
      </c>
      <c r="E32" s="17">
        <v>217.8</v>
      </c>
      <c r="F32" s="17">
        <v>203.7</v>
      </c>
      <c r="G32" s="17"/>
      <c r="H32" s="17"/>
      <c r="I32" s="17"/>
      <c r="J32" s="17"/>
      <c r="K32" s="17"/>
    </row>
    <row r="33" spans="1:11" x14ac:dyDescent="0.25">
      <c r="B33" t="s">
        <v>28</v>
      </c>
      <c r="D33" s="17">
        <v>152</v>
      </c>
      <c r="E33" s="17">
        <v>222.6</v>
      </c>
      <c r="F33" s="17">
        <v>208.2</v>
      </c>
      <c r="G33" s="17"/>
      <c r="H33" s="17"/>
      <c r="I33" s="17"/>
      <c r="J33" s="17"/>
      <c r="K33" s="17"/>
    </row>
    <row r="35" spans="1:11" x14ac:dyDescent="0.25">
      <c r="A35" s="6" t="s">
        <v>29</v>
      </c>
    </row>
    <row r="36" spans="1:11" x14ac:dyDescent="0.25">
      <c r="B36" t="s">
        <v>30</v>
      </c>
      <c r="E36" s="13">
        <f>(E16-D16)/D16</f>
        <v>0.42362435803374909</v>
      </c>
      <c r="F36" s="13">
        <f>(F16-E16)/E16</f>
        <v>7.3180787466501751E-2</v>
      </c>
      <c r="G36" s="21">
        <f>$F$36</f>
        <v>7.3180787466501751E-2</v>
      </c>
      <c r="H36" s="21">
        <f t="shared" ref="H36:K36" si="24">$F$36</f>
        <v>7.3180787466501751E-2</v>
      </c>
      <c r="I36" s="21">
        <f t="shared" si="24"/>
        <v>7.3180787466501751E-2</v>
      </c>
      <c r="J36" s="21">
        <f t="shared" si="24"/>
        <v>7.3180787466501751E-2</v>
      </c>
      <c r="K36" s="21">
        <f t="shared" si="24"/>
        <v>7.3180787466501751E-2</v>
      </c>
    </row>
    <row r="37" spans="1:11" x14ac:dyDescent="0.25">
      <c r="B37" t="s">
        <v>31</v>
      </c>
      <c r="D37" s="14">
        <f>D18/D16</f>
        <v>0.30330154071900223</v>
      </c>
      <c r="E37" s="14">
        <f>E18/E16</f>
        <v>0.35054627911770769</v>
      </c>
      <c r="F37" s="14">
        <f>F18/F16</f>
        <v>0.35209373799462157</v>
      </c>
      <c r="G37" s="21">
        <f>$F$37</f>
        <v>0.35209373799462157</v>
      </c>
      <c r="H37" s="21">
        <f t="shared" ref="H37:K37" si="25">$F$37</f>
        <v>0.35209373799462157</v>
      </c>
      <c r="I37" s="21">
        <f t="shared" si="25"/>
        <v>0.35209373799462157</v>
      </c>
      <c r="J37" s="21">
        <f t="shared" si="25"/>
        <v>0.35209373799462157</v>
      </c>
      <c r="K37" s="21">
        <f t="shared" si="25"/>
        <v>0.35209373799462157</v>
      </c>
    </row>
    <row r="38" spans="1:11" x14ac:dyDescent="0.25">
      <c r="B38" t="s">
        <v>32</v>
      </c>
      <c r="D38" s="14">
        <f>-SUM(D19:D19)/D16</f>
        <v>0.21878209831254586</v>
      </c>
      <c r="E38" s="14">
        <f>-SUM(E19:E19)/E16</f>
        <v>0.28200371057513912</v>
      </c>
      <c r="F38" s="14">
        <f>-SUM(F19:F19)/F16</f>
        <v>0.28092585478294274</v>
      </c>
      <c r="G38" s="21">
        <f>$F$38</f>
        <v>0.28092585478294274</v>
      </c>
      <c r="H38" s="21">
        <f t="shared" ref="H38:K38" si="26">$F$38</f>
        <v>0.28092585478294274</v>
      </c>
      <c r="I38" s="21">
        <f t="shared" si="26"/>
        <v>0.28092585478294274</v>
      </c>
      <c r="J38" s="21">
        <f t="shared" si="26"/>
        <v>0.28092585478294274</v>
      </c>
      <c r="K38" s="21">
        <f t="shared" si="26"/>
        <v>0.28092585478294274</v>
      </c>
    </row>
    <row r="39" spans="1:11" x14ac:dyDescent="0.25">
      <c r="B39" t="s">
        <v>33</v>
      </c>
      <c r="D39" s="14">
        <f>D25/-D24</f>
        <v>0.78125</v>
      </c>
      <c r="E39" s="14">
        <f>E25/E24</f>
        <v>3.3741496598639458</v>
      </c>
      <c r="F39" s="14">
        <f t="shared" ref="F39" si="27">F25/-F24</f>
        <v>0.1798780487804878</v>
      </c>
      <c r="G39" s="20">
        <f>0.35</f>
        <v>0.35</v>
      </c>
      <c r="H39" s="20">
        <f t="shared" ref="H39:K39" si="28">0.35</f>
        <v>0.35</v>
      </c>
      <c r="I39" s="20">
        <f t="shared" si="28"/>
        <v>0.35</v>
      </c>
      <c r="J39" s="20">
        <f t="shared" si="28"/>
        <v>0.35</v>
      </c>
      <c r="K39" s="20">
        <f t="shared" si="28"/>
        <v>0.35</v>
      </c>
    </row>
    <row r="40" spans="1:11" x14ac:dyDescent="0.25">
      <c r="B40" t="s">
        <v>34</v>
      </c>
      <c r="D40" s="14">
        <f>-D26/D16</f>
        <v>2.7879677182685255E-3</v>
      </c>
      <c r="E40" s="14">
        <f>-E26/E16</f>
        <v>9.2764378478664194E-4</v>
      </c>
      <c r="F40" s="14">
        <f>-F26/F16</f>
        <v>9.6043027276219745E-4</v>
      </c>
      <c r="G40" s="22">
        <f>$F$40</f>
        <v>9.6043027276219745E-4</v>
      </c>
      <c r="H40" s="22">
        <f t="shared" ref="H40:K40" si="29">$F$40</f>
        <v>9.6043027276219745E-4</v>
      </c>
      <c r="I40" s="22">
        <f t="shared" si="29"/>
        <v>9.6043027276219745E-4</v>
      </c>
      <c r="J40" s="22">
        <f t="shared" si="29"/>
        <v>9.6043027276219745E-4</v>
      </c>
      <c r="K40" s="22">
        <f t="shared" si="29"/>
        <v>9.6043027276219745E-4</v>
      </c>
    </row>
    <row r="41" spans="1:11" x14ac:dyDescent="0.25">
      <c r="D41" s="14"/>
      <c r="E41" s="14"/>
      <c r="F41" s="14"/>
      <c r="G41" s="22"/>
      <c r="H41" s="22"/>
      <c r="I41" s="22"/>
      <c r="J41" s="22"/>
      <c r="K41" s="22"/>
    </row>
    <row r="42" spans="1:11" x14ac:dyDescent="0.25">
      <c r="B42" t="s">
        <v>37</v>
      </c>
      <c r="D42" s="14"/>
      <c r="E42" s="14"/>
      <c r="F42" s="14"/>
      <c r="G42" s="22"/>
      <c r="H42" s="22"/>
      <c r="I42" s="22"/>
      <c r="J42" s="22"/>
      <c r="K42" s="22"/>
    </row>
    <row r="43" spans="1:11" x14ac:dyDescent="0.25">
      <c r="B43" t="s">
        <v>17</v>
      </c>
      <c r="D43" s="24">
        <f>D20</f>
        <v>576</v>
      </c>
      <c r="E43" s="24">
        <f t="shared" ref="E43:K43" si="30">E20</f>
        <v>665</v>
      </c>
      <c r="F43" s="24">
        <f t="shared" si="30"/>
        <v>741</v>
      </c>
      <c r="G43" s="24">
        <f t="shared" si="30"/>
        <v>795.22696351267814</v>
      </c>
      <c r="H43" s="24">
        <f t="shared" si="30"/>
        <v>853.42229891713077</v>
      </c>
      <c r="I43" s="24">
        <f t="shared" si="30"/>
        <v>915.87641479336025</v>
      </c>
      <c r="J43" s="24">
        <f t="shared" si="30"/>
        <v>982.9009720499339</v>
      </c>
      <c r="K43" s="24">
        <f t="shared" si="30"/>
        <v>1054.8304391861384</v>
      </c>
    </row>
    <row r="44" spans="1:11" x14ac:dyDescent="0.25">
      <c r="B44" t="s">
        <v>16</v>
      </c>
      <c r="D44" s="17">
        <v>289</v>
      </c>
      <c r="E44" s="17">
        <v>1296</v>
      </c>
      <c r="F44" s="17">
        <f>1141</f>
        <v>1141</v>
      </c>
      <c r="G44" s="17">
        <f>-(G145+G153)</f>
        <v>1196.0627490457052</v>
      </c>
      <c r="H44" s="17">
        <f t="shared" ref="H44:K44" si="31">-(H145+H153)</f>
        <v>1151.6053744654591</v>
      </c>
      <c r="I44" s="17">
        <f t="shared" si="31"/>
        <v>1004.9195175153948</v>
      </c>
      <c r="J44" s="17">
        <f t="shared" si="31"/>
        <v>667.06163846323341</v>
      </c>
      <c r="K44" s="17">
        <f t="shared" si="31"/>
        <v>596.09232938354842</v>
      </c>
    </row>
    <row r="45" spans="1:11" x14ac:dyDescent="0.25">
      <c r="B45" t="s">
        <v>38</v>
      </c>
      <c r="D45" s="17">
        <v>80</v>
      </c>
      <c r="E45" s="17">
        <v>106</v>
      </c>
      <c r="F45" s="17">
        <v>113</v>
      </c>
      <c r="G45" s="24">
        <f>G160</f>
        <v>121.67571562898004</v>
      </c>
      <c r="H45" s="24">
        <f t="shared" ref="H45:K45" si="32">H160</f>
        <v>130.58004031425895</v>
      </c>
      <c r="I45" s="24">
        <f t="shared" si="32"/>
        <v>140.13599049186396</v>
      </c>
      <c r="J45" s="24">
        <f t="shared" si="32"/>
        <v>150.39125262845681</v>
      </c>
      <c r="K45" s="24">
        <f t="shared" si="32"/>
        <v>161.39700292388088</v>
      </c>
    </row>
    <row r="46" spans="1:11" s="6" customFormat="1" x14ac:dyDescent="0.25">
      <c r="B46" s="6" t="s">
        <v>39</v>
      </c>
      <c r="D46" s="18">
        <f>SUM(D43:D45)</f>
        <v>945</v>
      </c>
      <c r="E46" s="18">
        <f t="shared" ref="E46:F46" si="33">SUM(E43:E45)</f>
        <v>2067</v>
      </c>
      <c r="F46" s="18">
        <f t="shared" si="33"/>
        <v>1995</v>
      </c>
      <c r="G46" s="18">
        <f t="shared" ref="G46" si="34">SUM(G43:G45)</f>
        <v>2112.9654281873636</v>
      </c>
      <c r="H46" s="18">
        <f t="shared" ref="H46" si="35">SUM(H43:H45)</f>
        <v>2135.6077136968488</v>
      </c>
      <c r="I46" s="18">
        <f t="shared" ref="I46" si="36">SUM(I43:I45)</f>
        <v>2060.9319228006188</v>
      </c>
      <c r="J46" s="18">
        <f t="shared" ref="J46" si="37">SUM(J43:J45)</f>
        <v>1800.3538631416243</v>
      </c>
      <c r="K46" s="18">
        <f t="shared" ref="K46" si="38">SUM(K43:K45)</f>
        <v>1812.3197714935677</v>
      </c>
    </row>
    <row r="48" spans="1:11" s="4" customFormat="1" x14ac:dyDescent="0.25">
      <c r="A48" s="5" t="s">
        <v>36</v>
      </c>
    </row>
    <row r="50" spans="2:13" x14ac:dyDescent="0.25">
      <c r="B50" s="6" t="s">
        <v>11</v>
      </c>
      <c r="D50" s="23">
        <f>D13</f>
        <v>2016</v>
      </c>
      <c r="E50" s="23">
        <f t="shared" ref="E50:K50" si="39">E13</f>
        <v>2017</v>
      </c>
      <c r="F50" s="23">
        <f t="shared" si="39"/>
        <v>2018</v>
      </c>
      <c r="G50" s="32">
        <f t="shared" si="39"/>
        <v>2019</v>
      </c>
      <c r="H50" s="32">
        <f t="shared" si="39"/>
        <v>2020</v>
      </c>
      <c r="I50" s="32">
        <f t="shared" si="39"/>
        <v>2021</v>
      </c>
      <c r="J50" s="32">
        <f t="shared" si="39"/>
        <v>2022</v>
      </c>
      <c r="K50" s="32">
        <f t="shared" si="39"/>
        <v>2023</v>
      </c>
    </row>
    <row r="51" spans="2:13" ht="15.75" thickBot="1" x14ac:dyDescent="0.3">
      <c r="B51" s="7" t="s">
        <v>12</v>
      </c>
      <c r="C51" s="8"/>
      <c r="D51" s="10">
        <f>D14</f>
        <v>42735</v>
      </c>
      <c r="E51" s="10">
        <f t="shared" ref="E51:K51" si="40">E14</f>
        <v>43100</v>
      </c>
      <c r="F51" s="10">
        <f t="shared" si="40"/>
        <v>43465</v>
      </c>
      <c r="G51" s="10">
        <f t="shared" si="40"/>
        <v>43830</v>
      </c>
      <c r="H51" s="10">
        <f t="shared" si="40"/>
        <v>44196</v>
      </c>
      <c r="I51" s="10">
        <f t="shared" si="40"/>
        <v>44561</v>
      </c>
      <c r="J51" s="10">
        <f t="shared" si="40"/>
        <v>44926</v>
      </c>
      <c r="K51" s="10">
        <f t="shared" si="40"/>
        <v>45291</v>
      </c>
    </row>
    <row r="52" spans="2:13" ht="15.75" thickTop="1" x14ac:dyDescent="0.25"/>
    <row r="53" spans="2:13" x14ac:dyDescent="0.25">
      <c r="B53" t="s">
        <v>40</v>
      </c>
      <c r="E53" s="17">
        <v>959</v>
      </c>
      <c r="F53" s="17">
        <v>891</v>
      </c>
      <c r="G53" s="30">
        <f>F53+G216</f>
        <v>1394.5160039641969</v>
      </c>
      <c r="H53" s="30">
        <f t="shared" ref="H53:K53" si="41">G53+H216</f>
        <v>2104.0399013469364</v>
      </c>
      <c r="I53" s="30">
        <f t="shared" si="41"/>
        <v>2680.2714953273721</v>
      </c>
      <c r="J53" s="30">
        <f t="shared" si="41"/>
        <v>2932.8333342037299</v>
      </c>
      <c r="K53" s="30">
        <f t="shared" si="41"/>
        <v>3129.4667056364042</v>
      </c>
    </row>
    <row r="54" spans="2:13" x14ac:dyDescent="0.25">
      <c r="B54" t="s">
        <v>41</v>
      </c>
      <c r="E54" s="17">
        <v>2097</v>
      </c>
      <c r="F54" s="17">
        <v>2394</v>
      </c>
      <c r="G54" s="24">
        <f>G92</f>
        <v>2492.1726798101035</v>
      </c>
      <c r="H54" s="24">
        <f t="shared" ref="H54:K54" si="42">H92</f>
        <v>2674.5518390211091</v>
      </c>
      <c r="I54" s="24">
        <f t="shared" si="42"/>
        <v>2870.2776487206543</v>
      </c>
      <c r="J54" s="24">
        <f t="shared" si="42"/>
        <v>3080.3268273015315</v>
      </c>
      <c r="K54" s="24">
        <f t="shared" si="42"/>
        <v>3305.7475701776484</v>
      </c>
    </row>
    <row r="55" spans="2:13" x14ac:dyDescent="0.25">
      <c r="B55" t="s">
        <v>42</v>
      </c>
      <c r="E55" s="17">
        <v>146</v>
      </c>
      <c r="F55" s="17">
        <v>151</v>
      </c>
      <c r="G55" s="24">
        <f>G99</f>
        <v>165.100490642588</v>
      </c>
      <c r="H55" s="24">
        <f t="shared" ref="H55:K55" si="43">H99</f>
        <v>177.18267455891842</v>
      </c>
      <c r="I55" s="24">
        <f t="shared" si="43"/>
        <v>190.14904220856099</v>
      </c>
      <c r="J55" s="24">
        <f t="shared" si="43"/>
        <v>204.06429885338457</v>
      </c>
      <c r="K55" s="24">
        <f t="shared" si="43"/>
        <v>218.99788493727482</v>
      </c>
    </row>
    <row r="56" spans="2:13" x14ac:dyDescent="0.25">
      <c r="B56" t="s">
        <v>43</v>
      </c>
      <c r="E56" s="17">
        <v>47</v>
      </c>
      <c r="F56" s="17">
        <v>69</v>
      </c>
      <c r="G56" s="24">
        <f>G128+F56</f>
        <v>69</v>
      </c>
      <c r="H56" s="24">
        <f t="shared" ref="H56:K56" si="44">H128+G56</f>
        <v>69</v>
      </c>
      <c r="I56" s="24">
        <f t="shared" si="44"/>
        <v>69</v>
      </c>
      <c r="J56" s="24">
        <f t="shared" si="44"/>
        <v>69</v>
      </c>
      <c r="K56" s="24">
        <f t="shared" si="44"/>
        <v>69</v>
      </c>
    </row>
    <row r="57" spans="2:13" x14ac:dyDescent="0.25">
      <c r="B57" t="s">
        <v>46</v>
      </c>
      <c r="E57" s="17">
        <f>46+8+70</f>
        <v>124</v>
      </c>
      <c r="F57" s="17">
        <f>47+41+101</f>
        <v>189</v>
      </c>
      <c r="G57" s="24">
        <f>G129+F57</f>
        <v>189</v>
      </c>
      <c r="H57" s="24">
        <f t="shared" ref="H57:K57" si="45">H129+G57</f>
        <v>189</v>
      </c>
      <c r="I57" s="24">
        <f t="shared" si="45"/>
        <v>189</v>
      </c>
      <c r="J57" s="24">
        <f t="shared" si="45"/>
        <v>189</v>
      </c>
      <c r="K57" s="24">
        <f t="shared" si="45"/>
        <v>189</v>
      </c>
    </row>
    <row r="58" spans="2:13" x14ac:dyDescent="0.25">
      <c r="B58" t="s">
        <v>44</v>
      </c>
      <c r="E58" s="17">
        <v>259</v>
      </c>
      <c r="F58" s="17">
        <v>322</v>
      </c>
      <c r="G58" s="24">
        <f>G130+F58</f>
        <v>322</v>
      </c>
      <c r="H58" s="24">
        <f t="shared" ref="H58:K58" si="46">H130+G58</f>
        <v>322</v>
      </c>
      <c r="I58" s="24">
        <f t="shared" si="46"/>
        <v>322</v>
      </c>
      <c r="J58" s="24">
        <f t="shared" si="46"/>
        <v>322</v>
      </c>
      <c r="K58" s="24">
        <f t="shared" si="46"/>
        <v>322</v>
      </c>
    </row>
    <row r="59" spans="2:13" x14ac:dyDescent="0.25">
      <c r="B59" t="s">
        <v>45</v>
      </c>
      <c r="E59" s="17">
        <v>440</v>
      </c>
      <c r="F59" s="17">
        <v>434</v>
      </c>
      <c r="G59" s="24">
        <f>G146</f>
        <v>685.42724610987921</v>
      </c>
      <c r="H59" s="24">
        <f t="shared" ref="H59:K59" si="47">H146</f>
        <v>955.25413608061331</v>
      </c>
      <c r="I59" s="24">
        <f t="shared" si="47"/>
        <v>1244.8271703390431</v>
      </c>
      <c r="J59" s="24">
        <f t="shared" si="47"/>
        <v>1555.5913872735687</v>
      </c>
      <c r="K59" s="24">
        <f t="shared" si="47"/>
        <v>1889.0975743197739</v>
      </c>
    </row>
    <row r="60" spans="2:13" x14ac:dyDescent="0.25">
      <c r="B60" t="s">
        <v>47</v>
      </c>
      <c r="E60" s="17">
        <v>11850</v>
      </c>
      <c r="F60" s="17">
        <v>11800</v>
      </c>
      <c r="G60" s="24">
        <f>G132+F60</f>
        <v>11800</v>
      </c>
      <c r="H60" s="24">
        <f t="shared" ref="H60:K60" si="48">H132+G60</f>
        <v>11800</v>
      </c>
      <c r="I60" s="24">
        <f t="shared" si="48"/>
        <v>11800</v>
      </c>
      <c r="J60" s="24">
        <f t="shared" si="48"/>
        <v>11800</v>
      </c>
      <c r="K60" s="24">
        <f t="shared" si="48"/>
        <v>11800</v>
      </c>
    </row>
    <row r="61" spans="2:13" x14ac:dyDescent="0.25">
      <c r="B61" t="s">
        <v>48</v>
      </c>
      <c r="E61" s="17">
        <v>6591</v>
      </c>
      <c r="F61" s="17">
        <v>5951</v>
      </c>
      <c r="G61" s="24">
        <f>G154</f>
        <v>4899</v>
      </c>
      <c r="H61" s="24">
        <f t="shared" ref="H61:K61" si="49">H154</f>
        <v>3902</v>
      </c>
      <c r="I61" s="24">
        <f t="shared" si="49"/>
        <v>3063</v>
      </c>
      <c r="J61" s="24">
        <f t="shared" si="49"/>
        <v>2574</v>
      </c>
      <c r="K61" s="24">
        <f t="shared" si="49"/>
        <v>2169</v>
      </c>
    </row>
    <row r="62" spans="2:13" x14ac:dyDescent="0.25">
      <c r="B62" t="s">
        <v>49</v>
      </c>
      <c r="E62" s="17">
        <v>109</v>
      </c>
      <c r="F62" s="17">
        <v>109</v>
      </c>
      <c r="G62" s="24">
        <f>G134+F62</f>
        <v>109</v>
      </c>
      <c r="H62" s="24">
        <f t="shared" ref="H62:K62" si="50">H134+G62</f>
        <v>109</v>
      </c>
      <c r="I62" s="24">
        <f t="shared" si="50"/>
        <v>109</v>
      </c>
      <c r="J62" s="24">
        <f t="shared" si="50"/>
        <v>109</v>
      </c>
      <c r="K62" s="24">
        <f t="shared" si="50"/>
        <v>109</v>
      </c>
    </row>
    <row r="63" spans="2:13" s="26" customFormat="1" x14ac:dyDescent="0.25">
      <c r="B63" s="26" t="s">
        <v>50</v>
      </c>
      <c r="E63" s="17">
        <v>235</v>
      </c>
      <c r="F63" s="17">
        <v>239</v>
      </c>
      <c r="G63" s="24">
        <f>G135+F63</f>
        <v>239</v>
      </c>
      <c r="H63" s="24">
        <f t="shared" ref="H63:K63" si="51">H135+G63</f>
        <v>239</v>
      </c>
      <c r="I63" s="24">
        <f t="shared" si="51"/>
        <v>239</v>
      </c>
      <c r="J63" s="24">
        <f t="shared" si="51"/>
        <v>239</v>
      </c>
      <c r="K63" s="24">
        <f t="shared" si="51"/>
        <v>239</v>
      </c>
    </row>
    <row r="64" spans="2:13" s="6" customFormat="1" x14ac:dyDescent="0.25">
      <c r="B64" s="6" t="s">
        <v>59</v>
      </c>
      <c r="E64" s="27">
        <f>SUM(E53:E63)</f>
        <v>22857</v>
      </c>
      <c r="F64" s="27">
        <f t="shared" ref="F64:K64" si="52">SUM(F53:F63)</f>
        <v>22549</v>
      </c>
      <c r="G64" s="27">
        <f t="shared" si="52"/>
        <v>22364.216420526769</v>
      </c>
      <c r="H64" s="27">
        <f t="shared" si="52"/>
        <v>22541.028551007577</v>
      </c>
      <c r="I64" s="27">
        <f t="shared" si="52"/>
        <v>22776.52535659563</v>
      </c>
      <c r="J64" s="27">
        <f t="shared" si="52"/>
        <v>23074.815847632213</v>
      </c>
      <c r="K64" s="27">
        <f t="shared" si="52"/>
        <v>23440.309735071103</v>
      </c>
      <c r="M64" s="43"/>
    </row>
    <row r="66" spans="2:11" x14ac:dyDescent="0.25">
      <c r="B66" t="s">
        <v>119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</row>
    <row r="67" spans="2:11" x14ac:dyDescent="0.25">
      <c r="B67" t="s">
        <v>51</v>
      </c>
      <c r="E67" s="17">
        <v>322</v>
      </c>
      <c r="F67" s="17">
        <v>437</v>
      </c>
      <c r="G67" s="24">
        <f>G106</f>
        <v>470.57904349618633</v>
      </c>
      <c r="H67" s="24">
        <f t="shared" ref="H67:K67" si="53">H106</f>
        <v>505.01638846447048</v>
      </c>
      <c r="I67" s="24">
        <f t="shared" si="53"/>
        <v>541.97388545578917</v>
      </c>
      <c r="J67" s="24">
        <f t="shared" si="53"/>
        <v>581.63596117972349</v>
      </c>
      <c r="K67" s="24">
        <f t="shared" si="53"/>
        <v>624.2005388376914</v>
      </c>
    </row>
    <row r="68" spans="2:11" x14ac:dyDescent="0.25">
      <c r="B68" t="s">
        <v>52</v>
      </c>
      <c r="E68" s="17">
        <v>1664</v>
      </c>
      <c r="F68" s="17">
        <v>1858</v>
      </c>
      <c r="G68" s="24">
        <f>G113</f>
        <v>1955.2134977089479</v>
      </c>
      <c r="H68" s="24">
        <f t="shared" ref="H68:K68" si="54">H113</f>
        <v>2098.2975611364222</v>
      </c>
      <c r="I68" s="24">
        <f t="shared" si="54"/>
        <v>2251.8526289994256</v>
      </c>
      <c r="J68" s="24">
        <f t="shared" si="54"/>
        <v>2416.6449776481163</v>
      </c>
      <c r="K68" s="24">
        <f t="shared" si="54"/>
        <v>2593.4969601393718</v>
      </c>
    </row>
    <row r="69" spans="2:11" x14ac:dyDescent="0.25">
      <c r="B69" t="s">
        <v>53</v>
      </c>
      <c r="E69" s="17">
        <v>985</v>
      </c>
      <c r="F69" s="17">
        <v>1007</v>
      </c>
      <c r="G69" s="24">
        <f>G120</f>
        <v>1107.5671502635898</v>
      </c>
      <c r="H69" s="24">
        <f t="shared" ref="H69:K69" si="55">H120</f>
        <v>1188.6197864919088</v>
      </c>
      <c r="I69" s="24">
        <f t="shared" si="55"/>
        <v>1275.603918465652</v>
      </c>
      <c r="J69" s="24">
        <f t="shared" si="55"/>
        <v>1368.9536177143239</v>
      </c>
      <c r="K69" s="24">
        <f t="shared" si="55"/>
        <v>1469.1347214637744</v>
      </c>
    </row>
    <row r="70" spans="2:11" x14ac:dyDescent="0.25">
      <c r="B70" t="s">
        <v>54</v>
      </c>
      <c r="E70" s="17">
        <v>72</v>
      </c>
      <c r="F70" s="17">
        <v>100</v>
      </c>
      <c r="G70" s="24">
        <f>G134+F70</f>
        <v>100</v>
      </c>
      <c r="H70" s="24">
        <f t="shared" ref="H70:K70" si="56">H134+G70</f>
        <v>100</v>
      </c>
      <c r="I70" s="24">
        <f t="shared" si="56"/>
        <v>100</v>
      </c>
      <c r="J70" s="24">
        <f t="shared" si="56"/>
        <v>100</v>
      </c>
      <c r="K70" s="24">
        <f t="shared" si="56"/>
        <v>100</v>
      </c>
    </row>
    <row r="71" spans="2:11" x14ac:dyDescent="0.25">
      <c r="B71" t="s">
        <v>55</v>
      </c>
      <c r="E71" s="17">
        <f>103+10122</f>
        <v>10225</v>
      </c>
      <c r="F71" s="17">
        <f>100+10907</f>
        <v>11007</v>
      </c>
      <c r="G71" s="24">
        <f>G184</f>
        <v>10607</v>
      </c>
      <c r="H71" s="24">
        <f t="shared" ref="H71:K71" si="57">H184</f>
        <v>10507</v>
      </c>
      <c r="I71" s="24">
        <f t="shared" si="57"/>
        <v>10407</v>
      </c>
      <c r="J71" s="24">
        <f t="shared" si="57"/>
        <v>10307</v>
      </c>
      <c r="K71" s="24">
        <f t="shared" si="57"/>
        <v>10207</v>
      </c>
    </row>
    <row r="72" spans="2:11" x14ac:dyDescent="0.25">
      <c r="B72" t="s">
        <v>66</v>
      </c>
      <c r="E72" s="17">
        <v>10</v>
      </c>
      <c r="F72" s="17">
        <v>32</v>
      </c>
      <c r="G72" s="24">
        <f t="shared" ref="G72:K74" si="58">G136+F72</f>
        <v>32</v>
      </c>
      <c r="H72" s="24">
        <f t="shared" si="58"/>
        <v>32</v>
      </c>
      <c r="I72" s="24">
        <f t="shared" si="58"/>
        <v>32</v>
      </c>
      <c r="J72" s="24">
        <f t="shared" si="58"/>
        <v>32</v>
      </c>
      <c r="K72" s="24">
        <f t="shared" si="58"/>
        <v>32</v>
      </c>
    </row>
    <row r="73" spans="2:11" x14ac:dyDescent="0.25">
      <c r="B73" t="s">
        <v>56</v>
      </c>
      <c r="E73" s="17">
        <v>895</v>
      </c>
      <c r="F73" s="17">
        <v>736</v>
      </c>
      <c r="G73" s="24">
        <f t="shared" si="58"/>
        <v>736</v>
      </c>
      <c r="H73" s="24">
        <f t="shared" si="58"/>
        <v>736</v>
      </c>
      <c r="I73" s="24">
        <f t="shared" si="58"/>
        <v>736</v>
      </c>
      <c r="J73" s="24">
        <f t="shared" si="58"/>
        <v>736</v>
      </c>
      <c r="K73" s="24">
        <f t="shared" si="58"/>
        <v>736</v>
      </c>
    </row>
    <row r="74" spans="2:11" x14ac:dyDescent="0.25">
      <c r="B74" t="s">
        <v>57</v>
      </c>
      <c r="E74" s="17">
        <v>440</v>
      </c>
      <c r="F74" s="17">
        <v>418</v>
      </c>
      <c r="G74" s="24">
        <f t="shared" si="58"/>
        <v>418</v>
      </c>
      <c r="H74" s="24">
        <f t="shared" si="58"/>
        <v>418</v>
      </c>
      <c r="I74" s="24">
        <f t="shared" si="58"/>
        <v>418</v>
      </c>
      <c r="J74" s="24">
        <f t="shared" si="58"/>
        <v>418</v>
      </c>
      <c r="K74" s="24">
        <f t="shared" si="58"/>
        <v>418</v>
      </c>
    </row>
    <row r="75" spans="2:11" s="6" customFormat="1" x14ac:dyDescent="0.25">
      <c r="B75" s="6" t="s">
        <v>58</v>
      </c>
      <c r="E75" s="28">
        <f>SUM(E67:E74)</f>
        <v>14613</v>
      </c>
      <c r="F75" s="28">
        <f t="shared" ref="F75:K75" si="59">SUM(F67:F74)</f>
        <v>15595</v>
      </c>
      <c r="G75" s="28">
        <f>SUM(G66:G74)</f>
        <v>15426.359691468724</v>
      </c>
      <c r="H75" s="28">
        <f t="shared" si="59"/>
        <v>15584.9337360928</v>
      </c>
      <c r="I75" s="28">
        <f t="shared" si="59"/>
        <v>15762.430432920866</v>
      </c>
      <c r="J75" s="28">
        <f t="shared" si="59"/>
        <v>15960.234556542164</v>
      </c>
      <c r="K75" s="28">
        <f t="shared" si="59"/>
        <v>16179.832220440838</v>
      </c>
    </row>
    <row r="77" spans="2:11" x14ac:dyDescent="0.25">
      <c r="B77" t="s">
        <v>60</v>
      </c>
      <c r="E77" s="17">
        <v>10782</v>
      </c>
      <c r="F77" s="17">
        <v>10901</v>
      </c>
      <c r="G77" s="24">
        <f>G161</f>
        <v>11022.67571562898</v>
      </c>
      <c r="H77" s="24">
        <f t="shared" ref="H77:K77" si="60">H161</f>
        <v>11153.255755943239</v>
      </c>
      <c r="I77" s="24">
        <f t="shared" si="60"/>
        <v>11293.391746435103</v>
      </c>
      <c r="J77" s="24">
        <f t="shared" si="60"/>
        <v>11443.78299906356</v>
      </c>
      <c r="K77" s="24">
        <f t="shared" si="60"/>
        <v>11605.180001987441</v>
      </c>
    </row>
    <row r="78" spans="2:11" x14ac:dyDescent="0.25">
      <c r="B78" t="s">
        <v>61</v>
      </c>
      <c r="E78" s="17">
        <v>538</v>
      </c>
      <c r="F78" s="17">
        <v>807</v>
      </c>
      <c r="G78" s="24">
        <f>G172</f>
        <v>1044.1810134290638</v>
      </c>
      <c r="H78" s="24">
        <f t="shared" ref="H78:K78" si="61">H172</f>
        <v>1320.9395496141251</v>
      </c>
      <c r="I78" s="24">
        <f t="shared" si="61"/>
        <v>1639.9863424411672</v>
      </c>
      <c r="J78" s="24">
        <f t="shared" si="61"/>
        <v>2004.2304994365588</v>
      </c>
      <c r="K78" s="24">
        <f t="shared" si="61"/>
        <v>2416.7940189062756</v>
      </c>
    </row>
    <row r="79" spans="2:11" x14ac:dyDescent="0.25">
      <c r="B79" t="s">
        <v>62</v>
      </c>
      <c r="E79" s="17">
        <v>-3374</v>
      </c>
      <c r="F79" s="17">
        <v>-4770</v>
      </c>
      <c r="G79" s="24">
        <f>G167</f>
        <v>-4770</v>
      </c>
      <c r="H79" s="24">
        <f t="shared" ref="H79:K79" si="62">H167</f>
        <v>-4770</v>
      </c>
      <c r="I79" s="24">
        <f t="shared" si="62"/>
        <v>-4770</v>
      </c>
      <c r="J79" s="24">
        <f t="shared" si="62"/>
        <v>-4770</v>
      </c>
      <c r="K79" s="24">
        <f t="shared" si="62"/>
        <v>-4770</v>
      </c>
    </row>
    <row r="80" spans="2:11" x14ac:dyDescent="0.25">
      <c r="B80" t="s">
        <v>63</v>
      </c>
      <c r="E80" s="17">
        <v>49</v>
      </c>
      <c r="F80" s="17">
        <v>-224</v>
      </c>
      <c r="G80" s="24">
        <f>G175+F80</f>
        <v>-224</v>
      </c>
      <c r="H80" s="24">
        <f t="shared" ref="H80:K80" si="63">H175+G80</f>
        <v>-224</v>
      </c>
      <c r="I80" s="24">
        <f t="shared" si="63"/>
        <v>-224</v>
      </c>
      <c r="J80" s="24">
        <f t="shared" si="63"/>
        <v>-224</v>
      </c>
      <c r="K80" s="24">
        <f t="shared" si="63"/>
        <v>-224</v>
      </c>
    </row>
    <row r="81" spans="1:11" x14ac:dyDescent="0.25">
      <c r="B81" t="s">
        <v>64</v>
      </c>
      <c r="E81" s="17">
        <v>249</v>
      </c>
      <c r="F81" s="17">
        <v>240</v>
      </c>
      <c r="G81" s="24">
        <f>G176+F81</f>
        <v>240</v>
      </c>
      <c r="H81" s="24">
        <f t="shared" ref="H81:K81" si="64">H176+G81</f>
        <v>240</v>
      </c>
      <c r="I81" s="24">
        <f t="shared" si="64"/>
        <v>240</v>
      </c>
      <c r="J81" s="24">
        <f t="shared" si="64"/>
        <v>240</v>
      </c>
      <c r="K81" s="24">
        <f t="shared" si="64"/>
        <v>240</v>
      </c>
    </row>
    <row r="82" spans="1:11" s="6" customFormat="1" x14ac:dyDescent="0.25">
      <c r="B82" s="6" t="s">
        <v>65</v>
      </c>
      <c r="E82" s="28">
        <f>SUM(E77:E81)</f>
        <v>8244</v>
      </c>
      <c r="F82" s="28">
        <f t="shared" ref="F82:K82" si="65">SUM(F77:F81)</f>
        <v>6954</v>
      </c>
      <c r="G82" s="18">
        <f t="shared" si="65"/>
        <v>7312.8567290580449</v>
      </c>
      <c r="H82" s="28">
        <f t="shared" si="65"/>
        <v>7720.1953055573649</v>
      </c>
      <c r="I82" s="28">
        <f t="shared" si="65"/>
        <v>8179.3780888762703</v>
      </c>
      <c r="J82" s="28">
        <f t="shared" si="65"/>
        <v>8694.0134985001187</v>
      </c>
      <c r="K82" s="28">
        <f t="shared" si="65"/>
        <v>9267.9740208937164</v>
      </c>
    </row>
    <row r="84" spans="1:11" x14ac:dyDescent="0.25">
      <c r="B84" t="s">
        <v>67</v>
      </c>
      <c r="E84" s="29">
        <f>E64-E75-E82</f>
        <v>0</v>
      </c>
      <c r="F84" s="29">
        <f t="shared" ref="F84:K84" si="66">F64-F75-F82</f>
        <v>0</v>
      </c>
      <c r="G84" s="29">
        <f t="shared" si="66"/>
        <v>-375</v>
      </c>
      <c r="H84" s="29">
        <f t="shared" si="66"/>
        <v>-764.10049064258783</v>
      </c>
      <c r="I84" s="29">
        <f t="shared" si="66"/>
        <v>-1165.2831652015066</v>
      </c>
      <c r="J84" s="29">
        <f t="shared" si="66"/>
        <v>-1579.4322074100692</v>
      </c>
      <c r="K84" s="29">
        <f t="shared" si="66"/>
        <v>-2007.496506263451</v>
      </c>
    </row>
    <row r="87" spans="1:11" x14ac:dyDescent="0.25">
      <c r="A87" s="40" t="s">
        <v>68</v>
      </c>
    </row>
    <row r="88" spans="1:11" ht="15.75" thickBot="1" x14ac:dyDescent="0.3">
      <c r="B88" s="7" t="s">
        <v>11</v>
      </c>
      <c r="C88" s="8"/>
      <c r="D88" s="39">
        <f>D13</f>
        <v>2016</v>
      </c>
      <c r="E88" s="39">
        <f t="shared" ref="E88:K88" si="67">E13</f>
        <v>2017</v>
      </c>
      <c r="F88" s="39">
        <f t="shared" si="67"/>
        <v>2018</v>
      </c>
      <c r="G88" s="39">
        <f t="shared" si="67"/>
        <v>2019</v>
      </c>
      <c r="H88" s="39">
        <f t="shared" si="67"/>
        <v>2020</v>
      </c>
      <c r="I88" s="39">
        <f t="shared" si="67"/>
        <v>2021</v>
      </c>
      <c r="J88" s="39">
        <f t="shared" si="67"/>
        <v>2022</v>
      </c>
      <c r="K88" s="39">
        <f t="shared" si="67"/>
        <v>2023</v>
      </c>
    </row>
    <row r="89" spans="1:11" ht="15.75" thickTop="1" x14ac:dyDescent="0.25">
      <c r="B89" t="s">
        <v>73</v>
      </c>
    </row>
    <row r="90" spans="1:11" x14ac:dyDescent="0.25">
      <c r="B90" t="s">
        <v>70</v>
      </c>
      <c r="F90" s="24">
        <f>E92</f>
        <v>2097</v>
      </c>
      <c r="G90" s="24">
        <f t="shared" ref="G90:K90" si="68">F92</f>
        <v>2394</v>
      </c>
      <c r="H90" s="24">
        <f t="shared" si="68"/>
        <v>2492.1726798101035</v>
      </c>
      <c r="I90" s="24">
        <f t="shared" si="68"/>
        <v>2674.5518390211091</v>
      </c>
      <c r="J90" s="24">
        <f t="shared" si="68"/>
        <v>2870.2776487206543</v>
      </c>
      <c r="K90" s="24">
        <f t="shared" si="68"/>
        <v>3080.3268273015315</v>
      </c>
    </row>
    <row r="91" spans="1:11" x14ac:dyDescent="0.25">
      <c r="B91" t="s">
        <v>76</v>
      </c>
      <c r="F91" s="30">
        <f>F92-F90</f>
        <v>297</v>
      </c>
      <c r="G91" s="30">
        <f t="shared" ref="G91:K91" si="69">G92-G90</f>
        <v>98.172679810103546</v>
      </c>
      <c r="H91" s="30">
        <f t="shared" si="69"/>
        <v>182.37915921100557</v>
      </c>
      <c r="I91" s="30">
        <f t="shared" si="69"/>
        <v>195.72580969954515</v>
      </c>
      <c r="J91" s="30">
        <f t="shared" si="69"/>
        <v>210.0491785808772</v>
      </c>
      <c r="K91" s="30">
        <f t="shared" si="69"/>
        <v>225.42074287611695</v>
      </c>
    </row>
    <row r="92" spans="1:11" x14ac:dyDescent="0.25">
      <c r="B92" t="s">
        <v>71</v>
      </c>
      <c r="E92" s="24">
        <f>E54</f>
        <v>2097</v>
      </c>
      <c r="F92" s="24">
        <f>F54</f>
        <v>2394</v>
      </c>
      <c r="G92" s="30">
        <f>G94*G16</f>
        <v>2492.1726798101035</v>
      </c>
      <c r="H92" s="30">
        <f t="shared" ref="H92:K92" si="70">H94*H16</f>
        <v>2674.5518390211091</v>
      </c>
      <c r="I92" s="30">
        <f t="shared" si="70"/>
        <v>2870.2776487206543</v>
      </c>
      <c r="J92" s="30">
        <f t="shared" si="70"/>
        <v>3080.3268273015315</v>
      </c>
      <c r="K92" s="30">
        <f t="shared" si="70"/>
        <v>3305.7475701776484</v>
      </c>
    </row>
    <row r="94" spans="1:11" x14ac:dyDescent="0.25">
      <c r="B94" t="s">
        <v>74</v>
      </c>
      <c r="E94" s="13">
        <f>E92/E$16</f>
        <v>0.21614100185528756</v>
      </c>
      <c r="F94" s="13">
        <f>F92/F$16</f>
        <v>0.22992700729927007</v>
      </c>
      <c r="G94" s="13">
        <f>AVERAGE(($E94:$F94))</f>
        <v>0.22303400457727882</v>
      </c>
      <c r="H94" s="13">
        <f>$G$94</f>
        <v>0.22303400457727882</v>
      </c>
      <c r="I94" s="13">
        <f t="shared" ref="I94:K94" si="71">$G$94</f>
        <v>0.22303400457727882</v>
      </c>
      <c r="J94" s="13">
        <f t="shared" si="71"/>
        <v>0.22303400457727882</v>
      </c>
      <c r="K94" s="13">
        <f t="shared" si="71"/>
        <v>0.22303400457727882</v>
      </c>
    </row>
    <row r="96" spans="1:11" x14ac:dyDescent="0.25">
      <c r="B96" t="s">
        <v>42</v>
      </c>
    </row>
    <row r="97" spans="2:11" x14ac:dyDescent="0.25">
      <c r="B97" t="s">
        <v>70</v>
      </c>
      <c r="F97" s="41">
        <f>E99</f>
        <v>146</v>
      </c>
      <c r="G97" s="24">
        <f t="shared" ref="G97:K97" si="72">F99</f>
        <v>151</v>
      </c>
      <c r="H97" s="24">
        <f t="shared" si="72"/>
        <v>165.100490642588</v>
      </c>
      <c r="I97" s="24">
        <f t="shared" si="72"/>
        <v>177.18267455891842</v>
      </c>
      <c r="J97" s="24">
        <f t="shared" si="72"/>
        <v>190.14904220856099</v>
      </c>
      <c r="K97" s="24">
        <f t="shared" si="72"/>
        <v>204.06429885338457</v>
      </c>
    </row>
    <row r="98" spans="2:11" x14ac:dyDescent="0.25">
      <c r="B98" t="s">
        <v>76</v>
      </c>
      <c r="F98">
        <f>F99-F97</f>
        <v>5</v>
      </c>
      <c r="G98" s="30">
        <f t="shared" ref="G98" si="73">G99-G97</f>
        <v>14.100490642587999</v>
      </c>
      <c r="H98" s="30">
        <f t="shared" ref="H98" si="74">H99-H97</f>
        <v>12.082183916330422</v>
      </c>
      <c r="I98" s="30">
        <f t="shared" ref="I98" si="75">I99-I97</f>
        <v>12.966367649642564</v>
      </c>
      <c r="J98" s="30">
        <f t="shared" ref="J98" si="76">J99-J97</f>
        <v>13.915256644823586</v>
      </c>
      <c r="K98" s="30">
        <f t="shared" ref="K98" si="77">K99-K97</f>
        <v>14.933586083890248</v>
      </c>
    </row>
    <row r="99" spans="2:11" x14ac:dyDescent="0.25">
      <c r="B99" t="s">
        <v>71</v>
      </c>
      <c r="E99" s="24">
        <f>E55</f>
        <v>146</v>
      </c>
      <c r="F99" s="41">
        <f>F55</f>
        <v>151</v>
      </c>
      <c r="G99" s="30">
        <f>G101*G16</f>
        <v>165.100490642588</v>
      </c>
      <c r="H99" s="30">
        <f t="shared" ref="H99:K99" si="78">H101*H16</f>
        <v>177.18267455891842</v>
      </c>
      <c r="I99" s="30">
        <f t="shared" si="78"/>
        <v>190.14904220856099</v>
      </c>
      <c r="J99" s="30">
        <f t="shared" si="78"/>
        <v>204.06429885338457</v>
      </c>
      <c r="K99" s="30">
        <f t="shared" si="78"/>
        <v>218.99788493727482</v>
      </c>
    </row>
    <row r="101" spans="2:11" x14ac:dyDescent="0.25">
      <c r="B101" t="s">
        <v>72</v>
      </c>
      <c r="E101" s="13">
        <f>E99/E16</f>
        <v>1.5048443619872192E-2</v>
      </c>
      <c r="F101" s="13">
        <f>F99/F16</f>
        <v>1.4502497118709181E-2</v>
      </c>
      <c r="G101" s="13">
        <f>AVERAGE((E101:F101))</f>
        <v>1.4775470369290687E-2</v>
      </c>
      <c r="H101" s="13">
        <f>$G$101</f>
        <v>1.4775470369290687E-2</v>
      </c>
      <c r="I101" s="13">
        <f t="shared" ref="I101:K101" si="79">$G$101</f>
        <v>1.4775470369290687E-2</v>
      </c>
      <c r="J101" s="13">
        <f t="shared" si="79"/>
        <v>1.4775470369290687E-2</v>
      </c>
      <c r="K101" s="13">
        <f t="shared" si="79"/>
        <v>1.4775470369290687E-2</v>
      </c>
    </row>
    <row r="103" spans="2:11" x14ac:dyDescent="0.25">
      <c r="B103" t="s">
        <v>69</v>
      </c>
    </row>
    <row r="104" spans="2:11" x14ac:dyDescent="0.25">
      <c r="B104" t="s">
        <v>70</v>
      </c>
      <c r="F104" s="24">
        <f>E106</f>
        <v>322</v>
      </c>
      <c r="G104" s="24">
        <f t="shared" ref="G104:K104" si="80">F106</f>
        <v>437</v>
      </c>
      <c r="H104" s="24">
        <f t="shared" si="80"/>
        <v>470.57904349618633</v>
      </c>
      <c r="I104" s="24">
        <f t="shared" si="80"/>
        <v>505.01638846447048</v>
      </c>
      <c r="J104" s="24">
        <f t="shared" si="80"/>
        <v>541.97388545578917</v>
      </c>
      <c r="K104" s="24">
        <f t="shared" si="80"/>
        <v>581.63596117972349</v>
      </c>
    </row>
    <row r="105" spans="2:11" x14ac:dyDescent="0.25">
      <c r="B105" t="s">
        <v>76</v>
      </c>
      <c r="F105" s="30">
        <f>F106-F104</f>
        <v>115</v>
      </c>
      <c r="G105" s="30">
        <f>G106-G104</f>
        <v>33.57904349618633</v>
      </c>
      <c r="H105" s="30">
        <f t="shared" ref="H105:K105" si="81">H106-H104</f>
        <v>34.437344968284151</v>
      </c>
      <c r="I105" s="30">
        <f t="shared" si="81"/>
        <v>36.957496991318692</v>
      </c>
      <c r="J105" s="30">
        <f t="shared" si="81"/>
        <v>39.662075723934322</v>
      </c>
      <c r="K105" s="30">
        <f t="shared" si="81"/>
        <v>42.564577657967902</v>
      </c>
    </row>
    <row r="106" spans="2:11" x14ac:dyDescent="0.25">
      <c r="B106" t="s">
        <v>71</v>
      </c>
      <c r="E106" s="24">
        <f>E67</f>
        <v>322</v>
      </c>
      <c r="F106" s="24">
        <f>F67</f>
        <v>437</v>
      </c>
      <c r="G106" s="30">
        <f>-G108*G17</f>
        <v>470.57904349618633</v>
      </c>
      <c r="H106" s="30">
        <f t="shared" ref="H106:K106" si="82">-H108*H17</f>
        <v>505.01638846447048</v>
      </c>
      <c r="I106" s="30">
        <f t="shared" si="82"/>
        <v>541.97388545578917</v>
      </c>
      <c r="J106" s="30">
        <f t="shared" si="82"/>
        <v>581.63596117972349</v>
      </c>
      <c r="K106" s="30">
        <f t="shared" si="82"/>
        <v>624.2005388376914</v>
      </c>
    </row>
    <row r="108" spans="2:11" x14ac:dyDescent="0.25">
      <c r="B108" t="s">
        <v>75</v>
      </c>
      <c r="E108" s="13">
        <f>-E106/E17</f>
        <v>5.1102999523885098E-2</v>
      </c>
      <c r="F108" s="13">
        <f>-F106/F17</f>
        <v>6.4779128372368808E-2</v>
      </c>
      <c r="G108" s="31">
        <v>6.5000000000000002E-2</v>
      </c>
      <c r="H108" s="31">
        <v>6.5000000000000002E-2</v>
      </c>
      <c r="I108" s="31">
        <v>6.5000000000000002E-2</v>
      </c>
      <c r="J108" s="31">
        <v>6.5000000000000002E-2</v>
      </c>
      <c r="K108" s="31">
        <v>6.5000000000000002E-2</v>
      </c>
    </row>
    <row r="110" spans="2:11" x14ac:dyDescent="0.25">
      <c r="B110" t="s">
        <v>52</v>
      </c>
    </row>
    <row r="111" spans="2:11" x14ac:dyDescent="0.25">
      <c r="B111" t="s">
        <v>70</v>
      </c>
      <c r="F111" s="24">
        <f>E113</f>
        <v>1664</v>
      </c>
      <c r="G111" s="24">
        <f t="shared" ref="G111:K111" si="83">F113</f>
        <v>1858</v>
      </c>
      <c r="H111" s="24">
        <f t="shared" si="83"/>
        <v>1955.2134977089479</v>
      </c>
      <c r="I111" s="24">
        <f t="shared" si="83"/>
        <v>2098.2975611364222</v>
      </c>
      <c r="J111" s="24">
        <f t="shared" si="83"/>
        <v>2251.8526289994256</v>
      </c>
      <c r="K111" s="24">
        <f t="shared" si="83"/>
        <v>2416.6449776481163</v>
      </c>
    </row>
    <row r="112" spans="2:11" x14ac:dyDescent="0.25">
      <c r="B112" t="s">
        <v>76</v>
      </c>
      <c r="F112" s="30">
        <f>F113-F111</f>
        <v>194</v>
      </c>
      <c r="G112" s="30">
        <f t="shared" ref="G112:K112" si="84">G113-G111</f>
        <v>97.213497708947898</v>
      </c>
      <c r="H112" s="30">
        <f t="shared" si="84"/>
        <v>143.08406342747435</v>
      </c>
      <c r="I112" s="30">
        <f t="shared" si="84"/>
        <v>153.55506786300339</v>
      </c>
      <c r="J112" s="30">
        <f t="shared" si="84"/>
        <v>164.79234864869068</v>
      </c>
      <c r="K112" s="30">
        <f t="shared" si="84"/>
        <v>176.85198249125551</v>
      </c>
    </row>
    <row r="113" spans="1:11" x14ac:dyDescent="0.25">
      <c r="B113" t="s">
        <v>71</v>
      </c>
      <c r="E113" s="24">
        <f>E68</f>
        <v>1664</v>
      </c>
      <c r="F113" s="24">
        <f>F68</f>
        <v>1858</v>
      </c>
      <c r="G113" s="30">
        <f>G115*G16</f>
        <v>1955.2134977089479</v>
      </c>
      <c r="H113" s="30">
        <f t="shared" ref="H113:K113" si="85">H115*H16</f>
        <v>2098.2975611364222</v>
      </c>
      <c r="I113" s="30">
        <f t="shared" si="85"/>
        <v>2251.8526289994256</v>
      </c>
      <c r="J113" s="30">
        <f t="shared" si="85"/>
        <v>2416.6449776481163</v>
      </c>
      <c r="K113" s="30">
        <f t="shared" si="85"/>
        <v>2593.4969601393718</v>
      </c>
    </row>
    <row r="115" spans="1:11" x14ac:dyDescent="0.25">
      <c r="B115" t="s">
        <v>78</v>
      </c>
      <c r="E115" s="13">
        <f>E113/E16</f>
        <v>0.17151102865388579</v>
      </c>
      <c r="F115" s="13">
        <f>F113/F16</f>
        <v>0.17844794467921629</v>
      </c>
      <c r="G115" s="13">
        <f>AVERAGE(E115:F115)</f>
        <v>0.17497948666655105</v>
      </c>
      <c r="H115" s="13">
        <f>$G$115</f>
        <v>0.17497948666655105</v>
      </c>
      <c r="I115" s="13">
        <f t="shared" ref="I115:K115" si="86">$G$115</f>
        <v>0.17497948666655105</v>
      </c>
      <c r="J115" s="13">
        <f t="shared" si="86"/>
        <v>0.17497948666655105</v>
      </c>
      <c r="K115" s="13">
        <f t="shared" si="86"/>
        <v>0.17497948666655105</v>
      </c>
    </row>
    <row r="117" spans="1:11" x14ac:dyDescent="0.25">
      <c r="B117" t="s">
        <v>53</v>
      </c>
    </row>
    <row r="118" spans="1:11" x14ac:dyDescent="0.25">
      <c r="B118" t="s">
        <v>70</v>
      </c>
      <c r="F118" s="24">
        <f>E120</f>
        <v>985</v>
      </c>
      <c r="G118" s="24">
        <f t="shared" ref="G118:K118" si="87">F120</f>
        <v>1007</v>
      </c>
      <c r="H118" s="24">
        <f t="shared" si="87"/>
        <v>1107.5671502635898</v>
      </c>
      <c r="I118" s="24">
        <f t="shared" si="87"/>
        <v>1188.6197864919088</v>
      </c>
      <c r="J118" s="24">
        <f t="shared" si="87"/>
        <v>1275.603918465652</v>
      </c>
      <c r="K118" s="24">
        <f t="shared" si="87"/>
        <v>1368.9536177143239</v>
      </c>
    </row>
    <row r="119" spans="1:11" x14ac:dyDescent="0.25">
      <c r="B119" t="s">
        <v>76</v>
      </c>
      <c r="F119" s="30">
        <f>F120-F118</f>
        <v>22</v>
      </c>
      <c r="G119" s="30">
        <f t="shared" ref="G119:K119" si="88">G120-G118</f>
        <v>100.56715026358984</v>
      </c>
      <c r="H119" s="30">
        <f t="shared" si="88"/>
        <v>81.052636228318988</v>
      </c>
      <c r="I119" s="30">
        <f t="shared" si="88"/>
        <v>86.98413197374316</v>
      </c>
      <c r="J119" s="30">
        <f t="shared" si="88"/>
        <v>93.349699248671868</v>
      </c>
      <c r="K119" s="30">
        <f t="shared" si="88"/>
        <v>100.18110374945059</v>
      </c>
    </row>
    <row r="120" spans="1:11" x14ac:dyDescent="0.25">
      <c r="B120" t="s">
        <v>71</v>
      </c>
      <c r="E120" s="24">
        <f>E69</f>
        <v>985</v>
      </c>
      <c r="F120" s="24">
        <f>F69</f>
        <v>1007</v>
      </c>
      <c r="G120" s="30">
        <f>G122*G16</f>
        <v>1107.5671502635898</v>
      </c>
      <c r="H120" s="30">
        <f t="shared" ref="H120:K120" si="89">H122*H16</f>
        <v>1188.6197864919088</v>
      </c>
      <c r="I120" s="30">
        <f t="shared" si="89"/>
        <v>1275.603918465652</v>
      </c>
      <c r="J120" s="30">
        <f t="shared" si="89"/>
        <v>1368.9536177143239</v>
      </c>
      <c r="K120" s="30">
        <f t="shared" si="89"/>
        <v>1469.1347214637744</v>
      </c>
    </row>
    <row r="122" spans="1:11" x14ac:dyDescent="0.25">
      <c r="B122" t="s">
        <v>77</v>
      </c>
      <c r="E122" s="14">
        <f>E120/E16</f>
        <v>0.1015254586683158</v>
      </c>
      <c r="F122" s="14">
        <f>F120/F16</f>
        <v>9.6715328467153291E-2</v>
      </c>
      <c r="G122" s="14">
        <f>AVERAGE(E122:F122)</f>
        <v>9.9120393567734555E-2</v>
      </c>
      <c r="H122" s="22">
        <f>$G$122</f>
        <v>9.9120393567734555E-2</v>
      </c>
      <c r="I122" s="22">
        <f t="shared" ref="I122:K122" si="90">$G$122</f>
        <v>9.9120393567734555E-2</v>
      </c>
      <c r="J122" s="22">
        <f t="shared" si="90"/>
        <v>9.9120393567734555E-2</v>
      </c>
      <c r="K122" s="22">
        <f t="shared" si="90"/>
        <v>9.9120393567734555E-2</v>
      </c>
    </row>
    <row r="125" spans="1:11" x14ac:dyDescent="0.25">
      <c r="A125" s="6" t="s">
        <v>79</v>
      </c>
    </row>
    <row r="126" spans="1:11" ht="15.75" thickBot="1" x14ac:dyDescent="0.3">
      <c r="B126" s="7" t="s">
        <v>11</v>
      </c>
      <c r="C126" s="8"/>
      <c r="D126" s="33">
        <f t="shared" ref="D126:K126" si="91">D13</f>
        <v>2016</v>
      </c>
      <c r="E126" s="33">
        <f t="shared" si="91"/>
        <v>2017</v>
      </c>
      <c r="F126" s="33">
        <f t="shared" si="91"/>
        <v>2018</v>
      </c>
      <c r="G126" s="34">
        <f t="shared" si="91"/>
        <v>2019</v>
      </c>
      <c r="H126" s="34">
        <f t="shared" si="91"/>
        <v>2020</v>
      </c>
      <c r="I126" s="34">
        <f t="shared" si="91"/>
        <v>2021</v>
      </c>
      <c r="J126" s="34">
        <f t="shared" si="91"/>
        <v>2022</v>
      </c>
      <c r="K126" s="34">
        <f t="shared" si="91"/>
        <v>2023</v>
      </c>
    </row>
    <row r="127" spans="1:11" ht="15.75" thickTop="1" x14ac:dyDescent="0.25">
      <c r="B127" t="s">
        <v>134</v>
      </c>
    </row>
    <row r="128" spans="1:11" x14ac:dyDescent="0.25">
      <c r="B128" t="s">
        <v>80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</row>
    <row r="129" spans="1:11" x14ac:dyDescent="0.25">
      <c r="B129" t="s">
        <v>81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</row>
    <row r="130" spans="1:11" x14ac:dyDescent="0.25">
      <c r="B130" t="s">
        <v>82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</row>
    <row r="131" spans="1:11" x14ac:dyDescent="0.25">
      <c r="B131" t="s">
        <v>47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x14ac:dyDescent="0.25">
      <c r="B132" t="s">
        <v>83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</row>
    <row r="133" spans="1:11" x14ac:dyDescent="0.25">
      <c r="B133" t="s">
        <v>50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</row>
    <row r="134" spans="1:11" x14ac:dyDescent="0.25">
      <c r="B134" t="s">
        <v>54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</row>
    <row r="135" spans="1:11" x14ac:dyDescent="0.25">
      <c r="B135" t="s">
        <v>84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</row>
    <row r="136" spans="1:11" x14ac:dyDescent="0.25">
      <c r="B136" t="s">
        <v>85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</row>
    <row r="137" spans="1:11" x14ac:dyDescent="0.25">
      <c r="B137" t="s">
        <v>57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</row>
    <row r="140" spans="1:11" x14ac:dyDescent="0.25">
      <c r="A140" s="6" t="s">
        <v>86</v>
      </c>
    </row>
    <row r="141" spans="1:11" ht="15.75" thickBot="1" x14ac:dyDescent="0.3">
      <c r="B141" s="7" t="s">
        <v>11</v>
      </c>
      <c r="C141" s="8"/>
      <c r="D141" s="33">
        <f>D13</f>
        <v>2016</v>
      </c>
      <c r="E141" s="33">
        <f t="shared" ref="E141:K141" si="92">E13</f>
        <v>2017</v>
      </c>
      <c r="F141" s="33">
        <f t="shared" si="92"/>
        <v>2018</v>
      </c>
      <c r="G141" s="34">
        <f t="shared" si="92"/>
        <v>2019</v>
      </c>
      <c r="H141" s="34">
        <f t="shared" si="92"/>
        <v>2020</v>
      </c>
      <c r="I141" s="34">
        <f t="shared" si="92"/>
        <v>2021</v>
      </c>
      <c r="J141" s="34">
        <f t="shared" si="92"/>
        <v>2022</v>
      </c>
      <c r="K141" s="34">
        <f t="shared" si="92"/>
        <v>2023</v>
      </c>
    </row>
    <row r="142" spans="1:11" ht="15.75" thickTop="1" x14ac:dyDescent="0.25"/>
    <row r="143" spans="1:11" x14ac:dyDescent="0.25">
      <c r="B143" t="s">
        <v>89</v>
      </c>
      <c r="F143" s="24">
        <f>E146</f>
        <v>440</v>
      </c>
      <c r="G143" s="24">
        <f t="shared" ref="G143:K143" si="93">F146</f>
        <v>434</v>
      </c>
      <c r="H143" s="24">
        <f t="shared" si="93"/>
        <v>685.42724610987921</v>
      </c>
      <c r="I143" s="24">
        <f t="shared" si="93"/>
        <v>955.25413608061331</v>
      </c>
      <c r="J143" s="24">
        <f t="shared" si="93"/>
        <v>1244.8271703390431</v>
      </c>
      <c r="K143" s="24">
        <f t="shared" si="93"/>
        <v>1555.5913872735687</v>
      </c>
    </row>
    <row r="144" spans="1:11" x14ac:dyDescent="0.25">
      <c r="B144" t="s">
        <v>87</v>
      </c>
      <c r="D144" s="16">
        <v>164</v>
      </c>
      <c r="E144" s="16">
        <v>369</v>
      </c>
      <c r="F144" s="16">
        <v>459</v>
      </c>
      <c r="G144" s="35">
        <f>G148*G16</f>
        <v>395.48999515558455</v>
      </c>
      <c r="H144" s="35">
        <f t="shared" ref="H144:K144" si="94">H148*H16</f>
        <v>424.43226443619324</v>
      </c>
      <c r="I144" s="35">
        <f t="shared" si="94"/>
        <v>455.4925517738244</v>
      </c>
      <c r="J144" s="35">
        <f t="shared" si="94"/>
        <v>488.82585539775926</v>
      </c>
      <c r="K144" s="35">
        <f t="shared" si="94"/>
        <v>524.59851642975366</v>
      </c>
    </row>
    <row r="145" spans="1:11" x14ac:dyDescent="0.25">
      <c r="B145" t="s">
        <v>88</v>
      </c>
      <c r="D145" s="36">
        <v>-79</v>
      </c>
      <c r="E145" s="36">
        <v>-125</v>
      </c>
      <c r="F145" s="36">
        <v>-125</v>
      </c>
      <c r="G145" s="37">
        <f>-G149*G144</f>
        <v>-144.06274904570532</v>
      </c>
      <c r="H145" s="37">
        <f t="shared" ref="H145:K145" si="95">-H149*H144</f>
        <v>-154.60537446545908</v>
      </c>
      <c r="I145" s="37">
        <f t="shared" si="95"/>
        <v>-165.91951751539474</v>
      </c>
      <c r="J145" s="37">
        <f t="shared" si="95"/>
        <v>-178.06163846323341</v>
      </c>
      <c r="K145" s="37">
        <f t="shared" si="95"/>
        <v>-191.09232938354839</v>
      </c>
    </row>
    <row r="146" spans="1:11" x14ac:dyDescent="0.25">
      <c r="B146" t="s">
        <v>90</v>
      </c>
      <c r="E146" s="24">
        <f>E59</f>
        <v>440</v>
      </c>
      <c r="F146" s="24">
        <f>F59</f>
        <v>434</v>
      </c>
      <c r="G146" s="30">
        <f>SUM(G143:G145)</f>
        <v>685.42724610987921</v>
      </c>
      <c r="H146" s="30">
        <f t="shared" ref="H146:K146" si="96">SUM(H143:H145)</f>
        <v>955.25413608061331</v>
      </c>
      <c r="I146" s="30">
        <f t="shared" si="96"/>
        <v>1244.8271703390431</v>
      </c>
      <c r="J146" s="30">
        <f t="shared" si="96"/>
        <v>1555.5913872735687</v>
      </c>
      <c r="K146" s="30">
        <f t="shared" si="96"/>
        <v>1889.0975743197739</v>
      </c>
    </row>
    <row r="148" spans="1:11" x14ac:dyDescent="0.25">
      <c r="B148" t="s">
        <v>91</v>
      </c>
      <c r="D148" s="15">
        <f>D144/D16</f>
        <v>2.4064563462949377E-2</v>
      </c>
      <c r="E148" s="15">
        <f t="shared" ref="E148:F148" si="97">E144/E16</f>
        <v>3.8033395176252316E-2</v>
      </c>
      <c r="F148" s="15">
        <f t="shared" si="97"/>
        <v>4.4083749519784866E-2</v>
      </c>
      <c r="G148" s="15">
        <f>AVERAGE((D148:F148))</f>
        <v>3.5393902719662189E-2</v>
      </c>
      <c r="H148" s="15">
        <f>$G$148</f>
        <v>3.5393902719662189E-2</v>
      </c>
      <c r="I148" s="15">
        <f t="shared" ref="I148:K148" si="98">$G$148</f>
        <v>3.5393902719662189E-2</v>
      </c>
      <c r="J148" s="15">
        <f t="shared" si="98"/>
        <v>3.5393902719662189E-2</v>
      </c>
      <c r="K148" s="15">
        <f t="shared" si="98"/>
        <v>3.5393902719662189E-2</v>
      </c>
    </row>
    <row r="149" spans="1:11" x14ac:dyDescent="0.25">
      <c r="B149" t="s">
        <v>92</v>
      </c>
      <c r="D149" s="15">
        <f>-D145/D144</f>
        <v>0.48170731707317072</v>
      </c>
      <c r="E149" s="15">
        <f t="shared" ref="E149:F149" si="99">-E145/E144</f>
        <v>0.33875338753387535</v>
      </c>
      <c r="F149" s="15">
        <f t="shared" si="99"/>
        <v>0.27233115468409586</v>
      </c>
      <c r="G149" s="15">
        <f>AVERAGE((D149:F149))</f>
        <v>0.36426395309704729</v>
      </c>
      <c r="H149" s="15">
        <f>$G$149</f>
        <v>0.36426395309704729</v>
      </c>
      <c r="I149" s="15">
        <f t="shared" ref="I149:K149" si="100">$G$149</f>
        <v>0.36426395309704729</v>
      </c>
      <c r="J149" s="15">
        <f t="shared" si="100"/>
        <v>0.36426395309704729</v>
      </c>
      <c r="K149" s="15">
        <f t="shared" si="100"/>
        <v>0.36426395309704729</v>
      </c>
    </row>
    <row r="151" spans="1:11" x14ac:dyDescent="0.25">
      <c r="B151" t="s">
        <v>93</v>
      </c>
      <c r="F151" s="24">
        <f>E154</f>
        <v>6591</v>
      </c>
      <c r="G151" s="24">
        <f t="shared" ref="G151:K151" si="101">F154</f>
        <v>5951</v>
      </c>
      <c r="H151" s="24">
        <f t="shared" si="101"/>
        <v>4899</v>
      </c>
      <c r="I151" s="24">
        <f t="shared" si="101"/>
        <v>3902</v>
      </c>
      <c r="J151" s="24">
        <f t="shared" si="101"/>
        <v>3063</v>
      </c>
      <c r="K151" s="24">
        <f t="shared" si="101"/>
        <v>2574</v>
      </c>
    </row>
    <row r="152" spans="1:11" x14ac:dyDescent="0.25">
      <c r="B152" t="s">
        <v>94</v>
      </c>
      <c r="F152" s="16"/>
      <c r="G152" s="38">
        <v>0</v>
      </c>
      <c r="H152" s="38">
        <v>0</v>
      </c>
      <c r="I152" s="38">
        <v>0</v>
      </c>
      <c r="J152" s="38">
        <v>0</v>
      </c>
      <c r="K152" s="38">
        <v>0</v>
      </c>
    </row>
    <row r="153" spans="1:11" x14ac:dyDescent="0.25">
      <c r="B153" t="s">
        <v>95</v>
      </c>
      <c r="G153" s="36">
        <v>-1052</v>
      </c>
      <c r="H153" s="36">
        <v>-997</v>
      </c>
      <c r="I153" s="36">
        <v>-839</v>
      </c>
      <c r="J153" s="36">
        <v>-489</v>
      </c>
      <c r="K153" s="36">
        <v>-405</v>
      </c>
    </row>
    <row r="154" spans="1:11" x14ac:dyDescent="0.25">
      <c r="B154" t="s">
        <v>96</v>
      </c>
      <c r="E154" s="24">
        <f>E61</f>
        <v>6591</v>
      </c>
      <c r="F154" s="24">
        <f>F61</f>
        <v>5951</v>
      </c>
      <c r="G154" s="30">
        <f>SUM(G151:G153)</f>
        <v>4899</v>
      </c>
      <c r="H154" s="30">
        <f t="shared" ref="H154:K154" si="102">SUM(H151:H153)</f>
        <v>3902</v>
      </c>
      <c r="I154" s="30">
        <f t="shared" si="102"/>
        <v>3063</v>
      </c>
      <c r="J154" s="30">
        <f t="shared" si="102"/>
        <v>2574</v>
      </c>
      <c r="K154" s="30">
        <f t="shared" si="102"/>
        <v>2169</v>
      </c>
    </row>
    <row r="155" spans="1:11" x14ac:dyDescent="0.25">
      <c r="E155" s="30"/>
      <c r="F155" s="30"/>
      <c r="G155" s="30"/>
      <c r="H155" s="30"/>
      <c r="I155" s="30"/>
      <c r="J155" s="30"/>
      <c r="K155" s="30"/>
    </row>
    <row r="156" spans="1:11" x14ac:dyDescent="0.25">
      <c r="A156" s="6" t="s">
        <v>97</v>
      </c>
    </row>
    <row r="157" spans="1:11" ht="15.75" thickBot="1" x14ac:dyDescent="0.3">
      <c r="B157" s="7" t="s">
        <v>11</v>
      </c>
      <c r="C157" s="8"/>
      <c r="D157" s="33">
        <f>D13</f>
        <v>2016</v>
      </c>
      <c r="E157" s="33">
        <f t="shared" ref="E157:K157" si="103">E13</f>
        <v>2017</v>
      </c>
      <c r="F157" s="33">
        <f t="shared" si="103"/>
        <v>2018</v>
      </c>
      <c r="G157" s="34">
        <f t="shared" si="103"/>
        <v>2019</v>
      </c>
      <c r="H157" s="34">
        <f t="shared" si="103"/>
        <v>2020</v>
      </c>
      <c r="I157" s="34">
        <f t="shared" si="103"/>
        <v>2021</v>
      </c>
      <c r="J157" s="34">
        <f t="shared" si="103"/>
        <v>2022</v>
      </c>
      <c r="K157" s="34">
        <f t="shared" si="103"/>
        <v>2023</v>
      </c>
    </row>
    <row r="158" spans="1:11" ht="15.75" thickTop="1" x14ac:dyDescent="0.25">
      <c r="B158" t="s">
        <v>101</v>
      </c>
      <c r="F158" s="24">
        <f>E161</f>
        <v>10782</v>
      </c>
      <c r="G158" s="24">
        <f t="shared" ref="G158:K158" si="104">F161</f>
        <v>10901</v>
      </c>
      <c r="H158" s="24">
        <f t="shared" si="104"/>
        <v>11022.67571562898</v>
      </c>
      <c r="I158" s="24">
        <f t="shared" si="104"/>
        <v>11153.255755943239</v>
      </c>
      <c r="J158" s="24">
        <f t="shared" si="104"/>
        <v>11293.391746435103</v>
      </c>
      <c r="K158" s="24">
        <f t="shared" si="104"/>
        <v>11443.78299906356</v>
      </c>
    </row>
    <row r="159" spans="1:11" x14ac:dyDescent="0.25">
      <c r="B159" t="s">
        <v>98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</row>
    <row r="160" spans="1:11" x14ac:dyDescent="0.25">
      <c r="B160" t="s">
        <v>99</v>
      </c>
      <c r="E160" s="24">
        <f>E45</f>
        <v>106</v>
      </c>
      <c r="F160" s="24">
        <f>F45</f>
        <v>113</v>
      </c>
      <c r="G160" s="30">
        <f>G163*G16</f>
        <v>121.67571562898004</v>
      </c>
      <c r="H160" s="30">
        <f>H163*H16</f>
        <v>130.58004031425895</v>
      </c>
      <c r="I160" s="30">
        <f>I163*I16</f>
        <v>140.13599049186396</v>
      </c>
      <c r="J160" s="30">
        <f>J163*J16</f>
        <v>150.39125262845681</v>
      </c>
      <c r="K160" s="30">
        <f>K163*K16</f>
        <v>161.39700292388088</v>
      </c>
    </row>
    <row r="161" spans="2:11" x14ac:dyDescent="0.25">
      <c r="B161" t="s">
        <v>100</v>
      </c>
      <c r="E161" s="24">
        <f>E77</f>
        <v>10782</v>
      </c>
      <c r="F161" s="24">
        <f>F77</f>
        <v>10901</v>
      </c>
      <c r="G161" s="30">
        <f>SUM(G158:G160)</f>
        <v>11022.67571562898</v>
      </c>
      <c r="H161" s="30">
        <f t="shared" ref="H161:K161" si="105">SUM(H158:H160)</f>
        <v>11153.255755943239</v>
      </c>
      <c r="I161" s="30">
        <f t="shared" si="105"/>
        <v>11293.391746435103</v>
      </c>
      <c r="J161" s="30">
        <f t="shared" si="105"/>
        <v>11443.78299906356</v>
      </c>
      <c r="K161" s="30">
        <f t="shared" si="105"/>
        <v>11605.180001987441</v>
      </c>
    </row>
    <row r="163" spans="2:11" x14ac:dyDescent="0.25">
      <c r="B163" t="s">
        <v>102</v>
      </c>
      <c r="E163" s="15">
        <f>E160/E16</f>
        <v>1.0925582354153782E-2</v>
      </c>
      <c r="F163" s="15">
        <f>F160/F16</f>
        <v>1.0852862082212832E-2</v>
      </c>
      <c r="G163" s="15">
        <f>AVERAGE(E163:F163)</f>
        <v>1.0889222218183307E-2</v>
      </c>
      <c r="H163" s="15">
        <f>$G$163</f>
        <v>1.0889222218183307E-2</v>
      </c>
      <c r="I163" s="15">
        <f t="shared" ref="I163:K163" si="106">$G$163</f>
        <v>1.0889222218183307E-2</v>
      </c>
      <c r="J163" s="15">
        <f t="shared" si="106"/>
        <v>1.0889222218183307E-2</v>
      </c>
      <c r="K163" s="15">
        <f t="shared" si="106"/>
        <v>1.0889222218183307E-2</v>
      </c>
    </row>
    <row r="165" spans="2:11" x14ac:dyDescent="0.25">
      <c r="B165" t="s">
        <v>103</v>
      </c>
      <c r="G165" s="24">
        <f>F167</f>
        <v>-4770</v>
      </c>
      <c r="H165" s="24">
        <f t="shared" ref="H165:K165" si="107">G167</f>
        <v>-4770</v>
      </c>
      <c r="I165" s="24">
        <f t="shared" si="107"/>
        <v>-4770</v>
      </c>
      <c r="J165" s="24">
        <f t="shared" si="107"/>
        <v>-4770</v>
      </c>
      <c r="K165" s="24">
        <f t="shared" si="107"/>
        <v>-4770</v>
      </c>
    </row>
    <row r="166" spans="2:11" x14ac:dyDescent="0.25">
      <c r="B166" t="s">
        <v>104</v>
      </c>
      <c r="E166" s="16">
        <v>-2620</v>
      </c>
      <c r="F166" s="16">
        <v>-1396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</row>
    <row r="167" spans="2:11" x14ac:dyDescent="0.25">
      <c r="B167" t="s">
        <v>105</v>
      </c>
      <c r="F167" s="24">
        <f>F79</f>
        <v>-4770</v>
      </c>
      <c r="G167" s="25">
        <f>SUM(G165:G166)</f>
        <v>-4770</v>
      </c>
      <c r="H167" s="25">
        <f t="shared" ref="H167:K167" si="108">SUM(H165:H166)</f>
        <v>-4770</v>
      </c>
      <c r="I167" s="25">
        <f t="shared" si="108"/>
        <v>-4770</v>
      </c>
      <c r="J167" s="25">
        <f t="shared" si="108"/>
        <v>-4770</v>
      </c>
      <c r="K167" s="25">
        <f t="shared" si="108"/>
        <v>-4770</v>
      </c>
    </row>
    <row r="169" spans="2:11" x14ac:dyDescent="0.25">
      <c r="B169" t="s">
        <v>110</v>
      </c>
      <c r="G169" s="24">
        <f>F172</f>
        <v>807</v>
      </c>
      <c r="H169" s="24">
        <f t="shared" ref="H169:K169" si="109">G172</f>
        <v>1044.1810134290638</v>
      </c>
      <c r="I169" s="24">
        <f t="shared" si="109"/>
        <v>1320.9395496141251</v>
      </c>
      <c r="J169" s="24">
        <f t="shared" si="109"/>
        <v>1639.9863424411672</v>
      </c>
      <c r="K169" s="24">
        <f t="shared" si="109"/>
        <v>2004.2304994365588</v>
      </c>
    </row>
    <row r="170" spans="2:11" x14ac:dyDescent="0.25">
      <c r="B170" t="s">
        <v>106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</row>
    <row r="171" spans="2:11" x14ac:dyDescent="0.25">
      <c r="B171" t="s">
        <v>107</v>
      </c>
      <c r="F171" s="24">
        <f>F27</f>
        <v>259</v>
      </c>
      <c r="G171" s="24">
        <f>G27</f>
        <v>237.1810134290638</v>
      </c>
      <c r="H171" s="24">
        <f t="shared" ref="H171:K171" si="110">H27</f>
        <v>276.7585361850613</v>
      </c>
      <c r="I171" s="24">
        <f t="shared" si="110"/>
        <v>319.046792827042</v>
      </c>
      <c r="J171" s="24">
        <f t="shared" si="110"/>
        <v>364.24415699539162</v>
      </c>
      <c r="K171" s="24">
        <f t="shared" si="110"/>
        <v>412.56351946971665</v>
      </c>
    </row>
    <row r="172" spans="2:11" x14ac:dyDescent="0.25">
      <c r="B172" t="s">
        <v>109</v>
      </c>
      <c r="F172" s="24">
        <f>F78</f>
        <v>807</v>
      </c>
      <c r="G172" s="17">
        <f>SUM(G169:G171)</f>
        <v>1044.1810134290638</v>
      </c>
      <c r="H172" s="17">
        <f t="shared" ref="H172:K172" si="111">SUM(H169:H171)</f>
        <v>1320.9395496141251</v>
      </c>
      <c r="I172" s="17">
        <f t="shared" si="111"/>
        <v>1639.9863424411672</v>
      </c>
      <c r="J172" s="17">
        <f t="shared" si="111"/>
        <v>2004.2304994365588</v>
      </c>
      <c r="K172" s="17">
        <f t="shared" si="111"/>
        <v>2416.7940189062756</v>
      </c>
    </row>
    <row r="174" spans="2:11" x14ac:dyDescent="0.25">
      <c r="B174" t="s">
        <v>111</v>
      </c>
      <c r="E174" s="16"/>
      <c r="F174" s="16"/>
      <c r="G174" s="16">
        <v>0</v>
      </c>
      <c r="H174" s="16">
        <v>0</v>
      </c>
      <c r="I174" s="16">
        <v>0</v>
      </c>
      <c r="J174" s="16">
        <v>0</v>
      </c>
      <c r="K174" s="16">
        <v>0</v>
      </c>
    </row>
    <row r="175" spans="2:11" x14ac:dyDescent="0.25">
      <c r="B175" t="s">
        <v>108</v>
      </c>
      <c r="E175" s="16"/>
      <c r="F175" s="16"/>
      <c r="G175" s="16">
        <v>0</v>
      </c>
      <c r="H175" s="16">
        <v>0</v>
      </c>
      <c r="I175" s="16">
        <v>0</v>
      </c>
      <c r="J175" s="16">
        <v>0</v>
      </c>
      <c r="K175" s="16">
        <v>0</v>
      </c>
    </row>
    <row r="178" spans="1:11" x14ac:dyDescent="0.25">
      <c r="A178" s="6" t="s">
        <v>112</v>
      </c>
    </row>
    <row r="179" spans="1:11" ht="15.75" thickBot="1" x14ac:dyDescent="0.3">
      <c r="B179" s="7" t="s">
        <v>11</v>
      </c>
      <c r="C179" s="8"/>
      <c r="D179" s="39">
        <f>D13</f>
        <v>2016</v>
      </c>
      <c r="E179" s="39">
        <f t="shared" ref="E179:K179" si="112">E13</f>
        <v>2017</v>
      </c>
      <c r="F179" s="39">
        <f t="shared" si="112"/>
        <v>2018</v>
      </c>
      <c r="G179" s="42">
        <f t="shared" si="112"/>
        <v>2019</v>
      </c>
      <c r="H179" s="42">
        <f t="shared" si="112"/>
        <v>2020</v>
      </c>
      <c r="I179" s="42">
        <f t="shared" si="112"/>
        <v>2021</v>
      </c>
      <c r="J179" s="42">
        <f t="shared" si="112"/>
        <v>2022</v>
      </c>
      <c r="K179" s="42">
        <f t="shared" si="112"/>
        <v>2023</v>
      </c>
    </row>
    <row r="180" spans="1:11" ht="15.75" thickTop="1" x14ac:dyDescent="0.25"/>
    <row r="181" spans="1:11" x14ac:dyDescent="0.25">
      <c r="B181" t="s">
        <v>113</v>
      </c>
      <c r="F181" s="24">
        <f>E184</f>
        <v>10225</v>
      </c>
      <c r="G181" s="24">
        <f t="shared" ref="G181:K181" si="113">F184</f>
        <v>11007</v>
      </c>
      <c r="H181" s="24">
        <f t="shared" si="113"/>
        <v>10607</v>
      </c>
      <c r="I181" s="24">
        <f t="shared" si="113"/>
        <v>10507</v>
      </c>
      <c r="J181" s="24">
        <f t="shared" si="113"/>
        <v>10407</v>
      </c>
      <c r="K181" s="24">
        <f t="shared" si="113"/>
        <v>10307</v>
      </c>
    </row>
    <row r="182" spans="1:11" x14ac:dyDescent="0.25">
      <c r="B182" t="s">
        <v>114</v>
      </c>
      <c r="F182" s="16">
        <v>-100</v>
      </c>
      <c r="G182" s="16">
        <v>-400</v>
      </c>
      <c r="H182" s="16">
        <v>-100</v>
      </c>
      <c r="I182" s="16">
        <v>-100</v>
      </c>
      <c r="J182" s="16">
        <v>-100</v>
      </c>
      <c r="K182" s="16">
        <v>-100</v>
      </c>
    </row>
    <row r="183" spans="1:11" x14ac:dyDescent="0.25">
      <c r="B183" t="s">
        <v>115</v>
      </c>
      <c r="F183" s="16">
        <v>0</v>
      </c>
      <c r="G183" s="16">
        <v>0</v>
      </c>
      <c r="H183" s="16">
        <v>0</v>
      </c>
      <c r="I183" s="16">
        <v>0</v>
      </c>
      <c r="J183" s="16">
        <v>0</v>
      </c>
      <c r="K183" s="16">
        <v>0</v>
      </c>
    </row>
    <row r="184" spans="1:11" x14ac:dyDescent="0.25">
      <c r="B184" t="s">
        <v>116</v>
      </c>
      <c r="E184" s="24">
        <f>E71</f>
        <v>10225</v>
      </c>
      <c r="F184" s="24">
        <f>F71</f>
        <v>11007</v>
      </c>
      <c r="G184" s="30">
        <f>SUM(G181:G183)</f>
        <v>10607</v>
      </c>
      <c r="H184" s="30">
        <f t="shared" ref="H184:K184" si="114">SUM(H181:H183)</f>
        <v>10507</v>
      </c>
      <c r="I184" s="30">
        <f t="shared" si="114"/>
        <v>10407</v>
      </c>
      <c r="J184" s="30">
        <f t="shared" si="114"/>
        <v>10307</v>
      </c>
      <c r="K184" s="30">
        <f t="shared" si="114"/>
        <v>10207</v>
      </c>
    </row>
    <row r="186" spans="1:11" x14ac:dyDescent="0.25">
      <c r="B186" t="s">
        <v>117</v>
      </c>
      <c r="F186" s="13">
        <f>F187/AVERAGE(E184:F184)</f>
        <v>3.9014106066314988E-2</v>
      </c>
      <c r="G186" s="13">
        <f>$F$186</f>
        <v>3.9014106066314988E-2</v>
      </c>
      <c r="H186" s="13">
        <f t="shared" ref="H186:K186" si="115">$F$186</f>
        <v>3.9014106066314988E-2</v>
      </c>
      <c r="I186" s="13">
        <f t="shared" si="115"/>
        <v>3.9014106066314988E-2</v>
      </c>
      <c r="J186" s="13">
        <f t="shared" si="115"/>
        <v>3.9014106066314988E-2</v>
      </c>
      <c r="K186" s="13">
        <f t="shared" si="115"/>
        <v>3.9014106066314988E-2</v>
      </c>
    </row>
    <row r="187" spans="1:11" x14ac:dyDescent="0.25">
      <c r="B187" t="s">
        <v>118</v>
      </c>
      <c r="F187" s="44">
        <f>(0.043*812)+416*0.015+535*0.048+1346*0.0275+741*0.048+945*0.0427+664*0.025+620*0.0391+1050*0.05+481*0.02875+1631*0.0325+715*0.035+800*0.04875+300*0.034</f>
        <v>414.17374999999993</v>
      </c>
      <c r="G187" s="35">
        <f>G184*G186</f>
        <v>413.82262304540308</v>
      </c>
      <c r="H187" s="35">
        <f t="shared" ref="H187:K187" si="116">H184*H186</f>
        <v>409.92121243877159</v>
      </c>
      <c r="I187" s="35">
        <f t="shared" si="116"/>
        <v>406.0198018321401</v>
      </c>
      <c r="J187" s="35">
        <f t="shared" si="116"/>
        <v>402.11839122550856</v>
      </c>
      <c r="K187" s="35">
        <f t="shared" si="116"/>
        <v>398.21698061887707</v>
      </c>
    </row>
    <row r="189" spans="1:11" s="4" customFormat="1" x14ac:dyDescent="0.25">
      <c r="A189" s="5" t="s">
        <v>120</v>
      </c>
    </row>
    <row r="191" spans="1:11" x14ac:dyDescent="0.25">
      <c r="B191" s="6" t="s">
        <v>11</v>
      </c>
      <c r="D191" s="23">
        <f>D13</f>
        <v>2016</v>
      </c>
      <c r="E191" s="23">
        <f t="shared" ref="E191:K191" si="117">E13</f>
        <v>2017</v>
      </c>
      <c r="F191" s="23">
        <f t="shared" si="117"/>
        <v>2018</v>
      </c>
      <c r="G191" s="32">
        <f t="shared" si="117"/>
        <v>2019</v>
      </c>
      <c r="H191" s="32">
        <f t="shared" si="117"/>
        <v>2020</v>
      </c>
      <c r="I191" s="32">
        <f t="shared" si="117"/>
        <v>2021</v>
      </c>
      <c r="J191" s="32">
        <f t="shared" si="117"/>
        <v>2022</v>
      </c>
      <c r="K191" s="32">
        <f t="shared" si="117"/>
        <v>2023</v>
      </c>
    </row>
    <row r="192" spans="1:11" ht="15.75" thickBot="1" x14ac:dyDescent="0.3">
      <c r="B192" s="7" t="s">
        <v>121</v>
      </c>
      <c r="C192" s="8"/>
      <c r="D192" s="10">
        <f>D14</f>
        <v>42735</v>
      </c>
      <c r="E192" s="10">
        <f t="shared" ref="E192:K192" si="118">E14</f>
        <v>43100</v>
      </c>
      <c r="F192" s="10">
        <f t="shared" si="118"/>
        <v>43465</v>
      </c>
      <c r="G192" s="10">
        <f t="shared" si="118"/>
        <v>43830</v>
      </c>
      <c r="H192" s="10">
        <f t="shared" si="118"/>
        <v>44196</v>
      </c>
      <c r="I192" s="10">
        <f t="shared" si="118"/>
        <v>44561</v>
      </c>
      <c r="J192" s="10">
        <f t="shared" si="118"/>
        <v>44926</v>
      </c>
      <c r="K192" s="10">
        <f t="shared" si="118"/>
        <v>45291</v>
      </c>
    </row>
    <row r="193" spans="2:11" ht="15.75" thickTop="1" x14ac:dyDescent="0.25"/>
    <row r="194" spans="2:11" x14ac:dyDescent="0.25">
      <c r="B194" t="s">
        <v>24</v>
      </c>
      <c r="G194" s="24">
        <f>G27</f>
        <v>237.1810134290638</v>
      </c>
      <c r="H194" s="24">
        <f t="shared" ref="H194:K194" si="119">H27</f>
        <v>276.7585361850613</v>
      </c>
      <c r="I194" s="24">
        <f t="shared" si="119"/>
        <v>319.046792827042</v>
      </c>
      <c r="J194" s="24">
        <f t="shared" si="119"/>
        <v>364.24415699539162</v>
      </c>
      <c r="K194" s="24">
        <f t="shared" si="119"/>
        <v>412.56351946971665</v>
      </c>
    </row>
    <row r="195" spans="2:11" x14ac:dyDescent="0.25">
      <c r="B195" t="s">
        <v>16</v>
      </c>
      <c r="G195" s="45">
        <f>-(G145+G153)</f>
        <v>1196.0627490457052</v>
      </c>
      <c r="H195" s="45">
        <f t="shared" ref="H195:K195" si="120">-(H145+H153)</f>
        <v>1151.6053744654591</v>
      </c>
      <c r="I195" s="45">
        <f t="shared" si="120"/>
        <v>1004.9195175153948</v>
      </c>
      <c r="J195" s="45">
        <f t="shared" si="120"/>
        <v>667.06163846323341</v>
      </c>
      <c r="K195" s="45">
        <f t="shared" si="120"/>
        <v>596.09232938354842</v>
      </c>
    </row>
    <row r="196" spans="2:11" x14ac:dyDescent="0.25">
      <c r="B196" t="s">
        <v>122</v>
      </c>
      <c r="G196" s="24">
        <f>G160</f>
        <v>121.67571562898004</v>
      </c>
      <c r="H196" s="24">
        <f t="shared" ref="H196:K196" si="121">H160</f>
        <v>130.58004031425895</v>
      </c>
      <c r="I196" s="24">
        <f t="shared" si="121"/>
        <v>140.13599049186396</v>
      </c>
      <c r="J196" s="24">
        <f t="shared" si="121"/>
        <v>150.39125262845681</v>
      </c>
      <c r="K196" s="24">
        <f t="shared" si="121"/>
        <v>161.39700292388088</v>
      </c>
    </row>
    <row r="197" spans="2:11" x14ac:dyDescent="0.25">
      <c r="B197" t="s">
        <v>73</v>
      </c>
      <c r="G197" s="24">
        <f>-G91</f>
        <v>-98.172679810103546</v>
      </c>
      <c r="H197" s="24">
        <f t="shared" ref="H197:K197" si="122">-H91</f>
        <v>-182.37915921100557</v>
      </c>
      <c r="I197" s="24">
        <f t="shared" si="122"/>
        <v>-195.72580969954515</v>
      </c>
      <c r="J197" s="24">
        <f t="shared" si="122"/>
        <v>-210.0491785808772</v>
      </c>
      <c r="K197" s="24">
        <f t="shared" si="122"/>
        <v>-225.42074287611695</v>
      </c>
    </row>
    <row r="198" spans="2:11" x14ac:dyDescent="0.25">
      <c r="B198" t="s">
        <v>42</v>
      </c>
      <c r="G198" s="24">
        <f>-G99</f>
        <v>-165.100490642588</v>
      </c>
      <c r="H198" s="24">
        <f t="shared" ref="H198:K198" si="123">-H99</f>
        <v>-177.18267455891842</v>
      </c>
      <c r="I198" s="24">
        <f t="shared" si="123"/>
        <v>-190.14904220856099</v>
      </c>
      <c r="J198" s="24">
        <f t="shared" si="123"/>
        <v>-204.06429885338457</v>
      </c>
      <c r="K198" s="24">
        <f t="shared" si="123"/>
        <v>-218.99788493727482</v>
      </c>
    </row>
    <row r="199" spans="2:11" x14ac:dyDescent="0.25">
      <c r="B199" t="s">
        <v>69</v>
      </c>
      <c r="G199" s="24">
        <f>G105</f>
        <v>33.57904349618633</v>
      </c>
      <c r="H199" s="24">
        <f t="shared" ref="H199:K199" si="124">H105</f>
        <v>34.437344968284151</v>
      </c>
      <c r="I199" s="24">
        <f t="shared" si="124"/>
        <v>36.957496991318692</v>
      </c>
      <c r="J199" s="24">
        <f t="shared" si="124"/>
        <v>39.662075723934322</v>
      </c>
      <c r="K199" s="24">
        <f t="shared" si="124"/>
        <v>42.564577657967902</v>
      </c>
    </row>
    <row r="200" spans="2:11" x14ac:dyDescent="0.25">
      <c r="B200" t="s">
        <v>52</v>
      </c>
      <c r="G200" s="24">
        <f>G112</f>
        <v>97.213497708947898</v>
      </c>
      <c r="H200" s="24">
        <f t="shared" ref="H200:K200" si="125">H112</f>
        <v>143.08406342747435</v>
      </c>
      <c r="I200" s="24">
        <f t="shared" si="125"/>
        <v>153.55506786300339</v>
      </c>
      <c r="J200" s="24">
        <f t="shared" si="125"/>
        <v>164.79234864869068</v>
      </c>
      <c r="K200" s="24">
        <f t="shared" si="125"/>
        <v>176.85198249125551</v>
      </c>
    </row>
    <row r="201" spans="2:11" x14ac:dyDescent="0.25">
      <c r="B201" t="s">
        <v>53</v>
      </c>
      <c r="G201" s="24">
        <f>G119</f>
        <v>100.56715026358984</v>
      </c>
      <c r="H201" s="24">
        <f t="shared" ref="H201:K201" si="126">H119</f>
        <v>81.052636228318988</v>
      </c>
      <c r="I201" s="24">
        <f t="shared" si="126"/>
        <v>86.98413197374316</v>
      </c>
      <c r="J201" s="24">
        <f t="shared" si="126"/>
        <v>93.349699248671868</v>
      </c>
      <c r="K201" s="24">
        <f t="shared" si="126"/>
        <v>100.18110374945059</v>
      </c>
    </row>
    <row r="202" spans="2:11" s="6" customFormat="1" x14ac:dyDescent="0.25">
      <c r="B202" s="6" t="s">
        <v>123</v>
      </c>
      <c r="G202" s="28">
        <f>SUM(G194:G201)</f>
        <v>1523.0059991197816</v>
      </c>
      <c r="H202" s="28">
        <f>SUM(H194:H201)</f>
        <v>1457.9561618189327</v>
      </c>
      <c r="I202" s="28">
        <f>SUM(I194:I201)</f>
        <v>1355.72414575426</v>
      </c>
      <c r="J202" s="28">
        <f>SUM(J194:J201)</f>
        <v>1065.3876942741169</v>
      </c>
      <c r="K202" s="28">
        <f>SUM(K194:K201)</f>
        <v>1045.231887862428</v>
      </c>
    </row>
    <row r="204" spans="2:11" x14ac:dyDescent="0.25">
      <c r="B204" t="s">
        <v>124</v>
      </c>
      <c r="G204" s="24">
        <f>-G144</f>
        <v>-395.48999515558455</v>
      </c>
      <c r="H204" s="24">
        <f t="shared" ref="H204:K204" si="127">-H144</f>
        <v>-424.43226443619324</v>
      </c>
      <c r="I204" s="24">
        <f t="shared" si="127"/>
        <v>-455.4925517738244</v>
      </c>
      <c r="J204" s="24">
        <f t="shared" si="127"/>
        <v>-488.82585539775926</v>
      </c>
      <c r="K204" s="24">
        <f t="shared" si="127"/>
        <v>-524.59851642975366</v>
      </c>
    </row>
    <row r="205" spans="2:11" x14ac:dyDescent="0.25">
      <c r="B205" t="s">
        <v>127</v>
      </c>
      <c r="G205" s="24">
        <f>G152</f>
        <v>0</v>
      </c>
      <c r="H205" s="24">
        <f t="shared" ref="H205:K205" si="128">H152</f>
        <v>0</v>
      </c>
      <c r="I205" s="24">
        <f t="shared" si="128"/>
        <v>0</v>
      </c>
      <c r="J205" s="24">
        <f t="shared" si="128"/>
        <v>0</v>
      </c>
      <c r="K205" s="24">
        <f t="shared" si="128"/>
        <v>0</v>
      </c>
    </row>
    <row r="206" spans="2:11" s="6" customFormat="1" x14ac:dyDescent="0.25">
      <c r="B206" s="6" t="s">
        <v>125</v>
      </c>
      <c r="G206" s="28">
        <f>SUM(G204)</f>
        <v>-395.48999515558455</v>
      </c>
      <c r="H206" s="28">
        <f t="shared" ref="H206:K206" si="129">SUM(H204)</f>
        <v>-424.43226443619324</v>
      </c>
      <c r="I206" s="28">
        <f t="shared" si="129"/>
        <v>-455.4925517738244</v>
      </c>
      <c r="J206" s="28">
        <f t="shared" si="129"/>
        <v>-488.82585539775926</v>
      </c>
      <c r="K206" s="28">
        <f t="shared" si="129"/>
        <v>-524.59851642975366</v>
      </c>
    </row>
    <row r="208" spans="2:11" x14ac:dyDescent="0.25">
      <c r="B208" t="s">
        <v>126</v>
      </c>
      <c r="G208" s="24">
        <f>G182</f>
        <v>-400</v>
      </c>
      <c r="H208" s="24">
        <f t="shared" ref="H208:K208" si="130">H182</f>
        <v>-100</v>
      </c>
      <c r="I208" s="24">
        <f t="shared" si="130"/>
        <v>-100</v>
      </c>
      <c r="J208" s="24">
        <f t="shared" si="130"/>
        <v>-100</v>
      </c>
      <c r="K208" s="24">
        <f t="shared" si="130"/>
        <v>-100</v>
      </c>
    </row>
    <row r="209" spans="2:11" x14ac:dyDescent="0.25">
      <c r="B209" t="s">
        <v>128</v>
      </c>
      <c r="G209" s="24">
        <f>G170</f>
        <v>0</v>
      </c>
      <c r="H209" s="24">
        <f t="shared" ref="H209:K209" si="131">H170</f>
        <v>0</v>
      </c>
      <c r="I209" s="24">
        <f t="shared" si="131"/>
        <v>0</v>
      </c>
      <c r="J209" s="24">
        <f t="shared" si="131"/>
        <v>0</v>
      </c>
      <c r="K209" s="24">
        <f t="shared" si="131"/>
        <v>0</v>
      </c>
    </row>
    <row r="210" spans="2:11" x14ac:dyDescent="0.25">
      <c r="B210" t="s">
        <v>129</v>
      </c>
      <c r="G210" s="24">
        <f>G159</f>
        <v>0</v>
      </c>
      <c r="H210" s="24">
        <f t="shared" ref="H210:K210" si="132">H159</f>
        <v>0</v>
      </c>
      <c r="I210" s="24">
        <f t="shared" si="132"/>
        <v>0</v>
      </c>
      <c r="J210" s="24">
        <f t="shared" si="132"/>
        <v>0</v>
      </c>
      <c r="K210" s="24">
        <f t="shared" si="132"/>
        <v>0</v>
      </c>
    </row>
    <row r="211" spans="2:11" x14ac:dyDescent="0.25">
      <c r="B211" t="s">
        <v>130</v>
      </c>
      <c r="G211" s="24">
        <f>G166</f>
        <v>0</v>
      </c>
      <c r="H211" s="24">
        <f t="shared" ref="H211:K211" si="133">H166</f>
        <v>0</v>
      </c>
      <c r="I211" s="24">
        <f t="shared" si="133"/>
        <v>0</v>
      </c>
      <c r="J211" s="24">
        <f t="shared" si="133"/>
        <v>0</v>
      </c>
      <c r="K211" s="24">
        <f t="shared" si="133"/>
        <v>0</v>
      </c>
    </row>
    <row r="212" spans="2:11" x14ac:dyDescent="0.25">
      <c r="B212" t="s">
        <v>131</v>
      </c>
      <c r="G212" s="24">
        <f>G80</f>
        <v>-224</v>
      </c>
      <c r="H212" s="24">
        <f t="shared" ref="H212:K212" si="134">H80</f>
        <v>-224</v>
      </c>
      <c r="I212" s="24">
        <f t="shared" si="134"/>
        <v>-224</v>
      </c>
      <c r="J212" s="24">
        <f t="shared" si="134"/>
        <v>-224</v>
      </c>
      <c r="K212" s="24">
        <f t="shared" si="134"/>
        <v>-224</v>
      </c>
    </row>
    <row r="213" spans="2:11" x14ac:dyDescent="0.25">
      <c r="B213" t="s">
        <v>119</v>
      </c>
      <c r="G213" s="24">
        <f>G66</f>
        <v>0</v>
      </c>
      <c r="H213" s="24">
        <f t="shared" ref="H213:K213" si="135">H66</f>
        <v>0</v>
      </c>
      <c r="I213" s="24">
        <f t="shared" si="135"/>
        <v>0</v>
      </c>
      <c r="J213" s="24">
        <f t="shared" si="135"/>
        <v>0</v>
      </c>
      <c r="K213" s="24">
        <f t="shared" si="135"/>
        <v>0</v>
      </c>
    </row>
    <row r="214" spans="2:11" s="6" customFormat="1" x14ac:dyDescent="0.25">
      <c r="B214" s="6" t="s">
        <v>132</v>
      </c>
      <c r="G214" s="28">
        <f>SUM(G208:G213)</f>
        <v>-624</v>
      </c>
      <c r="H214" s="28">
        <f t="shared" ref="H214:K214" si="136">SUM(H208:H213)</f>
        <v>-324</v>
      </c>
      <c r="I214" s="28">
        <f t="shared" si="136"/>
        <v>-324</v>
      </c>
      <c r="J214" s="28">
        <f t="shared" si="136"/>
        <v>-324</v>
      </c>
      <c r="K214" s="28">
        <f t="shared" si="136"/>
        <v>-324</v>
      </c>
    </row>
    <row r="216" spans="2:11" s="6" customFormat="1" x14ac:dyDescent="0.25">
      <c r="B216" s="6" t="s">
        <v>133</v>
      </c>
      <c r="G216" s="28">
        <f>G214+G206+G202</f>
        <v>503.51600396419701</v>
      </c>
      <c r="H216" s="28">
        <f t="shared" ref="H216:K216" si="137">H214+H206+H202</f>
        <v>709.52389738273951</v>
      </c>
      <c r="I216" s="28">
        <f t="shared" si="137"/>
        <v>576.2315939804356</v>
      </c>
      <c r="J216" s="28">
        <f t="shared" si="137"/>
        <v>252.56183887635768</v>
      </c>
      <c r="K216" s="28">
        <f t="shared" si="137"/>
        <v>196.63337143267438</v>
      </c>
    </row>
  </sheetData>
  <conditionalFormatting sqref="E84:K84">
    <cfRule type="cellIs" dxfId="3" priority="4" operator="equal">
      <formula>" -   "</formula>
    </cfRule>
  </conditionalFormatting>
  <conditionalFormatting sqref="E84:K84">
    <cfRule type="cellIs" dxfId="2" priority="3" operator="equal">
      <formula>" -   "</formula>
    </cfRule>
  </conditionalFormatting>
  <conditionalFormatting sqref="E84:K84">
    <cfRule type="cellIs" dxfId="1" priority="1" operator="equal">
      <formula>0</formula>
    </cfRule>
    <cfRule type="cellIs" dxfId="0" priority="2" operator="equal">
      <formula>" -   "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Long</cp:lastModifiedBy>
  <dcterms:created xsi:type="dcterms:W3CDTF">2019-10-09T00:52:15Z</dcterms:created>
  <dcterms:modified xsi:type="dcterms:W3CDTF">2019-10-09T04:23:57Z</dcterms:modified>
</cp:coreProperties>
</file>