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felib\Desktop\Carrera\Finanzas\Modeling\Projects\Mc Donald's\"/>
    </mc:Choice>
  </mc:AlternateContent>
  <xr:revisionPtr revIDLastSave="0" documentId="13_ncr:1_{B42F2A1B-96D4-4586-846D-6B8E37349F90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Drivers" sheetId="3" r:id="rId1"/>
    <sheet name="BS" sheetId="2" r:id="rId2"/>
    <sheet name="P&amp;L" sheetId="1" r:id="rId3"/>
    <sheet name="Cash Flow" sheetId="4" r:id="rId4"/>
    <sheet name="PP&amp;E" sheetId="5" r:id="rId5"/>
    <sheet name="Valuation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2" l="1"/>
  <c r="H27" i="2"/>
  <c r="I27" i="2"/>
  <c r="J27" i="2"/>
  <c r="F27" i="2"/>
  <c r="C18" i="6" l="1"/>
  <c r="C17" i="6"/>
  <c r="D25" i="4" l="1"/>
  <c r="J22" i="4" l="1"/>
  <c r="I22" i="4"/>
  <c r="H22" i="4"/>
  <c r="G22" i="4"/>
  <c r="F22" i="4"/>
  <c r="E22" i="4"/>
  <c r="D22" i="4"/>
  <c r="E33" i="4" l="1"/>
  <c r="D33" i="4"/>
  <c r="D57" i="3"/>
  <c r="E23" i="4" l="1"/>
  <c r="D23" i="4"/>
  <c r="E16" i="4"/>
  <c r="D16" i="4"/>
  <c r="E21" i="4"/>
  <c r="D21" i="4"/>
  <c r="E20" i="4"/>
  <c r="D20" i="4"/>
  <c r="E13" i="4" l="1"/>
  <c r="D13" i="4"/>
  <c r="E12" i="4"/>
  <c r="D12" i="4"/>
  <c r="E11" i="4"/>
  <c r="D11" i="4"/>
  <c r="E8" i="4"/>
  <c r="D8" i="4"/>
  <c r="G27" i="5"/>
  <c r="H27" i="5" s="1"/>
  <c r="I27" i="5" s="1"/>
  <c r="J27" i="5" s="1"/>
  <c r="C25" i="5" l="1"/>
  <c r="B3" i="5"/>
  <c r="C29" i="4" l="1"/>
  <c r="C33" i="4" s="1"/>
  <c r="C31" i="4" l="1"/>
  <c r="C35" i="4" s="1"/>
  <c r="F29" i="2"/>
  <c r="G29" i="2" s="1"/>
  <c r="H29" i="2" s="1"/>
  <c r="I29" i="2" s="1"/>
  <c r="J29" i="2" s="1"/>
  <c r="G26" i="2"/>
  <c r="H26" i="2"/>
  <c r="I26" i="2"/>
  <c r="J26" i="2"/>
  <c r="F26" i="2"/>
  <c r="F23" i="4" s="1"/>
  <c r="G23" i="4" l="1"/>
  <c r="J23" i="4"/>
  <c r="I23" i="4"/>
  <c r="H23" i="4"/>
  <c r="R30" i="3"/>
  <c r="S30" i="3"/>
  <c r="Q30" i="3"/>
  <c r="R27" i="3"/>
  <c r="S27" i="3"/>
  <c r="Q27" i="3"/>
  <c r="R24" i="3"/>
  <c r="S24" i="3"/>
  <c r="Q24" i="3"/>
  <c r="R21" i="3"/>
  <c r="S21" i="3"/>
  <c r="Q21" i="3"/>
  <c r="R18" i="3"/>
  <c r="S18" i="3"/>
  <c r="Q18" i="3"/>
  <c r="G30" i="2"/>
  <c r="H30" i="2"/>
  <c r="I30" i="2"/>
  <c r="J30" i="2"/>
  <c r="F30" i="2"/>
  <c r="G24" i="2"/>
  <c r="H24" i="2"/>
  <c r="I24" i="2"/>
  <c r="J24" i="2"/>
  <c r="F24" i="2"/>
  <c r="G23" i="2"/>
  <c r="H23" i="2"/>
  <c r="I23" i="2"/>
  <c r="J23" i="2"/>
  <c r="F23" i="2"/>
  <c r="G11" i="2"/>
  <c r="H11" i="2"/>
  <c r="I11" i="2"/>
  <c r="J11" i="2"/>
  <c r="G12" i="2"/>
  <c r="H12" i="2"/>
  <c r="I12" i="2"/>
  <c r="J12" i="2"/>
  <c r="G13" i="2"/>
  <c r="H13" i="2"/>
  <c r="I13" i="2"/>
  <c r="J13" i="2"/>
  <c r="F12" i="2"/>
  <c r="F13" i="2"/>
  <c r="F11" i="2"/>
  <c r="G9" i="2"/>
  <c r="H9" i="2"/>
  <c r="I9" i="2"/>
  <c r="J9" i="2"/>
  <c r="F9" i="2"/>
  <c r="G22" i="2"/>
  <c r="H22" i="2"/>
  <c r="I22" i="2"/>
  <c r="J22" i="2"/>
  <c r="F22" i="2"/>
  <c r="R15" i="3"/>
  <c r="S15" i="3"/>
  <c r="Q15" i="3"/>
  <c r="R12" i="3"/>
  <c r="S12" i="3"/>
  <c r="Q12" i="3"/>
  <c r="R9" i="3"/>
  <c r="S9" i="3"/>
  <c r="Q9" i="3"/>
  <c r="G17" i="1"/>
  <c r="G21" i="4" s="1"/>
  <c r="H17" i="1"/>
  <c r="H21" i="4" s="1"/>
  <c r="I17" i="1"/>
  <c r="I21" i="4" s="1"/>
  <c r="J17" i="1"/>
  <c r="J21" i="4" s="1"/>
  <c r="F17" i="1"/>
  <c r="F21" i="4" s="1"/>
  <c r="G42" i="3" l="1"/>
  <c r="H42" i="3" s="1"/>
  <c r="I42" i="3" s="1"/>
  <c r="J42" i="3" s="1"/>
  <c r="G43" i="3"/>
  <c r="H43" i="3" s="1"/>
  <c r="I43" i="3" s="1"/>
  <c r="J43" i="3" s="1"/>
  <c r="G41" i="3"/>
  <c r="H41" i="3" s="1"/>
  <c r="I41" i="3" s="1"/>
  <c r="J41" i="3" s="1"/>
  <c r="G36" i="3"/>
  <c r="H36" i="3" s="1"/>
  <c r="I36" i="3" s="1"/>
  <c r="J36" i="3" s="1"/>
  <c r="G37" i="3"/>
  <c r="H37" i="3" s="1"/>
  <c r="I37" i="3" s="1"/>
  <c r="J37" i="3" s="1"/>
  <c r="G35" i="3"/>
  <c r="H35" i="3" s="1"/>
  <c r="I35" i="3" s="1"/>
  <c r="J35" i="3" s="1"/>
  <c r="G25" i="3"/>
  <c r="H25" i="3" s="1"/>
  <c r="I25" i="3" s="1"/>
  <c r="J25" i="3" s="1"/>
  <c r="G24" i="3"/>
  <c r="H24" i="3" s="1"/>
  <c r="I24" i="3" s="1"/>
  <c r="J24" i="3" s="1"/>
  <c r="G23" i="3"/>
  <c r="H23" i="3" s="1"/>
  <c r="I23" i="3" s="1"/>
  <c r="J23" i="3" s="1"/>
  <c r="G19" i="3"/>
  <c r="H19" i="3" s="1"/>
  <c r="I19" i="3" s="1"/>
  <c r="J19" i="3" s="1"/>
  <c r="G17" i="3"/>
  <c r="H17" i="3" s="1"/>
  <c r="I17" i="3" s="1"/>
  <c r="J17" i="3" s="1"/>
  <c r="G18" i="3"/>
  <c r="H18" i="3" s="1"/>
  <c r="I18" i="3" s="1"/>
  <c r="J18" i="3" s="1"/>
  <c r="I12" i="3"/>
  <c r="J12" i="3" s="1"/>
  <c r="G11" i="3"/>
  <c r="H11" i="3" s="1"/>
  <c r="I11" i="3" s="1"/>
  <c r="J11" i="3" s="1"/>
  <c r="J58" i="3" l="1"/>
  <c r="I58" i="3"/>
  <c r="H58" i="3"/>
  <c r="G58" i="3"/>
  <c r="F58" i="3"/>
  <c r="J52" i="3"/>
  <c r="I52" i="3"/>
  <c r="H52" i="3"/>
  <c r="G52" i="3"/>
  <c r="F52" i="3"/>
  <c r="J46" i="3"/>
  <c r="I46" i="3"/>
  <c r="H46" i="3"/>
  <c r="G46" i="3"/>
  <c r="F46" i="3"/>
  <c r="J40" i="3"/>
  <c r="I40" i="3"/>
  <c r="H40" i="3"/>
  <c r="G40" i="3"/>
  <c r="F40" i="3"/>
  <c r="J34" i="3"/>
  <c r="I34" i="3"/>
  <c r="H34" i="3"/>
  <c r="G34" i="3"/>
  <c r="F34" i="3"/>
  <c r="J28" i="3"/>
  <c r="I28" i="3"/>
  <c r="H28" i="3"/>
  <c r="G28" i="3"/>
  <c r="F28" i="3"/>
  <c r="J22" i="3"/>
  <c r="I22" i="3"/>
  <c r="H22" i="3"/>
  <c r="G22" i="3"/>
  <c r="F22" i="3"/>
  <c r="J16" i="3"/>
  <c r="I16" i="3"/>
  <c r="H16" i="3"/>
  <c r="G16" i="3"/>
  <c r="F16" i="3"/>
  <c r="E57" i="3"/>
  <c r="C57" i="3"/>
  <c r="D51" i="3"/>
  <c r="E51" i="3"/>
  <c r="C51" i="3"/>
  <c r="D33" i="3"/>
  <c r="E33" i="3"/>
  <c r="C33" i="3"/>
  <c r="D45" i="3"/>
  <c r="E45" i="3"/>
  <c r="C45" i="3"/>
  <c r="D39" i="3"/>
  <c r="E39" i="3"/>
  <c r="C39" i="3"/>
  <c r="D21" i="3"/>
  <c r="E21" i="3"/>
  <c r="C21" i="3"/>
  <c r="R16" i="3" l="1"/>
  <c r="R13" i="3"/>
  <c r="Q13" i="3"/>
  <c r="Q16" i="3"/>
  <c r="S13" i="3"/>
  <c r="S16" i="3"/>
  <c r="E22" i="3"/>
  <c r="G51" i="3"/>
  <c r="G16" i="1" s="1"/>
  <c r="G20" i="4" s="1"/>
  <c r="J51" i="3"/>
  <c r="J16" i="1" s="1"/>
  <c r="J20" i="4" s="1"/>
  <c r="H51" i="3"/>
  <c r="H16" i="1" s="1"/>
  <c r="H20" i="4" s="1"/>
  <c r="I51" i="3"/>
  <c r="I16" i="1" s="1"/>
  <c r="I20" i="4" s="1"/>
  <c r="F51" i="3"/>
  <c r="F16" i="1" s="1"/>
  <c r="F20" i="4" s="1"/>
  <c r="D14" i="1"/>
  <c r="C14" i="1"/>
  <c r="D6" i="1"/>
  <c r="D46" i="3" s="1"/>
  <c r="C6" i="1"/>
  <c r="C40" i="3" s="1"/>
  <c r="E14" i="1"/>
  <c r="E6" i="1"/>
  <c r="E40" i="3" s="1"/>
  <c r="E28" i="2"/>
  <c r="E35" i="2" s="1"/>
  <c r="D28" i="2"/>
  <c r="D35" i="2" s="1"/>
  <c r="C28" i="2"/>
  <c r="C35" i="2" s="1"/>
  <c r="E10" i="2"/>
  <c r="D10" i="2"/>
  <c r="C10" i="2"/>
  <c r="E17" i="2"/>
  <c r="E10" i="5" s="1"/>
  <c r="D17" i="2"/>
  <c r="D10" i="5" s="1"/>
  <c r="E7" i="5" s="1"/>
  <c r="E25" i="5" s="1"/>
  <c r="C17" i="2"/>
  <c r="C10" i="5" s="1"/>
  <c r="C8" i="5" s="1"/>
  <c r="D14" i="2"/>
  <c r="D15" i="4" s="1"/>
  <c r="E14" i="2"/>
  <c r="E15" i="4" s="1"/>
  <c r="F14" i="2"/>
  <c r="G14" i="2"/>
  <c r="H14" i="2"/>
  <c r="I14" i="2"/>
  <c r="J14" i="2"/>
  <c r="C14" i="2"/>
  <c r="E15" i="1" l="1"/>
  <c r="E4" i="4" s="1"/>
  <c r="C22" i="3"/>
  <c r="D18" i="2"/>
  <c r="E46" i="3"/>
  <c r="E18" i="2"/>
  <c r="D7" i="5"/>
  <c r="D25" i="5" s="1"/>
  <c r="C28" i="3"/>
  <c r="C26" i="5"/>
  <c r="Q31" i="3"/>
  <c r="Q22" i="3"/>
  <c r="Q28" i="3"/>
  <c r="Q25" i="3"/>
  <c r="Q19" i="3"/>
  <c r="D28" i="3"/>
  <c r="D26" i="5"/>
  <c r="R28" i="3"/>
  <c r="R19" i="3"/>
  <c r="R31" i="3"/>
  <c r="R22" i="3"/>
  <c r="R25" i="3"/>
  <c r="C46" i="3"/>
  <c r="F7" i="5"/>
  <c r="E8" i="5"/>
  <c r="E17" i="4" s="1"/>
  <c r="E28" i="3"/>
  <c r="E26" i="5"/>
  <c r="S28" i="3"/>
  <c r="S25" i="3"/>
  <c r="S19" i="3"/>
  <c r="S22" i="3"/>
  <c r="S31" i="3"/>
  <c r="D40" i="3"/>
  <c r="C34" i="3"/>
  <c r="D15" i="1"/>
  <c r="D22" i="3"/>
  <c r="D34" i="3"/>
  <c r="E34" i="3"/>
  <c r="C15" i="1"/>
  <c r="C18" i="1" s="1"/>
  <c r="E18" i="1"/>
  <c r="C18" i="2"/>
  <c r="D27" i="4"/>
  <c r="H25" i="5" l="1"/>
  <c r="I25" i="5"/>
  <c r="G25" i="5"/>
  <c r="F25" i="5"/>
  <c r="J25" i="5"/>
  <c r="E28" i="5"/>
  <c r="E27" i="5"/>
  <c r="F8" i="5"/>
  <c r="F17" i="4" s="1"/>
  <c r="W28" i="3"/>
  <c r="X28" i="3"/>
  <c r="T28" i="3"/>
  <c r="T27" i="3" s="1"/>
  <c r="F32" i="2" s="1"/>
  <c r="U28" i="3"/>
  <c r="U27" i="3" s="1"/>
  <c r="G32" i="2" s="1"/>
  <c r="V28" i="3"/>
  <c r="V27" i="3" s="1"/>
  <c r="H32" i="2" s="1"/>
  <c r="C27" i="5"/>
  <c r="C28" i="5"/>
  <c r="U31" i="3"/>
  <c r="U30" i="3" s="1"/>
  <c r="G33" i="2" s="1"/>
  <c r="V31" i="3"/>
  <c r="V30" i="3" s="1"/>
  <c r="H33" i="2" s="1"/>
  <c r="T31" i="3"/>
  <c r="T30" i="3" s="1"/>
  <c r="F33" i="2" s="1"/>
  <c r="W31" i="3"/>
  <c r="X31" i="3"/>
  <c r="E20" i="1"/>
  <c r="E24" i="4" s="1"/>
  <c r="H57" i="3"/>
  <c r="H19" i="1" s="1"/>
  <c r="E58" i="3"/>
  <c r="C20" i="1"/>
  <c r="F57" i="3"/>
  <c r="F19" i="1" s="1"/>
  <c r="C58" i="3"/>
  <c r="D18" i="1"/>
  <c r="D4" i="4"/>
  <c r="D37" i="2"/>
  <c r="E37" i="2"/>
  <c r="C37" i="2"/>
  <c r="F17" i="5" l="1"/>
  <c r="F22" i="5" s="1"/>
  <c r="F9" i="5" s="1"/>
  <c r="J17" i="5"/>
  <c r="I17" i="5"/>
  <c r="G17" i="5"/>
  <c r="H17" i="5"/>
  <c r="D20" i="1"/>
  <c r="D24" i="4" s="1"/>
  <c r="G57" i="3"/>
  <c r="G19" i="1" s="1"/>
  <c r="D58" i="3"/>
  <c r="D6" i="4" s="1"/>
  <c r="D5" i="4" s="1"/>
  <c r="D14" i="4"/>
  <c r="E14" i="4"/>
  <c r="J6" i="4"/>
  <c r="I6" i="4"/>
  <c r="H6" i="4"/>
  <c r="G6" i="4"/>
  <c r="F6" i="4"/>
  <c r="G10" i="3"/>
  <c r="H10" i="3"/>
  <c r="I10" i="3"/>
  <c r="J10" i="3"/>
  <c r="F10" i="3"/>
  <c r="E6" i="4"/>
  <c r="E5" i="4" s="1"/>
  <c r="D15" i="3"/>
  <c r="E15" i="3"/>
  <c r="F15" i="3" s="1"/>
  <c r="C15" i="3"/>
  <c r="D9" i="3"/>
  <c r="E9" i="3"/>
  <c r="E10" i="3" s="1"/>
  <c r="C9" i="3"/>
  <c r="D7" i="4" l="1"/>
  <c r="E7" i="4"/>
  <c r="E9" i="4" s="1"/>
  <c r="E18" i="4" s="1"/>
  <c r="E25" i="4" s="1"/>
  <c r="F8" i="4"/>
  <c r="F10" i="5"/>
  <c r="D10" i="3"/>
  <c r="F5" i="1"/>
  <c r="G15" i="3"/>
  <c r="F9" i="3"/>
  <c r="F4" i="1" s="1"/>
  <c r="E52" i="3"/>
  <c r="D16" i="3"/>
  <c r="D52" i="3"/>
  <c r="R10" i="3"/>
  <c r="X25" i="3"/>
  <c r="D9" i="4"/>
  <c r="W16" i="3"/>
  <c r="X16" i="3"/>
  <c r="U16" i="3"/>
  <c r="Q10" i="3"/>
  <c r="V16" i="3"/>
  <c r="T16" i="3"/>
  <c r="E16" i="3"/>
  <c r="S10" i="3"/>
  <c r="E28" i="4" l="1"/>
  <c r="G7" i="5"/>
  <c r="F17" i="2"/>
  <c r="F6" i="1"/>
  <c r="F33" i="3" s="1"/>
  <c r="F11" i="1" s="1"/>
  <c r="G9" i="3"/>
  <c r="H9" i="3" s="1"/>
  <c r="I9" i="3" s="1"/>
  <c r="F39" i="3"/>
  <c r="F12" i="1" s="1"/>
  <c r="F21" i="3"/>
  <c r="F7" i="1" s="1"/>
  <c r="F45" i="3"/>
  <c r="F13" i="1" s="1"/>
  <c r="H15" i="3"/>
  <c r="G5" i="1"/>
  <c r="V25" i="3"/>
  <c r="V24" i="3" s="1"/>
  <c r="H31" i="2" s="1"/>
  <c r="W25" i="3"/>
  <c r="U25" i="3"/>
  <c r="U24" i="3" s="1"/>
  <c r="G31" i="2" s="1"/>
  <c r="T25" i="3"/>
  <c r="T24" i="3" s="1"/>
  <c r="F31" i="2" s="1"/>
  <c r="X19" i="3"/>
  <c r="V19" i="3"/>
  <c r="V18" i="3" s="1"/>
  <c r="H8" i="2" s="1"/>
  <c r="W19" i="3"/>
  <c r="T19" i="3"/>
  <c r="T18" i="3" s="1"/>
  <c r="F8" i="2" s="1"/>
  <c r="F15" i="4" s="1"/>
  <c r="U19" i="3"/>
  <c r="U18" i="3" s="1"/>
  <c r="G8" i="2" s="1"/>
  <c r="G15" i="4" s="1"/>
  <c r="W10" i="3"/>
  <c r="X10" i="3"/>
  <c r="U10" i="3"/>
  <c r="T10" i="3"/>
  <c r="T9" i="3" s="1"/>
  <c r="F6" i="2" s="1"/>
  <c r="F11" i="4" s="1"/>
  <c r="V10" i="3"/>
  <c r="W13" i="3"/>
  <c r="X13" i="3"/>
  <c r="T13" i="3"/>
  <c r="U13" i="3"/>
  <c r="V13" i="3"/>
  <c r="X22" i="3"/>
  <c r="W22" i="3"/>
  <c r="U22" i="3"/>
  <c r="U21" i="3" s="1"/>
  <c r="G25" i="2" s="1"/>
  <c r="T22" i="3"/>
  <c r="T21" i="3" s="1"/>
  <c r="F25" i="2" s="1"/>
  <c r="V22" i="3"/>
  <c r="V21" i="3" s="1"/>
  <c r="H25" i="2" s="1"/>
  <c r="H16" i="4" s="1"/>
  <c r="F16" i="4" l="1"/>
  <c r="G16" i="4"/>
  <c r="H15" i="4"/>
  <c r="H4" i="1"/>
  <c r="W21" i="3"/>
  <c r="I25" i="2" s="1"/>
  <c r="W30" i="3"/>
  <c r="I33" i="2" s="1"/>
  <c r="W27" i="3"/>
  <c r="I32" i="2" s="1"/>
  <c r="W24" i="3"/>
  <c r="I31" i="2" s="1"/>
  <c r="W18" i="3"/>
  <c r="I8" i="2" s="1"/>
  <c r="I15" i="4" s="1"/>
  <c r="F26" i="5"/>
  <c r="G8" i="5"/>
  <c r="G17" i="4" s="1"/>
  <c r="T12" i="3"/>
  <c r="F7" i="2" s="1"/>
  <c r="G4" i="1"/>
  <c r="G6" i="1" s="1"/>
  <c r="T15" i="3"/>
  <c r="F21" i="2" s="1"/>
  <c r="F13" i="4" s="1"/>
  <c r="G21" i="3"/>
  <c r="G33" i="3"/>
  <c r="G11" i="1" s="1"/>
  <c r="F14" i="1"/>
  <c r="F15" i="1" s="1"/>
  <c r="I15" i="3"/>
  <c r="H5" i="1"/>
  <c r="H6" i="1" s="1"/>
  <c r="J9" i="3"/>
  <c r="J4" i="1" s="1"/>
  <c r="I4" i="1"/>
  <c r="U9" i="3"/>
  <c r="G6" i="2" s="1"/>
  <c r="G11" i="4" s="1"/>
  <c r="I16" i="4" l="1"/>
  <c r="H18" i="5"/>
  <c r="J18" i="5"/>
  <c r="G18" i="5"/>
  <c r="G22" i="5" s="1"/>
  <c r="G9" i="5" s="1"/>
  <c r="G10" i="5" s="1"/>
  <c r="I18" i="5"/>
  <c r="G39" i="3"/>
  <c r="G12" i="1" s="1"/>
  <c r="X30" i="3"/>
  <c r="J33" i="2" s="1"/>
  <c r="X27" i="3"/>
  <c r="J32" i="2" s="1"/>
  <c r="X18" i="3"/>
  <c r="J8" i="2" s="1"/>
  <c r="J15" i="4" s="1"/>
  <c r="X24" i="3"/>
  <c r="J31" i="2" s="1"/>
  <c r="X21" i="3"/>
  <c r="J25" i="2" s="1"/>
  <c r="F12" i="4"/>
  <c r="F14" i="4" s="1"/>
  <c r="G45" i="3"/>
  <c r="G13" i="1" s="1"/>
  <c r="F28" i="2"/>
  <c r="G7" i="1"/>
  <c r="U15" i="3"/>
  <c r="G21" i="2" s="1"/>
  <c r="G13" i="4" s="1"/>
  <c r="U12" i="3"/>
  <c r="G7" i="2" s="1"/>
  <c r="J15" i="3"/>
  <c r="J5" i="1" s="1"/>
  <c r="J6" i="1" s="1"/>
  <c r="I5" i="1"/>
  <c r="I6" i="1" s="1"/>
  <c r="H21" i="3"/>
  <c r="H45" i="3"/>
  <c r="H13" i="1" s="1"/>
  <c r="H39" i="3"/>
  <c r="H12" i="1" s="1"/>
  <c r="H33" i="3"/>
  <c r="H11" i="1" s="1"/>
  <c r="F4" i="4"/>
  <c r="F18" i="1"/>
  <c r="V9" i="3"/>
  <c r="H6" i="2" s="1"/>
  <c r="H11" i="4" s="1"/>
  <c r="F5" i="4" l="1"/>
  <c r="J16" i="4"/>
  <c r="G26" i="5"/>
  <c r="G8" i="4"/>
  <c r="H7" i="5"/>
  <c r="G17" i="2"/>
  <c r="G12" i="4"/>
  <c r="G14" i="4" s="1"/>
  <c r="G14" i="1"/>
  <c r="G15" i="1" s="1"/>
  <c r="G4" i="4" s="1"/>
  <c r="G28" i="2"/>
  <c r="H7" i="1"/>
  <c r="H14" i="1" s="1"/>
  <c r="H15" i="1" s="1"/>
  <c r="V15" i="3"/>
  <c r="H21" i="2" s="1"/>
  <c r="H13" i="4" s="1"/>
  <c r="V12" i="3"/>
  <c r="H7" i="2" s="1"/>
  <c r="J21" i="3"/>
  <c r="J39" i="3"/>
  <c r="J12" i="1" s="1"/>
  <c r="J45" i="3"/>
  <c r="J13" i="1" s="1"/>
  <c r="J33" i="3"/>
  <c r="J11" i="1" s="1"/>
  <c r="I21" i="3"/>
  <c r="I33" i="3"/>
  <c r="I11" i="1" s="1"/>
  <c r="I39" i="3"/>
  <c r="I12" i="1" s="1"/>
  <c r="I45" i="3"/>
  <c r="I13" i="1" s="1"/>
  <c r="F20" i="1"/>
  <c r="I57" i="3"/>
  <c r="I19" i="1" s="1"/>
  <c r="G18" i="1"/>
  <c r="W9" i="3"/>
  <c r="I6" i="2" s="1"/>
  <c r="I11" i="4" s="1"/>
  <c r="G5" i="4" l="1"/>
  <c r="G7" i="4"/>
  <c r="F7" i="4"/>
  <c r="F9" i="4" s="1"/>
  <c r="F18" i="4" s="1"/>
  <c r="F6" i="6" s="1"/>
  <c r="F10" i="6" s="1"/>
  <c r="H8" i="5"/>
  <c r="H17" i="4" s="1"/>
  <c r="F34" i="2"/>
  <c r="H12" i="4"/>
  <c r="H14" i="4" s="1"/>
  <c r="I7" i="1"/>
  <c r="I14" i="1" s="1"/>
  <c r="I15" i="1" s="1"/>
  <c r="W15" i="3"/>
  <c r="I21" i="2" s="1"/>
  <c r="I13" i="4" s="1"/>
  <c r="W12" i="3"/>
  <c r="I7" i="2" s="1"/>
  <c r="H28" i="2"/>
  <c r="J7" i="1"/>
  <c r="J14" i="1" s="1"/>
  <c r="J15" i="1" s="1"/>
  <c r="X15" i="3"/>
  <c r="J21" i="2" s="1"/>
  <c r="J13" i="4" s="1"/>
  <c r="X12" i="3"/>
  <c r="J7" i="2" s="1"/>
  <c r="G9" i="4"/>
  <c r="G18" i="4" s="1"/>
  <c r="G6" i="6" s="1"/>
  <c r="G10" i="6" s="1"/>
  <c r="G20" i="1"/>
  <c r="J57" i="3"/>
  <c r="J19" i="1" s="1"/>
  <c r="H4" i="4"/>
  <c r="H18" i="1"/>
  <c r="H20" i="1" s="1"/>
  <c r="X9" i="3"/>
  <c r="J6" i="2" s="1"/>
  <c r="J11" i="4" s="1"/>
  <c r="H5" i="4" l="1"/>
  <c r="F24" i="4"/>
  <c r="F25" i="4" s="1"/>
  <c r="F5" i="2" s="1"/>
  <c r="G34" i="2"/>
  <c r="F35" i="2"/>
  <c r="I12" i="4"/>
  <c r="I14" i="4" s="1"/>
  <c r="J12" i="4"/>
  <c r="J14" i="4" s="1"/>
  <c r="J19" i="5"/>
  <c r="H19" i="5"/>
  <c r="H22" i="5" s="1"/>
  <c r="H9" i="5" s="1"/>
  <c r="I19" i="5"/>
  <c r="J28" i="2"/>
  <c r="I28" i="2"/>
  <c r="J18" i="1"/>
  <c r="J20" i="1" s="1"/>
  <c r="J4" i="4"/>
  <c r="I18" i="1"/>
  <c r="I20" i="1" s="1"/>
  <c r="I4" i="4"/>
  <c r="H7" i="4" l="1"/>
  <c r="J5" i="4"/>
  <c r="J7" i="4"/>
  <c r="I5" i="4"/>
  <c r="I7" i="4"/>
  <c r="F28" i="4"/>
  <c r="F10" i="2"/>
  <c r="F18" i="2" s="1"/>
  <c r="F37" i="2" s="1"/>
  <c r="H26" i="5"/>
  <c r="H8" i="4"/>
  <c r="H9" i="4" s="1"/>
  <c r="H18" i="4" s="1"/>
  <c r="H6" i="6" s="1"/>
  <c r="H10" i="6" s="1"/>
  <c r="H10" i="5"/>
  <c r="H34" i="2"/>
  <c r="G24" i="4"/>
  <c r="G25" i="4" s="1"/>
  <c r="G5" i="2" s="1"/>
  <c r="G35" i="2"/>
  <c r="D8" i="5"/>
  <c r="D17" i="4" s="1"/>
  <c r="D18" i="4" s="1"/>
  <c r="G28" i="4" l="1"/>
  <c r="G10" i="2"/>
  <c r="G18" i="2" s="1"/>
  <c r="G37" i="2" s="1"/>
  <c r="D28" i="5"/>
  <c r="D27" i="5"/>
  <c r="I34" i="2"/>
  <c r="H24" i="4"/>
  <c r="H25" i="4" s="1"/>
  <c r="H5" i="2" s="1"/>
  <c r="H35" i="2"/>
  <c r="I7" i="5"/>
  <c r="H17" i="2"/>
  <c r="D28" i="4" l="1"/>
  <c r="D29" i="4" s="1"/>
  <c r="H28" i="4"/>
  <c r="H10" i="2"/>
  <c r="H18" i="2" s="1"/>
  <c r="H37" i="2" s="1"/>
  <c r="I8" i="5"/>
  <c r="I17" i="4" s="1"/>
  <c r="F28" i="5"/>
  <c r="H28" i="5"/>
  <c r="G28" i="5"/>
  <c r="J28" i="5"/>
  <c r="I28" i="5"/>
  <c r="J34" i="2"/>
  <c r="I24" i="4"/>
  <c r="I35" i="2"/>
  <c r="D31" i="4" l="1"/>
  <c r="D35" i="4"/>
  <c r="E27" i="4"/>
  <c r="E29" i="4" s="1"/>
  <c r="J24" i="4"/>
  <c r="J35" i="2"/>
  <c r="I20" i="5"/>
  <c r="I22" i="5" s="1"/>
  <c r="I9" i="5" s="1"/>
  <c r="J20" i="5"/>
  <c r="F27" i="4" l="1"/>
  <c r="F29" i="4" s="1"/>
  <c r="E35" i="4"/>
  <c r="E31" i="4"/>
  <c r="G27" i="4"/>
  <c r="G29" i="4" s="1"/>
  <c r="F31" i="4"/>
  <c r="I26" i="5"/>
  <c r="I8" i="4"/>
  <c r="I9" i="4" s="1"/>
  <c r="I18" i="4" s="1"/>
  <c r="I10" i="5"/>
  <c r="I25" i="4" l="1"/>
  <c r="I6" i="6"/>
  <c r="I10" i="6" s="1"/>
  <c r="H27" i="4"/>
  <c r="H29" i="4" s="1"/>
  <c r="G31" i="4"/>
  <c r="I17" i="2"/>
  <c r="J7" i="5"/>
  <c r="I28" i="4" l="1"/>
  <c r="I5" i="2"/>
  <c r="I27" i="4"/>
  <c r="I29" i="4" s="1"/>
  <c r="H31" i="4"/>
  <c r="J8" i="5"/>
  <c r="J17" i="4" s="1"/>
  <c r="I10" i="2" l="1"/>
  <c r="I18" i="2" s="1"/>
  <c r="I37" i="2" s="1"/>
  <c r="J27" i="4"/>
  <c r="I31" i="4"/>
  <c r="J21" i="5"/>
  <c r="J22" i="5" s="1"/>
  <c r="J9" i="5" s="1"/>
  <c r="J26" i="5" l="1"/>
  <c r="J8" i="4"/>
  <c r="J9" i="4" s="1"/>
  <c r="J18" i="4" s="1"/>
  <c r="J10" i="5"/>
  <c r="J17" i="2" s="1"/>
  <c r="J25" i="4" l="1"/>
  <c r="J6" i="6"/>
  <c r="J10" i="6" l="1"/>
  <c r="C14" i="6" s="1"/>
  <c r="J7" i="6"/>
  <c r="J11" i="6" s="1"/>
  <c r="C15" i="6" s="1"/>
  <c r="J28" i="4"/>
  <c r="J29" i="4" s="1"/>
  <c r="J5" i="2"/>
  <c r="C16" i="6" l="1"/>
  <c r="C19" i="6" s="1"/>
  <c r="C21" i="6" s="1"/>
  <c r="J31" i="4"/>
  <c r="J10" i="2"/>
  <c r="J18" i="2" s="1"/>
  <c r="J37" i="2" s="1"/>
</calcChain>
</file>

<file path=xl/sharedStrings.xml><?xml version="1.0" encoding="utf-8"?>
<sst xmlns="http://schemas.openxmlformats.org/spreadsheetml/2006/main" count="310" uniqueCount="138">
  <si>
    <t>$ in Thousands</t>
  </si>
  <si>
    <t>2016A</t>
  </si>
  <si>
    <t>2017A</t>
  </si>
  <si>
    <t>2018A</t>
  </si>
  <si>
    <t>2019E</t>
  </si>
  <si>
    <t>2020E</t>
  </si>
  <si>
    <t>2021E</t>
  </si>
  <si>
    <t>2022E</t>
  </si>
  <si>
    <t>2023E</t>
  </si>
  <si>
    <t>SG&amp;A</t>
  </si>
  <si>
    <t>D&amp;A</t>
  </si>
  <si>
    <t>EBIT</t>
  </si>
  <si>
    <t>Interest Expense</t>
  </si>
  <si>
    <t>EBT</t>
  </si>
  <si>
    <t>Net Income</t>
  </si>
  <si>
    <t>Operating Losses</t>
  </si>
  <si>
    <t>P&amp;L</t>
  </si>
  <si>
    <t>Balance Sheet</t>
  </si>
  <si>
    <t>Assets</t>
  </si>
  <si>
    <t>Receivables</t>
  </si>
  <si>
    <t>Inventories</t>
  </si>
  <si>
    <t>Total Current Assets</t>
  </si>
  <si>
    <t>Goodwill</t>
  </si>
  <si>
    <t>Total Assets</t>
  </si>
  <si>
    <t>Accounts Payable</t>
  </si>
  <si>
    <t>Total Current Liabilities</t>
  </si>
  <si>
    <t>Liabilities &amp; Shareholders' Equity</t>
  </si>
  <si>
    <t>Check</t>
  </si>
  <si>
    <t>Y/Y Growth %</t>
  </si>
  <si>
    <t>Case 1</t>
  </si>
  <si>
    <t xml:space="preserve"> </t>
  </si>
  <si>
    <t>Case 2</t>
  </si>
  <si>
    <t>Case 3</t>
  </si>
  <si>
    <t>% of Sales</t>
  </si>
  <si>
    <t>Taxes</t>
  </si>
  <si>
    <t>% of EBT</t>
  </si>
  <si>
    <t>Selected Case</t>
  </si>
  <si>
    <t>Scenarios</t>
  </si>
  <si>
    <t>Case 1: Upside Case</t>
  </si>
  <si>
    <t>Case 2: Base Case</t>
  </si>
  <si>
    <t>Case 3: Downside Case</t>
  </si>
  <si>
    <t>Days Receivables</t>
  </si>
  <si>
    <t>Days Inventories</t>
  </si>
  <si>
    <t>Days Payable</t>
  </si>
  <si>
    <t>% of Revenues</t>
  </si>
  <si>
    <t>Cash Flow</t>
  </si>
  <si>
    <t>Operating Taxes</t>
  </si>
  <si>
    <t>Operating Tax Rate</t>
  </si>
  <si>
    <t>NOPAT</t>
  </si>
  <si>
    <t>Gross Cash Flow</t>
  </si>
  <si>
    <t>Account Payable</t>
  </si>
  <si>
    <t>Investments in Working Capital</t>
  </si>
  <si>
    <t>Capex</t>
  </si>
  <si>
    <t>Unlevered Free Cash Flow</t>
  </si>
  <si>
    <t>Delta Taxes vs. Operating Taxes</t>
  </si>
  <si>
    <t>Delta Financial Liabilities</t>
  </si>
  <si>
    <t>Delta Equity (incl. Dividends)</t>
  </si>
  <si>
    <t>Net Cash Flow</t>
  </si>
  <si>
    <t>Opening Cash</t>
  </si>
  <si>
    <t>Closing Cash</t>
  </si>
  <si>
    <t>Investments in Other Liabilities</t>
  </si>
  <si>
    <t>Investments in Other Assets</t>
  </si>
  <si>
    <t>Sales by Company-operated restaurants</t>
  </si>
  <si>
    <t>Revenues from franchised restaurants</t>
  </si>
  <si>
    <t>Total Revenues</t>
  </si>
  <si>
    <t>Company-operated restaurant expenses</t>
  </si>
  <si>
    <t>Food &amp; paper</t>
  </si>
  <si>
    <t>Payroll &amp; employee benefits</t>
  </si>
  <si>
    <t>Occupancy &amp; other operating expenses</t>
  </si>
  <si>
    <t>Franchised restaurants-occupancy expenses</t>
  </si>
  <si>
    <t>Selling, general &amp; administrative expenses</t>
  </si>
  <si>
    <t>Other operating (income) expense, net</t>
  </si>
  <si>
    <t>Interest expense-net of capitalized interest of $7.1, $9.4 and $14.7</t>
  </si>
  <si>
    <t>Nonoperating (income) expense, net</t>
  </si>
  <si>
    <t>Provision for Income Taxes</t>
  </si>
  <si>
    <t>Earnings per common share–basic</t>
  </si>
  <si>
    <t>Earnings per common share–diluted</t>
  </si>
  <si>
    <t>Dividends declared per common share</t>
  </si>
  <si>
    <t>Weighted-average shares outstanding–basic</t>
  </si>
  <si>
    <t>Weighted-average shares outstanding–diluted</t>
  </si>
  <si>
    <t>Cash and equivalents</t>
  </si>
  <si>
    <t>Accounts and notes receivable</t>
  </si>
  <si>
    <t>Inventories, at cost, not in excess of market</t>
  </si>
  <si>
    <t>Prepaid expenses and other current assets</t>
  </si>
  <si>
    <t>Investments in and advances to affiliates</t>
  </si>
  <si>
    <t>Miscellaneous</t>
  </si>
  <si>
    <t>Property and equipment, at cost</t>
  </si>
  <si>
    <t>Accumulated depreciation and amortization</t>
  </si>
  <si>
    <t>Net Property and equipment</t>
  </si>
  <si>
    <t>Total Other Assets</t>
  </si>
  <si>
    <t>Accounts payable</t>
  </si>
  <si>
    <t>Income taxes</t>
  </si>
  <si>
    <t>Other taxes</t>
  </si>
  <si>
    <t>Accrued interest</t>
  </si>
  <si>
    <t>Accrued payroll and other liabilities</t>
  </si>
  <si>
    <t>Long-Term Debt</t>
  </si>
  <si>
    <t>Long-Term Income Taxes</t>
  </si>
  <si>
    <t>Deferred revenues - initial franchise fees</t>
  </si>
  <si>
    <t>Other long-term liabilities</t>
  </si>
  <si>
    <t>Deferred income taxes</t>
  </si>
  <si>
    <t>Total shareholders’ equity (deficit)</t>
  </si>
  <si>
    <t>Total liabilities and shareholders’ equity (deficit)</t>
  </si>
  <si>
    <t>Assets of businesses held for sale</t>
  </si>
  <si>
    <t>Current maturities of long-term debt</t>
  </si>
  <si>
    <t>Liabilities of businesses held for sale</t>
  </si>
  <si>
    <t>Total Operating Costs and Expenses</t>
  </si>
  <si>
    <t>Products Expenses</t>
  </si>
  <si>
    <t>PP&amp;E</t>
  </si>
  <si>
    <t>$ in Millions</t>
  </si>
  <si>
    <t>Beginning PP&amp;E</t>
  </si>
  <si>
    <t>Ending PP&amp;E</t>
  </si>
  <si>
    <t>Total D&amp;A</t>
  </si>
  <si>
    <t>D&amp;A as a % of PP&amp;E</t>
  </si>
  <si>
    <t>D&amp;A as a % of revenues</t>
  </si>
  <si>
    <t>Capex as a % of PP&amp;E</t>
  </si>
  <si>
    <t>Capex as a % of revenues</t>
  </si>
  <si>
    <t>Useful life Capex</t>
  </si>
  <si>
    <t>Useful life historical assets</t>
  </si>
  <si>
    <t>Old PP&amp;E + Capex - D&amp;A = New PP&amp;E</t>
  </si>
  <si>
    <t>Tesla PP&amp;E</t>
  </si>
  <si>
    <t>Tesla D&amp;A</t>
  </si>
  <si>
    <t>Missing</t>
  </si>
  <si>
    <t>Actual</t>
  </si>
  <si>
    <t>Valuation</t>
  </si>
  <si>
    <t>g (Perpetuity Growth)</t>
  </si>
  <si>
    <t>Continuing Value</t>
  </si>
  <si>
    <t>Discount Factor (WACC)</t>
  </si>
  <si>
    <t>Present Value of UFCF</t>
  </si>
  <si>
    <t>Present Value of CV</t>
  </si>
  <si>
    <t>Perpetuity Growth Rate-Based Valuation</t>
  </si>
  <si>
    <t>Total PV of Cash Flows</t>
  </si>
  <si>
    <t>PV of Continuing Value</t>
  </si>
  <si>
    <t>Enterprise Value</t>
  </si>
  <si>
    <t>Cash</t>
  </si>
  <si>
    <t>Financial Liabilities</t>
  </si>
  <si>
    <t>Equity Value</t>
  </si>
  <si>
    <t>Shares Outstanding</t>
  </si>
  <si>
    <t>Price per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</si>
</sst>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&quot;A&quot;"/>
    <numFmt numFmtId="165" formatCode="yyyy"/>
    <numFmt numFmtId="166" formatCode="0.0%"/>
    <numFmt numFmtId="167" formatCode="0.0"/>
    <numFmt numFmtId="168" formatCode="#,##0.0_);\(#,##0.0\)"/>
    <numFmt numFmtId="169" formatCode="_(* #,##0_);_(* \(#,##0\);_(* &quot;-&quot;??_);_(@_)"/>
    <numFmt numFmtId="170" formatCode="#,##0.0"/>
  </numFmts>
  <fonts count="25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12"/>
      <color rgb="FF0070C0"/>
      <name val="Arial"/>
      <family val="2"/>
    </font>
    <font>
      <b/>
      <sz val="9"/>
      <color rgb="FF2A6BA6"/>
      <name val="Arial"/>
      <family val="2"/>
    </font>
    <font>
      <b/>
      <sz val="12"/>
      <color rgb="FF4E8ABE"/>
      <name val="Arial"/>
      <family val="2"/>
    </font>
    <font>
      <b/>
      <sz val="9"/>
      <color rgb="FF4E8ABE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i/>
      <sz val="9"/>
      <color theme="1"/>
      <name val="Arial"/>
      <family val="2"/>
    </font>
    <font>
      <b/>
      <sz val="9"/>
      <color rgb="FF0070C0"/>
      <name val="Arial"/>
      <family val="2"/>
    </font>
    <font>
      <sz val="10"/>
      <color rgb="FF0070C0"/>
      <name val="Arial"/>
      <family val="2"/>
    </font>
    <font>
      <sz val="9"/>
      <color rgb="FF0070C0"/>
      <name val="Arial"/>
      <family val="2"/>
    </font>
    <font>
      <b/>
      <sz val="9"/>
      <name val="Arial"/>
      <family val="2"/>
    </font>
    <font>
      <sz val="8"/>
      <color rgb="FF0070C0"/>
      <name val="Arial"/>
      <family val="2"/>
      <charset val="204"/>
    </font>
    <font>
      <u/>
      <sz val="9"/>
      <color rgb="FF0070C0"/>
      <name val="Arial"/>
      <family val="2"/>
      <charset val="204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E8ABE"/>
        <bgColor indexed="64"/>
      </patternFill>
    </fill>
    <fill>
      <patternFill patternType="lightUp">
        <fgColor theme="4" tint="-0.499984740745262"/>
        <bgColor theme="0"/>
      </patternFill>
    </fill>
    <fill>
      <patternFill patternType="mediumGray">
        <bgColor theme="4" tint="0.59996337778862885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465926084170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top"/>
    </xf>
    <xf numFmtId="0" fontId="4" fillId="2" borderId="0" xfId="0" applyFont="1" applyFill="1"/>
    <xf numFmtId="0" fontId="5" fillId="4" borderId="0" xfId="0" applyFont="1" applyFill="1"/>
    <xf numFmtId="0" fontId="6" fillId="2" borderId="0" xfId="0" applyFont="1" applyFill="1"/>
    <xf numFmtId="0" fontId="7" fillId="2" borderId="1" xfId="0" applyNumberFormat="1" applyFont="1" applyFill="1" applyBorder="1"/>
    <xf numFmtId="165" fontId="7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vertical="top"/>
    </xf>
    <xf numFmtId="0" fontId="7" fillId="3" borderId="1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vertical="top"/>
    </xf>
    <xf numFmtId="37" fontId="3" fillId="2" borderId="0" xfId="0" applyNumberFormat="1" applyFont="1" applyFill="1" applyAlignment="1">
      <alignment vertical="top"/>
    </xf>
    <xf numFmtId="37" fontId="3" fillId="3" borderId="0" xfId="0" applyNumberFormat="1" applyFont="1" applyFill="1" applyAlignment="1">
      <alignment vertical="top"/>
    </xf>
    <xf numFmtId="37" fontId="7" fillId="2" borderId="2" xfId="0" applyNumberFormat="1" applyFont="1" applyFill="1" applyBorder="1" applyAlignment="1">
      <alignment vertical="top"/>
    </xf>
    <xf numFmtId="37" fontId="5" fillId="4" borderId="0" xfId="0" applyNumberFormat="1" applyFont="1" applyFill="1"/>
    <xf numFmtId="37" fontId="7" fillId="2" borderId="0" xfId="0" applyNumberFormat="1" applyFont="1" applyFill="1" applyBorder="1" applyAlignment="1">
      <alignment vertical="top"/>
    </xf>
    <xf numFmtId="37" fontId="7" fillId="3" borderId="0" xfId="0" applyNumberFormat="1" applyFont="1" applyFill="1" applyBorder="1" applyAlignment="1">
      <alignment vertical="top"/>
    </xf>
    <xf numFmtId="0" fontId="8" fillId="2" borderId="0" xfId="0" applyFont="1" applyFill="1"/>
    <xf numFmtId="0" fontId="9" fillId="2" borderId="1" xfId="0" applyNumberFormat="1" applyFont="1" applyFill="1" applyBorder="1"/>
    <xf numFmtId="165" fontId="9" fillId="2" borderId="1" xfId="0" applyNumberFormat="1" applyFont="1" applyFill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0" fontId="9" fillId="3" borderId="1" xfId="0" applyNumberFormat="1" applyFont="1" applyFill="1" applyBorder="1" applyAlignment="1">
      <alignment horizontal="right"/>
    </xf>
    <xf numFmtId="0" fontId="1" fillId="5" borderId="0" xfId="0" applyFont="1" applyFill="1"/>
    <xf numFmtId="0" fontId="7" fillId="2" borderId="5" xfId="0" applyFont="1" applyFill="1" applyBorder="1" applyAlignment="1">
      <alignment vertical="top"/>
    </xf>
    <xf numFmtId="37" fontId="4" fillId="2" borderId="0" xfId="0" applyNumberFormat="1" applyFont="1" applyFill="1"/>
    <xf numFmtId="0" fontId="4" fillId="6" borderId="0" xfId="0" applyFont="1" applyFill="1"/>
    <xf numFmtId="9" fontId="4" fillId="2" borderId="0" xfId="0" applyNumberFormat="1" applyFont="1" applyFill="1"/>
    <xf numFmtId="0" fontId="10" fillId="2" borderId="0" xfId="0" applyFont="1" applyFill="1"/>
    <xf numFmtId="0" fontId="11" fillId="2" borderId="0" xfId="0" applyFont="1" applyFill="1" applyAlignment="1">
      <alignment horizontal="left" indent="1"/>
    </xf>
    <xf numFmtId="37" fontId="2" fillId="3" borderId="0" xfId="0" applyNumberFormat="1" applyFont="1" applyFill="1" applyAlignment="1">
      <alignment vertical="top"/>
    </xf>
    <xf numFmtId="9" fontId="2" fillId="3" borderId="0" xfId="0" applyNumberFormat="1" applyFont="1" applyFill="1" applyAlignment="1">
      <alignment vertical="top"/>
    </xf>
    <xf numFmtId="168" fontId="12" fillId="3" borderId="0" xfId="0" applyNumberFormat="1" applyFont="1" applyFill="1" applyAlignment="1">
      <alignment vertical="top"/>
    </xf>
    <xf numFmtId="166" fontId="12" fillId="3" borderId="0" xfId="0" applyNumberFormat="1" applyFont="1" applyFill="1" applyAlignment="1">
      <alignment vertical="top"/>
    </xf>
    <xf numFmtId="37" fontId="10" fillId="2" borderId="0" xfId="0" applyNumberFormat="1" applyFont="1" applyFill="1"/>
    <xf numFmtId="0" fontId="2" fillId="2" borderId="0" xfId="0" applyFont="1" applyFill="1" applyAlignment="1">
      <alignment horizontal="left" vertical="top" indent="2"/>
    </xf>
    <xf numFmtId="0" fontId="4" fillId="2" borderId="0" xfId="0" applyFont="1" applyFill="1" applyBorder="1"/>
    <xf numFmtId="0" fontId="4" fillId="2" borderId="6" xfId="0" applyFont="1" applyFill="1" applyBorder="1"/>
    <xf numFmtId="0" fontId="7" fillId="2" borderId="3" xfId="0" applyFont="1" applyFill="1" applyBorder="1" applyAlignment="1">
      <alignment horizontal="left" vertical="top" indent="2"/>
    </xf>
    <xf numFmtId="168" fontId="4" fillId="2" borderId="0" xfId="0" applyNumberFormat="1" applyFont="1" applyFill="1"/>
    <xf numFmtId="168" fontId="2" fillId="3" borderId="0" xfId="0" applyNumberFormat="1" applyFont="1" applyFill="1" applyAlignment="1">
      <alignment vertical="top"/>
    </xf>
    <xf numFmtId="168" fontId="0" fillId="2" borderId="0" xfId="0" applyNumberFormat="1" applyFill="1"/>
    <xf numFmtId="168" fontId="2" fillId="2" borderId="0" xfId="0" applyNumberFormat="1" applyFont="1" applyFill="1" applyAlignment="1">
      <alignment vertical="top"/>
    </xf>
    <xf numFmtId="168" fontId="7" fillId="2" borderId="0" xfId="0" applyNumberFormat="1" applyFont="1" applyFill="1" applyBorder="1" applyAlignment="1">
      <alignment vertical="top"/>
    </xf>
    <xf numFmtId="168" fontId="7" fillId="2" borderId="2" xfId="0" applyNumberFormat="1" applyFont="1" applyFill="1" applyBorder="1" applyAlignment="1">
      <alignment vertical="top"/>
    </xf>
    <xf numFmtId="168" fontId="5" fillId="4" borderId="0" xfId="0" applyNumberFormat="1" applyFont="1" applyFill="1"/>
    <xf numFmtId="37" fontId="7" fillId="2" borderId="2" xfId="0" applyNumberFormat="1" applyFont="1" applyFill="1" applyBorder="1" applyAlignment="1">
      <alignment horizontal="left" vertical="top" indent="2"/>
    </xf>
    <xf numFmtId="0" fontId="2" fillId="2" borderId="0" xfId="0" applyFont="1" applyFill="1" applyAlignment="1">
      <alignment vertical="top" wrapText="1"/>
    </xf>
    <xf numFmtId="168" fontId="2" fillId="7" borderId="0" xfId="0" applyNumberFormat="1" applyFont="1" applyFill="1" applyAlignment="1">
      <alignment vertical="top"/>
    </xf>
    <xf numFmtId="0" fontId="0" fillId="8" borderId="0" xfId="0" applyFill="1"/>
    <xf numFmtId="37" fontId="0" fillId="2" borderId="0" xfId="0" applyNumberFormat="1" applyFill="1"/>
    <xf numFmtId="168" fontId="0" fillId="8" borderId="0" xfId="0" applyNumberFormat="1" applyFill="1"/>
    <xf numFmtId="0" fontId="14" fillId="2" borderId="0" xfId="0" applyFont="1" applyFill="1" applyAlignment="1"/>
    <xf numFmtId="0" fontId="0" fillId="2" borderId="0" xfId="0" applyFill="1" applyAlignment="1"/>
    <xf numFmtId="0" fontId="15" fillId="9" borderId="0" xfId="0" applyFont="1" applyFill="1" applyAlignment="1"/>
    <xf numFmtId="166" fontId="15" fillId="9" borderId="0" xfId="2" applyNumberFormat="1" applyFont="1" applyFill="1" applyAlignment="1">
      <alignment vertical="top"/>
    </xf>
    <xf numFmtId="0" fontId="16" fillId="2" borderId="0" xfId="0" applyFont="1" applyFill="1" applyAlignment="1"/>
    <xf numFmtId="169" fontId="13" fillId="2" borderId="0" xfId="1" applyNumberFormat="1" applyFill="1" applyAlignment="1">
      <alignment vertical="top"/>
    </xf>
    <xf numFmtId="170" fontId="0" fillId="2" borderId="0" xfId="0" applyNumberFormat="1" applyFill="1"/>
    <xf numFmtId="0" fontId="17" fillId="2" borderId="0" xfId="0" applyFont="1" applyFill="1"/>
    <xf numFmtId="0" fontId="10" fillId="10" borderId="0" xfId="0" applyFont="1" applyFill="1"/>
    <xf numFmtId="0" fontId="0" fillId="10" borderId="0" xfId="0" applyFill="1"/>
    <xf numFmtId="37" fontId="10" fillId="10" borderId="0" xfId="0" applyNumberFormat="1" applyFont="1" applyFill="1"/>
    <xf numFmtId="168" fontId="2" fillId="2" borderId="0" xfId="0" applyNumberFormat="1" applyFont="1" applyFill="1" applyBorder="1" applyAlignment="1">
      <alignment vertical="top"/>
    </xf>
    <xf numFmtId="9" fontId="5" fillId="4" borderId="0" xfId="0" applyNumberFormat="1" applyFont="1" applyFill="1"/>
    <xf numFmtId="0" fontId="5" fillId="5" borderId="4" xfId="0" applyFont="1" applyFill="1" applyBorder="1" applyAlignment="1">
      <alignment horizontal="left"/>
    </xf>
    <xf numFmtId="0" fontId="5" fillId="4" borderId="0" xfId="0" applyFont="1" applyFill="1" applyAlignment="1">
      <alignment horizontal="center"/>
    </xf>
    <xf numFmtId="0" fontId="19" fillId="2" borderId="0" xfId="0" applyFont="1" applyFill="1"/>
    <xf numFmtId="9" fontId="20" fillId="3" borderId="0" xfId="0" applyNumberFormat="1" applyFont="1" applyFill="1" applyAlignment="1">
      <alignment vertical="top"/>
    </xf>
    <xf numFmtId="4" fontId="19" fillId="2" borderId="0" xfId="0" applyNumberFormat="1" applyFont="1" applyFill="1"/>
    <xf numFmtId="168" fontId="21" fillId="3" borderId="2" xfId="0" applyNumberFormat="1" applyFont="1" applyFill="1" applyBorder="1" applyAlignment="1">
      <alignment vertical="top"/>
    </xf>
    <xf numFmtId="168" fontId="21" fillId="2" borderId="2" xfId="0" applyNumberFormat="1" applyFont="1" applyFill="1" applyBorder="1" applyAlignment="1">
      <alignment vertical="top"/>
    </xf>
    <xf numFmtId="168" fontId="20" fillId="2" borderId="0" xfId="0" applyNumberFormat="1" applyFont="1" applyFill="1" applyAlignment="1">
      <alignment vertical="top"/>
    </xf>
    <xf numFmtId="166" fontId="22" fillId="9" borderId="0" xfId="2" applyNumberFormat="1" applyFont="1" applyFill="1" applyAlignment="1">
      <alignment vertical="top"/>
    </xf>
    <xf numFmtId="0" fontId="23" fillId="2" borderId="0" xfId="0" applyFont="1" applyFill="1" applyAlignment="1"/>
    <xf numFmtId="9" fontId="2" fillId="2" borderId="0" xfId="0" applyNumberFormat="1" applyFont="1" applyFill="1"/>
    <xf numFmtId="37" fontId="21" fillId="2" borderId="2" xfId="0" applyNumberFormat="1" applyFont="1" applyFill="1" applyBorder="1" applyAlignment="1">
      <alignment vertical="top"/>
    </xf>
    <xf numFmtId="37" fontId="21" fillId="3" borderId="2" xfId="0" applyNumberFormat="1" applyFont="1" applyFill="1" applyBorder="1" applyAlignment="1">
      <alignment vertical="top"/>
    </xf>
    <xf numFmtId="37" fontId="24" fillId="10" borderId="0" xfId="0" applyNumberFormat="1" applyFont="1" applyFill="1"/>
    <xf numFmtId="0" fontId="24" fillId="10" borderId="0" xfId="0" applyFont="1" applyFill="1"/>
    <xf numFmtId="0" fontId="20" fillId="2" borderId="6" xfId="0" applyFont="1" applyFill="1" applyBorder="1"/>
    <xf numFmtId="0" fontId="20" fillId="2" borderId="0" xfId="0" applyFont="1" applyFill="1" applyBorder="1"/>
    <xf numFmtId="168" fontId="21" fillId="3" borderId="3" xfId="0" applyNumberFormat="1" applyFont="1" applyFill="1" applyBorder="1" applyAlignment="1">
      <alignment vertical="top"/>
    </xf>
    <xf numFmtId="168" fontId="21" fillId="2" borderId="3" xfId="0" applyNumberFormat="1" applyFont="1" applyFill="1" applyBorder="1" applyAlignment="1">
      <alignment vertical="top"/>
    </xf>
    <xf numFmtId="168" fontId="20" fillId="2" borderId="0" xfId="0" applyNumberFormat="1" applyFont="1" applyFill="1"/>
    <xf numFmtId="168" fontId="19" fillId="2" borderId="0" xfId="0" applyNumberFormat="1" applyFont="1" applyFill="1"/>
    <xf numFmtId="168" fontId="18" fillId="2" borderId="3" xfId="0" applyNumberFormat="1" applyFont="1" applyFill="1" applyBorder="1" applyAlignment="1">
      <alignment vertical="top"/>
    </xf>
    <xf numFmtId="168" fontId="21" fillId="2" borderId="5" xfId="0" applyNumberFormat="1" applyFont="1" applyFill="1" applyBorder="1" applyAlignment="1">
      <alignment vertical="top"/>
    </xf>
    <xf numFmtId="168" fontId="21" fillId="3" borderId="5" xfId="0" applyNumberFormat="1" applyFont="1" applyFill="1" applyBorder="1" applyAlignment="1">
      <alignment vertical="top"/>
    </xf>
    <xf numFmtId="37" fontId="2" fillId="2" borderId="0" xfId="0" applyNumberFormat="1" applyFont="1" applyFill="1"/>
    <xf numFmtId="37" fontId="20" fillId="2" borderId="0" xfId="0" applyNumberFormat="1" applyFont="1" applyFill="1"/>
    <xf numFmtId="166" fontId="2" fillId="2" borderId="0" xfId="0" applyNumberFormat="1" applyFont="1" applyFill="1"/>
    <xf numFmtId="167" fontId="12" fillId="2" borderId="0" xfId="0" applyNumberFormat="1" applyFont="1" applyFill="1"/>
    <xf numFmtId="166" fontId="12" fillId="2" borderId="0" xfId="0" applyNumberFormat="1" applyFont="1" applyFill="1"/>
    <xf numFmtId="0" fontId="2" fillId="2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4E8ABE"/>
      <color rgb="FF2A6B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"/>
  <sheetViews>
    <sheetView workbookViewId="0">
      <pane ySplit="8" topLeftCell="A21" activePane="bottomLeft" state="frozen"/>
      <selection pane="bottomLeft" activeCell="C5" sqref="C5"/>
    </sheetView>
  </sheetViews>
  <sheetFormatPr defaultRowHeight="12.75" x14ac:dyDescent="0.2"/>
  <cols>
    <col min="1" max="1" width="2.7109375" style="1" customWidth="1"/>
    <col min="2" max="2" width="35.7109375" style="1" customWidth="1"/>
    <col min="3" max="15" width="9.140625" style="1"/>
    <col min="16" max="16" width="30.7109375" style="1" customWidth="1"/>
    <col min="17" max="19" width="9.140625" style="1"/>
    <col min="20" max="20" width="12.85546875" style="1" bestFit="1" customWidth="1"/>
    <col min="21" max="16384" width="9.140625" style="1"/>
  </cols>
  <sheetData>
    <row r="1" spans="1:24" ht="15.75" x14ac:dyDescent="0.25">
      <c r="B1" s="18" t="s">
        <v>17</v>
      </c>
    </row>
    <row r="2" spans="1:24" ht="15.75" x14ac:dyDescent="0.25">
      <c r="B2" s="18"/>
      <c r="G2" s="3" t="s">
        <v>37</v>
      </c>
      <c r="H2" s="3"/>
    </row>
    <row r="3" spans="1:24" ht="15.75" x14ac:dyDescent="0.25">
      <c r="B3" s="18"/>
      <c r="G3" s="3" t="s">
        <v>38</v>
      </c>
      <c r="H3" s="3"/>
    </row>
    <row r="4" spans="1:24" ht="15.75" x14ac:dyDescent="0.25">
      <c r="B4" s="18"/>
      <c r="G4" s="3" t="s">
        <v>39</v>
      </c>
      <c r="H4" s="3"/>
    </row>
    <row r="5" spans="1:24" x14ac:dyDescent="0.2">
      <c r="B5" s="3" t="s">
        <v>36</v>
      </c>
      <c r="C5" s="23">
        <v>2</v>
      </c>
      <c r="G5" s="3" t="s">
        <v>40</v>
      </c>
      <c r="H5" s="3"/>
    </row>
    <row r="6" spans="1:24" ht="15.75" x14ac:dyDescent="0.25">
      <c r="B6" s="18"/>
    </row>
    <row r="7" spans="1:24" ht="4.5" customHeight="1" x14ac:dyDescent="0.2"/>
    <row r="8" spans="1:24" ht="18" customHeight="1" x14ac:dyDescent="0.2">
      <c r="B8" s="6" t="s">
        <v>108</v>
      </c>
      <c r="C8" s="20" t="s">
        <v>1</v>
      </c>
      <c r="D8" s="21" t="s">
        <v>2</v>
      </c>
      <c r="E8" s="21" t="s">
        <v>3</v>
      </c>
      <c r="F8" s="22" t="s">
        <v>4</v>
      </c>
      <c r="G8" s="22" t="s">
        <v>5</v>
      </c>
      <c r="H8" s="22" t="s">
        <v>6</v>
      </c>
      <c r="I8" s="22" t="s">
        <v>7</v>
      </c>
      <c r="J8" s="22" t="s">
        <v>8</v>
      </c>
      <c r="P8" s="19" t="s">
        <v>0</v>
      </c>
      <c r="Q8" s="20" t="s">
        <v>1</v>
      </c>
      <c r="R8" s="21" t="s">
        <v>2</v>
      </c>
      <c r="S8" s="21" t="s">
        <v>3</v>
      </c>
      <c r="T8" s="22" t="s">
        <v>4</v>
      </c>
      <c r="U8" s="22" t="s">
        <v>5</v>
      </c>
      <c r="V8" s="22" t="s">
        <v>6</v>
      </c>
      <c r="W8" s="22" t="s">
        <v>7</v>
      </c>
      <c r="X8" s="22" t="s">
        <v>8</v>
      </c>
    </row>
    <row r="9" spans="1:24" x14ac:dyDescent="0.2">
      <c r="B9" s="2" t="s">
        <v>62</v>
      </c>
      <c r="C9" s="89">
        <f>'P&amp;L'!C4</f>
        <v>15295</v>
      </c>
      <c r="D9" s="89">
        <f>'P&amp;L'!D4</f>
        <v>12718.9</v>
      </c>
      <c r="E9" s="89">
        <f>'P&amp;L'!E4</f>
        <v>10012.700000000001</v>
      </c>
      <c r="F9" s="30">
        <f>E9*(1+F10)</f>
        <v>9011.43</v>
      </c>
      <c r="G9" s="30">
        <f t="shared" ref="G9:J9" si="0">F9*(1+G10)</f>
        <v>8921.315700000001</v>
      </c>
      <c r="H9" s="30">
        <f t="shared" si="0"/>
        <v>8653.6762290000006</v>
      </c>
      <c r="I9" s="30">
        <f t="shared" si="0"/>
        <v>8480.60270442</v>
      </c>
      <c r="J9" s="30">
        <f t="shared" si="0"/>
        <v>8395.7966773757998</v>
      </c>
      <c r="K9" s="3"/>
      <c r="L9" s="3"/>
      <c r="M9" s="3"/>
      <c r="N9" s="3"/>
      <c r="O9" s="3"/>
      <c r="P9" s="3" t="s">
        <v>19</v>
      </c>
      <c r="Q9" s="89">
        <f>BS!C6</f>
        <v>1474.1</v>
      </c>
      <c r="R9" s="89">
        <f>BS!D6</f>
        <v>1976.2</v>
      </c>
      <c r="S9" s="89">
        <f>BS!E6</f>
        <v>2441.5</v>
      </c>
      <c r="T9" s="30">
        <f>T10*F9/360</f>
        <v>2197.3499999999995</v>
      </c>
      <c r="U9" s="30">
        <f t="shared" ref="U9:X9" si="1">U10*G9/360</f>
        <v>2175.3765000000003</v>
      </c>
      <c r="V9" s="30">
        <f t="shared" si="1"/>
        <v>2110.1152049999996</v>
      </c>
      <c r="W9" s="30">
        <f t="shared" si="1"/>
        <v>2067.9129008999998</v>
      </c>
      <c r="X9" s="30">
        <f t="shared" si="1"/>
        <v>2047.2337718909998</v>
      </c>
    </row>
    <row r="10" spans="1:24" x14ac:dyDescent="0.2">
      <c r="B10" s="3" t="s">
        <v>28</v>
      </c>
      <c r="C10" s="3"/>
      <c r="D10" s="91">
        <f>D9/C9-1</f>
        <v>-0.16842759071592028</v>
      </c>
      <c r="E10" s="91">
        <f>E9/D9-1</f>
        <v>-0.21276997224602745</v>
      </c>
      <c r="F10" s="31">
        <f>CHOOSE($C$5,F11,F12,F13)</f>
        <v>-0.1</v>
      </c>
      <c r="G10" s="31">
        <f t="shared" ref="G10:J10" si="2">CHOOSE($C$5,G11,G12,G13)</f>
        <v>-0.01</v>
      </c>
      <c r="H10" s="31">
        <f t="shared" si="2"/>
        <v>-0.03</v>
      </c>
      <c r="I10" s="31">
        <f t="shared" si="2"/>
        <v>-1.9999999999999997E-2</v>
      </c>
      <c r="J10" s="31">
        <f t="shared" si="2"/>
        <v>-9.9999999999999967E-3</v>
      </c>
      <c r="K10" s="3"/>
      <c r="L10" s="3"/>
      <c r="M10" s="3"/>
      <c r="N10" s="3"/>
      <c r="O10" s="3"/>
      <c r="P10" s="29" t="s">
        <v>41</v>
      </c>
      <c r="Q10" s="92">
        <f>Q9/C9*360</f>
        <v>34.696044458973518</v>
      </c>
      <c r="R10" s="92">
        <f t="shared" ref="R10:S10" si="3">R9/D9*360</f>
        <v>55.935025827705232</v>
      </c>
      <c r="S10" s="92">
        <f t="shared" si="3"/>
        <v>87.782516204420375</v>
      </c>
      <c r="T10" s="32">
        <f>$S$10</f>
        <v>87.782516204420375</v>
      </c>
      <c r="U10" s="32">
        <f t="shared" ref="U10:X10" si="4">$S$10</f>
        <v>87.782516204420375</v>
      </c>
      <c r="V10" s="32">
        <f t="shared" si="4"/>
        <v>87.782516204420375</v>
      </c>
      <c r="W10" s="32">
        <f t="shared" si="4"/>
        <v>87.782516204420375</v>
      </c>
      <c r="X10" s="32">
        <f t="shared" si="4"/>
        <v>87.782516204420375</v>
      </c>
    </row>
    <row r="11" spans="1:24" x14ac:dyDescent="0.2">
      <c r="B11" s="3" t="s">
        <v>29</v>
      </c>
      <c r="C11" s="26"/>
      <c r="D11" s="26"/>
      <c r="E11" s="26"/>
      <c r="F11" s="68">
        <v>-0.04</v>
      </c>
      <c r="G11" s="31">
        <f>F11+2%</f>
        <v>-0.02</v>
      </c>
      <c r="H11" s="31">
        <f t="shared" ref="H11:J11" si="5">G11+2%</f>
        <v>0</v>
      </c>
      <c r="I11" s="31">
        <f t="shared" si="5"/>
        <v>0.02</v>
      </c>
      <c r="J11" s="31">
        <f t="shared" si="5"/>
        <v>0.04</v>
      </c>
      <c r="K11" s="3"/>
      <c r="L11" s="3"/>
      <c r="M11" s="3"/>
      <c r="N11" s="3"/>
      <c r="O11" s="3"/>
      <c r="Q11" s="3"/>
      <c r="R11" s="3"/>
      <c r="S11" s="3"/>
      <c r="T11" s="30"/>
      <c r="U11" s="30"/>
      <c r="V11" s="30"/>
      <c r="W11" s="30"/>
      <c r="X11" s="30"/>
    </row>
    <row r="12" spans="1:24" x14ac:dyDescent="0.2">
      <c r="A12" s="1" t="s">
        <v>30</v>
      </c>
      <c r="B12" s="3" t="s">
        <v>31</v>
      </c>
      <c r="C12" s="26"/>
      <c r="D12" s="26"/>
      <c r="E12" s="26"/>
      <c r="F12" s="68">
        <v>-0.1</v>
      </c>
      <c r="G12" s="68">
        <v>-0.01</v>
      </c>
      <c r="H12" s="68">
        <v>-0.03</v>
      </c>
      <c r="I12" s="31">
        <f>H12+1%</f>
        <v>-1.9999999999999997E-2</v>
      </c>
      <c r="J12" s="31">
        <f>I12+1%</f>
        <v>-9.9999999999999967E-3</v>
      </c>
      <c r="K12" s="3"/>
      <c r="L12" s="3"/>
      <c r="M12" s="3"/>
      <c r="N12" s="3"/>
      <c r="O12" s="3"/>
      <c r="P12" s="3" t="s">
        <v>20</v>
      </c>
      <c r="Q12" s="89">
        <f>BS!C7</f>
        <v>58.9</v>
      </c>
      <c r="R12" s="89">
        <f>BS!D7</f>
        <v>58.8</v>
      </c>
      <c r="S12" s="89">
        <f>BS!E7</f>
        <v>51.1</v>
      </c>
      <c r="T12" s="30">
        <f>T13*F$21/360</f>
        <v>49.23857467002987</v>
      </c>
      <c r="U12" s="30">
        <f t="shared" ref="U12:X12" si="6">U13*G$21/360</f>
        <v>50.87477837973632</v>
      </c>
      <c r="V12" s="30">
        <f t="shared" si="6"/>
        <v>52.41433998687905</v>
      </c>
      <c r="W12" s="30">
        <f t="shared" si="6"/>
        <v>54.533462691017149</v>
      </c>
      <c r="X12" s="30">
        <f t="shared" si="6"/>
        <v>57.263513880402499</v>
      </c>
    </row>
    <row r="13" spans="1:24" x14ac:dyDescent="0.2">
      <c r="B13" s="3" t="s">
        <v>32</v>
      </c>
      <c r="C13" s="26"/>
      <c r="D13" s="26"/>
      <c r="E13" s="26"/>
      <c r="F13" s="68">
        <v>-0.15</v>
      </c>
      <c r="G13" s="68">
        <v>-0.05</v>
      </c>
      <c r="H13" s="68">
        <v>-7.0000000000000007E-2</v>
      </c>
      <c r="I13" s="68">
        <v>-7.0000000000000007E-2</v>
      </c>
      <c r="J13" s="68">
        <v>-7.0000000000000007E-2</v>
      </c>
      <c r="K13" s="3"/>
      <c r="L13" s="3"/>
      <c r="M13" s="3"/>
      <c r="N13" s="3"/>
      <c r="O13" s="3"/>
      <c r="P13" s="29" t="s">
        <v>42</v>
      </c>
      <c r="Q13" s="92">
        <f>Q12/C$21*360</f>
        <v>1.669764072195798</v>
      </c>
      <c r="R13" s="92">
        <f t="shared" ref="R13:S13" si="7">R12/D$21*360</f>
        <v>2.0335075315093758</v>
      </c>
      <c r="S13" s="92">
        <f t="shared" si="7"/>
        <v>2.2255289805102887</v>
      </c>
      <c r="T13" s="32">
        <f>$S$13</f>
        <v>2.2255289805102887</v>
      </c>
      <c r="U13" s="32">
        <f t="shared" ref="U13:X13" si="8">$S$13</f>
        <v>2.2255289805102887</v>
      </c>
      <c r="V13" s="32">
        <f t="shared" si="8"/>
        <v>2.2255289805102887</v>
      </c>
      <c r="W13" s="32">
        <f t="shared" si="8"/>
        <v>2.2255289805102887</v>
      </c>
      <c r="X13" s="32">
        <f t="shared" si="8"/>
        <v>2.2255289805102887</v>
      </c>
    </row>
    <row r="14" spans="1:24" ht="5.0999999999999996" customHeight="1" x14ac:dyDescent="0.2">
      <c r="B14" s="3"/>
      <c r="C14" s="3"/>
      <c r="D14" s="3"/>
      <c r="E14" s="3"/>
      <c r="F14" s="30"/>
      <c r="G14" s="30"/>
      <c r="H14" s="30"/>
      <c r="I14" s="30"/>
      <c r="J14" s="30"/>
      <c r="K14" s="3"/>
      <c r="L14" s="3"/>
      <c r="M14" s="3"/>
      <c r="N14" s="3"/>
      <c r="O14" s="3"/>
      <c r="Q14" s="3"/>
      <c r="R14" s="3"/>
      <c r="S14" s="3"/>
      <c r="T14" s="30"/>
      <c r="U14" s="30"/>
      <c r="V14" s="30"/>
      <c r="W14" s="30"/>
      <c r="X14" s="30"/>
    </row>
    <row r="15" spans="1:24" x14ac:dyDescent="0.2">
      <c r="B15" s="2" t="s">
        <v>63</v>
      </c>
      <c r="C15" s="89">
        <f>'P&amp;L'!C5</f>
        <v>9326.9</v>
      </c>
      <c r="D15" s="89">
        <f>'P&amp;L'!D5</f>
        <v>10101.5</v>
      </c>
      <c r="E15" s="89">
        <f>'P&amp;L'!E5</f>
        <v>11012.5</v>
      </c>
      <c r="F15" s="30">
        <f>E15*(1+F16)</f>
        <v>11948.5625</v>
      </c>
      <c r="G15" s="30">
        <f t="shared" ref="G15" si="9">F15*(1+G16)</f>
        <v>13023.933125000001</v>
      </c>
      <c r="H15" s="30">
        <f t="shared" ref="H15" si="10">G15*(1+H16)</f>
        <v>14261.206771875</v>
      </c>
      <c r="I15" s="30">
        <f t="shared" ref="I15" si="11">H15*(1+I16)</f>
        <v>15687.327449062501</v>
      </c>
      <c r="J15" s="30">
        <f t="shared" ref="J15" si="12">I15*(1+J16)</f>
        <v>17334.496831214063</v>
      </c>
      <c r="K15" s="3"/>
      <c r="L15" s="3"/>
      <c r="M15" s="3"/>
      <c r="N15" s="3"/>
      <c r="O15" s="3"/>
      <c r="P15" s="3" t="s">
        <v>24</v>
      </c>
      <c r="Q15" s="89">
        <f>BS!C21</f>
        <v>756</v>
      </c>
      <c r="R15" s="89">
        <f>BS!D21</f>
        <v>924.8</v>
      </c>
      <c r="S15" s="89">
        <f>BS!E21</f>
        <v>1207.9000000000001</v>
      </c>
      <c r="T15" s="30">
        <f>T16*F$21/360</f>
        <v>1163.8996936189646</v>
      </c>
      <c r="U15" s="30">
        <f t="shared" ref="U15:X15" si="13">U16*G$21/360</f>
        <v>1202.5762192736497</v>
      </c>
      <c r="V15" s="30">
        <f t="shared" si="13"/>
        <v>1238.9683223121569</v>
      </c>
      <c r="W15" s="30">
        <f t="shared" si="13"/>
        <v>1289.0600701463725</v>
      </c>
      <c r="X15" s="30">
        <f t="shared" si="13"/>
        <v>1353.5929239948766</v>
      </c>
    </row>
    <row r="16" spans="1:24" x14ac:dyDescent="0.2">
      <c r="B16" s="3" t="s">
        <v>28</v>
      </c>
      <c r="C16" s="27"/>
      <c r="D16" s="91">
        <f>D15/C15-1</f>
        <v>8.3050102392006053E-2</v>
      </c>
      <c r="E16" s="91">
        <f>E15/D15-1</f>
        <v>9.0184626045636707E-2</v>
      </c>
      <c r="F16" s="31">
        <f>CHOOSE($C$5,F17,F18,F19)</f>
        <v>8.5000000000000006E-2</v>
      </c>
      <c r="G16" s="31">
        <f t="shared" ref="G16:J16" si="14">CHOOSE($C$5,G17,G18,G19)</f>
        <v>9.0000000000000011E-2</v>
      </c>
      <c r="H16" s="31">
        <f t="shared" si="14"/>
        <v>9.5000000000000015E-2</v>
      </c>
      <c r="I16" s="31">
        <f t="shared" si="14"/>
        <v>0.10000000000000002</v>
      </c>
      <c r="J16" s="31">
        <f t="shared" si="14"/>
        <v>0.10500000000000002</v>
      </c>
      <c r="K16" s="3"/>
      <c r="L16" s="3"/>
      <c r="M16" s="3"/>
      <c r="N16" s="3"/>
      <c r="O16" s="3"/>
      <c r="P16" s="29" t="s">
        <v>43</v>
      </c>
      <c r="Q16" s="92">
        <f>Q15/C$21*360</f>
        <v>21.431946325637067</v>
      </c>
      <c r="R16" s="92">
        <f t="shared" ref="R16:S16" si="15">R15/D$21*360</f>
        <v>31.982785121426375</v>
      </c>
      <c r="S16" s="92">
        <f t="shared" si="15"/>
        <v>52.606975646934991</v>
      </c>
      <c r="T16" s="32">
        <f>$S$16</f>
        <v>52.606975646934991</v>
      </c>
      <c r="U16" s="32">
        <f t="shared" ref="U16:X16" si="16">$S$16</f>
        <v>52.606975646934991</v>
      </c>
      <c r="V16" s="32">
        <f t="shared" si="16"/>
        <v>52.606975646934991</v>
      </c>
      <c r="W16" s="32">
        <f t="shared" si="16"/>
        <v>52.606975646934991</v>
      </c>
      <c r="X16" s="32">
        <f t="shared" si="16"/>
        <v>52.606975646934991</v>
      </c>
    </row>
    <row r="17" spans="2:24" x14ac:dyDescent="0.2">
      <c r="B17" s="3" t="s">
        <v>29</v>
      </c>
      <c r="C17" s="26"/>
      <c r="D17" s="26"/>
      <c r="E17" s="26"/>
      <c r="F17" s="68">
        <v>0.11</v>
      </c>
      <c r="G17" s="31">
        <f>F17+0.5%</f>
        <v>0.115</v>
      </c>
      <c r="H17" s="31">
        <f t="shared" ref="H17:J17" si="17">G17+0.5%</f>
        <v>0.12000000000000001</v>
      </c>
      <c r="I17" s="31">
        <f t="shared" si="17"/>
        <v>0.125</v>
      </c>
      <c r="J17" s="31">
        <f t="shared" si="17"/>
        <v>0.13</v>
      </c>
      <c r="K17" s="3"/>
      <c r="L17" s="3"/>
      <c r="M17" s="3"/>
      <c r="N17" s="3"/>
      <c r="O17" s="3"/>
      <c r="P17" s="3"/>
      <c r="Q17" s="3"/>
      <c r="R17" s="3"/>
      <c r="S17" s="3"/>
      <c r="T17" s="30"/>
      <c r="U17" s="30"/>
      <c r="V17" s="30"/>
      <c r="W17" s="30"/>
      <c r="X17" s="30"/>
    </row>
    <row r="18" spans="2:24" x14ac:dyDescent="0.2">
      <c r="B18" s="3" t="s">
        <v>31</v>
      </c>
      <c r="C18" s="26"/>
      <c r="D18" s="26"/>
      <c r="E18" s="26"/>
      <c r="F18" s="68">
        <v>8.5000000000000006E-2</v>
      </c>
      <c r="G18" s="31">
        <f>F18+0.5%</f>
        <v>9.0000000000000011E-2</v>
      </c>
      <c r="H18" s="31">
        <f t="shared" ref="H18:J18" si="18">G18+0.5%</f>
        <v>9.5000000000000015E-2</v>
      </c>
      <c r="I18" s="31">
        <f t="shared" si="18"/>
        <v>0.10000000000000002</v>
      </c>
      <c r="J18" s="31">
        <f t="shared" si="18"/>
        <v>0.10500000000000002</v>
      </c>
      <c r="K18" s="3"/>
      <c r="L18" s="3"/>
      <c r="M18" s="3"/>
      <c r="N18" s="3"/>
      <c r="O18" s="3"/>
      <c r="P18" s="3" t="s">
        <v>83</v>
      </c>
      <c r="Q18" s="89">
        <f>BS!C8</f>
        <v>565.20000000000005</v>
      </c>
      <c r="R18" s="89">
        <f>BS!D8</f>
        <v>828.4</v>
      </c>
      <c r="S18" s="89">
        <f>BS!E8</f>
        <v>694.6</v>
      </c>
      <c r="T18" s="30">
        <f>'P&amp;L'!C$6*Drivers!T19</f>
        <v>813.42254722903954</v>
      </c>
      <c r="U18" s="30">
        <f>'P&amp;L'!D$6*Drivers!U19</f>
        <v>753.90720849266597</v>
      </c>
      <c r="V18" s="30">
        <f>'P&amp;L'!E$6*Drivers!V19</f>
        <v>694.6</v>
      </c>
      <c r="W18" s="30">
        <f>'P&amp;L'!F$6*Drivers!W19</f>
        <v>692.44576938626028</v>
      </c>
      <c r="X18" s="30">
        <f>'P&amp;L'!G$6*Drivers!X19</f>
        <v>724.99523590001525</v>
      </c>
    </row>
    <row r="19" spans="2:24" x14ac:dyDescent="0.2">
      <c r="B19" s="3" t="s">
        <v>32</v>
      </c>
      <c r="C19" s="26"/>
      <c r="D19" s="26"/>
      <c r="E19" s="26"/>
      <c r="F19" s="68">
        <v>0.08</v>
      </c>
      <c r="G19" s="31">
        <f>F19+0.25%</f>
        <v>8.2500000000000004E-2</v>
      </c>
      <c r="H19" s="31">
        <f t="shared" ref="H19:J19" si="19">G19+0.25%</f>
        <v>8.5000000000000006E-2</v>
      </c>
      <c r="I19" s="31">
        <f t="shared" si="19"/>
        <v>8.7500000000000008E-2</v>
      </c>
      <c r="J19" s="31">
        <f t="shared" si="19"/>
        <v>9.0000000000000011E-2</v>
      </c>
      <c r="K19" s="3"/>
      <c r="L19" s="3"/>
      <c r="M19" s="3"/>
      <c r="N19" s="3"/>
      <c r="O19" s="3"/>
      <c r="P19" s="29" t="s">
        <v>44</v>
      </c>
      <c r="Q19" s="93">
        <f>Q18/'P&amp;L'!C$6</f>
        <v>2.2955174052368015E-2</v>
      </c>
      <c r="R19" s="93">
        <f>R18/'P&amp;L'!D$6</f>
        <v>3.6300853622197676E-2</v>
      </c>
      <c r="S19" s="93">
        <f>S18/'P&amp;L'!E$6</f>
        <v>3.3036546620246181E-2</v>
      </c>
      <c r="T19" s="33">
        <f>$S$19</f>
        <v>3.3036546620246181E-2</v>
      </c>
      <c r="U19" s="33">
        <f t="shared" ref="U19:X19" si="20">$S$19</f>
        <v>3.3036546620246181E-2</v>
      </c>
      <c r="V19" s="33">
        <f t="shared" si="20"/>
        <v>3.3036546620246181E-2</v>
      </c>
      <c r="W19" s="33">
        <f t="shared" si="20"/>
        <v>3.3036546620246181E-2</v>
      </c>
      <c r="X19" s="33">
        <f t="shared" si="20"/>
        <v>3.3036546620246181E-2</v>
      </c>
    </row>
    <row r="20" spans="2:24" ht="5.0999999999999996" customHeight="1" x14ac:dyDescent="0.2">
      <c r="B20" s="3"/>
      <c r="C20" s="3"/>
      <c r="D20" s="3"/>
      <c r="E20" s="3"/>
      <c r="F20" s="30"/>
      <c r="G20" s="30"/>
      <c r="H20" s="30"/>
      <c r="I20" s="30"/>
      <c r="J20" s="30"/>
      <c r="K20" s="3"/>
      <c r="L20" s="3"/>
      <c r="M20" s="3"/>
      <c r="N20" s="3"/>
      <c r="O20" s="3"/>
      <c r="P20" s="3"/>
      <c r="Q20" s="3"/>
      <c r="R20" s="3"/>
      <c r="S20" s="3"/>
      <c r="T20" s="30"/>
      <c r="U20" s="30"/>
      <c r="V20" s="30"/>
      <c r="W20" s="30"/>
      <c r="X20" s="30"/>
    </row>
    <row r="21" spans="2:24" x14ac:dyDescent="0.2">
      <c r="B21" s="3" t="s">
        <v>106</v>
      </c>
      <c r="C21" s="89">
        <f>SUM('P&amp;L'!C8:C10)</f>
        <v>12698.8</v>
      </c>
      <c r="D21" s="89">
        <f>SUM('P&amp;L'!D8:D10)</f>
        <v>10409.6</v>
      </c>
      <c r="E21" s="89">
        <f>SUM('P&amp;L'!E8:E10)</f>
        <v>8265.9000000000015</v>
      </c>
      <c r="F21" s="30">
        <f>F22*'P&amp;L'!F$6</f>
        <v>7964.7971500000003</v>
      </c>
      <c r="G21" s="30">
        <f>G22*'P&amp;L'!G$6</f>
        <v>8229.4683093750009</v>
      </c>
      <c r="H21" s="30">
        <f>H22*'P&amp;L'!H$6</f>
        <v>8478.5067103237507</v>
      </c>
      <c r="I21" s="30">
        <f>I22*'P&amp;L'!I$6</f>
        <v>8821.2945060211114</v>
      </c>
      <c r="J21" s="30">
        <f>J22*'P&amp;L'!J$6</f>
        <v>9262.9056630923515</v>
      </c>
      <c r="K21" s="3"/>
      <c r="L21" s="3"/>
      <c r="M21" s="3"/>
      <c r="N21" s="3"/>
      <c r="O21" s="3"/>
      <c r="P21" s="3" t="s">
        <v>94</v>
      </c>
      <c r="Q21" s="89">
        <f>BS!C25</f>
        <v>1159.3</v>
      </c>
      <c r="R21" s="89">
        <f>BS!D25</f>
        <v>1146.2</v>
      </c>
      <c r="S21" s="89">
        <f>BS!E25</f>
        <v>986.6</v>
      </c>
      <c r="T21" s="30">
        <f>'P&amp;L'!C$6*Drivers!T22</f>
        <v>1155.3738627932196</v>
      </c>
      <c r="U21" s="30">
        <f>'P&amp;L'!D$6*Drivers!U22</f>
        <v>1070.8391187717598</v>
      </c>
      <c r="V21" s="30">
        <f>'P&amp;L'!E$6*Drivers!V22</f>
        <v>986.6</v>
      </c>
      <c r="W21" s="30">
        <f>'P&amp;L'!F$6*Drivers!W22</f>
        <v>983.54016135399422</v>
      </c>
      <c r="X21" s="30">
        <f>'P&amp;L'!G$6*Drivers!X22</f>
        <v>1029.7729624804997</v>
      </c>
    </row>
    <row r="22" spans="2:24" x14ac:dyDescent="0.2">
      <c r="B22" s="3" t="s">
        <v>33</v>
      </c>
      <c r="C22" s="91">
        <f>C21/'P&amp;L'!C$6</f>
        <v>0.51575223682981408</v>
      </c>
      <c r="D22" s="91">
        <f>D21/'P&amp;L'!D$6</f>
        <v>0.45615326637569892</v>
      </c>
      <c r="E22" s="91">
        <f>E21/'P&amp;L'!E$6</f>
        <v>0.39314251469664979</v>
      </c>
      <c r="F22" s="31">
        <f>CHOOSE($C$5,F23,F24,F25)</f>
        <v>0.38</v>
      </c>
      <c r="G22" s="31">
        <f t="shared" ref="G22:J22" si="21">CHOOSE($C$5,G23,G24,G25)</f>
        <v>0.375</v>
      </c>
      <c r="H22" s="31">
        <f t="shared" si="21"/>
        <v>0.37</v>
      </c>
      <c r="I22" s="31">
        <f t="shared" si="21"/>
        <v>0.36499999999999999</v>
      </c>
      <c r="J22" s="31">
        <f t="shared" si="21"/>
        <v>0.36</v>
      </c>
      <c r="K22" s="3"/>
      <c r="L22" s="3"/>
      <c r="M22" s="3"/>
      <c r="N22" s="3"/>
      <c r="O22" s="3"/>
      <c r="P22" s="29" t="s">
        <v>44</v>
      </c>
      <c r="Q22" s="93">
        <f>Q21/'P&amp;L'!C$6</f>
        <v>4.7084099927300491E-2</v>
      </c>
      <c r="R22" s="93">
        <f>R21/'P&amp;L'!D$6</f>
        <v>5.0226989886242135E-2</v>
      </c>
      <c r="S22" s="93">
        <f>S21/'P&amp;L'!E$6</f>
        <v>4.6924642809580884E-2</v>
      </c>
      <c r="T22" s="33">
        <f>$S$22</f>
        <v>4.6924642809580884E-2</v>
      </c>
      <c r="U22" s="33">
        <f t="shared" ref="U22:X22" si="22">$S$22</f>
        <v>4.6924642809580884E-2</v>
      </c>
      <c r="V22" s="33">
        <f t="shared" si="22"/>
        <v>4.6924642809580884E-2</v>
      </c>
      <c r="W22" s="33">
        <f t="shared" si="22"/>
        <v>4.6924642809580884E-2</v>
      </c>
      <c r="X22" s="33">
        <f t="shared" si="22"/>
        <v>4.6924642809580884E-2</v>
      </c>
    </row>
    <row r="23" spans="2:24" x14ac:dyDescent="0.2">
      <c r="B23" s="3" t="s">
        <v>29</v>
      </c>
      <c r="C23" s="26"/>
      <c r="D23" s="26"/>
      <c r="E23" s="26"/>
      <c r="F23" s="68">
        <v>0.35</v>
      </c>
      <c r="G23" s="31">
        <f>F23-1%</f>
        <v>0.33999999999999997</v>
      </c>
      <c r="H23" s="31">
        <f t="shared" ref="H23:J23" si="23">G23-1%</f>
        <v>0.32999999999999996</v>
      </c>
      <c r="I23" s="31">
        <f t="shared" si="23"/>
        <v>0.31999999999999995</v>
      </c>
      <c r="J23" s="31">
        <f t="shared" si="23"/>
        <v>0.30999999999999994</v>
      </c>
      <c r="K23" s="3"/>
      <c r="L23" s="3"/>
      <c r="M23" s="3"/>
      <c r="N23" s="3"/>
      <c r="O23" s="3"/>
      <c r="P23" s="3"/>
      <c r="Q23" s="3"/>
      <c r="R23" s="3"/>
      <c r="S23" s="3"/>
      <c r="T23" s="30"/>
      <c r="U23" s="30"/>
      <c r="V23" s="30"/>
      <c r="W23" s="30"/>
      <c r="X23" s="30"/>
    </row>
    <row r="24" spans="2:24" x14ac:dyDescent="0.2">
      <c r="B24" s="3" t="s">
        <v>31</v>
      </c>
      <c r="C24" s="26"/>
      <c r="D24" s="26"/>
      <c r="E24" s="26"/>
      <c r="F24" s="68">
        <v>0.38</v>
      </c>
      <c r="G24" s="31">
        <f>F24-0.5%</f>
        <v>0.375</v>
      </c>
      <c r="H24" s="31">
        <f t="shared" ref="H24:J24" si="24">G24-0.5%</f>
        <v>0.37</v>
      </c>
      <c r="I24" s="31">
        <f t="shared" si="24"/>
        <v>0.36499999999999999</v>
      </c>
      <c r="J24" s="31">
        <f t="shared" si="24"/>
        <v>0.36</v>
      </c>
      <c r="K24" s="3"/>
      <c r="L24" s="3"/>
      <c r="M24" s="3"/>
      <c r="N24" s="3"/>
      <c r="O24" s="3"/>
      <c r="P24" s="3" t="s">
        <v>97</v>
      </c>
      <c r="Q24" s="89">
        <f>BS!C31</f>
        <v>0</v>
      </c>
      <c r="R24" s="89">
        <f>BS!D31</f>
        <v>0</v>
      </c>
      <c r="S24" s="89">
        <f>BS!E31</f>
        <v>627.79999999999995</v>
      </c>
      <c r="T24" s="30">
        <f>'P&amp;L'!C$6*Drivers!T25</f>
        <v>735.19532846298716</v>
      </c>
      <c r="U24" s="30">
        <f>'P&amp;L'!D$6*Drivers!U25</f>
        <v>681.40360710005132</v>
      </c>
      <c r="V24" s="30">
        <f>'P&amp;L'!E$6*Drivers!V25</f>
        <v>627.79999999999995</v>
      </c>
      <c r="W24" s="30">
        <f>'P&amp;L'!F$6*Drivers!W25</f>
        <v>625.85294273062789</v>
      </c>
      <c r="X24" s="30">
        <f>'P&amp;L'!G$6*Drivers!X25</f>
        <v>655.2721121480414</v>
      </c>
    </row>
    <row r="25" spans="2:24" x14ac:dyDescent="0.2">
      <c r="B25" s="3" t="s">
        <v>32</v>
      </c>
      <c r="C25" s="26"/>
      <c r="D25" s="26"/>
      <c r="E25" s="26"/>
      <c r="F25" s="68">
        <v>0.4</v>
      </c>
      <c r="G25" s="31">
        <f>F25-0.25%</f>
        <v>0.39750000000000002</v>
      </c>
      <c r="H25" s="31">
        <f t="shared" ref="H25:J25" si="25">G25-0.25%</f>
        <v>0.39500000000000002</v>
      </c>
      <c r="I25" s="31">
        <f t="shared" si="25"/>
        <v>0.39250000000000002</v>
      </c>
      <c r="J25" s="31">
        <f t="shared" si="25"/>
        <v>0.39</v>
      </c>
      <c r="K25" s="3"/>
      <c r="L25" s="3"/>
      <c r="M25" s="3"/>
      <c r="N25" s="3"/>
      <c r="O25" s="3"/>
      <c r="P25" s="29" t="s">
        <v>44</v>
      </c>
      <c r="Q25" s="93">
        <f>Q24/'P&amp;L'!C$6</f>
        <v>0</v>
      </c>
      <c r="R25" s="93">
        <f>R24/'P&amp;L'!D$6</f>
        <v>0</v>
      </c>
      <c r="S25" s="93">
        <f>S24/'P&amp;L'!E$6</f>
        <v>2.9859406807069607E-2</v>
      </c>
      <c r="T25" s="33">
        <f>$S$25</f>
        <v>2.9859406807069607E-2</v>
      </c>
      <c r="U25" s="33">
        <f t="shared" ref="U25:X25" si="26">$S$25</f>
        <v>2.9859406807069607E-2</v>
      </c>
      <c r="V25" s="33">
        <f t="shared" si="26"/>
        <v>2.9859406807069607E-2</v>
      </c>
      <c r="W25" s="33">
        <f t="shared" si="26"/>
        <v>2.9859406807069607E-2</v>
      </c>
      <c r="X25" s="33">
        <f t="shared" si="26"/>
        <v>2.9859406807069607E-2</v>
      </c>
    </row>
    <row r="26" spans="2:24" ht="5.0999999999999996" customHeight="1" x14ac:dyDescent="0.2">
      <c r="B26" s="3"/>
      <c r="C26" s="3"/>
      <c r="D26" s="3"/>
      <c r="E26" s="3"/>
      <c r="F26" s="30"/>
      <c r="G26" s="30"/>
      <c r="H26" s="30"/>
      <c r="I26" s="30"/>
      <c r="J26" s="30"/>
      <c r="K26" s="3"/>
      <c r="L26" s="3"/>
      <c r="M26" s="3"/>
      <c r="N26" s="3"/>
      <c r="O26" s="3"/>
      <c r="P26" s="3"/>
      <c r="T26" s="30"/>
      <c r="U26" s="30"/>
      <c r="V26" s="30"/>
      <c r="W26" s="30"/>
      <c r="X26" s="30"/>
    </row>
    <row r="27" spans="2:24" x14ac:dyDescent="0.2">
      <c r="B27" s="3" t="s">
        <v>10</v>
      </c>
      <c r="C27" s="90">
        <v>1516.5</v>
      </c>
      <c r="D27" s="90">
        <v>1363.4</v>
      </c>
      <c r="E27" s="90">
        <v>1482</v>
      </c>
      <c r="F27" s="30"/>
      <c r="G27" s="30"/>
      <c r="H27" s="30"/>
      <c r="I27" s="30"/>
      <c r="J27" s="30"/>
      <c r="K27" s="3"/>
      <c r="L27" s="3"/>
      <c r="M27" s="3"/>
      <c r="N27" s="3"/>
      <c r="O27" s="3"/>
      <c r="P27" s="3" t="s">
        <v>98</v>
      </c>
      <c r="Q27" s="89">
        <f>BS!C32</f>
        <v>2064.3000000000002</v>
      </c>
      <c r="R27" s="89">
        <f>BS!D32</f>
        <v>1154.4000000000001</v>
      </c>
      <c r="S27" s="89">
        <f>BS!E32</f>
        <v>1096.3</v>
      </c>
      <c r="T27" s="30">
        <f>'P&amp;L'!C$6*Drivers!T28</f>
        <v>1283.8398193596254</v>
      </c>
      <c r="U27" s="30">
        <f>'P&amp;L'!D$6*Drivers!U28</f>
        <v>1189.9056617772958</v>
      </c>
      <c r="V27" s="30">
        <f>'P&amp;L'!E$6*Drivers!V28</f>
        <v>1096.3</v>
      </c>
      <c r="W27" s="30">
        <f>'P&amp;L'!F$6*Drivers!W28</f>
        <v>1092.8999380624202</v>
      </c>
      <c r="X27" s="30">
        <f>'P&amp;L'!G$6*Drivers!X28</f>
        <v>1144.2733618157022</v>
      </c>
    </row>
    <row r="28" spans="2:24" x14ac:dyDescent="0.2">
      <c r="B28" s="3" t="s">
        <v>33</v>
      </c>
      <c r="C28" s="91">
        <f>C27/'P&amp;L'!C$6</f>
        <v>6.1591509997197612E-2</v>
      </c>
      <c r="D28" s="91">
        <f>D27/'P&amp;L'!D$6</f>
        <v>5.974478974952236E-2</v>
      </c>
      <c r="E28" s="91">
        <f>E27/'P&amp;L'!E$6</f>
        <v>7.0486844358198728E-2</v>
      </c>
      <c r="F28" s="31">
        <f>CHOOSE($C$5,F29,F30,F31)</f>
        <v>0</v>
      </c>
      <c r="G28" s="31">
        <f t="shared" ref="G28:J28" si="27">CHOOSE($C$5,G29,G30,G31)</f>
        <v>0</v>
      </c>
      <c r="H28" s="31">
        <f t="shared" si="27"/>
        <v>0</v>
      </c>
      <c r="I28" s="31">
        <f t="shared" si="27"/>
        <v>0</v>
      </c>
      <c r="J28" s="31">
        <f t="shared" si="27"/>
        <v>0</v>
      </c>
      <c r="K28" s="3"/>
      <c r="L28" s="3"/>
      <c r="M28" s="3"/>
      <c r="N28" s="3"/>
      <c r="O28" s="3"/>
      <c r="P28" s="29" t="s">
        <v>44</v>
      </c>
      <c r="Q28" s="93">
        <f>Q27/'P&amp;L'!C$6</f>
        <v>8.3839996101032016E-2</v>
      </c>
      <c r="R28" s="93">
        <f>R27/'P&amp;L'!D$6</f>
        <v>5.0586317505389916E-2</v>
      </c>
      <c r="S28" s="93">
        <f>S27/'P&amp;L'!E$6</f>
        <v>5.214219127523162E-2</v>
      </c>
      <c r="T28" s="33">
        <f>$S$28</f>
        <v>5.214219127523162E-2</v>
      </c>
      <c r="U28" s="33">
        <f t="shared" ref="U28:X28" si="28">$S$28</f>
        <v>5.214219127523162E-2</v>
      </c>
      <c r="V28" s="33">
        <f t="shared" si="28"/>
        <v>5.214219127523162E-2</v>
      </c>
      <c r="W28" s="33">
        <f t="shared" si="28"/>
        <v>5.214219127523162E-2</v>
      </c>
      <c r="X28" s="33">
        <f t="shared" si="28"/>
        <v>5.214219127523162E-2</v>
      </c>
    </row>
    <row r="29" spans="2:24" x14ac:dyDescent="0.2">
      <c r="B29" s="3" t="s">
        <v>29</v>
      </c>
      <c r="C29" s="26"/>
      <c r="D29" s="26"/>
      <c r="E29" s="26"/>
      <c r="F29" s="31"/>
      <c r="G29" s="31"/>
      <c r="H29" s="31"/>
      <c r="I29" s="31"/>
      <c r="J29" s="31"/>
      <c r="K29" s="3"/>
      <c r="L29" s="3"/>
      <c r="M29" s="3"/>
      <c r="N29" s="3"/>
      <c r="O29" s="3"/>
      <c r="P29" s="3"/>
      <c r="Q29" s="3"/>
      <c r="R29" s="3"/>
      <c r="S29" s="3"/>
      <c r="T29" s="30"/>
      <c r="U29" s="30"/>
      <c r="V29" s="30"/>
      <c r="W29" s="30"/>
      <c r="X29" s="30"/>
    </row>
    <row r="30" spans="2:24" x14ac:dyDescent="0.2">
      <c r="B30" s="3" t="s">
        <v>31</v>
      </c>
      <c r="C30" s="26"/>
      <c r="D30" s="26"/>
      <c r="E30" s="26"/>
      <c r="F30" s="31"/>
      <c r="G30" s="31"/>
      <c r="H30" s="31"/>
      <c r="I30" s="31"/>
      <c r="J30" s="31"/>
      <c r="K30" s="3"/>
      <c r="L30" s="3"/>
      <c r="M30" s="3"/>
      <c r="N30" s="3"/>
      <c r="O30" s="3"/>
      <c r="P30" s="3" t="s">
        <v>99</v>
      </c>
      <c r="Q30" s="89">
        <f>BS!C33</f>
        <v>1817.1</v>
      </c>
      <c r="R30" s="89">
        <f>BS!D33</f>
        <v>1119.4000000000001</v>
      </c>
      <c r="S30" s="89">
        <f>BS!E33</f>
        <v>1215.5</v>
      </c>
      <c r="T30" s="30">
        <f>'P&amp;L'!C$6*Drivers!T31</f>
        <v>1423.4309043433595</v>
      </c>
      <c r="U30" s="30">
        <f>'P&amp;L'!D$6*Drivers!U31</f>
        <v>1319.2833456994465</v>
      </c>
      <c r="V30" s="30">
        <f>'P&amp;L'!E$6*Drivers!V31</f>
        <v>1215.5</v>
      </c>
      <c r="W30" s="30">
        <f>'P&amp;L'!F$6*Drivers!W31</f>
        <v>1211.7302514958242</v>
      </c>
      <c r="X30" s="30">
        <f>'P&amp;L'!G$6*Drivers!X31</f>
        <v>1268.6894748581465</v>
      </c>
    </row>
    <row r="31" spans="2:24" x14ac:dyDescent="0.2">
      <c r="B31" s="3" t="s">
        <v>32</v>
      </c>
      <c r="C31" s="26"/>
      <c r="D31" s="26"/>
      <c r="E31" s="26"/>
      <c r="F31" s="31"/>
      <c r="G31" s="31"/>
      <c r="H31" s="31"/>
      <c r="I31" s="31"/>
      <c r="J31" s="31"/>
      <c r="K31" s="3"/>
      <c r="L31" s="3"/>
      <c r="M31" s="3"/>
      <c r="N31" s="3"/>
      <c r="O31" s="3"/>
      <c r="P31" s="29" t="s">
        <v>44</v>
      </c>
      <c r="Q31" s="93">
        <f>Q30/'P&amp;L'!C$6</f>
        <v>7.380015352186467E-2</v>
      </c>
      <c r="R31" s="93">
        <f>R30/'P&amp;L'!D$6</f>
        <v>4.9052602057807926E-2</v>
      </c>
      <c r="S31" s="93">
        <f>S30/'P&amp;L'!E$6</f>
        <v>5.781157848676826E-2</v>
      </c>
      <c r="T31" s="33">
        <f>$S$31</f>
        <v>5.781157848676826E-2</v>
      </c>
      <c r="U31" s="33">
        <f t="shared" ref="U31:X31" si="29">$S$31</f>
        <v>5.781157848676826E-2</v>
      </c>
      <c r="V31" s="33">
        <f t="shared" si="29"/>
        <v>5.781157848676826E-2</v>
      </c>
      <c r="W31" s="33">
        <f t="shared" si="29"/>
        <v>5.781157848676826E-2</v>
      </c>
      <c r="X31" s="33">
        <f t="shared" si="29"/>
        <v>5.781157848676826E-2</v>
      </c>
    </row>
    <row r="32" spans="2:24" ht="5.0999999999999996" customHeight="1" x14ac:dyDescent="0.2">
      <c r="B32" s="3"/>
      <c r="C32" s="3"/>
      <c r="D32" s="3"/>
      <c r="E32" s="3"/>
      <c r="F32" s="30"/>
      <c r="G32" s="30"/>
      <c r="H32" s="30"/>
      <c r="I32" s="30"/>
      <c r="J32" s="30"/>
      <c r="K32" s="3"/>
      <c r="L32" s="3"/>
      <c r="M32" s="3"/>
      <c r="N32" s="3"/>
      <c r="O32" s="3"/>
      <c r="P32" s="3"/>
      <c r="T32" s="12"/>
      <c r="U32" s="12"/>
      <c r="V32" s="12"/>
      <c r="W32" s="12"/>
      <c r="X32" s="12"/>
    </row>
    <row r="33" spans="2:24" ht="12.75" customHeight="1" x14ac:dyDescent="0.2">
      <c r="B33" s="2" t="s">
        <v>69</v>
      </c>
      <c r="C33" s="94">
        <f>'P&amp;L'!C11</f>
        <v>1718.4</v>
      </c>
      <c r="D33" s="94">
        <f>'P&amp;L'!D11</f>
        <v>1790</v>
      </c>
      <c r="E33" s="94">
        <f>'P&amp;L'!E11</f>
        <v>1973.3</v>
      </c>
      <c r="F33" s="30">
        <f>F34*'P&amp;L'!F$6</f>
        <v>2305.5991749999998</v>
      </c>
      <c r="G33" s="30">
        <f>G34*'P&amp;L'!G$6</f>
        <v>2523.7036148750003</v>
      </c>
      <c r="H33" s="30">
        <f>H34*'P&amp;L'!H$6</f>
        <v>2749.7859601050004</v>
      </c>
      <c r="I33" s="30">
        <f>I34*'P&amp;L'!I$6</f>
        <v>3020.9912691853124</v>
      </c>
      <c r="J33" s="30">
        <f>J34*'P&amp;L'!J$6</f>
        <v>3344.9381561166824</v>
      </c>
      <c r="K33" s="3"/>
      <c r="L33" s="3"/>
      <c r="M33" s="3"/>
      <c r="N33" s="3"/>
      <c r="O33" s="3"/>
      <c r="P33" s="3"/>
      <c r="T33" s="12"/>
      <c r="U33" s="12"/>
      <c r="V33" s="12"/>
      <c r="W33" s="12"/>
      <c r="X33" s="12"/>
    </row>
    <row r="34" spans="2:24" ht="12.75" customHeight="1" x14ac:dyDescent="0.2">
      <c r="B34" s="3" t="s">
        <v>33</v>
      </c>
      <c r="C34" s="91">
        <f>C33/'P&amp;L'!C$6</f>
        <v>6.9791527055182587E-2</v>
      </c>
      <c r="D34" s="91">
        <f>D33/'P&amp;L'!D$6</f>
        <v>7.8438590033478806E-2</v>
      </c>
      <c r="E34" s="91">
        <f>E33/'P&amp;L'!E$6</f>
        <v>9.3854041816486877E-2</v>
      </c>
      <c r="F34" s="31">
        <f>CHOOSE($C$5,F35,F36,F37)</f>
        <v>0.11</v>
      </c>
      <c r="G34" s="31">
        <f t="shared" ref="G34:J34" si="30">CHOOSE($C$5,G35,G36,G37)</f>
        <v>0.115</v>
      </c>
      <c r="H34" s="31">
        <f t="shared" si="30"/>
        <v>0.12000000000000001</v>
      </c>
      <c r="I34" s="31">
        <f t="shared" si="30"/>
        <v>0.125</v>
      </c>
      <c r="J34" s="31">
        <f t="shared" si="30"/>
        <v>0.13</v>
      </c>
      <c r="K34" s="3"/>
      <c r="L34" s="3"/>
      <c r="M34" s="3"/>
      <c r="N34" s="3"/>
      <c r="O34" s="3"/>
      <c r="P34" s="3"/>
      <c r="T34" s="12"/>
      <c r="U34" s="12"/>
      <c r="V34" s="12"/>
      <c r="W34" s="12"/>
      <c r="X34" s="12"/>
    </row>
    <row r="35" spans="2:24" ht="12.75" customHeight="1" x14ac:dyDescent="0.2">
      <c r="B35" s="3" t="s">
        <v>29</v>
      </c>
      <c r="C35" s="26"/>
      <c r="D35" s="26"/>
      <c r="E35" s="26"/>
      <c r="F35" s="68">
        <v>0.1</v>
      </c>
      <c r="G35" s="31">
        <f>F35+0.5%</f>
        <v>0.10500000000000001</v>
      </c>
      <c r="H35" s="31">
        <f t="shared" ref="H35:J35" si="31">G35+0.5%</f>
        <v>0.11000000000000001</v>
      </c>
      <c r="I35" s="31">
        <f t="shared" si="31"/>
        <v>0.11500000000000002</v>
      </c>
      <c r="J35" s="31">
        <f t="shared" si="31"/>
        <v>0.12000000000000002</v>
      </c>
      <c r="K35" s="3"/>
      <c r="L35" s="3"/>
      <c r="M35" s="3"/>
      <c r="N35" s="3"/>
      <c r="O35" s="3"/>
      <c r="P35" s="3"/>
      <c r="T35" s="12"/>
      <c r="U35" s="12"/>
      <c r="V35" s="12"/>
      <c r="W35" s="12"/>
      <c r="X35" s="12"/>
    </row>
    <row r="36" spans="2:24" ht="12.75" customHeight="1" x14ac:dyDescent="0.2">
      <c r="B36" s="3" t="s">
        <v>31</v>
      </c>
      <c r="C36" s="26"/>
      <c r="D36" s="26"/>
      <c r="E36" s="26"/>
      <c r="F36" s="68">
        <v>0.11</v>
      </c>
      <c r="G36" s="31">
        <f t="shared" ref="G36:J37" si="32">F36+0.5%</f>
        <v>0.115</v>
      </c>
      <c r="H36" s="31">
        <f t="shared" si="32"/>
        <v>0.12000000000000001</v>
      </c>
      <c r="I36" s="31">
        <f t="shared" si="32"/>
        <v>0.125</v>
      </c>
      <c r="J36" s="31">
        <f t="shared" si="32"/>
        <v>0.13</v>
      </c>
      <c r="K36" s="3"/>
      <c r="L36" s="3"/>
      <c r="M36" s="3"/>
      <c r="N36" s="3"/>
      <c r="O36" s="3"/>
      <c r="P36" s="3"/>
      <c r="T36" s="12"/>
      <c r="U36" s="12"/>
      <c r="V36" s="12"/>
      <c r="W36" s="12"/>
      <c r="X36" s="12"/>
    </row>
    <row r="37" spans="2:24" ht="12.75" customHeight="1" x14ac:dyDescent="0.2">
      <c r="B37" s="3" t="s">
        <v>32</v>
      </c>
      <c r="C37" s="26"/>
      <c r="D37" s="26"/>
      <c r="E37" s="26"/>
      <c r="F37" s="68">
        <v>0.12</v>
      </c>
      <c r="G37" s="31">
        <f t="shared" si="32"/>
        <v>0.125</v>
      </c>
      <c r="H37" s="31">
        <f t="shared" si="32"/>
        <v>0.13</v>
      </c>
      <c r="I37" s="31">
        <f t="shared" si="32"/>
        <v>0.13500000000000001</v>
      </c>
      <c r="J37" s="31">
        <f t="shared" si="32"/>
        <v>0.14000000000000001</v>
      </c>
      <c r="K37" s="3"/>
      <c r="L37" s="3"/>
      <c r="M37" s="3"/>
      <c r="N37" s="3"/>
      <c r="O37" s="3"/>
      <c r="P37" s="3"/>
      <c r="T37" s="12"/>
      <c r="U37" s="12"/>
      <c r="V37" s="12"/>
      <c r="W37" s="12"/>
      <c r="X37" s="12"/>
    </row>
    <row r="38" spans="2:24" ht="5.0999999999999996" customHeight="1" x14ac:dyDescent="0.2">
      <c r="B38" s="3"/>
      <c r="C38" s="3"/>
      <c r="D38" s="3"/>
      <c r="E38" s="3"/>
      <c r="F38" s="30"/>
      <c r="G38" s="30"/>
      <c r="H38" s="30"/>
      <c r="I38" s="30"/>
      <c r="J38" s="30"/>
      <c r="K38" s="3"/>
      <c r="L38" s="3"/>
      <c r="M38" s="3"/>
      <c r="N38" s="3"/>
      <c r="O38" s="3"/>
      <c r="P38" s="3"/>
      <c r="T38" s="12"/>
      <c r="U38" s="12"/>
      <c r="V38" s="12"/>
      <c r="W38" s="12"/>
      <c r="X38" s="12"/>
    </row>
    <row r="39" spans="2:24" x14ac:dyDescent="0.2">
      <c r="B39" s="3" t="s">
        <v>9</v>
      </c>
      <c r="C39" s="89">
        <f>'P&amp;L'!C12</f>
        <v>2384.5</v>
      </c>
      <c r="D39" s="89">
        <f>'P&amp;L'!D12</f>
        <v>2231.3000000000002</v>
      </c>
      <c r="E39" s="89">
        <f>'P&amp;L'!E12</f>
        <v>2200.1999999999998</v>
      </c>
      <c r="F39" s="30">
        <f>F40*'P&amp;L'!F$6</f>
        <v>2095.9992500000003</v>
      </c>
      <c r="G39" s="30">
        <f>G40*'P&amp;L'!G$6</f>
        <v>2304.2511266250003</v>
      </c>
      <c r="H39" s="30">
        <f>H40*'P&amp;L'!H$6</f>
        <v>2520.6371300962505</v>
      </c>
      <c r="I39" s="30">
        <f>I40*'P&amp;L'!I$6</f>
        <v>2779.311967650488</v>
      </c>
      <c r="J39" s="30">
        <f>J40*'P&amp;L'!J$6</f>
        <v>3087.6352210307841</v>
      </c>
      <c r="K39" s="3"/>
      <c r="L39" s="3"/>
      <c r="M39" s="3"/>
      <c r="N39" s="3"/>
      <c r="O39" s="3"/>
      <c r="T39" s="12"/>
      <c r="U39" s="12"/>
      <c r="V39" s="12"/>
      <c r="W39" s="12"/>
      <c r="X39" s="12"/>
    </row>
    <row r="40" spans="2:24" x14ac:dyDescent="0.2">
      <c r="B40" s="3" t="s">
        <v>33</v>
      </c>
      <c r="C40" s="91">
        <f>C39/'P&amp;L'!C$6</f>
        <v>9.6844678924047287E-2</v>
      </c>
      <c r="D40" s="91">
        <f>D39/'P&amp;L'!D$6</f>
        <v>9.7776550805419721E-2</v>
      </c>
      <c r="E40" s="91">
        <f>E39/'P&amp;L'!E$6</f>
        <v>0.10464585354717196</v>
      </c>
      <c r="F40" s="31">
        <f>CHOOSE($C$5,F41,F42,F43)</f>
        <v>0.1</v>
      </c>
      <c r="G40" s="31">
        <f t="shared" ref="G40:J40" si="33">CHOOSE($C$5,G41,G42,G43)</f>
        <v>0.10500000000000001</v>
      </c>
      <c r="H40" s="31">
        <f t="shared" si="33"/>
        <v>0.11000000000000001</v>
      </c>
      <c r="I40" s="31">
        <f t="shared" si="33"/>
        <v>0.11500000000000002</v>
      </c>
      <c r="J40" s="31">
        <f t="shared" si="33"/>
        <v>0.12000000000000002</v>
      </c>
      <c r="K40" s="3"/>
      <c r="L40" s="3"/>
      <c r="M40" s="3"/>
      <c r="N40" s="3"/>
      <c r="O40" s="3"/>
    </row>
    <row r="41" spans="2:24" x14ac:dyDescent="0.2">
      <c r="B41" s="3" t="s">
        <v>29</v>
      </c>
      <c r="C41" s="26"/>
      <c r="D41" s="26"/>
      <c r="E41" s="26"/>
      <c r="F41" s="68">
        <v>0.09</v>
      </c>
      <c r="G41" s="31">
        <f t="shared" ref="G41:J43" si="34">F41+0.5%</f>
        <v>9.5000000000000001E-2</v>
      </c>
      <c r="H41" s="31">
        <f t="shared" si="34"/>
        <v>0.1</v>
      </c>
      <c r="I41" s="31">
        <f t="shared" si="34"/>
        <v>0.10500000000000001</v>
      </c>
      <c r="J41" s="31">
        <f t="shared" si="34"/>
        <v>0.11000000000000001</v>
      </c>
      <c r="K41" s="3"/>
      <c r="L41" s="3"/>
      <c r="M41" s="3"/>
      <c r="N41" s="3"/>
      <c r="O41" s="3"/>
    </row>
    <row r="42" spans="2:24" x14ac:dyDescent="0.2">
      <c r="B42" s="3" t="s">
        <v>31</v>
      </c>
      <c r="C42" s="26"/>
      <c r="D42" s="26"/>
      <c r="E42" s="26"/>
      <c r="F42" s="68">
        <v>0.1</v>
      </c>
      <c r="G42" s="31">
        <f t="shared" si="34"/>
        <v>0.10500000000000001</v>
      </c>
      <c r="H42" s="31">
        <f t="shared" si="34"/>
        <v>0.11000000000000001</v>
      </c>
      <c r="I42" s="31">
        <f t="shared" si="34"/>
        <v>0.11500000000000002</v>
      </c>
      <c r="J42" s="31">
        <f t="shared" si="34"/>
        <v>0.12000000000000002</v>
      </c>
      <c r="K42" s="3"/>
      <c r="L42" s="3"/>
      <c r="M42" s="3"/>
      <c r="N42" s="3"/>
      <c r="O42" s="3"/>
    </row>
    <row r="43" spans="2:24" x14ac:dyDescent="0.2">
      <c r="B43" s="3" t="s">
        <v>32</v>
      </c>
      <c r="C43" s="26"/>
      <c r="D43" s="26"/>
      <c r="E43" s="26"/>
      <c r="F43" s="68">
        <v>0.11</v>
      </c>
      <c r="G43" s="31">
        <f t="shared" si="34"/>
        <v>0.115</v>
      </c>
      <c r="H43" s="31">
        <f t="shared" si="34"/>
        <v>0.12000000000000001</v>
      </c>
      <c r="I43" s="31">
        <f t="shared" si="34"/>
        <v>0.125</v>
      </c>
      <c r="J43" s="31">
        <f t="shared" si="34"/>
        <v>0.13</v>
      </c>
      <c r="K43" s="3"/>
      <c r="L43" s="3"/>
      <c r="M43" s="3"/>
      <c r="N43" s="3"/>
      <c r="O43" s="3"/>
    </row>
    <row r="44" spans="2:24" ht="5.0999999999999996" customHeight="1" x14ac:dyDescent="0.2">
      <c r="B44" s="3"/>
      <c r="C44" s="3"/>
      <c r="D44" s="3"/>
      <c r="E44" s="3"/>
      <c r="F44" s="30"/>
      <c r="G44" s="30"/>
      <c r="H44" s="30"/>
      <c r="I44" s="30"/>
      <c r="J44" s="30"/>
      <c r="K44" s="3"/>
      <c r="L44" s="3"/>
      <c r="M44" s="3"/>
      <c r="N44" s="3"/>
      <c r="O44" s="3"/>
    </row>
    <row r="45" spans="2:24" x14ac:dyDescent="0.2">
      <c r="B45" s="3" t="s">
        <v>15</v>
      </c>
      <c r="C45" s="89">
        <f>'P&amp;L'!C13</f>
        <v>75.7</v>
      </c>
      <c r="D45" s="89">
        <f>'P&amp;L'!D13</f>
        <v>-1163.2</v>
      </c>
      <c r="E45" s="89">
        <f>'P&amp;L'!E13</f>
        <v>-236.8</v>
      </c>
      <c r="F45" s="30">
        <f>F46*'P&amp;L'!F$6</f>
        <v>-209.59992500000001</v>
      </c>
      <c r="G45" s="30">
        <f>G46*'P&amp;L'!G$6</f>
        <v>-219.45248825000002</v>
      </c>
      <c r="H45" s="30">
        <f>H46*'P&amp;L'!H$6</f>
        <v>-229.14883000875002</v>
      </c>
      <c r="I45" s="30">
        <f>I46*'P&amp;L'!I$6</f>
        <v>-241.67930153482499</v>
      </c>
      <c r="J45" s="30">
        <f>J46*'P&amp;L'!J$6</f>
        <v>-257.30293508589864</v>
      </c>
      <c r="K45" s="3"/>
      <c r="L45" s="3"/>
      <c r="M45" s="3"/>
      <c r="N45" s="3"/>
      <c r="O45" s="3"/>
    </row>
    <row r="46" spans="2:24" x14ac:dyDescent="0.2">
      <c r="B46" s="3" t="s">
        <v>33</v>
      </c>
      <c r="C46" s="91">
        <f>C45/'P&amp;L'!C$6</f>
        <v>3.0744987186204151E-3</v>
      </c>
      <c r="D46" s="91">
        <f>D45/'P&amp;L'!D$6</f>
        <v>-5.0971937389353385E-2</v>
      </c>
      <c r="E46" s="91">
        <f>E45/'P&amp;L'!E$6</f>
        <v>-1.1262675265871431E-2</v>
      </c>
      <c r="F46" s="31">
        <f>CHOOSE($C$5,F47,F48,F49)</f>
        <v>-0.01</v>
      </c>
      <c r="G46" s="31">
        <f t="shared" ref="G46:J46" si="35">CHOOSE($C$5,G47,G48,G49)</f>
        <v>-0.01</v>
      </c>
      <c r="H46" s="31">
        <f t="shared" si="35"/>
        <v>-0.01</v>
      </c>
      <c r="I46" s="31">
        <f t="shared" si="35"/>
        <v>-0.01</v>
      </c>
      <c r="J46" s="31">
        <f t="shared" si="35"/>
        <v>-0.01</v>
      </c>
      <c r="K46" s="3"/>
      <c r="L46" s="3"/>
      <c r="M46" s="3"/>
      <c r="N46" s="3"/>
      <c r="O46" s="3"/>
    </row>
    <row r="47" spans="2:24" x14ac:dyDescent="0.2">
      <c r="B47" s="3" t="s">
        <v>29</v>
      </c>
      <c r="C47" s="26"/>
      <c r="D47" s="26"/>
      <c r="E47" s="26"/>
      <c r="F47" s="68">
        <v>-0.05</v>
      </c>
      <c r="G47" s="68">
        <v>-0.05</v>
      </c>
      <c r="H47" s="68">
        <v>-0.05</v>
      </c>
      <c r="I47" s="68">
        <v>-0.05</v>
      </c>
      <c r="J47" s="68">
        <v>-0.05</v>
      </c>
      <c r="K47" s="3"/>
      <c r="L47" s="3"/>
      <c r="M47" s="3"/>
      <c r="N47" s="3"/>
      <c r="O47" s="3"/>
    </row>
    <row r="48" spans="2:24" x14ac:dyDescent="0.2">
      <c r="B48" s="3" t="s">
        <v>31</v>
      </c>
      <c r="C48" s="26"/>
      <c r="D48" s="26"/>
      <c r="E48" s="26"/>
      <c r="F48" s="68">
        <v>-0.01</v>
      </c>
      <c r="G48" s="68">
        <v>-0.01</v>
      </c>
      <c r="H48" s="68">
        <v>-0.01</v>
      </c>
      <c r="I48" s="68">
        <v>-0.01</v>
      </c>
      <c r="J48" s="68">
        <v>-0.01</v>
      </c>
      <c r="K48" s="3"/>
      <c r="L48" s="3"/>
      <c r="M48" s="3"/>
      <c r="N48" s="3"/>
      <c r="O48" s="3"/>
    </row>
    <row r="49" spans="2:15" x14ac:dyDescent="0.2">
      <c r="B49" s="3" t="s">
        <v>32</v>
      </c>
      <c r="C49" s="26"/>
      <c r="D49" s="26"/>
      <c r="E49" s="26"/>
      <c r="F49" s="68">
        <v>0.02</v>
      </c>
      <c r="G49" s="68">
        <v>0.02</v>
      </c>
      <c r="H49" s="68">
        <v>0.02</v>
      </c>
      <c r="I49" s="68">
        <v>0.02</v>
      </c>
      <c r="J49" s="68">
        <v>0.02</v>
      </c>
      <c r="K49" s="3"/>
      <c r="L49" s="3"/>
      <c r="M49" s="3"/>
      <c r="N49" s="3"/>
      <c r="O49" s="3"/>
    </row>
    <row r="50" spans="2:15" ht="5.0999999999999996" customHeight="1" x14ac:dyDescent="0.2">
      <c r="B50" s="3"/>
      <c r="C50" s="3"/>
      <c r="D50" s="3"/>
      <c r="E50" s="3"/>
      <c r="F50" s="30"/>
      <c r="G50" s="30"/>
      <c r="H50" s="30"/>
      <c r="I50" s="30"/>
      <c r="J50" s="30"/>
      <c r="K50" s="3"/>
      <c r="L50" s="3"/>
      <c r="M50" s="3"/>
      <c r="N50" s="3"/>
      <c r="O50" s="3"/>
    </row>
    <row r="51" spans="2:15" x14ac:dyDescent="0.2">
      <c r="B51" s="3" t="s">
        <v>12</v>
      </c>
      <c r="C51" s="89">
        <f>'P&amp;L'!C16</f>
        <v>884.8</v>
      </c>
      <c r="D51" s="89">
        <f>'P&amp;L'!D16</f>
        <v>921.3</v>
      </c>
      <c r="E51" s="89">
        <f>'P&amp;L'!E16</f>
        <v>981.2</v>
      </c>
      <c r="F51" s="30">
        <f>$E$51</f>
        <v>981.2</v>
      </c>
      <c r="G51" s="30">
        <f t="shared" ref="G51:J51" si="36">$E$51</f>
        <v>981.2</v>
      </c>
      <c r="H51" s="30">
        <f t="shared" si="36"/>
        <v>981.2</v>
      </c>
      <c r="I51" s="30">
        <f t="shared" si="36"/>
        <v>981.2</v>
      </c>
      <c r="J51" s="30">
        <f t="shared" si="36"/>
        <v>981.2</v>
      </c>
      <c r="K51" s="3"/>
      <c r="L51" s="3"/>
      <c r="M51" s="3"/>
      <c r="N51" s="3"/>
      <c r="O51" s="3"/>
    </row>
    <row r="52" spans="2:15" x14ac:dyDescent="0.2">
      <c r="B52" s="3" t="s">
        <v>28</v>
      </c>
      <c r="C52" s="27"/>
      <c r="D52" s="91">
        <f>D51/C51-1</f>
        <v>4.1252260397830032E-2</v>
      </c>
      <c r="E52" s="91">
        <f>E51/D51-1</f>
        <v>6.5016824052968714E-2</v>
      </c>
      <c r="F52" s="31">
        <f>CHOOSE($C$5,F53,F54,F55)</f>
        <v>0</v>
      </c>
      <c r="G52" s="31">
        <f t="shared" ref="G52:J52" si="37">CHOOSE($C$5,G53,G54,G55)</f>
        <v>0</v>
      </c>
      <c r="H52" s="31">
        <f t="shared" si="37"/>
        <v>0</v>
      </c>
      <c r="I52" s="31">
        <f t="shared" si="37"/>
        <v>0</v>
      </c>
      <c r="J52" s="31">
        <f t="shared" si="37"/>
        <v>0</v>
      </c>
      <c r="K52" s="3"/>
      <c r="L52" s="3"/>
      <c r="M52" s="3"/>
      <c r="N52" s="3"/>
      <c r="O52" s="3"/>
    </row>
    <row r="53" spans="2:15" x14ac:dyDescent="0.2">
      <c r="B53" s="3" t="s">
        <v>29</v>
      </c>
      <c r="C53" s="26"/>
      <c r="D53" s="26"/>
      <c r="E53" s="26"/>
      <c r="F53" s="31"/>
      <c r="G53" s="31"/>
      <c r="H53" s="31"/>
      <c r="I53" s="31"/>
      <c r="J53" s="31"/>
      <c r="K53" s="3"/>
      <c r="L53" s="3"/>
      <c r="M53" s="3"/>
      <c r="N53" s="3"/>
      <c r="O53" s="3"/>
    </row>
    <row r="54" spans="2:15" x14ac:dyDescent="0.2">
      <c r="B54" s="3" t="s">
        <v>31</v>
      </c>
      <c r="C54" s="26"/>
      <c r="D54" s="26"/>
      <c r="E54" s="26"/>
      <c r="F54" s="31"/>
      <c r="G54" s="31"/>
      <c r="H54" s="31"/>
      <c r="I54" s="31"/>
      <c r="J54" s="31"/>
      <c r="K54" s="3"/>
      <c r="L54" s="3"/>
      <c r="M54" s="3"/>
      <c r="N54" s="3"/>
      <c r="O54" s="3"/>
    </row>
    <row r="55" spans="2:15" x14ac:dyDescent="0.2">
      <c r="B55" s="3" t="s">
        <v>32</v>
      </c>
      <c r="C55" s="26"/>
      <c r="D55" s="26"/>
      <c r="E55" s="26"/>
      <c r="F55" s="31"/>
      <c r="G55" s="31"/>
      <c r="H55" s="31"/>
      <c r="I55" s="31"/>
      <c r="J55" s="31"/>
      <c r="K55" s="3"/>
      <c r="L55" s="3"/>
      <c r="M55" s="3"/>
      <c r="N55" s="3"/>
      <c r="O55" s="3"/>
    </row>
    <row r="56" spans="2:15" ht="5.0999999999999996" customHeight="1" x14ac:dyDescent="0.2">
      <c r="B56" s="3"/>
      <c r="C56" s="3"/>
      <c r="D56" s="3"/>
      <c r="E56" s="3"/>
      <c r="F56" s="30"/>
      <c r="G56" s="30"/>
      <c r="H56" s="30"/>
      <c r="I56" s="30"/>
      <c r="J56" s="30"/>
      <c r="K56" s="3"/>
      <c r="L56" s="3"/>
      <c r="M56" s="3"/>
      <c r="N56" s="3"/>
      <c r="O56" s="3"/>
    </row>
    <row r="57" spans="2:15" x14ac:dyDescent="0.2">
      <c r="B57" s="3" t="s">
        <v>34</v>
      </c>
      <c r="C57" s="89">
        <f>'P&amp;L'!C19</f>
        <v>2179.5</v>
      </c>
      <c r="D57" s="89">
        <f>'P&amp;L'!D19</f>
        <v>3381.2</v>
      </c>
      <c r="E57" s="89">
        <f>'P&amp;L'!E19</f>
        <v>1891.8</v>
      </c>
      <c r="F57" s="30">
        <f>'P&amp;L'!C18*F58</f>
        <v>1647.8400000000008</v>
      </c>
      <c r="G57" s="30">
        <f>'P&amp;L'!D18*G58</f>
        <v>2057.6400000000003</v>
      </c>
      <c r="H57" s="30">
        <f>'P&amp;L'!E18*H58</f>
        <v>1875.8639999999996</v>
      </c>
      <c r="I57" s="30">
        <f>'P&amp;L'!F18*I58</f>
        <v>1871.2072439999999</v>
      </c>
      <c r="J57" s="30">
        <f>'P&amp;L'!G18*J58</f>
        <v>1944.1867829700006</v>
      </c>
      <c r="K57" s="3"/>
      <c r="L57" s="3"/>
      <c r="M57" s="3"/>
      <c r="N57" s="3"/>
      <c r="O57" s="3"/>
    </row>
    <row r="58" spans="2:15" x14ac:dyDescent="0.2">
      <c r="B58" s="3" t="s">
        <v>35</v>
      </c>
      <c r="C58" s="75">
        <f>C57/'P&amp;L'!C18</f>
        <v>0.31743373143023579</v>
      </c>
      <c r="D58" s="75">
        <f>D57/'P&amp;L'!D18</f>
        <v>0.39437802531054983</v>
      </c>
      <c r="E58" s="75">
        <f>E57/'P&amp;L'!E18</f>
        <v>0.24203886848940012</v>
      </c>
      <c r="F58" s="31">
        <f>CHOOSE($C$5,F59,F60,F61)</f>
        <v>0.24</v>
      </c>
      <c r="G58" s="31">
        <f t="shared" ref="G58:J58" si="38">CHOOSE($C$5,G59,G60,G61)</f>
        <v>0.24</v>
      </c>
      <c r="H58" s="31">
        <f t="shared" si="38"/>
        <v>0.24</v>
      </c>
      <c r="I58" s="31">
        <f t="shared" si="38"/>
        <v>0.24</v>
      </c>
      <c r="J58" s="31">
        <f t="shared" si="38"/>
        <v>0.24</v>
      </c>
      <c r="K58" s="3"/>
      <c r="L58" s="3"/>
      <c r="M58" s="3"/>
      <c r="N58" s="3"/>
      <c r="O58" s="3"/>
    </row>
    <row r="59" spans="2:15" x14ac:dyDescent="0.2">
      <c r="B59" s="3" t="s">
        <v>29</v>
      </c>
      <c r="C59" s="26"/>
      <c r="D59" s="26"/>
      <c r="E59" s="26"/>
      <c r="F59" s="68">
        <v>0.22</v>
      </c>
      <c r="G59" s="68">
        <v>0.22</v>
      </c>
      <c r="H59" s="68">
        <v>0.22</v>
      </c>
      <c r="I59" s="68">
        <v>0.22</v>
      </c>
      <c r="J59" s="68">
        <v>0.22</v>
      </c>
      <c r="K59" s="3"/>
      <c r="L59" s="3"/>
      <c r="M59" s="3"/>
      <c r="N59" s="3"/>
      <c r="O59" s="3"/>
    </row>
    <row r="60" spans="2:15" x14ac:dyDescent="0.2">
      <c r="B60" s="3" t="s">
        <v>31</v>
      </c>
      <c r="C60" s="26"/>
      <c r="D60" s="26"/>
      <c r="E60" s="26"/>
      <c r="F60" s="68">
        <v>0.24</v>
      </c>
      <c r="G60" s="68">
        <v>0.24</v>
      </c>
      <c r="H60" s="68">
        <v>0.24</v>
      </c>
      <c r="I60" s="68">
        <v>0.24</v>
      </c>
      <c r="J60" s="68">
        <v>0.24</v>
      </c>
      <c r="K60" s="3"/>
      <c r="L60" s="3"/>
      <c r="M60" s="3"/>
      <c r="N60" s="3"/>
      <c r="O60" s="3"/>
    </row>
    <row r="61" spans="2:15" x14ac:dyDescent="0.2">
      <c r="B61" s="3" t="s">
        <v>32</v>
      </c>
      <c r="C61" s="26"/>
      <c r="D61" s="26"/>
      <c r="E61" s="26"/>
      <c r="F61" s="68">
        <v>0.3</v>
      </c>
      <c r="G61" s="68">
        <v>0.3</v>
      </c>
      <c r="H61" s="68">
        <v>0.3</v>
      </c>
      <c r="I61" s="68">
        <v>0.3</v>
      </c>
      <c r="J61" s="68">
        <v>0.3</v>
      </c>
      <c r="K61" s="3"/>
      <c r="L61" s="3"/>
      <c r="M61" s="3"/>
      <c r="N61" s="3"/>
      <c r="O61" s="3"/>
    </row>
    <row r="62" spans="2:15" ht="5.0999999999999996" customHeight="1" x14ac:dyDescent="0.2">
      <c r="B62" s="3"/>
      <c r="C62" s="3"/>
      <c r="D62" s="3"/>
      <c r="E62" s="3"/>
      <c r="F62" s="31"/>
      <c r="G62" s="31"/>
      <c r="H62" s="31"/>
      <c r="I62" s="31"/>
      <c r="J62" s="31"/>
      <c r="K62" s="3"/>
      <c r="L62" s="3"/>
      <c r="M62" s="3"/>
      <c r="N62" s="3"/>
      <c r="O62" s="3"/>
    </row>
    <row r="63" spans="2:15" x14ac:dyDescent="0.2">
      <c r="M63" s="3"/>
      <c r="N63" s="3"/>
      <c r="O63" s="3"/>
    </row>
    <row r="64" spans="2:15" x14ac:dyDescent="0.2">
      <c r="M64" s="3"/>
      <c r="N64" s="3"/>
      <c r="O64" s="3"/>
    </row>
    <row r="65" spans="13:15" x14ac:dyDescent="0.2">
      <c r="M65" s="3"/>
      <c r="N65" s="3"/>
      <c r="O65" s="3"/>
    </row>
    <row r="66" spans="13:15" x14ac:dyDescent="0.2">
      <c r="M66" s="3"/>
      <c r="N66" s="3"/>
      <c r="O66" s="3"/>
    </row>
    <row r="67" spans="13:15" x14ac:dyDescent="0.2">
      <c r="M67" s="3"/>
      <c r="N67" s="3"/>
      <c r="O67" s="3"/>
    </row>
    <row r="68" spans="13:15" ht="5.0999999999999996" customHeight="1" x14ac:dyDescent="0.2">
      <c r="M68" s="3"/>
      <c r="N68" s="3"/>
      <c r="O68" s="3"/>
    </row>
    <row r="69" spans="13:15" x14ac:dyDescent="0.2">
      <c r="M69" s="3"/>
      <c r="N69" s="3"/>
      <c r="O69" s="3"/>
    </row>
    <row r="70" spans="13:15" x14ac:dyDescent="0.2">
      <c r="M70" s="3"/>
      <c r="N70" s="3"/>
      <c r="O70" s="3"/>
    </row>
    <row r="71" spans="13:15" x14ac:dyDescent="0.2">
      <c r="M71" s="3"/>
      <c r="N71" s="3"/>
      <c r="O71" s="3"/>
    </row>
    <row r="72" spans="13:15" x14ac:dyDescent="0.2">
      <c r="M72" s="3"/>
      <c r="N72" s="3"/>
      <c r="O72" s="3"/>
    </row>
    <row r="73" spans="13:15" x14ac:dyDescent="0.2">
      <c r="M73" s="3"/>
      <c r="N73" s="3"/>
      <c r="O73" s="3"/>
    </row>
    <row r="74" spans="13:15" ht="5.0999999999999996" customHeight="1" x14ac:dyDescent="0.2">
      <c r="M74" s="3"/>
      <c r="N74" s="3"/>
      <c r="O74" s="3"/>
    </row>
    <row r="75" spans="13:15" x14ac:dyDescent="0.2">
      <c r="M75" s="3"/>
      <c r="N75" s="3"/>
      <c r="O75" s="3"/>
    </row>
    <row r="76" spans="13:15" x14ac:dyDescent="0.2">
      <c r="M76" s="3"/>
      <c r="N76" s="3"/>
      <c r="O76" s="3"/>
    </row>
    <row r="77" spans="13:15" x14ac:dyDescent="0.2">
      <c r="M77" s="3"/>
      <c r="N77" s="3"/>
      <c r="O77" s="3"/>
    </row>
    <row r="78" spans="13:15" x14ac:dyDescent="0.2">
      <c r="M78" s="3"/>
      <c r="N78" s="3"/>
      <c r="O78" s="3"/>
    </row>
    <row r="79" spans="13:15" x14ac:dyDescent="0.2">
      <c r="M79" s="3"/>
      <c r="N79" s="3"/>
      <c r="O79" s="3"/>
    </row>
    <row r="80" spans="13:15" ht="5.0999999999999996" customHeight="1" x14ac:dyDescent="0.2">
      <c r="M80" s="3"/>
      <c r="N80" s="3"/>
      <c r="O80" s="3"/>
    </row>
    <row r="81" spans="2:15" x14ac:dyDescent="0.2">
      <c r="M81" s="3"/>
      <c r="N81" s="3"/>
      <c r="O81" s="3"/>
    </row>
    <row r="82" spans="2:15" x14ac:dyDescent="0.2">
      <c r="M82" s="3"/>
      <c r="N82" s="3"/>
      <c r="O82" s="3"/>
    </row>
    <row r="83" spans="2:15" x14ac:dyDescent="0.2">
      <c r="M83" s="3"/>
      <c r="N83" s="3"/>
      <c r="O83" s="3"/>
    </row>
    <row r="84" spans="2:15" x14ac:dyDescent="0.2">
      <c r="M84" s="3"/>
      <c r="N84" s="3"/>
      <c r="O84" s="3"/>
    </row>
    <row r="85" spans="2:15" x14ac:dyDescent="0.2">
      <c r="M85" s="3"/>
      <c r="N85" s="3"/>
      <c r="O85" s="3"/>
    </row>
    <row r="86" spans="2:15" ht="5.0999999999999996" customHeight="1" x14ac:dyDescent="0.2">
      <c r="M86" s="3"/>
      <c r="N86" s="3"/>
      <c r="O86" s="3"/>
    </row>
    <row r="87" spans="2:15" x14ac:dyDescent="0.2">
      <c r="M87" s="3"/>
      <c r="N87" s="3"/>
      <c r="O87" s="3"/>
    </row>
    <row r="88" spans="2:15" x14ac:dyDescent="0.2">
      <c r="M88" s="3"/>
      <c r="N88" s="3"/>
      <c r="O88" s="3"/>
    </row>
    <row r="89" spans="2:15" x14ac:dyDescent="0.2">
      <c r="M89" s="3"/>
      <c r="N89" s="3"/>
      <c r="O89" s="3"/>
    </row>
    <row r="90" spans="2:15" x14ac:dyDescent="0.2">
      <c r="M90" s="3"/>
      <c r="N90" s="3"/>
      <c r="O90" s="3"/>
    </row>
    <row r="91" spans="2:15" x14ac:dyDescent="0.2">
      <c r="M91" s="3"/>
      <c r="N91" s="3"/>
      <c r="O91" s="3"/>
    </row>
    <row r="92" spans="2:15" x14ac:dyDescent="0.2">
      <c r="M92" s="3"/>
      <c r="N92" s="3"/>
      <c r="O92" s="3"/>
    </row>
    <row r="93" spans="2:15" x14ac:dyDescent="0.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2:15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2:15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2:15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2:15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2:15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2:15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44"/>
  <sheetViews>
    <sheetView tabSelected="1" workbookViewId="0">
      <selection activeCell="B1" sqref="B1"/>
    </sheetView>
  </sheetViews>
  <sheetFormatPr defaultRowHeight="12.75" x14ac:dyDescent="0.2"/>
  <cols>
    <col min="1" max="1" width="2.7109375" style="1" customWidth="1"/>
    <col min="2" max="2" width="34.5703125" style="1" customWidth="1"/>
    <col min="3" max="10" width="9.140625" style="1"/>
    <col min="11" max="11" width="13.42578125" style="1" bestFit="1" customWidth="1"/>
    <col min="12" max="16384" width="9.140625" style="1"/>
  </cols>
  <sheetData>
    <row r="1" spans="2:16" ht="15.75" x14ac:dyDescent="0.25">
      <c r="B1" s="18" t="s">
        <v>17</v>
      </c>
      <c r="D1" s="41"/>
      <c r="E1" s="41"/>
    </row>
    <row r="3" spans="2:16" ht="16.5" customHeight="1" x14ac:dyDescent="0.2">
      <c r="B3" s="6" t="s">
        <v>108</v>
      </c>
      <c r="C3" s="20" t="s">
        <v>1</v>
      </c>
      <c r="D3" s="21" t="s">
        <v>2</v>
      </c>
      <c r="E3" s="21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</row>
    <row r="4" spans="2:16" x14ac:dyDescent="0.2">
      <c r="B4" s="65" t="s">
        <v>18</v>
      </c>
      <c r="C4" s="65"/>
      <c r="D4" s="65"/>
      <c r="E4" s="65"/>
      <c r="F4" s="65"/>
      <c r="G4" s="65"/>
      <c r="H4" s="65"/>
      <c r="I4" s="65"/>
      <c r="J4" s="65"/>
    </row>
    <row r="5" spans="2:16" x14ac:dyDescent="0.2">
      <c r="B5" s="3" t="s">
        <v>80</v>
      </c>
      <c r="C5" s="84">
        <v>1223.4000000000001</v>
      </c>
      <c r="D5" s="84">
        <v>2463.8000000000002</v>
      </c>
      <c r="E5" s="84">
        <v>866</v>
      </c>
      <c r="F5" s="40">
        <f>'Cash Flow'!F25+E5</f>
        <v>7099.632803345753</v>
      </c>
      <c r="G5" s="40">
        <f>'Cash Flow'!G25+F5</f>
        <v>12225.885120169245</v>
      </c>
      <c r="H5" s="40">
        <f>'Cash Flow'!H25+G5</f>
        <v>17724.764601268271</v>
      </c>
      <c r="I5" s="40">
        <f>'Cash Flow'!I25+H5</f>
        <v>23730.729086281957</v>
      </c>
      <c r="J5" s="40">
        <f>'Cash Flow'!J25+I5</f>
        <v>30164.977223123165</v>
      </c>
    </row>
    <row r="6" spans="2:16" x14ac:dyDescent="0.2">
      <c r="B6" s="3" t="s">
        <v>81</v>
      </c>
      <c r="C6" s="85">
        <v>1474.1</v>
      </c>
      <c r="D6" s="84">
        <v>1976.2</v>
      </c>
      <c r="E6" s="84">
        <v>2441.5</v>
      </c>
      <c r="F6" s="40">
        <f>Drivers!T9</f>
        <v>2197.3499999999995</v>
      </c>
      <c r="G6" s="40">
        <f>Drivers!U9</f>
        <v>2175.3765000000003</v>
      </c>
      <c r="H6" s="40">
        <f>Drivers!V9</f>
        <v>2110.1152049999996</v>
      </c>
      <c r="I6" s="40">
        <f>Drivers!W9</f>
        <v>2067.9129008999998</v>
      </c>
      <c r="J6" s="40">
        <f>Drivers!X9</f>
        <v>2047.2337718909998</v>
      </c>
    </row>
    <row r="7" spans="2:16" x14ac:dyDescent="0.2">
      <c r="B7" s="3" t="s">
        <v>82</v>
      </c>
      <c r="C7" s="84">
        <v>58.9</v>
      </c>
      <c r="D7" s="84">
        <v>58.8</v>
      </c>
      <c r="E7" s="84">
        <v>51.1</v>
      </c>
      <c r="F7" s="40">
        <f>Drivers!T12</f>
        <v>49.23857467002987</v>
      </c>
      <c r="G7" s="40">
        <f>Drivers!U12</f>
        <v>50.87477837973632</v>
      </c>
      <c r="H7" s="40">
        <f>Drivers!V12</f>
        <v>52.41433998687905</v>
      </c>
      <c r="I7" s="40">
        <f>Drivers!W12</f>
        <v>54.533462691017149</v>
      </c>
      <c r="J7" s="40">
        <f>Drivers!X12</f>
        <v>57.263513880402499</v>
      </c>
    </row>
    <row r="8" spans="2:16" x14ac:dyDescent="0.2">
      <c r="B8" s="3" t="s">
        <v>83</v>
      </c>
      <c r="C8" s="84">
        <v>565.20000000000005</v>
      </c>
      <c r="D8" s="84">
        <v>828.4</v>
      </c>
      <c r="E8" s="84">
        <v>694.6</v>
      </c>
      <c r="F8" s="40">
        <f>Drivers!T18</f>
        <v>813.42254722903954</v>
      </c>
      <c r="G8" s="40">
        <f>Drivers!U18</f>
        <v>753.90720849266597</v>
      </c>
      <c r="H8" s="40">
        <f>Drivers!V18</f>
        <v>694.6</v>
      </c>
      <c r="I8" s="40">
        <f>Drivers!W18</f>
        <v>692.44576938626028</v>
      </c>
      <c r="J8" s="40">
        <f>Drivers!X18</f>
        <v>724.99523590001525</v>
      </c>
      <c r="K8" s="1" t="s">
        <v>44</v>
      </c>
    </row>
    <row r="9" spans="2:16" x14ac:dyDescent="0.2">
      <c r="B9" s="3" t="s">
        <v>102</v>
      </c>
      <c r="C9" s="84">
        <v>1527</v>
      </c>
      <c r="D9" s="84">
        <v>0</v>
      </c>
      <c r="E9" s="84">
        <v>0</v>
      </c>
      <c r="F9" s="40">
        <f>$E$9</f>
        <v>0</v>
      </c>
      <c r="G9" s="40">
        <f t="shared" ref="G9:J9" si="0">$E$9</f>
        <v>0</v>
      </c>
      <c r="H9" s="40">
        <f t="shared" si="0"/>
        <v>0</v>
      </c>
      <c r="I9" s="40">
        <f t="shared" si="0"/>
        <v>0</v>
      </c>
      <c r="J9" s="40">
        <f t="shared" si="0"/>
        <v>0</v>
      </c>
    </row>
    <row r="10" spans="2:16" x14ac:dyDescent="0.2">
      <c r="B10" s="38" t="s">
        <v>21</v>
      </c>
      <c r="C10" s="83">
        <f>SUM(C5:C9)</f>
        <v>4848.6000000000004</v>
      </c>
      <c r="D10" s="83">
        <f t="shared" ref="D10:J10" si="1">SUM(D5:D9)</f>
        <v>5327.2</v>
      </c>
      <c r="E10" s="83">
        <f t="shared" si="1"/>
        <v>4053.2</v>
      </c>
      <c r="F10" s="82">
        <f t="shared" si="1"/>
        <v>10159.643925244822</v>
      </c>
      <c r="G10" s="82">
        <f t="shared" si="1"/>
        <v>15206.043607041649</v>
      </c>
      <c r="H10" s="82">
        <f t="shared" si="1"/>
        <v>20581.894146255148</v>
      </c>
      <c r="I10" s="82">
        <f t="shared" si="1"/>
        <v>26545.621219259236</v>
      </c>
      <c r="J10" s="82">
        <f t="shared" si="1"/>
        <v>32994.46974479458</v>
      </c>
    </row>
    <row r="11" spans="2:16" x14ac:dyDescent="0.2">
      <c r="B11" s="3" t="s">
        <v>84</v>
      </c>
      <c r="C11" s="84">
        <v>725.9</v>
      </c>
      <c r="D11" s="84">
        <v>1085.7</v>
      </c>
      <c r="E11" s="84">
        <v>1202.8</v>
      </c>
      <c r="F11" s="40">
        <f>$E11</f>
        <v>1202.8</v>
      </c>
      <c r="G11" s="40">
        <f t="shared" ref="G11:J11" si="2">$E11</f>
        <v>1202.8</v>
      </c>
      <c r="H11" s="40">
        <f t="shared" si="2"/>
        <v>1202.8</v>
      </c>
      <c r="I11" s="40">
        <f t="shared" si="2"/>
        <v>1202.8</v>
      </c>
      <c r="J11" s="40">
        <f t="shared" si="2"/>
        <v>1202.8</v>
      </c>
    </row>
    <row r="12" spans="2:16" x14ac:dyDescent="0.2">
      <c r="B12" s="3" t="s">
        <v>22</v>
      </c>
      <c r="C12" s="84">
        <v>2336.5</v>
      </c>
      <c r="D12" s="84">
        <v>2379.6999999999998</v>
      </c>
      <c r="E12" s="84">
        <v>2331.5</v>
      </c>
      <c r="F12" s="40">
        <f t="shared" ref="F12:J13" si="3">$E12</f>
        <v>2331.5</v>
      </c>
      <c r="G12" s="40">
        <f t="shared" si="3"/>
        <v>2331.5</v>
      </c>
      <c r="H12" s="40">
        <f t="shared" si="3"/>
        <v>2331.5</v>
      </c>
      <c r="I12" s="40">
        <f t="shared" si="3"/>
        <v>2331.5</v>
      </c>
      <c r="J12" s="40">
        <f t="shared" si="3"/>
        <v>2331.5</v>
      </c>
    </row>
    <row r="13" spans="2:16" x14ac:dyDescent="0.2">
      <c r="B13" s="3" t="s">
        <v>85</v>
      </c>
      <c r="C13" s="84">
        <v>1855.3</v>
      </c>
      <c r="D13" s="84">
        <v>2562.8000000000002</v>
      </c>
      <c r="E13" s="84">
        <v>2381</v>
      </c>
      <c r="F13" s="40">
        <f t="shared" si="3"/>
        <v>2381</v>
      </c>
      <c r="G13" s="40">
        <f t="shared" si="3"/>
        <v>2381</v>
      </c>
      <c r="H13" s="40">
        <f t="shared" si="3"/>
        <v>2381</v>
      </c>
      <c r="I13" s="40">
        <f t="shared" si="3"/>
        <v>2381</v>
      </c>
      <c r="J13" s="40">
        <f t="shared" si="3"/>
        <v>2381</v>
      </c>
    </row>
    <row r="14" spans="2:16" x14ac:dyDescent="0.2">
      <c r="B14" s="38" t="s">
        <v>89</v>
      </c>
      <c r="C14" s="83">
        <f>SUM(C11:C13)</f>
        <v>4917.7</v>
      </c>
      <c r="D14" s="83">
        <f t="shared" ref="D14:J14" si="4">SUM(D11:D13)</f>
        <v>6028.2</v>
      </c>
      <c r="E14" s="83">
        <f t="shared" si="4"/>
        <v>5915.3</v>
      </c>
      <c r="F14" s="82">
        <f t="shared" si="4"/>
        <v>5915.3</v>
      </c>
      <c r="G14" s="82">
        <f t="shared" si="4"/>
        <v>5915.3</v>
      </c>
      <c r="H14" s="82">
        <f t="shared" si="4"/>
        <v>5915.3</v>
      </c>
      <c r="I14" s="82">
        <f t="shared" si="4"/>
        <v>5915.3</v>
      </c>
      <c r="J14" s="82">
        <f t="shared" si="4"/>
        <v>5915.3</v>
      </c>
    </row>
    <row r="15" spans="2:16" x14ac:dyDescent="0.2">
      <c r="B15" s="3" t="s">
        <v>86</v>
      </c>
      <c r="C15" s="84">
        <v>34443.4</v>
      </c>
      <c r="D15" s="84">
        <v>36626.400000000001</v>
      </c>
      <c r="E15" s="84">
        <v>37193.599999999999</v>
      </c>
      <c r="F15" s="40"/>
      <c r="G15" s="40"/>
      <c r="H15" s="40"/>
      <c r="I15" s="40"/>
      <c r="J15" s="40"/>
      <c r="P15" s="41"/>
    </row>
    <row r="16" spans="2:16" x14ac:dyDescent="0.2">
      <c r="B16" s="3" t="s">
        <v>87</v>
      </c>
      <c r="C16" s="84">
        <v>-13185.8</v>
      </c>
      <c r="D16" s="84">
        <v>-14178.1</v>
      </c>
      <c r="E16" s="84">
        <v>-14350.9</v>
      </c>
      <c r="F16" s="40"/>
      <c r="G16" s="40"/>
      <c r="H16" s="40"/>
      <c r="I16" s="40"/>
      <c r="J16" s="40"/>
      <c r="K16" s="51"/>
      <c r="N16" s="41"/>
    </row>
    <row r="17" spans="2:11" x14ac:dyDescent="0.2">
      <c r="B17" s="38" t="s">
        <v>88</v>
      </c>
      <c r="C17" s="83">
        <f>SUM(C15:C16)</f>
        <v>21257.600000000002</v>
      </c>
      <c r="D17" s="83">
        <f t="shared" ref="D17:E17" si="5">SUM(D15:D16)</f>
        <v>22448.300000000003</v>
      </c>
      <c r="E17" s="83">
        <f t="shared" si="5"/>
        <v>22842.699999999997</v>
      </c>
      <c r="F17" s="82">
        <f>'PP&amp;E'!F10</f>
        <v>23512.752533333332</v>
      </c>
      <c r="G17" s="82">
        <f>'PP&amp;E'!G10</f>
        <v>24211.759457955555</v>
      </c>
      <c r="H17" s="82">
        <f>'PP&amp;E'!H10</f>
        <v>25049.807318790754</v>
      </c>
      <c r="I17" s="82">
        <f>'PP&amp;E'!I10</f>
        <v>26034.299755424163</v>
      </c>
      <c r="J17" s="82">
        <f>'PP&amp;E'!J10</f>
        <v>27175.399321862787</v>
      </c>
    </row>
    <row r="18" spans="2:11" ht="13.5" thickBot="1" x14ac:dyDescent="0.25">
      <c r="B18" s="24" t="s">
        <v>23</v>
      </c>
      <c r="C18" s="87">
        <f>SUM(C17,C14,C10)</f>
        <v>31023.9</v>
      </c>
      <c r="D18" s="87">
        <f t="shared" ref="D18:J18" si="6">SUM(D17,D14,D10)</f>
        <v>33803.700000000004</v>
      </c>
      <c r="E18" s="87">
        <f t="shared" si="6"/>
        <v>32811.199999999997</v>
      </c>
      <c r="F18" s="88">
        <f t="shared" si="6"/>
        <v>39587.696458578153</v>
      </c>
      <c r="G18" s="88">
        <f t="shared" si="6"/>
        <v>45333.103064997202</v>
      </c>
      <c r="H18" s="88">
        <f t="shared" si="6"/>
        <v>51547.001465045905</v>
      </c>
      <c r="I18" s="88">
        <f t="shared" si="6"/>
        <v>58495.220974683398</v>
      </c>
      <c r="J18" s="88">
        <f t="shared" si="6"/>
        <v>66085.16906665737</v>
      </c>
    </row>
    <row r="19" spans="2:11" ht="5.0999999999999996" customHeight="1" x14ac:dyDescent="0.2">
      <c r="B19" s="3"/>
      <c r="C19" s="3"/>
      <c r="D19" s="3"/>
      <c r="E19" s="3"/>
      <c r="F19" s="13"/>
      <c r="G19" s="13"/>
      <c r="H19" s="13"/>
      <c r="I19" s="13"/>
      <c r="J19" s="13"/>
    </row>
    <row r="20" spans="2:11" x14ac:dyDescent="0.2">
      <c r="B20" s="65" t="s">
        <v>26</v>
      </c>
      <c r="C20" s="65"/>
      <c r="D20" s="65"/>
      <c r="E20" s="65"/>
      <c r="F20" s="65"/>
      <c r="G20" s="65"/>
      <c r="H20" s="65"/>
      <c r="I20" s="65"/>
      <c r="J20" s="65"/>
    </row>
    <row r="21" spans="2:11" x14ac:dyDescent="0.2">
      <c r="B21" s="3" t="s">
        <v>90</v>
      </c>
      <c r="C21" s="84">
        <v>756</v>
      </c>
      <c r="D21" s="84">
        <v>924.8</v>
      </c>
      <c r="E21" s="84">
        <v>1207.9000000000001</v>
      </c>
      <c r="F21" s="40">
        <f>Drivers!T15</f>
        <v>1163.8996936189646</v>
      </c>
      <c r="G21" s="40">
        <f>Drivers!U15</f>
        <v>1202.5762192736497</v>
      </c>
      <c r="H21" s="40">
        <f>Drivers!V15</f>
        <v>1238.9683223121569</v>
      </c>
      <c r="I21" s="40">
        <f>Drivers!W15</f>
        <v>1289.0600701463725</v>
      </c>
      <c r="J21" s="40">
        <f>Drivers!X15</f>
        <v>1353.5929239948766</v>
      </c>
    </row>
    <row r="22" spans="2:11" x14ac:dyDescent="0.2">
      <c r="B22" s="3" t="s">
        <v>91</v>
      </c>
      <c r="C22" s="84">
        <v>267.2</v>
      </c>
      <c r="D22" s="84">
        <v>265.8</v>
      </c>
      <c r="E22" s="84">
        <v>228.3</v>
      </c>
      <c r="F22" s="40">
        <f>$E$22</f>
        <v>228.3</v>
      </c>
      <c r="G22" s="40">
        <f t="shared" ref="G22:J22" si="7">$E$22</f>
        <v>228.3</v>
      </c>
      <c r="H22" s="40">
        <f t="shared" si="7"/>
        <v>228.3</v>
      </c>
      <c r="I22" s="40">
        <f t="shared" si="7"/>
        <v>228.3</v>
      </c>
      <c r="J22" s="40">
        <f t="shared" si="7"/>
        <v>228.3</v>
      </c>
    </row>
    <row r="23" spans="2:11" x14ac:dyDescent="0.2">
      <c r="B23" s="3" t="s">
        <v>92</v>
      </c>
      <c r="C23" s="84">
        <v>266.3</v>
      </c>
      <c r="D23" s="84">
        <v>275.39999999999998</v>
      </c>
      <c r="E23" s="84">
        <v>253.7</v>
      </c>
      <c r="F23" s="40">
        <f>$E$23</f>
        <v>253.7</v>
      </c>
      <c r="G23" s="40">
        <f t="shared" ref="G23:J23" si="8">$E$23</f>
        <v>253.7</v>
      </c>
      <c r="H23" s="40">
        <f t="shared" si="8"/>
        <v>253.7</v>
      </c>
      <c r="I23" s="40">
        <f t="shared" si="8"/>
        <v>253.7</v>
      </c>
      <c r="J23" s="40">
        <f t="shared" si="8"/>
        <v>253.7</v>
      </c>
    </row>
    <row r="24" spans="2:11" x14ac:dyDescent="0.2">
      <c r="B24" s="3" t="s">
        <v>93</v>
      </c>
      <c r="C24" s="84">
        <v>247.5</v>
      </c>
      <c r="D24" s="84">
        <v>278.39999999999998</v>
      </c>
      <c r="E24" s="84">
        <v>297</v>
      </c>
      <c r="F24" s="40">
        <f>$E$24</f>
        <v>297</v>
      </c>
      <c r="G24" s="40">
        <f t="shared" ref="G24:J24" si="9">$E$24</f>
        <v>297</v>
      </c>
      <c r="H24" s="40">
        <f t="shared" si="9"/>
        <v>297</v>
      </c>
      <c r="I24" s="40">
        <f t="shared" si="9"/>
        <v>297</v>
      </c>
      <c r="J24" s="40">
        <f t="shared" si="9"/>
        <v>297</v>
      </c>
    </row>
    <row r="25" spans="2:11" x14ac:dyDescent="0.2">
      <c r="B25" s="3" t="s">
        <v>94</v>
      </c>
      <c r="C25" s="84">
        <v>1159.3</v>
      </c>
      <c r="D25" s="84">
        <v>1146.2</v>
      </c>
      <c r="E25" s="84">
        <v>986.6</v>
      </c>
      <c r="F25" s="40">
        <f>Drivers!T21</f>
        <v>1155.3738627932196</v>
      </c>
      <c r="G25" s="40">
        <f>Drivers!U21</f>
        <v>1070.8391187717598</v>
      </c>
      <c r="H25" s="40">
        <f>Drivers!V21</f>
        <v>986.6</v>
      </c>
      <c r="I25" s="40">
        <f>Drivers!W21</f>
        <v>983.54016135399422</v>
      </c>
      <c r="J25" s="40">
        <f>Drivers!X21</f>
        <v>1029.7729624804997</v>
      </c>
      <c r="K25" s="1" t="s">
        <v>44</v>
      </c>
    </row>
    <row r="26" spans="2:11" x14ac:dyDescent="0.2">
      <c r="B26" s="3" t="s">
        <v>103</v>
      </c>
      <c r="C26" s="84">
        <v>77.2</v>
      </c>
      <c r="D26" s="84">
        <v>0</v>
      </c>
      <c r="E26" s="84">
        <v>0</v>
      </c>
      <c r="F26" s="40">
        <f>$E$26</f>
        <v>0</v>
      </c>
      <c r="G26" s="40">
        <f t="shared" ref="G26:J26" si="10">$E$26</f>
        <v>0</v>
      </c>
      <c r="H26" s="40">
        <f t="shared" si="10"/>
        <v>0</v>
      </c>
      <c r="I26" s="40">
        <f t="shared" si="10"/>
        <v>0</v>
      </c>
      <c r="J26" s="40">
        <f t="shared" si="10"/>
        <v>0</v>
      </c>
      <c r="K26" s="41"/>
    </row>
    <row r="27" spans="2:11" x14ac:dyDescent="0.2">
      <c r="B27" s="3" t="s">
        <v>104</v>
      </c>
      <c r="C27" s="84">
        <v>694.8</v>
      </c>
      <c r="D27" s="84">
        <v>0</v>
      </c>
      <c r="E27" s="84">
        <v>0</v>
      </c>
      <c r="F27" s="40">
        <f>$E$27</f>
        <v>0</v>
      </c>
      <c r="G27" s="40">
        <f t="shared" ref="G27:J27" si="11">$E$27</f>
        <v>0</v>
      </c>
      <c r="H27" s="40">
        <f t="shared" si="11"/>
        <v>0</v>
      </c>
      <c r="I27" s="40">
        <f t="shared" si="11"/>
        <v>0</v>
      </c>
      <c r="J27" s="40">
        <f t="shared" si="11"/>
        <v>0</v>
      </c>
      <c r="K27" s="41"/>
    </row>
    <row r="28" spans="2:11" x14ac:dyDescent="0.2">
      <c r="B28" s="38" t="s">
        <v>25</v>
      </c>
      <c r="C28" s="83">
        <f>SUM(C21:C27)</f>
        <v>3468.3</v>
      </c>
      <c r="D28" s="83">
        <f t="shared" ref="D28:J28" si="12">SUM(D21:D27)</f>
        <v>2890.6000000000004</v>
      </c>
      <c r="E28" s="83">
        <f t="shared" si="12"/>
        <v>2973.5</v>
      </c>
      <c r="F28" s="82">
        <f t="shared" si="12"/>
        <v>3098.273556412184</v>
      </c>
      <c r="G28" s="82">
        <f t="shared" si="12"/>
        <v>3052.4153380454095</v>
      </c>
      <c r="H28" s="82">
        <f t="shared" si="12"/>
        <v>3004.5683223121569</v>
      </c>
      <c r="I28" s="82">
        <f t="shared" si="12"/>
        <v>3051.600231500367</v>
      </c>
      <c r="J28" s="82">
        <f t="shared" si="12"/>
        <v>3162.3658864753761</v>
      </c>
    </row>
    <row r="29" spans="2:11" x14ac:dyDescent="0.2">
      <c r="B29" s="3" t="s">
        <v>95</v>
      </c>
      <c r="C29" s="84">
        <v>25878.5</v>
      </c>
      <c r="D29" s="84">
        <v>29536.400000000001</v>
      </c>
      <c r="E29" s="84">
        <v>31075.3</v>
      </c>
      <c r="F29" s="40">
        <f>E29</f>
        <v>31075.3</v>
      </c>
      <c r="G29" s="40">
        <f t="shared" ref="G29:J29" si="13">F29</f>
        <v>31075.3</v>
      </c>
      <c r="H29" s="40">
        <f t="shared" si="13"/>
        <v>31075.3</v>
      </c>
      <c r="I29" s="40">
        <f t="shared" si="13"/>
        <v>31075.3</v>
      </c>
      <c r="J29" s="40">
        <f t="shared" si="13"/>
        <v>31075.3</v>
      </c>
    </row>
    <row r="30" spans="2:11" x14ac:dyDescent="0.2">
      <c r="B30" s="3" t="s">
        <v>96</v>
      </c>
      <c r="C30" s="84">
        <v>1010.6</v>
      </c>
      <c r="D30" s="84">
        <v>2370.9</v>
      </c>
      <c r="E30" s="84">
        <v>2081.1999999999998</v>
      </c>
      <c r="F30" s="40">
        <f>$E$30</f>
        <v>2081.1999999999998</v>
      </c>
      <c r="G30" s="40">
        <f t="shared" ref="G30:J30" si="14">$E$30</f>
        <v>2081.1999999999998</v>
      </c>
      <c r="H30" s="40">
        <f t="shared" si="14"/>
        <v>2081.1999999999998</v>
      </c>
      <c r="I30" s="40">
        <f t="shared" si="14"/>
        <v>2081.1999999999998</v>
      </c>
      <c r="J30" s="40">
        <f t="shared" si="14"/>
        <v>2081.1999999999998</v>
      </c>
    </row>
    <row r="31" spans="2:11" x14ac:dyDescent="0.2">
      <c r="B31" s="3" t="s">
        <v>97</v>
      </c>
      <c r="C31" s="84">
        <v>0</v>
      </c>
      <c r="D31" s="84">
        <v>0</v>
      </c>
      <c r="E31" s="84">
        <v>627.79999999999995</v>
      </c>
      <c r="F31" s="40">
        <f>Drivers!T24</f>
        <v>735.19532846298716</v>
      </c>
      <c r="G31" s="40">
        <f>Drivers!U24</f>
        <v>681.40360710005132</v>
      </c>
      <c r="H31" s="40">
        <f>Drivers!V24</f>
        <v>627.79999999999995</v>
      </c>
      <c r="I31" s="40">
        <f>Drivers!W24</f>
        <v>625.85294273062789</v>
      </c>
      <c r="J31" s="40">
        <f>Drivers!X24</f>
        <v>655.2721121480414</v>
      </c>
      <c r="K31" s="1" t="s">
        <v>44</v>
      </c>
    </row>
    <row r="32" spans="2:11" x14ac:dyDescent="0.2">
      <c r="B32" s="3" t="s">
        <v>98</v>
      </c>
      <c r="C32" s="84">
        <v>2064.3000000000002</v>
      </c>
      <c r="D32" s="84">
        <v>1154.4000000000001</v>
      </c>
      <c r="E32" s="84">
        <v>1096.3</v>
      </c>
      <c r="F32" s="40">
        <f>Drivers!T27</f>
        <v>1283.8398193596254</v>
      </c>
      <c r="G32" s="40">
        <f>Drivers!U27</f>
        <v>1189.9056617772958</v>
      </c>
      <c r="H32" s="40">
        <f>Drivers!V27</f>
        <v>1096.3</v>
      </c>
      <c r="I32" s="40">
        <f>Drivers!W27</f>
        <v>1092.8999380624202</v>
      </c>
      <c r="J32" s="40">
        <f>Drivers!X27</f>
        <v>1144.2733618157022</v>
      </c>
      <c r="K32" s="1" t="s">
        <v>44</v>
      </c>
    </row>
    <row r="33" spans="2:11" x14ac:dyDescent="0.2">
      <c r="B33" s="3" t="s">
        <v>99</v>
      </c>
      <c r="C33" s="84">
        <v>1817.1</v>
      </c>
      <c r="D33" s="84">
        <v>1119.4000000000001</v>
      </c>
      <c r="E33" s="84">
        <v>1215.5</v>
      </c>
      <c r="F33" s="40">
        <f>Drivers!T30</f>
        <v>1423.4309043433595</v>
      </c>
      <c r="G33" s="40">
        <f>Drivers!U30</f>
        <v>1319.2833456994465</v>
      </c>
      <c r="H33" s="40">
        <f>Drivers!V30</f>
        <v>1215.5</v>
      </c>
      <c r="I33" s="40">
        <f>Drivers!W30</f>
        <v>1211.7302514958242</v>
      </c>
      <c r="J33" s="40">
        <f>Drivers!X30</f>
        <v>1268.6894748581465</v>
      </c>
      <c r="K33" s="1" t="s">
        <v>44</v>
      </c>
    </row>
    <row r="34" spans="2:11" x14ac:dyDescent="0.2">
      <c r="B34" s="38" t="s">
        <v>100</v>
      </c>
      <c r="C34" s="86">
        <v>-2204.3000000000002</v>
      </c>
      <c r="D34" s="86">
        <v>-3268</v>
      </c>
      <c r="E34" s="86">
        <v>-6258.4</v>
      </c>
      <c r="F34" s="82">
        <f>E34+'P&amp;L'!F20</f>
        <v>-109.54315000000042</v>
      </c>
      <c r="G34" s="82">
        <f>F34+'P&amp;L'!G20</f>
        <v>5933.5951123750019</v>
      </c>
      <c r="H34" s="82">
        <f>G34+'P&amp;L'!H20</f>
        <v>12446.333142733751</v>
      </c>
      <c r="I34" s="82">
        <f>H34+'P&amp;L'!I20</f>
        <v>19356.637610894162</v>
      </c>
      <c r="J34" s="82">
        <f>I34+'P&amp;L'!J20</f>
        <v>26698.068231360106</v>
      </c>
      <c r="K34" s="49"/>
    </row>
    <row r="35" spans="2:11" ht="13.5" thickBot="1" x14ac:dyDescent="0.25">
      <c r="B35" s="24" t="s">
        <v>101</v>
      </c>
      <c r="C35" s="87">
        <f>SUM(C28:C34)-C30</f>
        <v>31023.899999999998</v>
      </c>
      <c r="D35" s="87">
        <f t="shared" ref="D35" si="15">SUM(D28:D34)</f>
        <v>33803.700000000004</v>
      </c>
      <c r="E35" s="87">
        <f>SUM(E28:E34)</f>
        <v>32811.200000000004</v>
      </c>
      <c r="F35" s="88">
        <f t="shared" ref="F35:J35" si="16">SUM(F28:F34)</f>
        <v>39587.696458578153</v>
      </c>
      <c r="G35" s="88">
        <f t="shared" si="16"/>
        <v>45333.103064997209</v>
      </c>
      <c r="H35" s="88">
        <f t="shared" si="16"/>
        <v>51547.001465045905</v>
      </c>
      <c r="I35" s="88">
        <f t="shared" si="16"/>
        <v>58495.220974683398</v>
      </c>
      <c r="J35" s="88">
        <f t="shared" si="16"/>
        <v>66085.16906665737</v>
      </c>
    </row>
    <row r="37" spans="2:11" x14ac:dyDescent="0.2">
      <c r="B37" s="3" t="s">
        <v>27</v>
      </c>
      <c r="C37" s="89">
        <f t="shared" ref="C37:J37" si="17">C18-C35</f>
        <v>0</v>
      </c>
      <c r="D37" s="89">
        <f t="shared" si="17"/>
        <v>0</v>
      </c>
      <c r="E37" s="89">
        <f t="shared" si="17"/>
        <v>0</v>
      </c>
      <c r="F37" s="89">
        <f t="shared" si="17"/>
        <v>0</v>
      </c>
      <c r="G37" s="89">
        <f t="shared" si="17"/>
        <v>0</v>
      </c>
      <c r="H37" s="89">
        <f t="shared" si="17"/>
        <v>0</v>
      </c>
      <c r="I37" s="89">
        <f t="shared" si="17"/>
        <v>0</v>
      </c>
      <c r="J37" s="89">
        <f t="shared" si="17"/>
        <v>0</v>
      </c>
    </row>
    <row r="38" spans="2:11" x14ac:dyDescent="0.2">
      <c r="B38" s="3"/>
      <c r="C38" s="3"/>
      <c r="D38" s="3"/>
      <c r="E38" s="3"/>
      <c r="F38" s="3"/>
      <c r="G38" s="3"/>
      <c r="H38" s="3"/>
      <c r="I38" s="3"/>
      <c r="J38" s="3"/>
    </row>
    <row r="39" spans="2:11" x14ac:dyDescent="0.2">
      <c r="B39" s="3"/>
      <c r="C39" s="3"/>
      <c r="D39" s="3"/>
      <c r="E39" s="3"/>
      <c r="F39" s="3"/>
      <c r="G39" s="3"/>
      <c r="H39" s="3"/>
      <c r="I39" s="3"/>
      <c r="J39" s="3"/>
    </row>
    <row r="40" spans="2:11" x14ac:dyDescent="0.2">
      <c r="B40" s="3"/>
      <c r="C40" s="3"/>
      <c r="D40" s="3"/>
      <c r="E40" s="3"/>
      <c r="F40" s="3"/>
      <c r="G40" s="3"/>
      <c r="H40" s="3"/>
      <c r="I40" s="3"/>
      <c r="J40" s="3"/>
    </row>
    <row r="41" spans="2:11" x14ac:dyDescent="0.2">
      <c r="B41" s="3"/>
      <c r="C41" s="39"/>
      <c r="D41" s="3"/>
      <c r="E41" s="3"/>
      <c r="F41" s="3"/>
      <c r="G41" s="3"/>
      <c r="H41" s="3"/>
      <c r="I41" s="3"/>
      <c r="J41" s="3"/>
    </row>
    <row r="42" spans="2:11" x14ac:dyDescent="0.2">
      <c r="B42" s="3"/>
      <c r="C42" s="39"/>
      <c r="D42" s="3"/>
      <c r="E42" s="3"/>
      <c r="F42" s="3"/>
      <c r="G42" s="3"/>
      <c r="H42" s="3"/>
      <c r="I42" s="3"/>
      <c r="J42" s="3"/>
    </row>
    <row r="43" spans="2:11" x14ac:dyDescent="0.2">
      <c r="B43" s="3"/>
      <c r="C43" s="3"/>
      <c r="D43" s="39"/>
      <c r="E43" s="3"/>
      <c r="F43" s="3"/>
      <c r="G43" s="3"/>
      <c r="H43" s="3"/>
      <c r="I43" s="3"/>
      <c r="J43" s="3"/>
    </row>
    <row r="44" spans="2:11" x14ac:dyDescent="0.2">
      <c r="D44" s="41"/>
    </row>
  </sheetData>
  <mergeCells count="2">
    <mergeCell ref="B4:J4"/>
    <mergeCell ref="B20:J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4"/>
  <sheetViews>
    <sheetView workbookViewId="0">
      <selection activeCell="C20" sqref="C20:J20"/>
    </sheetView>
  </sheetViews>
  <sheetFormatPr defaultRowHeight="12.75" x14ac:dyDescent="0.2"/>
  <cols>
    <col min="1" max="1" width="2.7109375" style="1" customWidth="1"/>
    <col min="2" max="2" width="43.140625" style="1" customWidth="1"/>
    <col min="3" max="3" width="10.140625" style="1" bestFit="1" customWidth="1"/>
    <col min="4" max="16384" width="9.140625" style="1"/>
  </cols>
  <sheetData>
    <row r="1" spans="2:10" ht="15.75" x14ac:dyDescent="0.25">
      <c r="B1" s="5" t="s">
        <v>16</v>
      </c>
    </row>
    <row r="3" spans="2:10" ht="17.25" customHeight="1" x14ac:dyDescent="0.2">
      <c r="B3" s="6" t="s">
        <v>108</v>
      </c>
      <c r="C3" s="7" t="s">
        <v>1</v>
      </c>
      <c r="D3" s="8" t="s">
        <v>2</v>
      </c>
      <c r="E3" s="8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</row>
    <row r="4" spans="2:10" x14ac:dyDescent="0.2">
      <c r="B4" s="2" t="s">
        <v>62</v>
      </c>
      <c r="C4" s="72">
        <v>15295</v>
      </c>
      <c r="D4" s="72">
        <v>12718.9</v>
      </c>
      <c r="E4" s="72">
        <v>10012.700000000001</v>
      </c>
      <c r="F4" s="40">
        <f>Drivers!F9</f>
        <v>9011.43</v>
      </c>
      <c r="G4" s="40">
        <f>Drivers!G9</f>
        <v>8921.315700000001</v>
      </c>
      <c r="H4" s="40">
        <f>Drivers!H9</f>
        <v>8653.6762290000006</v>
      </c>
      <c r="I4" s="40">
        <f>Drivers!I9</f>
        <v>8480.60270442</v>
      </c>
      <c r="J4" s="40">
        <f>Drivers!J9</f>
        <v>8395.7966773757998</v>
      </c>
    </row>
    <row r="5" spans="2:10" x14ac:dyDescent="0.2">
      <c r="B5" s="2" t="s">
        <v>63</v>
      </c>
      <c r="C5" s="72">
        <v>9326.9</v>
      </c>
      <c r="D5" s="72">
        <v>10101.5</v>
      </c>
      <c r="E5" s="72">
        <v>11012.5</v>
      </c>
      <c r="F5" s="40">
        <f>Drivers!F15</f>
        <v>11948.5625</v>
      </c>
      <c r="G5" s="40">
        <f>Drivers!G15</f>
        <v>13023.933125000001</v>
      </c>
      <c r="H5" s="40">
        <f>Drivers!H15</f>
        <v>14261.206771875</v>
      </c>
      <c r="I5" s="40">
        <f>Drivers!I15</f>
        <v>15687.327449062501</v>
      </c>
      <c r="J5" s="40">
        <f>Drivers!J15</f>
        <v>17334.496831214063</v>
      </c>
    </row>
    <row r="6" spans="2:10" x14ac:dyDescent="0.2">
      <c r="B6" s="38" t="s">
        <v>64</v>
      </c>
      <c r="C6" s="83">
        <f t="shared" ref="C6:D6" si="0">SUM(C4:C5)</f>
        <v>24621.9</v>
      </c>
      <c r="D6" s="83">
        <f t="shared" si="0"/>
        <v>22820.400000000001</v>
      </c>
      <c r="E6" s="83">
        <f>SUM(E4:E5)</f>
        <v>21025.200000000001</v>
      </c>
      <c r="F6" s="82">
        <f t="shared" ref="F6:J6" si="1">SUM(F4:F5)</f>
        <v>20959.9925</v>
      </c>
      <c r="G6" s="82">
        <f t="shared" si="1"/>
        <v>21945.248825000002</v>
      </c>
      <c r="H6" s="82">
        <f t="shared" si="1"/>
        <v>22914.883000875001</v>
      </c>
      <c r="I6" s="82">
        <f t="shared" si="1"/>
        <v>24167.930153482499</v>
      </c>
      <c r="J6" s="82">
        <f t="shared" si="1"/>
        <v>25730.293508589864</v>
      </c>
    </row>
    <row r="7" spans="2:10" ht="11.25" customHeight="1" x14ac:dyDescent="0.2">
      <c r="B7" s="2" t="s">
        <v>65</v>
      </c>
      <c r="C7" s="43"/>
      <c r="D7" s="43"/>
      <c r="E7" s="43"/>
      <c r="F7" s="40">
        <f>Drivers!F21</f>
        <v>7964.7971500000003</v>
      </c>
      <c r="G7" s="40">
        <f>Drivers!G21</f>
        <v>8229.4683093750009</v>
      </c>
      <c r="H7" s="40">
        <f>Drivers!H21</f>
        <v>8478.5067103237507</v>
      </c>
      <c r="I7" s="40">
        <f>Drivers!I21</f>
        <v>8821.2945060211114</v>
      </c>
      <c r="J7" s="40">
        <f>Drivers!J21</f>
        <v>9262.9056630923515</v>
      </c>
    </row>
    <row r="8" spans="2:10" x14ac:dyDescent="0.2">
      <c r="B8" s="35" t="s">
        <v>66</v>
      </c>
      <c r="C8" s="72">
        <v>4896.8999999999996</v>
      </c>
      <c r="D8" s="72">
        <v>4033.5</v>
      </c>
      <c r="E8" s="72">
        <v>3153.8</v>
      </c>
      <c r="F8" s="48"/>
      <c r="G8" s="48"/>
      <c r="H8" s="48"/>
      <c r="I8" s="48"/>
      <c r="J8" s="48"/>
    </row>
    <row r="9" spans="2:10" x14ac:dyDescent="0.2">
      <c r="B9" s="35" t="s">
        <v>67</v>
      </c>
      <c r="C9" s="72">
        <v>4134.2</v>
      </c>
      <c r="D9" s="72">
        <v>3528.5</v>
      </c>
      <c r="E9" s="72">
        <v>2937.9</v>
      </c>
      <c r="F9" s="48"/>
      <c r="G9" s="48"/>
      <c r="H9" s="48"/>
      <c r="I9" s="48"/>
      <c r="J9" s="48"/>
    </row>
    <row r="10" spans="2:10" x14ac:dyDescent="0.2">
      <c r="B10" s="35" t="s">
        <v>68</v>
      </c>
      <c r="C10" s="72">
        <v>3667.7</v>
      </c>
      <c r="D10" s="72">
        <v>2847.6</v>
      </c>
      <c r="E10" s="72">
        <v>2174.1999999999998</v>
      </c>
      <c r="F10" s="48"/>
      <c r="G10" s="48"/>
      <c r="H10" s="48"/>
      <c r="I10" s="48"/>
      <c r="J10" s="48"/>
    </row>
    <row r="11" spans="2:10" x14ac:dyDescent="0.2">
      <c r="B11" s="2" t="s">
        <v>69</v>
      </c>
      <c r="C11" s="72">
        <v>1718.4</v>
      </c>
      <c r="D11" s="72">
        <v>1790</v>
      </c>
      <c r="E11" s="72">
        <v>1973.3</v>
      </c>
      <c r="F11" s="40">
        <f>Drivers!F33</f>
        <v>2305.5991749999998</v>
      </c>
      <c r="G11" s="40">
        <f>Drivers!G33</f>
        <v>2523.7036148750003</v>
      </c>
      <c r="H11" s="40">
        <f>Drivers!H33</f>
        <v>2749.7859601050004</v>
      </c>
      <c r="I11" s="40">
        <f>Drivers!I33</f>
        <v>3020.9912691853124</v>
      </c>
      <c r="J11" s="40">
        <f>Drivers!J33</f>
        <v>3344.9381561166824</v>
      </c>
    </row>
    <row r="12" spans="2:10" x14ac:dyDescent="0.2">
      <c r="B12" s="2" t="s">
        <v>70</v>
      </c>
      <c r="C12" s="72">
        <v>2384.5</v>
      </c>
      <c r="D12" s="72">
        <v>2231.3000000000002</v>
      </c>
      <c r="E12" s="72">
        <v>2200.1999999999998</v>
      </c>
      <c r="F12" s="40">
        <f>Drivers!F39</f>
        <v>2095.9992500000003</v>
      </c>
      <c r="G12" s="40">
        <f>Drivers!G39</f>
        <v>2304.2511266250003</v>
      </c>
      <c r="H12" s="40">
        <f>Drivers!H39</f>
        <v>2520.6371300962505</v>
      </c>
      <c r="I12" s="40">
        <f>Drivers!I39</f>
        <v>2779.311967650488</v>
      </c>
      <c r="J12" s="40">
        <f>Drivers!J39</f>
        <v>3087.6352210307841</v>
      </c>
    </row>
    <row r="13" spans="2:10" x14ac:dyDescent="0.2">
      <c r="B13" s="2" t="s">
        <v>71</v>
      </c>
      <c r="C13" s="72">
        <v>75.7</v>
      </c>
      <c r="D13" s="72">
        <v>-1163.2</v>
      </c>
      <c r="E13" s="72">
        <v>-236.8</v>
      </c>
      <c r="F13" s="40">
        <f>Drivers!F45</f>
        <v>-209.59992500000001</v>
      </c>
      <c r="G13" s="40">
        <f>Drivers!G45</f>
        <v>-219.45248825000002</v>
      </c>
      <c r="H13" s="40">
        <f>Drivers!H45</f>
        <v>-229.14883000875002</v>
      </c>
      <c r="I13" s="40">
        <f>Drivers!I45</f>
        <v>-241.67930153482499</v>
      </c>
      <c r="J13" s="40">
        <f>Drivers!J45</f>
        <v>-257.30293508589864</v>
      </c>
    </row>
    <row r="14" spans="2:10" x14ac:dyDescent="0.2">
      <c r="B14" s="46" t="s">
        <v>105</v>
      </c>
      <c r="C14" s="71">
        <f t="shared" ref="C14:D14" si="2">SUM(C8:C13)</f>
        <v>16877.399999999998</v>
      </c>
      <c r="D14" s="71">
        <f t="shared" si="2"/>
        <v>13267.7</v>
      </c>
      <c r="E14" s="71">
        <f>SUM(E8:E13)</f>
        <v>12202.600000000002</v>
      </c>
      <c r="F14" s="70">
        <f>SUM(F7:F13)</f>
        <v>12156.79565</v>
      </c>
      <c r="G14" s="70">
        <f t="shared" ref="G14:J14" si="3">SUM(G7:G13)</f>
        <v>12837.970562625</v>
      </c>
      <c r="H14" s="70">
        <f t="shared" si="3"/>
        <v>13519.780970516253</v>
      </c>
      <c r="I14" s="70">
        <f t="shared" si="3"/>
        <v>14379.918441322086</v>
      </c>
      <c r="J14" s="70">
        <f t="shared" si="3"/>
        <v>15438.17610515392</v>
      </c>
    </row>
    <row r="15" spans="2:10" x14ac:dyDescent="0.2">
      <c r="B15" s="14" t="s">
        <v>11</v>
      </c>
      <c r="C15" s="71">
        <f t="shared" ref="C15:D15" si="4">C6-C14</f>
        <v>7744.5000000000036</v>
      </c>
      <c r="D15" s="71">
        <f t="shared" si="4"/>
        <v>9552.7000000000007</v>
      </c>
      <c r="E15" s="71">
        <f>E6-E14</f>
        <v>8822.5999999999985</v>
      </c>
      <c r="F15" s="70">
        <f t="shared" ref="F15:J15" si="5">F6-F14</f>
        <v>8803.1968500000003</v>
      </c>
      <c r="G15" s="70">
        <f t="shared" si="5"/>
        <v>9107.2782623750027</v>
      </c>
      <c r="H15" s="70">
        <f t="shared" si="5"/>
        <v>9395.1020303587484</v>
      </c>
      <c r="I15" s="70">
        <f t="shared" si="5"/>
        <v>9788.0117121604126</v>
      </c>
      <c r="J15" s="70">
        <f t="shared" si="5"/>
        <v>10292.117403435945</v>
      </c>
    </row>
    <row r="16" spans="2:10" ht="12.75" customHeight="1" x14ac:dyDescent="0.2">
      <c r="B16" s="47" t="s">
        <v>72</v>
      </c>
      <c r="C16" s="72">
        <v>884.8</v>
      </c>
      <c r="D16" s="72">
        <v>921.3</v>
      </c>
      <c r="E16" s="72">
        <v>981.2</v>
      </c>
      <c r="F16" s="40">
        <f>Drivers!F51</f>
        <v>981.2</v>
      </c>
      <c r="G16" s="40">
        <f>Drivers!G51</f>
        <v>981.2</v>
      </c>
      <c r="H16" s="40">
        <f>Drivers!H51</f>
        <v>981.2</v>
      </c>
      <c r="I16" s="40">
        <f>Drivers!I51</f>
        <v>981.2</v>
      </c>
      <c r="J16" s="40">
        <f>Drivers!J51</f>
        <v>981.2</v>
      </c>
    </row>
    <row r="17" spans="2:11" x14ac:dyDescent="0.2">
      <c r="B17" s="2" t="s">
        <v>73</v>
      </c>
      <c r="C17" s="72">
        <v>-6.3</v>
      </c>
      <c r="D17" s="72">
        <v>57.9</v>
      </c>
      <c r="E17" s="72">
        <v>25.3</v>
      </c>
      <c r="F17" s="40">
        <f>$E$17</f>
        <v>25.3</v>
      </c>
      <c r="G17" s="40">
        <f t="shared" ref="G17:J17" si="6">$E$17</f>
        <v>25.3</v>
      </c>
      <c r="H17" s="40">
        <f t="shared" si="6"/>
        <v>25.3</v>
      </c>
      <c r="I17" s="40">
        <f t="shared" si="6"/>
        <v>25.3</v>
      </c>
      <c r="J17" s="40">
        <f t="shared" si="6"/>
        <v>25.3</v>
      </c>
    </row>
    <row r="18" spans="2:11" ht="12.75" customHeight="1" x14ac:dyDescent="0.2">
      <c r="B18" s="9" t="s">
        <v>13</v>
      </c>
      <c r="C18" s="71">
        <f t="shared" ref="C18:D18" si="7">C15-C16-C17</f>
        <v>6866.0000000000036</v>
      </c>
      <c r="D18" s="71">
        <f t="shared" si="7"/>
        <v>8573.5000000000018</v>
      </c>
      <c r="E18" s="71">
        <f>E15-E16-E17</f>
        <v>7816.0999999999985</v>
      </c>
      <c r="F18" s="70">
        <f t="shared" ref="F18:J18" si="8">F15-F16-F17</f>
        <v>7796.6968500000003</v>
      </c>
      <c r="G18" s="70">
        <f t="shared" si="8"/>
        <v>8100.7782623750027</v>
      </c>
      <c r="H18" s="70">
        <f t="shared" si="8"/>
        <v>8388.6020303587484</v>
      </c>
      <c r="I18" s="70">
        <f t="shared" si="8"/>
        <v>8781.5117121604126</v>
      </c>
      <c r="J18" s="70">
        <f t="shared" si="8"/>
        <v>9285.6174034359447</v>
      </c>
    </row>
    <row r="19" spans="2:11" x14ac:dyDescent="0.2">
      <c r="B19" s="3" t="s">
        <v>74</v>
      </c>
      <c r="C19" s="72">
        <v>2179.5</v>
      </c>
      <c r="D19" s="72">
        <v>3381.2</v>
      </c>
      <c r="E19" s="72">
        <v>1891.8</v>
      </c>
      <c r="F19" s="40">
        <f>Drivers!F57</f>
        <v>1647.8400000000008</v>
      </c>
      <c r="G19" s="40">
        <f>Drivers!G57</f>
        <v>2057.6400000000003</v>
      </c>
      <c r="H19" s="40">
        <f>Drivers!H57</f>
        <v>1875.8639999999996</v>
      </c>
      <c r="I19" s="40">
        <f>Drivers!I57</f>
        <v>1871.2072439999999</v>
      </c>
      <c r="J19" s="40">
        <f>Drivers!J57</f>
        <v>1944.1867829700006</v>
      </c>
    </row>
    <row r="20" spans="2:11" x14ac:dyDescent="0.2">
      <c r="B20" s="4" t="s">
        <v>14</v>
      </c>
      <c r="C20" s="45">
        <f t="shared" ref="C20:D20" si="9">C18-C19</f>
        <v>4686.5000000000036</v>
      </c>
      <c r="D20" s="45">
        <f t="shared" si="9"/>
        <v>5192.300000000002</v>
      </c>
      <c r="E20" s="45">
        <f>E18-E19</f>
        <v>5924.2999999999984</v>
      </c>
      <c r="F20" s="45">
        <f t="shared" ref="F20:J20" si="10">F18-F19</f>
        <v>6148.8568499999992</v>
      </c>
      <c r="G20" s="45">
        <f t="shared" si="10"/>
        <v>6043.1382623750023</v>
      </c>
      <c r="H20" s="45">
        <f t="shared" si="10"/>
        <v>6512.7380303587488</v>
      </c>
      <c r="I20" s="45">
        <f t="shared" si="10"/>
        <v>6910.3044681604124</v>
      </c>
      <c r="J20" s="45">
        <f t="shared" si="10"/>
        <v>7341.4306204659442</v>
      </c>
      <c r="K20" s="3"/>
    </row>
    <row r="21" spans="2:11" ht="21" customHeight="1" x14ac:dyDescent="0.2"/>
    <row r="22" spans="2:11" x14ac:dyDescent="0.2">
      <c r="B22" s="37" t="s">
        <v>75</v>
      </c>
      <c r="C22" s="80">
        <v>5.49</v>
      </c>
      <c r="D22" s="80">
        <v>6.43</v>
      </c>
      <c r="E22" s="80">
        <v>7.61</v>
      </c>
      <c r="F22" s="37"/>
      <c r="G22" s="37"/>
      <c r="H22" s="37"/>
      <c r="I22" s="37"/>
      <c r="J22" s="37"/>
      <c r="K22" s="3"/>
    </row>
    <row r="23" spans="2:11" x14ac:dyDescent="0.2">
      <c r="B23" s="37" t="s">
        <v>76</v>
      </c>
      <c r="C23" s="80">
        <v>5.44</v>
      </c>
      <c r="D23" s="80">
        <v>6.37</v>
      </c>
      <c r="E23" s="80">
        <v>7.54</v>
      </c>
      <c r="F23" s="37"/>
      <c r="G23" s="37"/>
      <c r="H23" s="37"/>
      <c r="I23" s="37"/>
      <c r="J23" s="37"/>
      <c r="K23" s="3"/>
    </row>
    <row r="24" spans="2:11" x14ac:dyDescent="0.2">
      <c r="B24" s="37" t="s">
        <v>77</v>
      </c>
      <c r="C24" s="80">
        <v>3.61</v>
      </c>
      <c r="D24" s="80">
        <v>3.83</v>
      </c>
      <c r="E24" s="80">
        <v>4.1900000000000004</v>
      </c>
      <c r="F24" s="37"/>
      <c r="G24" s="37"/>
      <c r="H24" s="37"/>
      <c r="I24" s="37"/>
      <c r="J24" s="37"/>
      <c r="K24" s="3"/>
    </row>
    <row r="25" spans="2:11" x14ac:dyDescent="0.2">
      <c r="B25" s="36" t="s">
        <v>78</v>
      </c>
      <c r="C25" s="81">
        <v>854.4</v>
      </c>
      <c r="D25" s="81">
        <v>807.4</v>
      </c>
      <c r="E25" s="81">
        <v>778.2</v>
      </c>
      <c r="F25" s="36"/>
      <c r="G25" s="36"/>
      <c r="H25" s="36"/>
      <c r="I25" s="36"/>
      <c r="J25" s="36"/>
      <c r="K25" s="3"/>
    </row>
    <row r="26" spans="2:11" x14ac:dyDescent="0.2">
      <c r="B26" s="37" t="s">
        <v>79</v>
      </c>
      <c r="C26" s="80">
        <v>861.2</v>
      </c>
      <c r="D26" s="80">
        <v>815.5</v>
      </c>
      <c r="E26" s="80">
        <v>785.6</v>
      </c>
      <c r="F26" s="37"/>
      <c r="G26" s="37"/>
      <c r="H26" s="37"/>
      <c r="I26" s="37"/>
      <c r="J26" s="37"/>
      <c r="K26" s="3"/>
    </row>
    <row r="27" spans="2:11" x14ac:dyDescent="0.2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2:11" x14ac:dyDescent="0.2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x14ac:dyDescent="0.2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x14ac:dyDescent="0.2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x14ac:dyDescent="0.2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x14ac:dyDescent="0.2">
      <c r="B32" s="3"/>
      <c r="C32" s="3"/>
      <c r="D32" s="3"/>
      <c r="E32" s="3"/>
      <c r="F32" s="3"/>
      <c r="G32" s="3"/>
      <c r="H32" s="3"/>
      <c r="I32" s="3"/>
      <c r="J32" s="3"/>
      <c r="K32" s="3"/>
    </row>
    <row r="34" spans="6:6" x14ac:dyDescent="0.2">
      <c r="F34" s="4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38"/>
  <sheetViews>
    <sheetView topLeftCell="A6" workbookViewId="0">
      <selection activeCell="D25" sqref="D25:J25"/>
    </sheetView>
  </sheetViews>
  <sheetFormatPr defaultRowHeight="12.75" x14ac:dyDescent="0.2"/>
  <cols>
    <col min="1" max="1" width="2.7109375" style="1" customWidth="1"/>
    <col min="2" max="2" width="30.7109375" style="1" customWidth="1"/>
    <col min="3" max="3" width="9.140625" style="1"/>
    <col min="4" max="4" width="9.140625" style="1" customWidth="1"/>
    <col min="5" max="16384" width="9.140625" style="1"/>
  </cols>
  <sheetData>
    <row r="1" spans="2:13" ht="15.75" x14ac:dyDescent="0.25">
      <c r="B1" s="5" t="s">
        <v>45</v>
      </c>
    </row>
    <row r="3" spans="2:13" x14ac:dyDescent="0.2">
      <c r="B3" s="6" t="s">
        <v>108</v>
      </c>
      <c r="C3" s="7"/>
      <c r="D3" s="8" t="s">
        <v>2</v>
      </c>
      <c r="E3" s="8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</row>
    <row r="4" spans="2:13" x14ac:dyDescent="0.2">
      <c r="B4" s="3" t="s">
        <v>11</v>
      </c>
      <c r="C4" s="42"/>
      <c r="D4" s="42">
        <f>'P&amp;L'!D15</f>
        <v>9552.7000000000007</v>
      </c>
      <c r="E4" s="42">
        <f>'P&amp;L'!E15</f>
        <v>8822.5999999999985</v>
      </c>
      <c r="F4" s="40">
        <f>'P&amp;L'!F15</f>
        <v>8803.1968500000003</v>
      </c>
      <c r="G4" s="40">
        <f>'P&amp;L'!G15</f>
        <v>9107.2782623750027</v>
      </c>
      <c r="H4" s="40">
        <f>'P&amp;L'!H15</f>
        <v>9395.1020303587484</v>
      </c>
      <c r="I4" s="40">
        <f>'P&amp;L'!I15</f>
        <v>9788.0117121604126</v>
      </c>
      <c r="J4" s="40">
        <f>'P&amp;L'!J15</f>
        <v>10292.117403435945</v>
      </c>
    </row>
    <row r="5" spans="2:13" x14ac:dyDescent="0.2">
      <c r="B5" s="3" t="s">
        <v>46</v>
      </c>
      <c r="C5" s="42"/>
      <c r="D5" s="42">
        <f>D4*D6</f>
        <v>3767.3749623840895</v>
      </c>
      <c r="E5" s="42">
        <f t="shared" ref="E5:J5" si="0">E4*E6</f>
        <v>2135.412121134581</v>
      </c>
      <c r="F5" s="40">
        <f t="shared" si="0"/>
        <v>2112.7672440000001</v>
      </c>
      <c r="G5" s="40">
        <f t="shared" si="0"/>
        <v>2185.7467829700004</v>
      </c>
      <c r="H5" s="40">
        <f t="shared" si="0"/>
        <v>2254.8244872860996</v>
      </c>
      <c r="I5" s="40">
        <f t="shared" si="0"/>
        <v>2349.122810918499</v>
      </c>
      <c r="J5" s="40">
        <f t="shared" si="0"/>
        <v>2470.1081768246268</v>
      </c>
    </row>
    <row r="6" spans="2:13" x14ac:dyDescent="0.2">
      <c r="B6" s="3" t="s">
        <v>47</v>
      </c>
      <c r="C6" s="3"/>
      <c r="D6" s="75">
        <f>Drivers!D58</f>
        <v>0.39437802531054983</v>
      </c>
      <c r="E6" s="75">
        <f>Drivers!E58</f>
        <v>0.24203886848940012</v>
      </c>
      <c r="F6" s="31">
        <f>Drivers!F58</f>
        <v>0.24</v>
      </c>
      <c r="G6" s="31">
        <f>Drivers!G58</f>
        <v>0.24</v>
      </c>
      <c r="H6" s="31">
        <f>Drivers!H58</f>
        <v>0.24</v>
      </c>
      <c r="I6" s="31">
        <f>Drivers!I58</f>
        <v>0.24</v>
      </c>
      <c r="J6" s="31">
        <f>Drivers!J58</f>
        <v>0.24</v>
      </c>
    </row>
    <row r="7" spans="2:13" x14ac:dyDescent="0.2">
      <c r="B7" s="9" t="s">
        <v>48</v>
      </c>
      <c r="C7" s="14"/>
      <c r="D7" s="76">
        <f>D4-D5</f>
        <v>5785.3250376159112</v>
      </c>
      <c r="E7" s="76">
        <f t="shared" ref="E7:J7" si="1">E4-E5</f>
        <v>6687.1878788654176</v>
      </c>
      <c r="F7" s="77">
        <f t="shared" si="1"/>
        <v>6690.4296059999997</v>
      </c>
      <c r="G7" s="77">
        <f t="shared" si="1"/>
        <v>6921.5314794050028</v>
      </c>
      <c r="H7" s="77">
        <f t="shared" si="1"/>
        <v>7140.2775430726488</v>
      </c>
      <c r="I7" s="77">
        <f t="shared" si="1"/>
        <v>7438.8889012419131</v>
      </c>
      <c r="J7" s="77">
        <f t="shared" si="1"/>
        <v>7822.0092266113179</v>
      </c>
    </row>
    <row r="8" spans="2:13" x14ac:dyDescent="0.2">
      <c r="B8" s="3" t="s">
        <v>10</v>
      </c>
      <c r="C8" s="42"/>
      <c r="D8" s="42">
        <f>'PP&amp;E'!D9</f>
        <v>1363.4</v>
      </c>
      <c r="E8" s="42">
        <f>'PP&amp;E'!E9</f>
        <v>1482</v>
      </c>
      <c r="F8" s="40">
        <f>'PP&amp;E'!F9</f>
        <v>1385.7904666666666</v>
      </c>
      <c r="G8" s="40">
        <f>'PP&amp;E'!G9</f>
        <v>1534.7045660444444</v>
      </c>
      <c r="H8" s="40">
        <f>'PP&amp;E'!H9</f>
        <v>1704.1868822501333</v>
      </c>
      <c r="I8" s="40">
        <f>'PP&amp;E'!I9</f>
        <v>1896.2354050275289</v>
      </c>
      <c r="J8" s="40">
        <f>'PP&amp;E'!J9</f>
        <v>2113.1879029893971</v>
      </c>
      <c r="L8" s="50"/>
    </row>
    <row r="9" spans="2:13" x14ac:dyDescent="0.2">
      <c r="B9" s="9" t="s">
        <v>49</v>
      </c>
      <c r="C9" s="44"/>
      <c r="D9" s="71">
        <f>D8+D7</f>
        <v>7148.7250376159118</v>
      </c>
      <c r="E9" s="71">
        <f t="shared" ref="E9:J9" si="2">E8+E7</f>
        <v>8169.1878788654176</v>
      </c>
      <c r="F9" s="70">
        <f t="shared" si="2"/>
        <v>8076.2200726666661</v>
      </c>
      <c r="G9" s="70">
        <f t="shared" si="2"/>
        <v>8456.2360454494465</v>
      </c>
      <c r="H9" s="70">
        <f t="shared" si="2"/>
        <v>8844.4644253227816</v>
      </c>
      <c r="I9" s="70">
        <f t="shared" si="2"/>
        <v>9335.1243062694411</v>
      </c>
      <c r="J9" s="70">
        <f t="shared" si="2"/>
        <v>9935.1971296007141</v>
      </c>
    </row>
    <row r="10" spans="2:13" ht="5.0999999999999996" customHeight="1" x14ac:dyDescent="0.2">
      <c r="B10" s="11"/>
      <c r="C10" s="16"/>
      <c r="D10" s="16"/>
      <c r="E10" s="16"/>
      <c r="F10" s="17"/>
      <c r="G10" s="17"/>
      <c r="H10" s="17"/>
      <c r="I10" s="17"/>
      <c r="J10" s="17"/>
    </row>
    <row r="11" spans="2:13" x14ac:dyDescent="0.2">
      <c r="B11" s="3" t="s">
        <v>19</v>
      </c>
      <c r="C11" s="42"/>
      <c r="D11" s="42">
        <f>-(BS!D6-BS!C6)</f>
        <v>-502.10000000000014</v>
      </c>
      <c r="E11" s="42">
        <f>-(BS!E6-BS!D6)</f>
        <v>-465.29999999999995</v>
      </c>
      <c r="F11" s="40">
        <f>-(BS!F6-BS!E6)</f>
        <v>244.15000000000055</v>
      </c>
      <c r="G11" s="40">
        <f>-(BS!G6-BS!F6)</f>
        <v>21.973499999999149</v>
      </c>
      <c r="H11" s="40">
        <f>-(BS!H6-BS!G6)</f>
        <v>65.2612950000007</v>
      </c>
      <c r="I11" s="40">
        <f>-(BS!I6-BS!H6)</f>
        <v>42.202304099999765</v>
      </c>
      <c r="J11" s="40">
        <f>-(BS!J6-BS!I6)</f>
        <v>20.679129009000007</v>
      </c>
    </row>
    <row r="12" spans="2:13" x14ac:dyDescent="0.2">
      <c r="B12" s="3" t="s">
        <v>20</v>
      </c>
      <c r="C12" s="42"/>
      <c r="D12" s="42">
        <f>-(BS!D7-BS!C7)</f>
        <v>0.10000000000000142</v>
      </c>
      <c r="E12" s="42">
        <f>-(BS!E7-BS!D7)</f>
        <v>7.6999999999999957</v>
      </c>
      <c r="F12" s="40">
        <f>-(BS!F7-BS!E7)</f>
        <v>1.8614253299701318</v>
      </c>
      <c r="G12" s="40">
        <f>-(BS!G7-BS!F7)</f>
        <v>-1.6362037097064501</v>
      </c>
      <c r="H12" s="40">
        <f>-(BS!H7-BS!G7)</f>
        <v>-1.5395616071427298</v>
      </c>
      <c r="I12" s="40">
        <f>-(BS!I7-BS!H7)</f>
        <v>-2.1191227041380998</v>
      </c>
      <c r="J12" s="40">
        <f>-(BS!J7-BS!I7)</f>
        <v>-2.7300511893853496</v>
      </c>
    </row>
    <row r="13" spans="2:13" x14ac:dyDescent="0.2">
      <c r="B13" s="3" t="s">
        <v>50</v>
      </c>
      <c r="C13" s="42"/>
      <c r="D13" s="42">
        <f>BS!D21-BS!C21</f>
        <v>168.79999999999995</v>
      </c>
      <c r="E13" s="42">
        <f>BS!E21-BS!D21</f>
        <v>283.10000000000014</v>
      </c>
      <c r="F13" s="40">
        <f>BS!F21-BS!E21</f>
        <v>-44.000306381035443</v>
      </c>
      <c r="G13" s="40">
        <f>BS!G21-BS!F21</f>
        <v>38.676525654685065</v>
      </c>
      <c r="H13" s="40">
        <f>BS!H21-BS!G21</f>
        <v>36.39210303850723</v>
      </c>
      <c r="I13" s="40">
        <f>BS!I21-BS!H21</f>
        <v>50.091747834215539</v>
      </c>
      <c r="J13" s="40">
        <f>BS!J21-BS!I21</f>
        <v>64.532853848504146</v>
      </c>
    </row>
    <row r="14" spans="2:13" x14ac:dyDescent="0.2">
      <c r="B14" s="9" t="s">
        <v>51</v>
      </c>
      <c r="C14" s="44"/>
      <c r="D14" s="71">
        <f>SUM(D11:D13)</f>
        <v>-333.20000000000016</v>
      </c>
      <c r="E14" s="71">
        <f t="shared" ref="E14:J14" si="3">SUM(E11:E13)</f>
        <v>-174.49999999999983</v>
      </c>
      <c r="F14" s="70">
        <f t="shared" si="3"/>
        <v>202.01111894893523</v>
      </c>
      <c r="G14" s="70">
        <f t="shared" si="3"/>
        <v>59.013821944977764</v>
      </c>
      <c r="H14" s="70">
        <f t="shared" si="3"/>
        <v>100.1138364313652</v>
      </c>
      <c r="I14" s="70">
        <f t="shared" si="3"/>
        <v>90.174929230077197</v>
      </c>
      <c r="J14" s="70">
        <f t="shared" si="3"/>
        <v>82.481931668118804</v>
      </c>
    </row>
    <row r="15" spans="2:13" x14ac:dyDescent="0.2">
      <c r="B15" s="11" t="s">
        <v>61</v>
      </c>
      <c r="C15" s="42"/>
      <c r="D15" s="42">
        <f>-(BS!D8-BS!C8)-(BS!D9-BS!C9)-(BS!D14-BS!C14)</f>
        <v>153.30000000000018</v>
      </c>
      <c r="E15" s="42">
        <f>-(BS!E8-BS!D8)-(BS!E9-BS!D9)-(BS!E14-BS!D14)</f>
        <v>246.69999999999959</v>
      </c>
      <c r="F15" s="40">
        <f>-(BS!F8-BS!E8)-(BS!F9-BS!E9)-(BS!F14-BS!E14)</f>
        <v>-118.82254722903951</v>
      </c>
      <c r="G15" s="40">
        <f>-(BS!G8-BS!F8)-(BS!G9-BS!F9)-(BS!G14-BS!F14)</f>
        <v>59.515338736373565</v>
      </c>
      <c r="H15" s="40">
        <f>-(BS!H8-BS!G8)-(BS!H9-BS!G9)-(BS!H14-BS!G14)</f>
        <v>59.30720849266595</v>
      </c>
      <c r="I15" s="40">
        <f>-(BS!I8-BS!H8)-(BS!I9-BS!H9)-(BS!I14-BS!H14)</f>
        <v>2.1542306137397418</v>
      </c>
      <c r="J15" s="40">
        <f>-(BS!J8-BS!I8)-(BS!J9-BS!I9)-(BS!J14-BS!I14)</f>
        <v>-32.549466513754965</v>
      </c>
    </row>
    <row r="16" spans="2:13" x14ac:dyDescent="0.2">
      <c r="B16" s="11" t="s">
        <v>60</v>
      </c>
      <c r="C16" s="42"/>
      <c r="D16" s="42">
        <f>BS!D22-BS!C22+BS!D23-BS!C23+BS!D24-BS!C24+BS!D25-BS!C25+BS!D27-BS!C27+BS!D30-BS!C30+BS!D31-BS!C31+BS!D32-BS!C32+BS!D33-BS!C33</f>
        <v>-916.59999999999991</v>
      </c>
      <c r="E16" s="42">
        <f>BS!E22-BS!D22+BS!E23-BS!D23+BS!E24-BS!D24+BS!E25-BS!D25+BS!E27-BS!D27+BS!E30-BS!D30+BS!E31-BS!D31+BS!E32-BS!D32+BS!E33-BS!D33</f>
        <v>175.89999999999941</v>
      </c>
      <c r="F16" s="40">
        <f>BS!F22-BS!E22+BS!F23-BS!E23+BS!F24-BS!E24+BS!F25-BS!E25+BS!F27-BS!E27+BS!F30-BS!E30+BS!F31-BS!E31+BS!F32-BS!E32+BS!F33-BS!E33</f>
        <v>671.63991495919163</v>
      </c>
      <c r="G16" s="40">
        <f>BS!G22-BS!F22+BS!G23-BS!F23+BS!G24-BS!F24+BS!G25-BS!F25+BS!G27-BS!F27+BS!G30-BS!F30+BS!G31-BS!F31+BS!G32-BS!F32+BS!G33-BS!F33</f>
        <v>-336.40818161063839</v>
      </c>
      <c r="H16" s="40">
        <f>BS!H22-BS!G22+BS!H23-BS!G23+BS!H24-BS!G24+BS!H25-BS!G25+BS!H27-BS!G27+BS!H30-BS!G30+BS!H31-BS!G31+BS!H32-BS!G32+BS!H33-BS!G33</f>
        <v>-335.23173334855358</v>
      </c>
      <c r="I16" s="40">
        <f>BS!I22-BS!H22+BS!I23-BS!H23+BS!I24-BS!H24+BS!I25-BS!H25+BS!I27-BS!H27+BS!I30-BS!H30+BS!I31-BS!H31+BS!I32-BS!H32+BS!I33-BS!H33</f>
        <v>-12.176706357133526</v>
      </c>
      <c r="J16" s="40">
        <f>BS!J22-BS!I22+BS!J23-BS!I23+BS!J24-BS!I24+BS!J25-BS!I25+BS!J27-BS!I27+BS!J30-BS!I30+BS!J31-BS!I31+BS!J32-BS!I32+BS!J33-BS!I33</f>
        <v>183.98461765952311</v>
      </c>
      <c r="M16" s="41"/>
    </row>
    <row r="17" spans="2:13" x14ac:dyDescent="0.2">
      <c r="B17" s="11" t="s">
        <v>52</v>
      </c>
      <c r="C17" s="42"/>
      <c r="D17" s="42">
        <f>-'PP&amp;E'!D8</f>
        <v>-2554.1000000000008</v>
      </c>
      <c r="E17" s="42">
        <f>-'PP&amp;E'!E8</f>
        <v>-1876.3999999999942</v>
      </c>
      <c r="F17" s="40">
        <f>-'PP&amp;E'!F8</f>
        <v>-2055.8429999999998</v>
      </c>
      <c r="G17" s="40">
        <f>-'PP&amp;E'!G8</f>
        <v>-2233.7114906666666</v>
      </c>
      <c r="H17" s="40">
        <f>-'PP&amp;E'!H8</f>
        <v>-2542.2347430853333</v>
      </c>
      <c r="I17" s="40">
        <f>-'PP&amp;E'!I8</f>
        <v>-2880.7278416609365</v>
      </c>
      <c r="J17" s="40">
        <f>-'PP&amp;E'!J8</f>
        <v>-3254.2874694280199</v>
      </c>
    </row>
    <row r="18" spans="2:13" x14ac:dyDescent="0.2">
      <c r="B18" s="4" t="s">
        <v>53</v>
      </c>
      <c r="C18" s="45"/>
      <c r="D18" s="45">
        <f>SUM(D14:D17,D9)</f>
        <v>3498.125037615911</v>
      </c>
      <c r="E18" s="45">
        <f t="shared" ref="E18:J18" si="4">SUM(E14:E17,E9)</f>
        <v>6540.8878788654229</v>
      </c>
      <c r="F18" s="45">
        <f t="shared" si="4"/>
        <v>6775.2055593457535</v>
      </c>
      <c r="G18" s="45">
        <f t="shared" si="4"/>
        <v>6004.6455338534925</v>
      </c>
      <c r="H18" s="45">
        <f t="shared" si="4"/>
        <v>6126.4189938129257</v>
      </c>
      <c r="I18" s="45">
        <f t="shared" si="4"/>
        <v>6534.5489180951881</v>
      </c>
      <c r="J18" s="45">
        <f t="shared" si="4"/>
        <v>6914.8267429865809</v>
      </c>
    </row>
    <row r="19" spans="2:13" ht="5.0999999999999996" customHeight="1" x14ac:dyDescent="0.2">
      <c r="B19" s="3"/>
      <c r="C19" s="42"/>
      <c r="D19" s="42"/>
      <c r="E19" s="42"/>
      <c r="F19" s="40"/>
      <c r="G19" s="40"/>
      <c r="H19" s="40"/>
      <c r="I19" s="40"/>
      <c r="J19" s="40"/>
    </row>
    <row r="20" spans="2:13" x14ac:dyDescent="0.2">
      <c r="B20" s="3" t="s">
        <v>12</v>
      </c>
      <c r="C20" s="42"/>
      <c r="D20" s="42">
        <f>-'P&amp;L'!D16</f>
        <v>-921.3</v>
      </c>
      <c r="E20" s="42">
        <f>-'P&amp;L'!E16</f>
        <v>-981.2</v>
      </c>
      <c r="F20" s="40">
        <f>-'P&amp;L'!F16</f>
        <v>-981.2</v>
      </c>
      <c r="G20" s="40">
        <f>-'P&amp;L'!G16</f>
        <v>-981.2</v>
      </c>
      <c r="H20" s="40">
        <f>-'P&amp;L'!H16</f>
        <v>-981.2</v>
      </c>
      <c r="I20" s="40">
        <f>-'P&amp;L'!I16</f>
        <v>-981.2</v>
      </c>
      <c r="J20" s="40">
        <f>-'P&amp;L'!J16</f>
        <v>-981.2</v>
      </c>
    </row>
    <row r="21" spans="2:13" x14ac:dyDescent="0.2">
      <c r="B21" s="2" t="s">
        <v>73</v>
      </c>
      <c r="C21" s="42"/>
      <c r="D21" s="42">
        <f>-'P&amp;L'!D17</f>
        <v>-57.9</v>
      </c>
      <c r="E21" s="42">
        <f>-'P&amp;L'!E17</f>
        <v>-25.3</v>
      </c>
      <c r="F21" s="40">
        <f>-'P&amp;L'!F17</f>
        <v>-25.3</v>
      </c>
      <c r="G21" s="40">
        <f>-'P&amp;L'!G17</f>
        <v>-25.3</v>
      </c>
      <c r="H21" s="40">
        <f>-'P&amp;L'!H17</f>
        <v>-25.3</v>
      </c>
      <c r="I21" s="40">
        <f>-'P&amp;L'!I17</f>
        <v>-25.3</v>
      </c>
      <c r="J21" s="40">
        <f>-'P&amp;L'!J17</f>
        <v>-25.3</v>
      </c>
    </row>
    <row r="22" spans="2:13" x14ac:dyDescent="0.2">
      <c r="B22" s="3" t="s">
        <v>54</v>
      </c>
      <c r="C22" s="42"/>
      <c r="D22" s="42">
        <f>D5-'P&amp;L'!D19</f>
        <v>386.17496238408967</v>
      </c>
      <c r="E22" s="42">
        <f>E5-'P&amp;L'!E19</f>
        <v>243.612121134581</v>
      </c>
      <c r="F22" s="40">
        <f>F5-'P&amp;L'!F19</f>
        <v>464.92724399999929</v>
      </c>
      <c r="G22" s="40">
        <f>G5-'P&amp;L'!G19</f>
        <v>128.10678297000004</v>
      </c>
      <c r="H22" s="40">
        <f>H5-'P&amp;L'!H19</f>
        <v>378.96048728610003</v>
      </c>
      <c r="I22" s="40">
        <f>I5-'P&amp;L'!I19</f>
        <v>477.91556691849905</v>
      </c>
      <c r="J22" s="40">
        <f>J5-'P&amp;L'!J19</f>
        <v>525.9213938546261</v>
      </c>
    </row>
    <row r="23" spans="2:13" x14ac:dyDescent="0.2">
      <c r="B23" s="3" t="s">
        <v>55</v>
      </c>
      <c r="C23" s="42"/>
      <c r="D23" s="42">
        <f>BS!D26-BS!C26+BS!D29-BS!C29</f>
        <v>3580.7000000000007</v>
      </c>
      <c r="E23" s="42">
        <f>BS!E26-BS!D26+BS!E29-BS!D29</f>
        <v>1538.8999999999978</v>
      </c>
      <c r="F23" s="40">
        <f>BS!F26-BS!E26+BS!F29-BS!E29</f>
        <v>0</v>
      </c>
      <c r="G23" s="40">
        <f>BS!G26-BS!F26+BS!G29-BS!F29</f>
        <v>0</v>
      </c>
      <c r="H23" s="40">
        <f>BS!H26-BS!G26+BS!H29-BS!G29</f>
        <v>0</v>
      </c>
      <c r="I23" s="40">
        <f>BS!I26-BS!H26+BS!I29-BS!H29</f>
        <v>0</v>
      </c>
      <c r="J23" s="40">
        <f>BS!J26-BS!I26+BS!J29-BS!I29</f>
        <v>0</v>
      </c>
    </row>
    <row r="24" spans="2:13" x14ac:dyDescent="0.2">
      <c r="B24" s="3" t="s">
        <v>56</v>
      </c>
      <c r="C24" s="42"/>
      <c r="D24" s="42">
        <f>BS!D34-BS!C34-'P&amp;L'!D20</f>
        <v>-6256.0000000000018</v>
      </c>
      <c r="E24" s="42">
        <f>BS!E34-BS!D34-'P&amp;L'!E20</f>
        <v>-8914.6999999999971</v>
      </c>
      <c r="F24" s="40">
        <f>BS!F34-BS!E34-'P&amp;L'!F20</f>
        <v>0</v>
      </c>
      <c r="G24" s="40">
        <f>BS!G34-BS!F34-'P&amp;L'!G20</f>
        <v>0</v>
      </c>
      <c r="H24" s="40">
        <f>BS!H34-BS!G34-'P&amp;L'!H20</f>
        <v>0</v>
      </c>
      <c r="I24" s="40">
        <f>BS!I34-BS!H34-'P&amp;L'!I20</f>
        <v>0</v>
      </c>
      <c r="J24" s="40">
        <f>BS!J34-BS!I34-'P&amp;L'!J20</f>
        <v>0</v>
      </c>
    </row>
    <row r="25" spans="2:13" x14ac:dyDescent="0.2">
      <c r="B25" s="4" t="s">
        <v>57</v>
      </c>
      <c r="C25" s="45"/>
      <c r="D25" s="45">
        <f>SUM(D18,D20:D24)</f>
        <v>229.79999999999927</v>
      </c>
      <c r="E25" s="45">
        <f t="shared" ref="E25:J25" si="5">SUM(E18,E20:E24)</f>
        <v>-1597.7999999999956</v>
      </c>
      <c r="F25" s="45">
        <f t="shared" si="5"/>
        <v>6233.632803345753</v>
      </c>
      <c r="G25" s="45">
        <f t="shared" si="5"/>
        <v>5126.2523168234929</v>
      </c>
      <c r="H25" s="45">
        <f t="shared" si="5"/>
        <v>5498.8794810990257</v>
      </c>
      <c r="I25" s="45">
        <f t="shared" si="5"/>
        <v>6005.9644850136874</v>
      </c>
      <c r="J25" s="45">
        <f t="shared" si="5"/>
        <v>6434.2481368412073</v>
      </c>
      <c r="M25" s="67">
        <v>1010.6000000000008</v>
      </c>
    </row>
    <row r="26" spans="2:13" x14ac:dyDescent="0.2">
      <c r="B26" s="3"/>
      <c r="C26" s="3"/>
      <c r="D26" s="3"/>
      <c r="E26" s="3"/>
      <c r="F26" s="30"/>
      <c r="G26" s="30"/>
      <c r="H26" s="30"/>
      <c r="I26" s="30"/>
      <c r="J26" s="30"/>
    </row>
    <row r="27" spans="2:13" x14ac:dyDescent="0.2">
      <c r="B27" s="60" t="s">
        <v>58</v>
      </c>
      <c r="C27" s="60"/>
      <c r="D27" s="78">
        <f>C29</f>
        <v>1223.4000000000001</v>
      </c>
      <c r="E27" s="78">
        <f t="shared" ref="E27:J27" si="6">D29</f>
        <v>1453.1999999999994</v>
      </c>
      <c r="F27" s="78">
        <f t="shared" si="6"/>
        <v>-144.59999999999627</v>
      </c>
      <c r="G27" s="78">
        <f t="shared" si="6"/>
        <v>6089.0328033457572</v>
      </c>
      <c r="H27" s="78">
        <f t="shared" si="6"/>
        <v>11215.28512016925</v>
      </c>
      <c r="I27" s="78">
        <f t="shared" si="6"/>
        <v>16714.164601268276</v>
      </c>
      <c r="J27" s="78">
        <f t="shared" si="6"/>
        <v>22720.129086281962</v>
      </c>
    </row>
    <row r="28" spans="2:13" x14ac:dyDescent="0.2">
      <c r="B28" s="60" t="s">
        <v>57</v>
      </c>
      <c r="C28" s="61"/>
      <c r="D28" s="78">
        <f>D25</f>
        <v>229.79999999999927</v>
      </c>
      <c r="E28" s="78">
        <f t="shared" ref="E28:J28" si="7">E25</f>
        <v>-1597.7999999999956</v>
      </c>
      <c r="F28" s="78">
        <f t="shared" si="7"/>
        <v>6233.632803345753</v>
      </c>
      <c r="G28" s="78">
        <f t="shared" si="7"/>
        <v>5126.2523168234929</v>
      </c>
      <c r="H28" s="78">
        <f t="shared" si="7"/>
        <v>5498.8794810990257</v>
      </c>
      <c r="I28" s="78">
        <f t="shared" si="7"/>
        <v>6005.9644850136874</v>
      </c>
      <c r="J28" s="78">
        <f t="shared" si="7"/>
        <v>6434.2481368412073</v>
      </c>
    </row>
    <row r="29" spans="2:13" x14ac:dyDescent="0.2">
      <c r="B29" s="60" t="s">
        <v>59</v>
      </c>
      <c r="C29" s="78">
        <f>BS!C5</f>
        <v>1223.4000000000001</v>
      </c>
      <c r="D29" s="78">
        <f>SUM(D27:D28)</f>
        <v>1453.1999999999994</v>
      </c>
      <c r="E29" s="78">
        <f t="shared" ref="E29:J29" si="8">SUM(E27:E28)</f>
        <v>-144.59999999999627</v>
      </c>
      <c r="F29" s="78">
        <f t="shared" si="8"/>
        <v>6089.0328033457572</v>
      </c>
      <c r="G29" s="78">
        <f t="shared" si="8"/>
        <v>11215.28512016925</v>
      </c>
      <c r="H29" s="78">
        <f t="shared" si="8"/>
        <v>16714.164601268276</v>
      </c>
      <c r="I29" s="78">
        <f t="shared" si="8"/>
        <v>22720.129086281962</v>
      </c>
      <c r="J29" s="78">
        <f t="shared" si="8"/>
        <v>29154.377223123171</v>
      </c>
    </row>
    <row r="30" spans="2:13" x14ac:dyDescent="0.2">
      <c r="C30" s="28"/>
      <c r="D30" s="28"/>
      <c r="E30" s="28"/>
      <c r="F30" s="28"/>
      <c r="G30" s="28"/>
      <c r="H30" s="28"/>
      <c r="I30" s="28"/>
      <c r="J30" s="28"/>
    </row>
    <row r="31" spans="2:13" x14ac:dyDescent="0.2">
      <c r="B31" s="60" t="s">
        <v>27</v>
      </c>
      <c r="C31" s="79">
        <f>BS!C5-C29</f>
        <v>0</v>
      </c>
      <c r="D31" s="78">
        <f>BS!D5-D29</f>
        <v>1010.6000000000008</v>
      </c>
      <c r="E31" s="78">
        <f>BS!E5-E29</f>
        <v>1010.5999999999963</v>
      </c>
      <c r="F31" s="78">
        <f>BS!F5-F29</f>
        <v>1010.5999999999958</v>
      </c>
      <c r="G31" s="78">
        <f>BS!G5-G29</f>
        <v>1010.5999999999949</v>
      </c>
      <c r="H31" s="78">
        <f>BS!H5-H29</f>
        <v>1010.5999999999949</v>
      </c>
      <c r="I31" s="78">
        <f>BS!I5-I29</f>
        <v>1010.5999999999949</v>
      </c>
      <c r="J31" s="78">
        <f>BS!J5-J29</f>
        <v>1010.5999999999949</v>
      </c>
    </row>
    <row r="32" spans="2:13" x14ac:dyDescent="0.2">
      <c r="B32" s="60"/>
      <c r="C32" s="60"/>
      <c r="D32" s="62"/>
      <c r="E32" s="62"/>
      <c r="F32" s="62"/>
      <c r="G32" s="62"/>
      <c r="H32" s="62"/>
      <c r="I32" s="62"/>
      <c r="J32" s="62"/>
    </row>
    <row r="33" spans="2:10" x14ac:dyDescent="0.2">
      <c r="B33" s="60" t="s">
        <v>122</v>
      </c>
      <c r="C33" s="78">
        <f>C29</f>
        <v>1223.4000000000001</v>
      </c>
      <c r="D33" s="78">
        <f>BS!D5</f>
        <v>2463.8000000000002</v>
      </c>
      <c r="E33" s="78">
        <f>BS!E5</f>
        <v>866</v>
      </c>
      <c r="F33" s="62"/>
      <c r="G33" s="62"/>
      <c r="H33" s="62"/>
      <c r="I33" s="62"/>
      <c r="J33" s="62"/>
    </row>
    <row r="35" spans="2:10" x14ac:dyDescent="0.2">
      <c r="B35" s="60" t="s">
        <v>121</v>
      </c>
      <c r="C35" s="78">
        <f>C31</f>
        <v>0</v>
      </c>
      <c r="D35" s="78">
        <f>D33-D29</f>
        <v>1010.6000000000008</v>
      </c>
      <c r="E35" s="78">
        <f t="shared" ref="E35" si="9">E33-E29</f>
        <v>1010.5999999999963</v>
      </c>
      <c r="F35" s="62"/>
      <c r="G35" s="62"/>
      <c r="H35" s="62"/>
      <c r="I35" s="62"/>
      <c r="J35" s="62"/>
    </row>
    <row r="36" spans="2:10" x14ac:dyDescent="0.2">
      <c r="D36" s="41"/>
    </row>
    <row r="38" spans="2:10" x14ac:dyDescent="0.2">
      <c r="E38" s="5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S41"/>
  <sheetViews>
    <sheetView topLeftCell="A5" workbookViewId="0">
      <selection activeCell="C8" sqref="C8"/>
    </sheetView>
  </sheetViews>
  <sheetFormatPr defaultRowHeight="12.75" x14ac:dyDescent="0.2"/>
  <cols>
    <col min="1" max="1" width="2.7109375" style="1" customWidth="1"/>
    <col min="2" max="2" width="30.7109375" style="1" customWidth="1"/>
    <col min="3" max="3" width="9.140625" style="1" customWidth="1"/>
    <col min="4" max="6" width="9.140625" style="1"/>
    <col min="7" max="7" width="9.140625" style="1" customWidth="1"/>
    <col min="8" max="16384" width="9.140625" style="1"/>
  </cols>
  <sheetData>
    <row r="1" spans="2:12" ht="15.75" x14ac:dyDescent="0.25">
      <c r="B1" s="5" t="s">
        <v>107</v>
      </c>
    </row>
    <row r="2" spans="2:12" ht="15.75" x14ac:dyDescent="0.25">
      <c r="B2" s="5"/>
    </row>
    <row r="3" spans="2:12" x14ac:dyDescent="0.2">
      <c r="B3" s="59" t="str">
        <f>"Selected Case:"&amp;CHOOSE(C3," as a % of PP&amp;E"," as a % of Revenue")</f>
        <v>Selected Case: as a % of PP&amp;E</v>
      </c>
      <c r="C3" s="15">
        <v>1</v>
      </c>
    </row>
    <row r="4" spans="2:12" x14ac:dyDescent="0.2">
      <c r="B4" s="59"/>
      <c r="C4"/>
    </row>
    <row r="5" spans="2:12" x14ac:dyDescent="0.2">
      <c r="C5" s="66" t="s">
        <v>119</v>
      </c>
      <c r="D5" s="66"/>
      <c r="E5" s="66"/>
      <c r="F5" s="66"/>
      <c r="G5" s="66"/>
      <c r="H5" s="66"/>
      <c r="I5" s="66"/>
      <c r="J5" s="66"/>
    </row>
    <row r="6" spans="2:12" x14ac:dyDescent="0.2">
      <c r="B6" s="6" t="s">
        <v>108</v>
      </c>
      <c r="C6" s="8" t="s">
        <v>1</v>
      </c>
      <c r="D6" s="8" t="s">
        <v>2</v>
      </c>
      <c r="E6" s="8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J6" s="10" t="s">
        <v>8</v>
      </c>
    </row>
    <row r="7" spans="2:12" x14ac:dyDescent="0.2">
      <c r="B7" s="3" t="s">
        <v>109</v>
      </c>
      <c r="C7" s="72">
        <v>23117.599999999999</v>
      </c>
      <c r="D7" s="42">
        <f>C10</f>
        <v>21257.600000000002</v>
      </c>
      <c r="E7" s="42">
        <f>D10</f>
        <v>22448.300000000003</v>
      </c>
      <c r="F7" s="40">
        <f>E10</f>
        <v>22842.699999999997</v>
      </c>
      <c r="G7" s="40">
        <f t="shared" ref="G7:J7" si="0">F10</f>
        <v>23512.752533333332</v>
      </c>
      <c r="H7" s="40">
        <f t="shared" si="0"/>
        <v>24211.759457955555</v>
      </c>
      <c r="I7" s="40">
        <f t="shared" si="0"/>
        <v>25049.807318790754</v>
      </c>
      <c r="J7" s="40">
        <f t="shared" si="0"/>
        <v>26034.299755424163</v>
      </c>
    </row>
    <row r="8" spans="2:12" x14ac:dyDescent="0.2">
      <c r="B8" s="3" t="s">
        <v>52</v>
      </c>
      <c r="C8" s="42">
        <f t="shared" ref="C8:E8" si="1">C10-C7+C9</f>
        <v>-343.49999999999636</v>
      </c>
      <c r="D8" s="42">
        <f t="shared" si="1"/>
        <v>2554.1000000000008</v>
      </c>
      <c r="E8" s="42">
        <f t="shared" si="1"/>
        <v>1876.3999999999942</v>
      </c>
      <c r="F8" s="40">
        <f>CHOOSE($C$3,F7*F27,F28*'P&amp;L'!F6)</f>
        <v>2055.8429999999998</v>
      </c>
      <c r="G8" s="40">
        <f>CHOOSE($C$3,G7*G27,G28*'P&amp;L'!G6)</f>
        <v>2233.7114906666666</v>
      </c>
      <c r="H8" s="40">
        <f>CHOOSE($C$3,H7*H27,H28*'P&amp;L'!H6)</f>
        <v>2542.2347430853333</v>
      </c>
      <c r="I8" s="40">
        <f>CHOOSE($C$3,I7*I27,I28*'P&amp;L'!I6)</f>
        <v>2880.7278416609365</v>
      </c>
      <c r="J8" s="40">
        <f>CHOOSE($C$3,J7*J27,J28*'P&amp;L'!J6)</f>
        <v>3254.2874694280199</v>
      </c>
    </row>
    <row r="9" spans="2:12" x14ac:dyDescent="0.2">
      <c r="B9" s="3" t="s">
        <v>10</v>
      </c>
      <c r="C9" s="72">
        <v>1516.5</v>
      </c>
      <c r="D9" s="72">
        <v>1363.4</v>
      </c>
      <c r="E9" s="72">
        <v>1482</v>
      </c>
      <c r="F9" s="40">
        <f>F22</f>
        <v>1385.7904666666666</v>
      </c>
      <c r="G9" s="40">
        <f t="shared" ref="G9:J9" si="2">G22</f>
        <v>1534.7045660444444</v>
      </c>
      <c r="H9" s="40">
        <f t="shared" si="2"/>
        <v>1704.1868822501333</v>
      </c>
      <c r="I9" s="40">
        <f t="shared" si="2"/>
        <v>1896.2354050275289</v>
      </c>
      <c r="J9" s="40">
        <f t="shared" si="2"/>
        <v>2113.1879029893971</v>
      </c>
    </row>
    <row r="10" spans="2:12" x14ac:dyDescent="0.2">
      <c r="B10" s="4" t="s">
        <v>110</v>
      </c>
      <c r="C10" s="45">
        <f>BS!C17</f>
        <v>21257.600000000002</v>
      </c>
      <c r="D10" s="45">
        <f>BS!D17</f>
        <v>22448.300000000003</v>
      </c>
      <c r="E10" s="45">
        <f>BS!E17</f>
        <v>22842.699999999997</v>
      </c>
      <c r="F10" s="45">
        <f>F7+F8-F9</f>
        <v>23512.752533333332</v>
      </c>
      <c r="G10" s="45">
        <f t="shared" ref="G10:J10" si="3">G7+G8-G9</f>
        <v>24211.759457955555</v>
      </c>
      <c r="H10" s="45">
        <f t="shared" si="3"/>
        <v>25049.807318790754</v>
      </c>
      <c r="I10" s="45">
        <f t="shared" si="3"/>
        <v>26034.299755424163</v>
      </c>
      <c r="J10" s="45">
        <f t="shared" si="3"/>
        <v>27175.399321862787</v>
      </c>
      <c r="L10" s="58" t="s">
        <v>118</v>
      </c>
    </row>
    <row r="11" spans="2:12" x14ac:dyDescent="0.2">
      <c r="B11" s="3"/>
      <c r="C11" s="3"/>
      <c r="D11" s="25"/>
      <c r="E11" s="25"/>
      <c r="F11" s="25"/>
      <c r="G11" s="25"/>
      <c r="H11" s="25"/>
      <c r="I11" s="25"/>
      <c r="J11" s="25"/>
      <c r="L11" s="50"/>
    </row>
    <row r="12" spans="2:12" x14ac:dyDescent="0.2">
      <c r="B12" s="3"/>
      <c r="C12" s="39"/>
      <c r="D12" s="25"/>
      <c r="E12" s="25"/>
      <c r="F12" s="25"/>
      <c r="G12" s="25"/>
      <c r="H12" s="25"/>
      <c r="I12" s="25"/>
      <c r="J12" s="25"/>
      <c r="K12"/>
    </row>
    <row r="13" spans="2:12" ht="12.75" customHeight="1" x14ac:dyDescent="0.2">
      <c r="B13" s="11"/>
      <c r="C13" s="16"/>
      <c r="D13" s="16"/>
      <c r="E13" s="16"/>
      <c r="F13" s="25"/>
      <c r="G13" s="25"/>
      <c r="H13" s="25"/>
      <c r="I13" s="25"/>
      <c r="J13" s="25"/>
    </row>
    <row r="14" spans="2:12" x14ac:dyDescent="0.2">
      <c r="B14" s="3"/>
      <c r="C14" s="3"/>
      <c r="D14" s="25"/>
      <c r="E14" s="25"/>
      <c r="F14" s="25"/>
      <c r="G14" s="25"/>
      <c r="H14" s="25"/>
      <c r="I14" s="25"/>
      <c r="J14" s="25"/>
    </row>
    <row r="15" spans="2:12" x14ac:dyDescent="0.2">
      <c r="B15" s="3"/>
      <c r="C15" s="66" t="s">
        <v>120</v>
      </c>
      <c r="D15" s="66"/>
      <c r="E15" s="66"/>
      <c r="F15" s="66"/>
      <c r="G15" s="66"/>
      <c r="H15" s="66"/>
      <c r="I15" s="66"/>
      <c r="J15" s="66"/>
    </row>
    <row r="16" spans="2:12" x14ac:dyDescent="0.2">
      <c r="B16" s="6" t="s">
        <v>108</v>
      </c>
      <c r="C16" s="8" t="s">
        <v>1</v>
      </c>
      <c r="D16" s="8" t="s">
        <v>2</v>
      </c>
      <c r="E16" s="8" t="s">
        <v>3</v>
      </c>
      <c r="F16" s="10" t="s">
        <v>4</v>
      </c>
      <c r="G16" s="10" t="s">
        <v>5</v>
      </c>
      <c r="H16" s="10" t="s">
        <v>6</v>
      </c>
      <c r="I16" s="10" t="s">
        <v>7</v>
      </c>
      <c r="J16" s="10" t="s">
        <v>8</v>
      </c>
    </row>
    <row r="17" spans="2:19" x14ac:dyDescent="0.2">
      <c r="B17" s="3" t="s">
        <v>4</v>
      </c>
      <c r="C17" s="42"/>
      <c r="D17" s="42"/>
      <c r="E17" s="42"/>
      <c r="F17" s="40">
        <f>$E$10/$C$31-$F$8/$C$30</f>
        <v>1385.7904666666666</v>
      </c>
      <c r="G17" s="40">
        <f t="shared" ref="G17:J17" si="4">$E$10/$C$31-$F$8/$C$30</f>
        <v>1385.7904666666666</v>
      </c>
      <c r="H17" s="40">
        <f t="shared" si="4"/>
        <v>1385.7904666666666</v>
      </c>
      <c r="I17" s="40">
        <f t="shared" si="4"/>
        <v>1385.7904666666666</v>
      </c>
      <c r="J17" s="40">
        <f t="shared" si="4"/>
        <v>1385.7904666666666</v>
      </c>
    </row>
    <row r="18" spans="2:19" x14ac:dyDescent="0.2">
      <c r="B18" s="3" t="s">
        <v>5</v>
      </c>
      <c r="C18" s="42"/>
      <c r="D18" s="42"/>
      <c r="E18" s="42"/>
      <c r="F18" s="40"/>
      <c r="G18" s="40">
        <f>$G$8/$C$30</f>
        <v>148.91409937777777</v>
      </c>
      <c r="H18" s="40">
        <f t="shared" ref="H18:J18" si="5">$G$8/$C$30</f>
        <v>148.91409937777777</v>
      </c>
      <c r="I18" s="40">
        <f t="shared" si="5"/>
        <v>148.91409937777777</v>
      </c>
      <c r="J18" s="40">
        <f t="shared" si="5"/>
        <v>148.91409937777777</v>
      </c>
    </row>
    <row r="19" spans="2:19" x14ac:dyDescent="0.2">
      <c r="B19" s="3" t="s">
        <v>6</v>
      </c>
      <c r="C19" s="42"/>
      <c r="D19" s="42"/>
      <c r="E19" s="42"/>
      <c r="F19" s="40"/>
      <c r="G19" s="40"/>
      <c r="H19" s="40">
        <f>$H$8/$C$30</f>
        <v>169.48231620568887</v>
      </c>
      <c r="I19" s="40">
        <f t="shared" ref="I19:J19" si="6">$H$8/$C$30</f>
        <v>169.48231620568887</v>
      </c>
      <c r="J19" s="40">
        <f t="shared" si="6"/>
        <v>169.48231620568887</v>
      </c>
    </row>
    <row r="20" spans="2:19" x14ac:dyDescent="0.2">
      <c r="B20" s="3" t="s">
        <v>7</v>
      </c>
      <c r="C20" s="42"/>
      <c r="D20" s="42"/>
      <c r="E20" s="42"/>
      <c r="F20" s="40"/>
      <c r="G20" s="40"/>
      <c r="H20" s="40"/>
      <c r="I20" s="40">
        <f>$I$8/$C$30</f>
        <v>192.04852277739576</v>
      </c>
      <c r="J20" s="40">
        <f>$I$8/$C$30</f>
        <v>192.04852277739576</v>
      </c>
    </row>
    <row r="21" spans="2:19" x14ac:dyDescent="0.2">
      <c r="B21" s="3" t="s">
        <v>8</v>
      </c>
      <c r="C21" s="42"/>
      <c r="D21" s="42"/>
      <c r="E21" s="42"/>
      <c r="F21" s="40"/>
      <c r="G21" s="40"/>
      <c r="H21" s="40"/>
      <c r="I21" s="40"/>
      <c r="J21" s="40">
        <f>$J$8/$C$30</f>
        <v>216.952497961868</v>
      </c>
    </row>
    <row r="22" spans="2:19" x14ac:dyDescent="0.2">
      <c r="B22" s="4" t="s">
        <v>111</v>
      </c>
      <c r="C22" s="45"/>
      <c r="D22" s="45"/>
      <c r="E22" s="45"/>
      <c r="F22" s="45">
        <f>SUM(F17:F21)</f>
        <v>1385.7904666666666</v>
      </c>
      <c r="G22" s="45">
        <f t="shared" ref="G22:J22" si="7">SUM(G17:G21)</f>
        <v>1534.7045660444444</v>
      </c>
      <c r="H22" s="45">
        <f t="shared" si="7"/>
        <v>1704.1868822501333</v>
      </c>
      <c r="I22" s="45">
        <f t="shared" si="7"/>
        <v>1896.2354050275289</v>
      </c>
      <c r="J22" s="45">
        <f t="shared" si="7"/>
        <v>2113.1879029893971</v>
      </c>
    </row>
    <row r="23" spans="2:19" x14ac:dyDescent="0.2">
      <c r="B23" s="3"/>
    </row>
    <row r="24" spans="2:19" ht="5.0999999999999996" customHeight="1" x14ac:dyDescent="0.2">
      <c r="B24" s="3"/>
    </row>
    <row r="25" spans="2:19" x14ac:dyDescent="0.2">
      <c r="B25" s="54" t="s">
        <v>112</v>
      </c>
      <c r="C25" s="55">
        <f>C9/C7</f>
        <v>6.5599370176834967E-2</v>
      </c>
      <c r="D25" s="55">
        <f t="shared" ref="D25:E25" si="8">D9/D7</f>
        <v>6.413706156856841E-2</v>
      </c>
      <c r="E25" s="55">
        <f t="shared" si="8"/>
        <v>6.6018362192237265E-2</v>
      </c>
      <c r="F25" s="55">
        <f>AVERAGE($C25:$E25)</f>
        <v>6.5251597979213552E-2</v>
      </c>
      <c r="G25" s="55">
        <f t="shared" ref="G25:J25" si="9">AVERAGE($C25:$E25)</f>
        <v>6.5251597979213552E-2</v>
      </c>
      <c r="H25" s="55">
        <f t="shared" si="9"/>
        <v>6.5251597979213552E-2</v>
      </c>
      <c r="I25" s="55">
        <f t="shared" si="9"/>
        <v>6.5251597979213552E-2</v>
      </c>
      <c r="J25" s="55">
        <f t="shared" si="9"/>
        <v>6.5251597979213552E-2</v>
      </c>
    </row>
    <row r="26" spans="2:19" x14ac:dyDescent="0.2">
      <c r="B26" s="54" t="s">
        <v>113</v>
      </c>
      <c r="C26" s="55">
        <f>C9/'P&amp;L'!C6</f>
        <v>6.1591509997197612E-2</v>
      </c>
      <c r="D26" s="55">
        <f>D9/'P&amp;L'!D6</f>
        <v>5.974478974952236E-2</v>
      </c>
      <c r="E26" s="55">
        <f>E9/'P&amp;L'!E6</f>
        <v>7.0486844358198728E-2</v>
      </c>
      <c r="F26" s="55">
        <f>F9/'P&amp;L'!F6</f>
        <v>6.6115981037047911E-2</v>
      </c>
      <c r="G26" s="55">
        <f>G9/'P&amp;L'!G6</f>
        <v>6.9933340846703482E-2</v>
      </c>
      <c r="H26" s="55">
        <f>H9/'P&amp;L'!H6</f>
        <v>7.4370306939165229E-2</v>
      </c>
      <c r="I26" s="55">
        <f>I9/'P&amp;L'!I6</f>
        <v>7.8460811206634895E-2</v>
      </c>
      <c r="J26" s="55">
        <f>J9/'P&amp;L'!J6</f>
        <v>8.2128402549466656E-2</v>
      </c>
    </row>
    <row r="27" spans="2:19" x14ac:dyDescent="0.2">
      <c r="B27" s="54" t="s">
        <v>114</v>
      </c>
      <c r="C27" s="55">
        <f>C8/C7</f>
        <v>-1.4858808872893224E-2</v>
      </c>
      <c r="D27" s="55">
        <f t="shared" ref="D27:E27" si="10">D8/D7</f>
        <v>0.1201499698931206</v>
      </c>
      <c r="E27" s="55">
        <f t="shared" si="10"/>
        <v>8.358762133435467E-2</v>
      </c>
      <c r="F27" s="73">
        <v>0.09</v>
      </c>
      <c r="G27" s="55">
        <f>F27+0.5%</f>
        <v>9.5000000000000001E-2</v>
      </c>
      <c r="H27" s="55">
        <f t="shared" ref="H27:J27" si="11">G27+1%</f>
        <v>0.105</v>
      </c>
      <c r="I27" s="55">
        <f t="shared" si="11"/>
        <v>0.11499999999999999</v>
      </c>
      <c r="J27" s="55">
        <f t="shared" si="11"/>
        <v>0.12499999999999999</v>
      </c>
    </row>
    <row r="28" spans="2:19" x14ac:dyDescent="0.2">
      <c r="B28" s="54" t="s">
        <v>115</v>
      </c>
      <c r="C28" s="55">
        <f>C8/'P&amp;L'!C6</f>
        <v>-1.3950994846051537E-2</v>
      </c>
      <c r="D28" s="55">
        <f>D8/'P&amp;L'!D6</f>
        <v>0.11192178927626162</v>
      </c>
      <c r="E28" s="55">
        <f>E8/'P&amp;L'!E6</f>
        <v>8.9245286608450533E-2</v>
      </c>
      <c r="F28" s="55">
        <f>AVERAGE($C28:$E28)</f>
        <v>6.2405360346220205E-2</v>
      </c>
      <c r="G28" s="55">
        <f t="shared" ref="G28:J28" si="12">AVERAGE($C28:$E28)</f>
        <v>6.2405360346220205E-2</v>
      </c>
      <c r="H28" s="55">
        <f t="shared" si="12"/>
        <v>6.2405360346220205E-2</v>
      </c>
      <c r="I28" s="55">
        <f t="shared" si="12"/>
        <v>6.2405360346220205E-2</v>
      </c>
      <c r="J28" s="55">
        <f t="shared" si="12"/>
        <v>6.2405360346220205E-2</v>
      </c>
    </row>
    <row r="29" spans="2:19" x14ac:dyDescent="0.2">
      <c r="B29" s="56"/>
      <c r="C29" s="57"/>
      <c r="D29" s="57"/>
      <c r="E29" s="57"/>
      <c r="F29" s="57"/>
      <c r="G29" s="53"/>
      <c r="H29" s="53"/>
      <c r="I29" s="53"/>
      <c r="J29" s="53"/>
    </row>
    <row r="30" spans="2:19" x14ac:dyDescent="0.2">
      <c r="B30" s="52" t="s">
        <v>116</v>
      </c>
      <c r="C30" s="74">
        <v>15</v>
      </c>
      <c r="D30" s="53"/>
      <c r="E30" s="53"/>
      <c r="F30" s="53"/>
      <c r="G30" s="53"/>
      <c r="H30" s="53"/>
      <c r="I30" s="53"/>
      <c r="J30" s="53"/>
    </row>
    <row r="31" spans="2:19" x14ac:dyDescent="0.2">
      <c r="B31" s="52" t="s">
        <v>117</v>
      </c>
      <c r="C31" s="74">
        <v>15</v>
      </c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</row>
    <row r="32" spans="2:19" x14ac:dyDescent="0.2">
      <c r="B32" s="3"/>
    </row>
    <row r="33" spans="2:10" x14ac:dyDescent="0.2">
      <c r="B33" s="3"/>
      <c r="C33" s="34"/>
      <c r="D33" s="34"/>
      <c r="E33" s="28"/>
      <c r="F33" s="28"/>
      <c r="G33" s="28"/>
      <c r="H33" s="28"/>
      <c r="I33" s="28"/>
      <c r="J33" s="28"/>
    </row>
    <row r="34" spans="2:10" x14ac:dyDescent="0.2">
      <c r="B34" s="3"/>
      <c r="C34" s="28"/>
      <c r="D34" s="28"/>
      <c r="E34" s="28"/>
      <c r="F34" s="28"/>
      <c r="G34" s="28"/>
      <c r="H34" s="28"/>
      <c r="I34" s="28"/>
      <c r="J34" s="28"/>
    </row>
    <row r="35" spans="2:10" x14ac:dyDescent="0.2">
      <c r="B35" s="3"/>
    </row>
    <row r="36" spans="2:10" x14ac:dyDescent="0.2">
      <c r="B36" s="3"/>
    </row>
    <row r="37" spans="2:10" x14ac:dyDescent="0.2">
      <c r="B37" s="3"/>
    </row>
    <row r="38" spans="2:10" x14ac:dyDescent="0.2">
      <c r="B38" s="3"/>
    </row>
    <row r="39" spans="2:10" x14ac:dyDescent="0.2">
      <c r="B39" s="3"/>
    </row>
    <row r="40" spans="2:10" x14ac:dyDescent="0.2">
      <c r="B40" s="3"/>
    </row>
    <row r="41" spans="2:10" x14ac:dyDescent="0.2">
      <c r="B41" s="3"/>
    </row>
  </sheetData>
  <mergeCells count="2">
    <mergeCell ref="C5:J5"/>
    <mergeCell ref="C15:J15"/>
  </mergeCells>
  <dataValidations count="1">
    <dataValidation type="list" allowBlank="1" showInputMessage="1" showErrorMessage="1" sqref="C3" xr:uid="{00000000-0002-0000-0400-000000000000}">
      <formula1>"1,2"</formula1>
    </dataValidation>
  </dataValidations>
  <pageMargins left="0.7" right="0.7" top="0.75" bottom="0.75" header="0.3" footer="0.3"/>
  <pageSetup orientation="portrait" r:id="rId1"/>
  <ignoredErrors>
    <ignoredError sqref="F26 G26:J2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B664A-DBE0-4D70-890B-0135E3AD066A}">
  <dimension ref="B1:M41"/>
  <sheetViews>
    <sheetView workbookViewId="0">
      <selection activeCell="C21" sqref="C21"/>
    </sheetView>
  </sheetViews>
  <sheetFormatPr defaultRowHeight="12.75" x14ac:dyDescent="0.2"/>
  <cols>
    <col min="1" max="1" width="2.7109375" style="1" customWidth="1"/>
    <col min="2" max="2" width="30.7109375" style="1" customWidth="1"/>
    <col min="3" max="3" width="9.7109375" style="1" bestFit="1" customWidth="1"/>
    <col min="4" max="9" width="9.140625" style="1"/>
    <col min="10" max="10" width="9.42578125" style="1" bestFit="1" customWidth="1"/>
    <col min="11" max="16384" width="9.140625" style="1"/>
  </cols>
  <sheetData>
    <row r="1" spans="2:12" ht="15.75" x14ac:dyDescent="0.25">
      <c r="B1" s="5" t="s">
        <v>123</v>
      </c>
    </row>
    <row r="2" spans="2:12" ht="15.75" x14ac:dyDescent="0.25">
      <c r="B2" s="5"/>
    </row>
    <row r="3" spans="2:12" x14ac:dyDescent="0.2">
      <c r="B3" s="59" t="s">
        <v>124</v>
      </c>
      <c r="C3" s="64">
        <v>0.02</v>
      </c>
    </row>
    <row r="4" spans="2:12" x14ac:dyDescent="0.2">
      <c r="F4" s="67">
        <v>1</v>
      </c>
      <c r="G4" s="67">
        <v>2</v>
      </c>
      <c r="H4" s="67">
        <v>3</v>
      </c>
      <c r="I4" s="67">
        <v>4</v>
      </c>
      <c r="J4" s="67">
        <v>5</v>
      </c>
    </row>
    <row r="5" spans="2:12" x14ac:dyDescent="0.2">
      <c r="B5" s="6" t="s">
        <v>108</v>
      </c>
      <c r="C5" s="8" t="s">
        <v>1</v>
      </c>
      <c r="D5" s="8" t="s">
        <v>2</v>
      </c>
      <c r="E5" s="8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</row>
    <row r="6" spans="2:12" x14ac:dyDescent="0.2">
      <c r="B6" s="3" t="s">
        <v>53</v>
      </c>
      <c r="C6" s="42"/>
      <c r="D6" s="42"/>
      <c r="E6" s="42"/>
      <c r="F6" s="40">
        <f>'Cash Flow'!F18</f>
        <v>6775.2055593457535</v>
      </c>
      <c r="G6" s="40">
        <f>'Cash Flow'!G18</f>
        <v>6004.6455338534925</v>
      </c>
      <c r="H6" s="40">
        <f>'Cash Flow'!H18</f>
        <v>6126.4189938129257</v>
      </c>
      <c r="I6" s="40">
        <f>'Cash Flow'!I18</f>
        <v>6534.5489180951881</v>
      </c>
      <c r="J6" s="40">
        <f>'Cash Flow'!J18</f>
        <v>6914.8267429865809</v>
      </c>
    </row>
    <row r="7" spans="2:12" x14ac:dyDescent="0.2">
      <c r="B7" s="3" t="s">
        <v>125</v>
      </c>
      <c r="C7" s="42"/>
      <c r="D7" s="42"/>
      <c r="E7" s="42"/>
      <c r="F7" s="40"/>
      <c r="G7" s="40"/>
      <c r="H7" s="40"/>
      <c r="I7" s="40"/>
      <c r="J7" s="40">
        <f>J6*(1+C3)/(J9-C3)</f>
        <v>235104.10926154375</v>
      </c>
    </row>
    <row r="8" spans="2:12" x14ac:dyDescent="0.2">
      <c r="B8" s="3"/>
      <c r="C8" s="42"/>
      <c r="D8" s="42"/>
      <c r="E8" s="42"/>
      <c r="F8" s="40"/>
      <c r="G8" s="40"/>
      <c r="H8" s="40"/>
      <c r="I8" s="40"/>
      <c r="J8" s="40"/>
    </row>
    <row r="9" spans="2:12" x14ac:dyDescent="0.2">
      <c r="B9" s="3" t="s">
        <v>126</v>
      </c>
      <c r="C9" s="3"/>
      <c r="D9" s="27"/>
      <c r="E9" s="27"/>
      <c r="F9" s="68">
        <v>0.05</v>
      </c>
      <c r="G9" s="68">
        <v>0.05</v>
      </c>
      <c r="H9" s="68">
        <v>0.05</v>
      </c>
      <c r="I9" s="68">
        <v>0.05</v>
      </c>
      <c r="J9" s="68">
        <v>0.05</v>
      </c>
    </row>
    <row r="10" spans="2:12" x14ac:dyDescent="0.2">
      <c r="B10" s="9" t="s">
        <v>127</v>
      </c>
      <c r="C10" s="14"/>
      <c r="D10" s="14"/>
      <c r="E10" s="14"/>
      <c r="F10" s="70">
        <f>F6/(1+F9)^F4</f>
        <v>6452.576723186432</v>
      </c>
      <c r="G10" s="70">
        <f t="shared" ref="G10:J10" si="0">G6/(1+G9)^G4</f>
        <v>5446.3905068965914</v>
      </c>
      <c r="H10" s="70">
        <f t="shared" si="0"/>
        <v>5292.2310712129793</v>
      </c>
      <c r="I10" s="70">
        <f t="shared" si="0"/>
        <v>5375.9895665655258</v>
      </c>
      <c r="J10" s="70">
        <f t="shared" si="0"/>
        <v>5417.9476897258555</v>
      </c>
    </row>
    <row r="11" spans="2:12" x14ac:dyDescent="0.2">
      <c r="B11" s="3" t="s">
        <v>128</v>
      </c>
      <c r="C11" s="63"/>
      <c r="D11" s="63"/>
      <c r="E11" s="63"/>
      <c r="F11" s="40"/>
      <c r="G11" s="40"/>
      <c r="H11" s="40"/>
      <c r="I11" s="40"/>
      <c r="J11" s="40">
        <f>J7/(1+J9)^J4</f>
        <v>184210.22145067909</v>
      </c>
      <c r="L11" s="50"/>
    </row>
    <row r="12" spans="2:12" x14ac:dyDescent="0.2">
      <c r="B12" s="11"/>
      <c r="C12" s="43"/>
      <c r="D12" s="43"/>
      <c r="E12" s="43"/>
      <c r="F12" s="11"/>
      <c r="G12" s="11"/>
      <c r="H12" s="11"/>
      <c r="I12" s="11"/>
      <c r="J12" s="11"/>
    </row>
    <row r="13" spans="2:12" ht="12.75" customHeight="1" x14ac:dyDescent="0.2">
      <c r="B13" s="66" t="s">
        <v>129</v>
      </c>
      <c r="C13" s="66"/>
      <c r="F13" s="11"/>
      <c r="G13" s="11"/>
      <c r="H13" s="11"/>
      <c r="I13" s="11"/>
      <c r="J13" s="11"/>
    </row>
    <row r="14" spans="2:12" x14ac:dyDescent="0.2">
      <c r="B14" s="1" t="s">
        <v>130</v>
      </c>
      <c r="C14" s="42">
        <f>SUM(F10:J10)</f>
        <v>27985.135557587389</v>
      </c>
    </row>
    <row r="15" spans="2:12" x14ac:dyDescent="0.2">
      <c r="B15" s="1" t="s">
        <v>131</v>
      </c>
      <c r="C15" s="42">
        <f>J11</f>
        <v>184210.22145067909</v>
      </c>
    </row>
    <row r="16" spans="2:12" x14ac:dyDescent="0.2">
      <c r="B16" s="9" t="s">
        <v>132</v>
      </c>
      <c r="C16" s="71">
        <f>SUM(C14:C15)</f>
        <v>212195.3570082665</v>
      </c>
    </row>
    <row r="17" spans="2:13" x14ac:dyDescent="0.2">
      <c r="B17" s="1" t="s">
        <v>133</v>
      </c>
      <c r="C17" s="42">
        <f>BS!E5</f>
        <v>866</v>
      </c>
    </row>
    <row r="18" spans="2:13" x14ac:dyDescent="0.2">
      <c r="B18" s="1" t="s">
        <v>134</v>
      </c>
      <c r="C18" s="42">
        <f>-(BS!E29)</f>
        <v>-31075.3</v>
      </c>
    </row>
    <row r="19" spans="2:13" x14ac:dyDescent="0.2">
      <c r="B19" s="9" t="s">
        <v>135</v>
      </c>
      <c r="C19" s="71">
        <f>SUM(C16:C18)</f>
        <v>181986.05700826651</v>
      </c>
      <c r="M19" s="41"/>
    </row>
    <row r="20" spans="2:13" x14ac:dyDescent="0.2">
      <c r="B20" s="1" t="s">
        <v>136</v>
      </c>
      <c r="C20" s="69">
        <v>765.3</v>
      </c>
    </row>
    <row r="21" spans="2:13" x14ac:dyDescent="0.2">
      <c r="B21" s="4" t="s">
        <v>137</v>
      </c>
      <c r="C21" s="45">
        <f>C19/C20</f>
        <v>237.79701686693653</v>
      </c>
    </row>
    <row r="22" spans="2:13" ht="5.0999999999999996" customHeight="1" x14ac:dyDescent="0.2"/>
    <row r="39" spans="4:5" x14ac:dyDescent="0.2">
      <c r="D39" s="41"/>
    </row>
    <row r="41" spans="4:5" x14ac:dyDescent="0.2">
      <c r="E41" s="50"/>
    </row>
  </sheetData>
  <mergeCells count="1">
    <mergeCell ref="B13:C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Drivers</vt:lpstr>
      <vt:lpstr>BS</vt:lpstr>
      <vt:lpstr>P&amp;L</vt:lpstr>
      <vt:lpstr>Cash Flow</vt:lpstr>
      <vt:lpstr>PP&amp;E</vt:lpstr>
      <vt:lpstr>Valuation</vt:lpstr>
    </vt:vector>
  </TitlesOfParts>
  <Company>JPMorgan Chase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BOUBEE</dc:creator>
  <cp:lastModifiedBy>Feli Boubee</cp:lastModifiedBy>
  <dcterms:created xsi:type="dcterms:W3CDTF">2019-08-05T18:01:07Z</dcterms:created>
  <dcterms:modified xsi:type="dcterms:W3CDTF">2019-09-16T01:41:05Z</dcterms:modified>
</cp:coreProperties>
</file>