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730"/>
  <workbookPr codeName="ThisWorkbook" autoCompressPictures="0" defaultThemeVersion="124226"/>
  <mc:AlternateContent xmlns:mc="http://schemas.openxmlformats.org/markup-compatibility/2006">
    <mc:Choice Requires="x15">
      <x15ac:absPath xmlns:x15ac="http://schemas.microsoft.com/office/spreadsheetml/2010/11/ac" url="C:\Users\Matthew Work\Desktop\"/>
    </mc:Choice>
  </mc:AlternateContent>
  <xr:revisionPtr revIDLastSave="0" documentId="13_ncr:1_{A5F8CC8C-0ED5-4B5B-9B45-053E872251D3}" xr6:coauthVersionLast="36" xr6:coauthVersionMax="36" xr10:uidLastSave="{00000000-0000-0000-0000-000000000000}"/>
  <bookViews>
    <workbookView xWindow="0" yWindow="0" windowWidth="23040" windowHeight="8484" tabRatio="736" firstSheet="1" activeTab="1" xr2:uid="{00000000-000D-0000-FFFF-FFFF00000000}"/>
  </bookViews>
  <sheets>
    <sheet name="BoostToolkitClipBoard2010" sheetId="11" state="veryHidden" r:id="rId1"/>
    <sheet name="Model Complete" sheetId="64" r:id="rId2"/>
  </sheets>
  <externalReferences>
    <externalReference r:id="rId3"/>
    <externalReference r:id="rId4"/>
  </externalReferences>
  <definedNames>
    <definedName name="CIQWBGuid" hidden="1">"a611639b-bab1-425e-aaa5-008c326fdfdb"</definedName>
    <definedName name="Inv_Cap">[1]Results!$E$182:$AD$182</definedName>
    <definedName name="IQ_CH" hidden="1">110000</definedName>
    <definedName name="IQ_CQ" hidden="1">5000</definedName>
    <definedName name="IQ_CY" hidden="1">10000</definedName>
    <definedName name="IQ_DAILY" hidden="1">500000</definedName>
    <definedName name="IQ_DNTM" hidden="1">700000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MTD" hidden="1">800000</definedName>
    <definedName name="IQ_NAMES_REVISION_DATE_" hidden="1">41451.5654050926</definedName>
    <definedName name="IQ_NTM" hidden="1">6000</definedName>
    <definedName name="IQ_QTD" hidden="1">750000</definedName>
    <definedName name="IQ_TODAY" hidden="1">0</definedName>
    <definedName name="IQ_WEEK" hidden="1">50000</definedName>
    <definedName name="IQ_YTD" hidden="1">3000</definedName>
    <definedName name="IQ_YTDMONTH" hidden="1">130000</definedName>
    <definedName name="NOPLAT">[1]Results!$E$145:$AD$145</definedName>
    <definedName name="One">'[1]Forecast Drivers'!$D$330</definedName>
    <definedName name="Products">[2]Array0!$B$5:$C$7</definedName>
    <definedName name="Rev">'[1]Forecast Drivers'!$E$25:$S$25</definedName>
  </definedNames>
  <calcPr calcId="191029" calcMode="autoNoTable" iterate="1"/>
  <extLst>
    <ext xmlns:xcalcf="http://schemas.microsoft.com/office/spreadsheetml/2018/calcfeatures" uri="{B58B0392-4F1F-4190-BB64-5DF3571DCE5F}">
      <xcalcf:calcFeatures>
        <xcalcf:feature name="microsoft.com:RD"/>
      </xcalcf:calcFeatures>
    </ext>
    <ext xmlns:mx="http://schemas.microsoft.com/office/mac/excel/2008/main" uri="{7523E5D3-25F3-A5E0-1632-64F254C22452}">
      <mx:ArchID Flags="2"/>
    </ext>
  </extLst>
</workbook>
</file>

<file path=xl/calcChain.xml><?xml version="1.0" encoding="utf-8"?>
<calcChain xmlns="http://schemas.openxmlformats.org/spreadsheetml/2006/main">
  <c r="E216" i="64" l="1"/>
  <c r="D216" i="64"/>
  <c r="F216" i="64"/>
  <c r="G216" i="64"/>
  <c r="H216" i="64" s="1"/>
  <c r="I216" i="64" s="1"/>
  <c r="J216" i="64" s="1"/>
  <c r="K216" i="64" s="1"/>
  <c r="D217" i="64"/>
  <c r="E217" i="64"/>
  <c r="F217" i="64"/>
  <c r="G199" i="64"/>
  <c r="D156" i="64"/>
  <c r="C156" i="64"/>
  <c r="C151" i="64"/>
  <c r="C140" i="64"/>
  <c r="F137" i="64"/>
  <c r="D137" i="64"/>
  <c r="C137" i="64"/>
  <c r="E137" i="64"/>
  <c r="G74" i="64"/>
  <c r="H74" i="64" s="1"/>
  <c r="I74" i="64" s="1"/>
  <c r="J74" i="64" s="1"/>
  <c r="K74" i="64" s="1"/>
  <c r="E49" i="64"/>
  <c r="F49" i="64"/>
  <c r="D49" i="64"/>
  <c r="D117" i="64"/>
  <c r="D119" i="64" s="1"/>
  <c r="C117" i="64"/>
  <c r="C119" i="64" s="1"/>
  <c r="D125" i="64"/>
  <c r="D127" i="64" s="1"/>
  <c r="E125" i="64"/>
  <c r="E127" i="64" s="1"/>
  <c r="F125" i="64"/>
  <c r="G123" i="64" s="1"/>
  <c r="C125" i="64"/>
  <c r="C127" i="64" s="1"/>
  <c r="D109" i="64"/>
  <c r="D111" i="64" s="1"/>
  <c r="E109" i="64"/>
  <c r="E111" i="64" s="1"/>
  <c r="D151" i="64"/>
  <c r="F151" i="64"/>
  <c r="E151" i="64"/>
  <c r="F127" i="64" l="1"/>
  <c r="G127" i="64" s="1"/>
  <c r="D76" i="64"/>
  <c r="C76" i="64"/>
  <c r="D69" i="64"/>
  <c r="D72" i="64" s="1"/>
  <c r="E69" i="64"/>
  <c r="E72" i="64" s="1"/>
  <c r="F69" i="64"/>
  <c r="F72" i="64" s="1"/>
  <c r="C69" i="64"/>
  <c r="C72" i="64" s="1"/>
  <c r="D61" i="64"/>
  <c r="D64" i="64" s="1"/>
  <c r="C61" i="64"/>
  <c r="C64" i="64" s="1"/>
  <c r="F57" i="64"/>
  <c r="E57" i="64"/>
  <c r="G28" i="64"/>
  <c r="H28" i="64" s="1"/>
  <c r="I28" i="64" s="1"/>
  <c r="J28" i="64" s="1"/>
  <c r="K28" i="64" s="1"/>
  <c r="E61" i="64" l="1"/>
  <c r="E64" i="64" s="1"/>
  <c r="E214" i="64"/>
  <c r="F61" i="64"/>
  <c r="F64" i="64" s="1"/>
  <c r="F214" i="64"/>
  <c r="G212" i="64" s="1"/>
  <c r="D78" i="64"/>
  <c r="C78" i="64"/>
  <c r="E38" i="64"/>
  <c r="F38" i="64"/>
  <c r="E39" i="64"/>
  <c r="F39" i="64"/>
  <c r="E40" i="64"/>
  <c r="F40" i="64"/>
  <c r="E41" i="64"/>
  <c r="F41" i="64"/>
  <c r="E42" i="64"/>
  <c r="F42" i="64"/>
  <c r="E43" i="64"/>
  <c r="F43" i="64"/>
  <c r="E44" i="64"/>
  <c r="F44" i="64"/>
  <c r="E45" i="64"/>
  <c r="F45" i="64"/>
  <c r="D38" i="64"/>
  <c r="D39" i="64"/>
  <c r="D40" i="64"/>
  <c r="D41" i="64"/>
  <c r="D42" i="64"/>
  <c r="D43" i="64"/>
  <c r="D44" i="64"/>
  <c r="D45" i="64"/>
  <c r="E37" i="64"/>
  <c r="F37" i="64"/>
  <c r="D37" i="64"/>
  <c r="E35" i="64"/>
  <c r="F35" i="64"/>
  <c r="D35" i="64"/>
  <c r="C15" i="64"/>
  <c r="C25" i="64"/>
  <c r="F25" i="64"/>
  <c r="E25" i="64"/>
  <c r="F11" i="64"/>
  <c r="F10" i="64"/>
  <c r="E15" i="64"/>
  <c r="F15" i="64"/>
  <c r="D15" i="64"/>
  <c r="D25" i="64"/>
  <c r="G35" i="64" l="1"/>
  <c r="G11" i="64"/>
  <c r="H35" i="64"/>
  <c r="G42" i="64"/>
  <c r="H42" i="64" s="1"/>
  <c r="I42" i="64" s="1"/>
  <c r="G39" i="64"/>
  <c r="H39" i="64" s="1"/>
  <c r="I39" i="64" s="1"/>
  <c r="G44" i="64"/>
  <c r="H44" i="64" s="1"/>
  <c r="I44" i="64" s="1"/>
  <c r="J44" i="64" s="1"/>
  <c r="G43" i="64"/>
  <c r="G41" i="64"/>
  <c r="H41" i="64" s="1"/>
  <c r="G45" i="64"/>
  <c r="H45" i="64" s="1"/>
  <c r="I45" i="64" s="1"/>
  <c r="G40" i="64"/>
  <c r="H40" i="64" s="1"/>
  <c r="I40" i="64" s="1"/>
  <c r="G38" i="64"/>
  <c r="H38" i="64" s="1"/>
  <c r="G37" i="64"/>
  <c r="C26" i="64"/>
  <c r="C29" i="64" s="1"/>
  <c r="C31" i="64" s="1"/>
  <c r="C191" i="64" s="1"/>
  <c r="D26" i="64"/>
  <c r="D29" i="64" s="1"/>
  <c r="D31" i="64" s="1"/>
  <c r="D191" i="64" s="1"/>
  <c r="E26" i="64"/>
  <c r="E29" i="64" s="1"/>
  <c r="E31" i="64" s="1"/>
  <c r="E191" i="64" s="1"/>
  <c r="F26" i="64"/>
  <c r="F29" i="64" s="1"/>
  <c r="F31" i="64" s="1"/>
  <c r="F191" i="64" s="1"/>
  <c r="J168" i="64"/>
  <c r="K168" i="64"/>
  <c r="K205" i="64"/>
  <c r="J205" i="64"/>
  <c r="I205" i="64"/>
  <c r="H205" i="64"/>
  <c r="G205" i="64"/>
  <c r="K199" i="64"/>
  <c r="J199" i="64"/>
  <c r="I199" i="64"/>
  <c r="H199" i="64"/>
  <c r="K197" i="64"/>
  <c r="J197" i="64"/>
  <c r="I197" i="64"/>
  <c r="H197" i="64"/>
  <c r="G197" i="64"/>
  <c r="E189" i="64"/>
  <c r="B189" i="64"/>
  <c r="B188" i="64"/>
  <c r="F182" i="64"/>
  <c r="G180" i="64" s="1"/>
  <c r="E182" i="64"/>
  <c r="E177" i="64"/>
  <c r="D177" i="64"/>
  <c r="B177" i="64"/>
  <c r="B176" i="64"/>
  <c r="I168" i="64"/>
  <c r="H168" i="64"/>
  <c r="G168" i="64"/>
  <c r="F166" i="64"/>
  <c r="E166" i="64"/>
  <c r="E160" i="64"/>
  <c r="B160" i="64"/>
  <c r="B159" i="64"/>
  <c r="F156" i="64"/>
  <c r="G154" i="64" s="1"/>
  <c r="G156" i="64" s="1"/>
  <c r="E156" i="64"/>
  <c r="E146" i="64"/>
  <c r="D146" i="64"/>
  <c r="B146" i="64"/>
  <c r="B145" i="64"/>
  <c r="I142" i="64"/>
  <c r="J142" i="64" s="1"/>
  <c r="F142" i="64"/>
  <c r="E142" i="64"/>
  <c r="D142" i="64"/>
  <c r="F140" i="64"/>
  <c r="E140" i="64"/>
  <c r="D140" i="64"/>
  <c r="G134" i="64"/>
  <c r="E132" i="64"/>
  <c r="D132" i="64"/>
  <c r="B132" i="64"/>
  <c r="B131" i="64"/>
  <c r="K112" i="64"/>
  <c r="J112" i="64"/>
  <c r="I112" i="64"/>
  <c r="H112" i="64"/>
  <c r="F109" i="64"/>
  <c r="E112" i="64"/>
  <c r="H104" i="64"/>
  <c r="F102" i="64"/>
  <c r="E102" i="64"/>
  <c r="E104" i="64" s="1"/>
  <c r="K97" i="64"/>
  <c r="J97" i="64"/>
  <c r="I97" i="64"/>
  <c r="H97" i="64"/>
  <c r="G97" i="64"/>
  <c r="F94" i="64"/>
  <c r="E94" i="64"/>
  <c r="E96" i="64" s="1"/>
  <c r="E97" i="64" s="1"/>
  <c r="E89" i="64"/>
  <c r="B89" i="64"/>
  <c r="B88" i="64"/>
  <c r="F76" i="64"/>
  <c r="E76" i="64"/>
  <c r="F117" i="64"/>
  <c r="G149" i="64"/>
  <c r="F81" i="64"/>
  <c r="E81" i="64"/>
  <c r="E56" i="64"/>
  <c r="B56" i="64"/>
  <c r="B55" i="64"/>
  <c r="F36" i="64"/>
  <c r="D36" i="64"/>
  <c r="F146" i="64"/>
  <c r="B2" i="64"/>
  <c r="H11" i="64" l="1"/>
  <c r="G151" i="64"/>
  <c r="G63" i="64" s="1"/>
  <c r="G60" i="64"/>
  <c r="G107" i="64"/>
  <c r="F111" i="64"/>
  <c r="G111" i="64" s="1"/>
  <c r="D51" i="64"/>
  <c r="G165" i="64"/>
  <c r="G100" i="64"/>
  <c r="F104" i="64"/>
  <c r="G13" i="64"/>
  <c r="G18" i="64" s="1"/>
  <c r="G49" i="64" s="1"/>
  <c r="I104" i="64"/>
  <c r="J104" i="64" s="1"/>
  <c r="H43" i="64"/>
  <c r="J40" i="64"/>
  <c r="K40" i="64" s="1"/>
  <c r="H37" i="64"/>
  <c r="I37" i="64" s="1"/>
  <c r="I35" i="64"/>
  <c r="J35" i="64" s="1"/>
  <c r="F46" i="64"/>
  <c r="F51" i="64"/>
  <c r="J42" i="64"/>
  <c r="I38" i="64"/>
  <c r="J38" i="64" s="1"/>
  <c r="I41" i="64"/>
  <c r="F85" i="64"/>
  <c r="K44" i="64"/>
  <c r="J45" i="64"/>
  <c r="J39" i="64"/>
  <c r="K39" i="64" s="1"/>
  <c r="E117" i="64"/>
  <c r="E119" i="64" s="1"/>
  <c r="J165" i="64"/>
  <c r="E82" i="64"/>
  <c r="I165" i="64"/>
  <c r="H165" i="64"/>
  <c r="K165" i="64"/>
  <c r="D46" i="64"/>
  <c r="F132" i="64"/>
  <c r="F160" i="64"/>
  <c r="F89" i="64"/>
  <c r="G89" i="64"/>
  <c r="D184" i="64"/>
  <c r="G163" i="64"/>
  <c r="F119" i="64"/>
  <c r="G115" i="64"/>
  <c r="G92" i="64"/>
  <c r="F96" i="64"/>
  <c r="F97" i="64" s="1"/>
  <c r="F145" i="64"/>
  <c r="F55" i="64"/>
  <c r="F131" i="64"/>
  <c r="F159" i="64"/>
  <c r="G10" i="64"/>
  <c r="F188" i="64"/>
  <c r="F176" i="64"/>
  <c r="E10" i="64"/>
  <c r="F88" i="64"/>
  <c r="K142" i="64"/>
  <c r="H154" i="64"/>
  <c r="H156" i="64" s="1"/>
  <c r="G71" i="64"/>
  <c r="E36" i="64"/>
  <c r="G36" i="64" s="1"/>
  <c r="F83" i="64"/>
  <c r="F184" i="64"/>
  <c r="F56" i="64"/>
  <c r="F84" i="64"/>
  <c r="F177" i="64"/>
  <c r="F189" i="64"/>
  <c r="I11" i="64" l="1"/>
  <c r="F112" i="64"/>
  <c r="H149" i="64"/>
  <c r="H151" i="64" s="1"/>
  <c r="G166" i="64"/>
  <c r="G169" i="64" s="1"/>
  <c r="G20" i="64"/>
  <c r="G125" i="64"/>
  <c r="G68" i="64" s="1"/>
  <c r="G21" i="64"/>
  <c r="G112" i="64"/>
  <c r="G119" i="64"/>
  <c r="G22" i="64"/>
  <c r="G16" i="64"/>
  <c r="G24" i="64"/>
  <c r="G19" i="64"/>
  <c r="G23" i="64"/>
  <c r="H13" i="64"/>
  <c r="G17" i="64"/>
  <c r="I43" i="64"/>
  <c r="J43" i="64" s="1"/>
  <c r="J37" i="64"/>
  <c r="K37" i="64" s="1"/>
  <c r="G15" i="64"/>
  <c r="G14" i="64" s="1"/>
  <c r="G102" i="64" s="1"/>
  <c r="G59" i="64" s="1"/>
  <c r="E78" i="64"/>
  <c r="K35" i="64"/>
  <c r="J41" i="64"/>
  <c r="K38" i="64"/>
  <c r="K42" i="64"/>
  <c r="K45" i="64"/>
  <c r="H36" i="64"/>
  <c r="G177" i="64"/>
  <c r="G132" i="64"/>
  <c r="G146" i="64"/>
  <c r="G160" i="64"/>
  <c r="G56" i="64"/>
  <c r="G189" i="64"/>
  <c r="K104" i="64"/>
  <c r="H71" i="64"/>
  <c r="I154" i="64"/>
  <c r="I156" i="64" s="1"/>
  <c r="E188" i="64"/>
  <c r="E159" i="64"/>
  <c r="E145" i="64"/>
  <c r="E131" i="64"/>
  <c r="E55" i="64"/>
  <c r="E88" i="64"/>
  <c r="D10" i="64"/>
  <c r="E176" i="64"/>
  <c r="F82" i="64"/>
  <c r="F78" i="64"/>
  <c r="G176" i="64"/>
  <c r="G145" i="64"/>
  <c r="H10" i="64"/>
  <c r="G131" i="64"/>
  <c r="G88" i="64"/>
  <c r="G188" i="64"/>
  <c r="G159" i="64"/>
  <c r="G55" i="64"/>
  <c r="E51" i="64"/>
  <c r="J11" i="64" l="1"/>
  <c r="H60" i="64"/>
  <c r="C10" i="64"/>
  <c r="C55" i="64" s="1"/>
  <c r="D55" i="64"/>
  <c r="H163" i="64"/>
  <c r="H166" i="64" s="1"/>
  <c r="H169" i="64" s="1"/>
  <c r="G70" i="64"/>
  <c r="I149" i="64"/>
  <c r="I151" i="64" s="1"/>
  <c r="H63" i="64"/>
  <c r="G25" i="64"/>
  <c r="G26" i="64" s="1"/>
  <c r="H17" i="64"/>
  <c r="H125" i="64"/>
  <c r="H68" i="64" s="1"/>
  <c r="G124" i="64"/>
  <c r="G198" i="64" s="1"/>
  <c r="H123" i="64"/>
  <c r="G109" i="64"/>
  <c r="G66" i="64" s="1"/>
  <c r="H24" i="64"/>
  <c r="H21" i="64"/>
  <c r="H18" i="64"/>
  <c r="H49" i="64" s="1"/>
  <c r="H19" i="64"/>
  <c r="H20" i="64"/>
  <c r="H15" i="64"/>
  <c r="H14" i="64" s="1"/>
  <c r="H23" i="64"/>
  <c r="I13" i="64"/>
  <c r="I23" i="64" s="1"/>
  <c r="H22" i="64"/>
  <c r="H16" i="64"/>
  <c r="K43" i="64"/>
  <c r="K41" i="64"/>
  <c r="I36" i="64"/>
  <c r="H177" i="64"/>
  <c r="H132" i="64"/>
  <c r="H89" i="64"/>
  <c r="H189" i="64"/>
  <c r="H146" i="64"/>
  <c r="H160" i="64"/>
  <c r="H56" i="64"/>
  <c r="I177" i="64"/>
  <c r="I189" i="64"/>
  <c r="I71" i="64"/>
  <c r="J154" i="64"/>
  <c r="J156" i="64" s="1"/>
  <c r="E46" i="64"/>
  <c r="D145" i="64"/>
  <c r="D131" i="64"/>
  <c r="D176" i="64"/>
  <c r="H159" i="64"/>
  <c r="H55" i="64"/>
  <c r="H88" i="64"/>
  <c r="H131" i="64"/>
  <c r="I10" i="64"/>
  <c r="H145" i="64"/>
  <c r="H176" i="64"/>
  <c r="H188" i="64"/>
  <c r="K11" i="64" l="1"/>
  <c r="I163" i="64"/>
  <c r="I166" i="64" s="1"/>
  <c r="J163" i="64" s="1"/>
  <c r="J166" i="64" s="1"/>
  <c r="J169" i="64" s="1"/>
  <c r="H70" i="64"/>
  <c r="I63" i="64"/>
  <c r="J149" i="64"/>
  <c r="J151" i="64" s="1"/>
  <c r="J63" i="64" s="1"/>
  <c r="I60" i="64"/>
  <c r="I17" i="64"/>
  <c r="I22" i="64"/>
  <c r="I20" i="64"/>
  <c r="H102" i="64"/>
  <c r="H59" i="64" s="1"/>
  <c r="H109" i="64"/>
  <c r="H66" i="64" s="1"/>
  <c r="H25" i="64"/>
  <c r="H26" i="64" s="1"/>
  <c r="H124" i="64"/>
  <c r="H198" i="64" s="1"/>
  <c r="I123" i="64"/>
  <c r="I16" i="64"/>
  <c r="I125" i="64"/>
  <c r="I68" i="64" s="1"/>
  <c r="I19" i="64"/>
  <c r="I18" i="64"/>
  <c r="I49" i="64" s="1"/>
  <c r="I24" i="64"/>
  <c r="J13" i="64"/>
  <c r="J17" i="64" s="1"/>
  <c r="I21" i="64"/>
  <c r="G46" i="64"/>
  <c r="J36" i="64"/>
  <c r="I15" i="64"/>
  <c r="I56" i="64"/>
  <c r="I132" i="64"/>
  <c r="I89" i="64"/>
  <c r="I146" i="64"/>
  <c r="I160" i="64"/>
  <c r="J177" i="64"/>
  <c r="G94" i="64"/>
  <c r="G58" i="64" s="1"/>
  <c r="G139" i="64"/>
  <c r="G117" i="64"/>
  <c r="G67" i="64" s="1"/>
  <c r="I88" i="64"/>
  <c r="I55" i="64"/>
  <c r="I159" i="64"/>
  <c r="I188" i="64"/>
  <c r="I145" i="64"/>
  <c r="I131" i="64"/>
  <c r="I176" i="64"/>
  <c r="J10" i="64"/>
  <c r="J71" i="64"/>
  <c r="K154" i="64"/>
  <c r="K156" i="64" s="1"/>
  <c r="K71" i="64" s="1"/>
  <c r="E85" i="64"/>
  <c r="E83" i="64"/>
  <c r="E84" i="64"/>
  <c r="E184" i="64"/>
  <c r="I169" i="64" l="1"/>
  <c r="J60" i="64"/>
  <c r="I70" i="64"/>
  <c r="K149" i="64"/>
  <c r="K151" i="64" s="1"/>
  <c r="K63" i="64" s="1"/>
  <c r="J21" i="64"/>
  <c r="J20" i="64"/>
  <c r="J22" i="64"/>
  <c r="J125" i="64"/>
  <c r="J68" i="64" s="1"/>
  <c r="K13" i="64"/>
  <c r="K18" i="64" s="1"/>
  <c r="K49" i="64" s="1"/>
  <c r="I25" i="64"/>
  <c r="I26" i="64" s="1"/>
  <c r="J19" i="64"/>
  <c r="I124" i="64"/>
  <c r="I198" i="64" s="1"/>
  <c r="J123" i="64"/>
  <c r="J16" i="64"/>
  <c r="J24" i="64"/>
  <c r="J18" i="64"/>
  <c r="J49" i="64" s="1"/>
  <c r="J23" i="64"/>
  <c r="I14" i="64"/>
  <c r="K36" i="64"/>
  <c r="J15" i="64"/>
  <c r="J14" i="64" s="1"/>
  <c r="H46" i="64"/>
  <c r="I46" i="64" s="1"/>
  <c r="J146" i="64"/>
  <c r="K177" i="64"/>
  <c r="J132" i="64"/>
  <c r="J89" i="64"/>
  <c r="J160" i="64"/>
  <c r="J189" i="64"/>
  <c r="J56" i="64"/>
  <c r="I117" i="64"/>
  <c r="H139" i="64"/>
  <c r="H117" i="64"/>
  <c r="H67" i="64" s="1"/>
  <c r="H94" i="64"/>
  <c r="H58" i="64" s="1"/>
  <c r="G116" i="64"/>
  <c r="G196" i="64" s="1"/>
  <c r="H115" i="64"/>
  <c r="G135" i="64"/>
  <c r="G62" i="64" s="1"/>
  <c r="G141" i="64"/>
  <c r="G136" i="64" s="1"/>
  <c r="H92" i="64"/>
  <c r="G93" i="64"/>
  <c r="G193" i="64" s="1"/>
  <c r="J70" i="64"/>
  <c r="K163" i="64"/>
  <c r="K166" i="64" s="1"/>
  <c r="K70" i="64" s="1"/>
  <c r="J145" i="64"/>
  <c r="J88" i="64"/>
  <c r="J176" i="64"/>
  <c r="J159" i="64"/>
  <c r="K10" i="64"/>
  <c r="J55" i="64"/>
  <c r="J188" i="64"/>
  <c r="J131" i="64"/>
  <c r="K60" i="64" l="1"/>
  <c r="K15" i="64"/>
  <c r="K14" i="64" s="1"/>
  <c r="K16" i="64"/>
  <c r="K24" i="64"/>
  <c r="K19" i="64"/>
  <c r="J115" i="64"/>
  <c r="I67" i="64"/>
  <c r="K17" i="64"/>
  <c r="J25" i="64"/>
  <c r="J26" i="64" s="1"/>
  <c r="K23" i="64"/>
  <c r="J102" i="64"/>
  <c r="J59" i="64" s="1"/>
  <c r="J109" i="64"/>
  <c r="J66" i="64" s="1"/>
  <c r="I102" i="64"/>
  <c r="I59" i="64" s="1"/>
  <c r="I109" i="64"/>
  <c r="I66" i="64" s="1"/>
  <c r="K22" i="64"/>
  <c r="J124" i="64"/>
  <c r="J198" i="64" s="1"/>
  <c r="K123" i="64"/>
  <c r="K21" i="64"/>
  <c r="K125" i="64"/>
  <c r="K68" i="64" s="1"/>
  <c r="K20" i="64"/>
  <c r="J46" i="64"/>
  <c r="K89" i="64"/>
  <c r="K160" i="64"/>
  <c r="K189" i="64"/>
  <c r="K132" i="64"/>
  <c r="K56" i="64"/>
  <c r="K146" i="64"/>
  <c r="I94" i="64"/>
  <c r="I139" i="64"/>
  <c r="I141" i="64" s="1"/>
  <c r="I136" i="64" s="1"/>
  <c r="H116" i="64"/>
  <c r="H196" i="64" s="1"/>
  <c r="I115" i="64"/>
  <c r="I116" i="64" s="1"/>
  <c r="I196" i="64" s="1"/>
  <c r="G137" i="64"/>
  <c r="H135" i="64"/>
  <c r="H141" i="64"/>
  <c r="G202" i="64"/>
  <c r="G203" i="64" s="1"/>
  <c r="I92" i="64"/>
  <c r="H93" i="64"/>
  <c r="H193" i="64" s="1"/>
  <c r="K188" i="64"/>
  <c r="K145" i="64"/>
  <c r="K55" i="64"/>
  <c r="K176" i="64"/>
  <c r="K131" i="64"/>
  <c r="K159" i="64"/>
  <c r="K88" i="64"/>
  <c r="K169" i="64"/>
  <c r="H202" i="64" l="1"/>
  <c r="H203" i="64" s="1"/>
  <c r="H62" i="64"/>
  <c r="K25" i="64"/>
  <c r="K26" i="64" s="1"/>
  <c r="K124" i="64"/>
  <c r="K198" i="64" s="1"/>
  <c r="K102" i="64"/>
  <c r="K59" i="64" s="1"/>
  <c r="K109" i="64"/>
  <c r="K66" i="64" s="1"/>
  <c r="J92" i="64"/>
  <c r="I58" i="64"/>
  <c r="K46" i="64"/>
  <c r="I93" i="64"/>
  <c r="I193" i="64" s="1"/>
  <c r="I135" i="64"/>
  <c r="I192" i="64"/>
  <c r="J94" i="64"/>
  <c r="J139" i="64"/>
  <c r="J135" i="64" s="1"/>
  <c r="J117" i="64"/>
  <c r="K117" i="64"/>
  <c r="K67" i="64" s="1"/>
  <c r="H134" i="64"/>
  <c r="H136" i="64"/>
  <c r="H192" i="64"/>
  <c r="G192" i="64"/>
  <c r="H100" i="64"/>
  <c r="G101" i="64"/>
  <c r="G194" i="64" s="1"/>
  <c r="G108" i="64"/>
  <c r="G195" i="64" s="1"/>
  <c r="H107" i="64"/>
  <c r="G51" i="64"/>
  <c r="J107" i="64"/>
  <c r="I202" i="64" l="1"/>
  <c r="I203" i="64" s="1"/>
  <c r="I62" i="64"/>
  <c r="J202" i="64"/>
  <c r="J203" i="64" s="1"/>
  <c r="J62" i="64"/>
  <c r="J116" i="64"/>
  <c r="J196" i="64" s="1"/>
  <c r="J67" i="64"/>
  <c r="J93" i="64"/>
  <c r="J193" i="64" s="1"/>
  <c r="J58" i="64"/>
  <c r="K92" i="64"/>
  <c r="I51" i="64"/>
  <c r="J141" i="64"/>
  <c r="J192" i="64" s="1"/>
  <c r="K115" i="64"/>
  <c r="K116" i="64" s="1"/>
  <c r="K196" i="64" s="1"/>
  <c r="K139" i="64"/>
  <c r="K141" i="64" s="1"/>
  <c r="K94" i="64"/>
  <c r="K58" i="64" s="1"/>
  <c r="J100" i="64"/>
  <c r="H137" i="64"/>
  <c r="H101" i="64"/>
  <c r="H194" i="64" s="1"/>
  <c r="I100" i="64"/>
  <c r="I101" i="64" s="1"/>
  <c r="I194" i="64" s="1"/>
  <c r="H51" i="64"/>
  <c r="I107" i="64"/>
  <c r="I108" i="64" s="1"/>
  <c r="I195" i="64" s="1"/>
  <c r="H108" i="64"/>
  <c r="H195" i="64" s="1"/>
  <c r="K93" i="64" l="1"/>
  <c r="K193" i="64" s="1"/>
  <c r="J136" i="64"/>
  <c r="K135" i="64"/>
  <c r="I134" i="64"/>
  <c r="I137" i="64" s="1"/>
  <c r="J51" i="64"/>
  <c r="J101" i="64"/>
  <c r="J194" i="64" s="1"/>
  <c r="K100" i="64"/>
  <c r="J108" i="64"/>
  <c r="J195" i="64" s="1"/>
  <c r="K107" i="64"/>
  <c r="K192" i="64"/>
  <c r="K136" i="64"/>
  <c r="K202" i="64" l="1"/>
  <c r="K203" i="64" s="1"/>
  <c r="K62" i="64"/>
  <c r="J134" i="64"/>
  <c r="J137" i="64" s="1"/>
  <c r="K51" i="64"/>
  <c r="K108" i="64" l="1"/>
  <c r="K195" i="64" s="1"/>
  <c r="K101" i="64"/>
  <c r="K194" i="64" s="1"/>
  <c r="K134" i="64"/>
  <c r="K137" i="64" s="1"/>
  <c r="G206" i="64" l="1"/>
  <c r="G69" i="64" l="1"/>
  <c r="G72" i="64" s="1"/>
  <c r="H69" i="64" l="1"/>
  <c r="H72" i="64" s="1"/>
  <c r="I69" i="64" l="1"/>
  <c r="I72" i="64" s="1"/>
  <c r="J69" i="64" l="1"/>
  <c r="J72" i="64" s="1"/>
  <c r="K69" i="64" l="1"/>
  <c r="K72" i="64" s="1"/>
  <c r="K206" i="64"/>
  <c r="J206" i="64"/>
  <c r="I206" i="64"/>
  <c r="H206" i="64"/>
  <c r="G27" i="64"/>
  <c r="H27" i="64"/>
  <c r="I27" i="64"/>
  <c r="J27" i="64"/>
  <c r="K27" i="64"/>
  <c r="G29" i="64"/>
  <c r="H29" i="64"/>
  <c r="I29" i="64"/>
  <c r="J29" i="64"/>
  <c r="K29" i="64"/>
  <c r="G30" i="64"/>
  <c r="H30" i="64"/>
  <c r="I30" i="64"/>
  <c r="J30" i="64"/>
  <c r="K30" i="64"/>
  <c r="G31" i="64"/>
  <c r="H31" i="64"/>
  <c r="I31" i="64"/>
  <c r="J31" i="64"/>
  <c r="K31" i="64"/>
  <c r="G57" i="64"/>
  <c r="H57" i="64"/>
  <c r="I57" i="64"/>
  <c r="J57" i="64"/>
  <c r="K57" i="64"/>
  <c r="G61" i="64"/>
  <c r="H61" i="64"/>
  <c r="I61" i="64"/>
  <c r="J61" i="64"/>
  <c r="K61" i="64"/>
  <c r="G64" i="64"/>
  <c r="H64" i="64"/>
  <c r="I64" i="64"/>
  <c r="J64" i="64"/>
  <c r="K64" i="64"/>
  <c r="G75" i="64"/>
  <c r="H75" i="64"/>
  <c r="I75" i="64"/>
  <c r="J75" i="64"/>
  <c r="K75" i="64"/>
  <c r="G76" i="64"/>
  <c r="H76" i="64"/>
  <c r="I76" i="64"/>
  <c r="J76" i="64"/>
  <c r="K76" i="64"/>
  <c r="G78" i="64"/>
  <c r="H78" i="64"/>
  <c r="I78" i="64"/>
  <c r="J78" i="64"/>
  <c r="K78" i="64"/>
  <c r="G81" i="64"/>
  <c r="H81" i="64"/>
  <c r="I81" i="64"/>
  <c r="J81" i="64"/>
  <c r="K81" i="64"/>
  <c r="G82" i="64"/>
  <c r="H82" i="64"/>
  <c r="I82" i="64"/>
  <c r="J82" i="64"/>
  <c r="K82" i="64"/>
  <c r="G83" i="64"/>
  <c r="H83" i="64"/>
  <c r="I83" i="64"/>
  <c r="J83" i="64"/>
  <c r="K83" i="64"/>
  <c r="G84" i="64"/>
  <c r="H84" i="64"/>
  <c r="I84" i="64"/>
  <c r="J84" i="64"/>
  <c r="K84" i="64"/>
  <c r="G85" i="64"/>
  <c r="H85" i="64"/>
  <c r="I85" i="64"/>
  <c r="J85" i="64"/>
  <c r="K85" i="64"/>
  <c r="H180" i="64"/>
  <c r="I180" i="64"/>
  <c r="J180" i="64"/>
  <c r="K180" i="64"/>
  <c r="G181" i="64"/>
  <c r="H181" i="64"/>
  <c r="I181" i="64"/>
  <c r="J181" i="64"/>
  <c r="K181" i="64"/>
  <c r="G182" i="64"/>
  <c r="H182" i="64"/>
  <c r="I182" i="64"/>
  <c r="J182" i="64"/>
  <c r="K182" i="64"/>
  <c r="G184" i="64"/>
  <c r="H184" i="64"/>
  <c r="I184" i="64"/>
  <c r="J184" i="64"/>
  <c r="K184" i="64"/>
  <c r="G191" i="64"/>
  <c r="H191" i="64"/>
  <c r="I191" i="64"/>
  <c r="J191" i="64"/>
  <c r="K191" i="64"/>
  <c r="G200" i="64"/>
  <c r="H200" i="64"/>
  <c r="I200" i="64"/>
  <c r="J200" i="64"/>
  <c r="K200" i="64"/>
  <c r="G208" i="64"/>
  <c r="H208" i="64"/>
  <c r="I208" i="64"/>
  <c r="J208" i="64"/>
  <c r="K208" i="64"/>
  <c r="H212" i="64"/>
  <c r="I212" i="64"/>
  <c r="J212" i="64"/>
  <c r="K212" i="64"/>
  <c r="G213" i="64"/>
  <c r="H213" i="64"/>
  <c r="I213" i="64"/>
  <c r="J213" i="64"/>
  <c r="K213" i="64"/>
  <c r="G214" i="64"/>
  <c r="H214" i="64"/>
  <c r="I214" i="64"/>
  <c r="J214" i="64"/>
  <c r="K214" i="64"/>
  <c r="G217" i="64"/>
  <c r="H217" i="64"/>
  <c r="I217" i="64"/>
  <c r="J217" i="64"/>
  <c r="K217" i="6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Wall Street Prep</author>
  </authors>
  <commentList>
    <comment ref="C7" authorId="0" shapeId="0" xr:uid="{702CED66-8A7B-461F-BBE2-8D83F70CE0C6}">
      <text>
        <r>
          <rPr>
            <b/>
            <sz val="9"/>
            <color indexed="81"/>
            <rFont val="Tahoma"/>
            <family val="2"/>
          </rPr>
          <t>Wall Street Prep:</t>
        </r>
        <r>
          <rPr>
            <sz val="9"/>
            <color indexed="81"/>
            <rFont val="Tahoma"/>
            <family val="2"/>
          </rPr>
          <t xml:space="preserve">
If the model "blows up" (i.e. REF and DIV/0 everywhere), turn the circuit breaker above on, and then immediately off again. 
</t>
        </r>
        <r>
          <rPr>
            <b/>
            <sz val="9"/>
            <color indexed="81"/>
            <rFont val="Tahoma"/>
            <family val="2"/>
          </rPr>
          <t xml:space="preserve">Why do we need this?
</t>
        </r>
        <r>
          <rPr>
            <sz val="9"/>
            <color indexed="81"/>
            <rFont val="Tahoma"/>
            <family val="2"/>
          </rPr>
          <t xml:space="preserve">This model has an intentional circularity in the calculation of interest expense and interest income. 
Interest expense is calculated as interest rate times average current and prior period revolver debt balances. Since current period revolver balance is itself impacted by current period interest expense, the circularity exists.
The same logic applies to interest expense.
</t>
        </r>
        <r>
          <rPr>
            <b/>
            <sz val="9"/>
            <color indexed="81"/>
            <rFont val="Tahoma"/>
            <family val="2"/>
          </rPr>
          <t xml:space="preserve">Setting Iterations in Excel
</t>
        </r>
        <r>
          <rPr>
            <sz val="9"/>
            <color indexed="81"/>
            <rFont val="Tahoma"/>
            <family val="2"/>
          </rPr>
          <t xml:space="preserve">Make sure that iterations are selected under Excel Options &gt; Formulas
</t>
        </r>
        <r>
          <rPr>
            <b/>
            <sz val="9"/>
            <color indexed="81"/>
            <rFont val="Tahoma"/>
            <family val="2"/>
          </rPr>
          <t>Removing circularity altogether</t>
        </r>
        <r>
          <rPr>
            <sz val="9"/>
            <color indexed="81"/>
            <rFont val="Tahoma"/>
            <family val="2"/>
          </rPr>
          <t xml:space="preserve">
To avoid a circularity altogether, calculate interest expense using prior period debt balances (as opposed to average balances).</t>
        </r>
      </text>
    </comment>
    <comment ref="D7" authorId="0" shapeId="0" xr:uid="{00000000-0006-0000-0100-000001000000}">
      <text>
        <r>
          <rPr>
            <b/>
            <sz val="9"/>
            <color indexed="81"/>
            <rFont val="Tahoma"/>
            <family val="2"/>
          </rPr>
          <t>Wall Street Prep:</t>
        </r>
        <r>
          <rPr>
            <sz val="9"/>
            <color indexed="81"/>
            <rFont val="Tahoma"/>
            <family val="2"/>
          </rPr>
          <t xml:space="preserve">
If the model "blows up" (i.e. REF and DIV/0 everywhere), turn the circuit breaker above on, and then immediately off again. 
</t>
        </r>
        <r>
          <rPr>
            <b/>
            <sz val="9"/>
            <color indexed="81"/>
            <rFont val="Tahoma"/>
            <family val="2"/>
          </rPr>
          <t xml:space="preserve">Why do we need this?
</t>
        </r>
        <r>
          <rPr>
            <sz val="9"/>
            <color indexed="81"/>
            <rFont val="Tahoma"/>
            <family val="2"/>
          </rPr>
          <t xml:space="preserve">This model has an intentional circularity in the calculation of interest expense and interest income. 
Interest expense is calculated as interest rate times average current and prior period revolver debt balances. Since current period revolver balance is itself impacted by current period interest expense, the circularity exists.
The same logic applies to interest expense.
</t>
        </r>
        <r>
          <rPr>
            <b/>
            <sz val="9"/>
            <color indexed="81"/>
            <rFont val="Tahoma"/>
            <family val="2"/>
          </rPr>
          <t xml:space="preserve">Setting Iterations in Excel
</t>
        </r>
        <r>
          <rPr>
            <sz val="9"/>
            <color indexed="81"/>
            <rFont val="Tahoma"/>
            <family val="2"/>
          </rPr>
          <t xml:space="preserve">Make sure that iterations are selected under Excel Options &gt; Formulas
</t>
        </r>
        <r>
          <rPr>
            <b/>
            <sz val="9"/>
            <color indexed="81"/>
            <rFont val="Tahoma"/>
            <family val="2"/>
          </rPr>
          <t>Removing circularity altogether</t>
        </r>
        <r>
          <rPr>
            <sz val="9"/>
            <color indexed="81"/>
            <rFont val="Tahoma"/>
            <family val="2"/>
          </rPr>
          <t xml:space="preserve">
To avoid a circularity altogether, calculate interest expense using prior period debt balances (as opposed to average balances).</t>
        </r>
      </text>
    </comment>
  </commentList>
</comments>
</file>

<file path=xl/sharedStrings.xml><?xml version="1.0" encoding="utf-8"?>
<sst xmlns="http://schemas.openxmlformats.org/spreadsheetml/2006/main" count="157" uniqueCount="112">
  <si>
    <t>Tax rate</t>
  </si>
  <si>
    <t>Revenue growth</t>
  </si>
  <si>
    <t>Net income</t>
  </si>
  <si>
    <t>Operating profit (EBIT)</t>
  </si>
  <si>
    <t>EBITDA</t>
  </si>
  <si>
    <t>OFF</t>
  </si>
  <si>
    <t>Interest income</t>
  </si>
  <si>
    <t>Company name</t>
  </si>
  <si>
    <t>Fiscal year end date</t>
  </si>
  <si>
    <t>Latest fiscal year end date</t>
  </si>
  <si>
    <t xml:space="preserve">Fiscal year  </t>
  </si>
  <si>
    <t>Pretax profit</t>
  </si>
  <si>
    <t>Gross Profit</t>
  </si>
  <si>
    <t>Cost of sales (enter as -)</t>
  </si>
  <si>
    <t>Taxes (enter expense as -)</t>
  </si>
  <si>
    <t>Gross profit as % of sales</t>
  </si>
  <si>
    <t>Depreciation &amp; amortization</t>
  </si>
  <si>
    <t>EBITDA reconciliation</t>
  </si>
  <si>
    <t>Growth rates &amp; margins</t>
  </si>
  <si>
    <t>INCOME STATEMENT</t>
  </si>
  <si>
    <t>Circuit breaker:</t>
  </si>
  <si>
    <t>BALANCE SHEET</t>
  </si>
  <si>
    <t>Accounts receivable</t>
  </si>
  <si>
    <t>Other current assets (inc. non-trade receivables)</t>
  </si>
  <si>
    <t>Total assets</t>
  </si>
  <si>
    <t>Accounts payable</t>
  </si>
  <si>
    <t>Long term debt</t>
  </si>
  <si>
    <t>Total liabilities</t>
  </si>
  <si>
    <t>Common stock / additional paid in capital</t>
  </si>
  <si>
    <t>Retained earnings / accumulated deficit</t>
  </si>
  <si>
    <t>Total equity</t>
  </si>
  <si>
    <t>Balance check</t>
  </si>
  <si>
    <t>Ratios</t>
  </si>
  <si>
    <t>Net debt</t>
  </si>
  <si>
    <t>Asset turnover (Revenue / Total assets)</t>
  </si>
  <si>
    <t>Net profit margin</t>
  </si>
  <si>
    <t>Return on assets (ROA)</t>
  </si>
  <si>
    <t>Return on book equity (ROE)</t>
  </si>
  <si>
    <t>WORKING CAPITAL</t>
  </si>
  <si>
    <t>Beginning of period</t>
  </si>
  <si>
    <t>Increases / (decreases)</t>
  </si>
  <si>
    <t>End of period</t>
  </si>
  <si>
    <t>AR as % of sales</t>
  </si>
  <si>
    <t>Days sales outstanding (DSO)</t>
  </si>
  <si>
    <t>AP as % of COGS</t>
  </si>
  <si>
    <t>Days payables outstanding (DPO)</t>
  </si>
  <si>
    <t>Accrued expenses &amp; def revenues</t>
  </si>
  <si>
    <t>Accrued expenses &amp; def revs as % of sales</t>
  </si>
  <si>
    <t>PROPERTY, PLANT &amp; EQUIPMENT</t>
  </si>
  <si>
    <t>Plus: Capital expenditures</t>
  </si>
  <si>
    <t>Less: Depreciation</t>
  </si>
  <si>
    <t>Capex (enter as +)</t>
  </si>
  <si>
    <t>Capital expenditures as % of revenue</t>
  </si>
  <si>
    <t>Depreciation (enter as -)</t>
  </si>
  <si>
    <t>Depreciation as a % of capital expenditures</t>
  </si>
  <si>
    <t>OTHER ASSETS / LIABILITIES &amp; DEFERRED TAXES</t>
  </si>
  <si>
    <t>DEBT</t>
  </si>
  <si>
    <t xml:space="preserve">Long term debt </t>
  </si>
  <si>
    <t xml:space="preserve">Additional borrowing / (pay down) </t>
  </si>
  <si>
    <t>Interest expense on long term debt</t>
  </si>
  <si>
    <t>Weighted average interest rate</t>
  </si>
  <si>
    <t>PIK accrual</t>
  </si>
  <si>
    <t>% of interest expense paid in cash</t>
  </si>
  <si>
    <t>RETAINED EARNINGS &amp; OCI</t>
  </si>
  <si>
    <t>Retained earnings</t>
  </si>
  <si>
    <t>Plus: Net income</t>
  </si>
  <si>
    <t>CASH FLOW STATEMENT</t>
  </si>
  <si>
    <t>Depreciation and amortization</t>
  </si>
  <si>
    <t>Cash from operating activities</t>
  </si>
  <si>
    <t>Capital expenditures</t>
  </si>
  <si>
    <t>Cash from investing activities</t>
  </si>
  <si>
    <t>Cash from financing activities</t>
  </si>
  <si>
    <t>Net change in cash during period</t>
  </si>
  <si>
    <t>Cash</t>
  </si>
  <si>
    <t>+/- additions</t>
  </si>
  <si>
    <t>Interest rate on cash</t>
  </si>
  <si>
    <t>General</t>
  </si>
  <si>
    <t>Payroll Expense</t>
  </si>
  <si>
    <t>D&amp;A</t>
  </si>
  <si>
    <t>Professional Fees</t>
  </si>
  <si>
    <t>Advertising Expense</t>
  </si>
  <si>
    <t>Rent</t>
  </si>
  <si>
    <t>Utilities</t>
  </si>
  <si>
    <t>Insurance</t>
  </si>
  <si>
    <t>Auto</t>
  </si>
  <si>
    <t>Total Operating Expenses</t>
  </si>
  <si>
    <t>Interest income, net</t>
  </si>
  <si>
    <t>Other income (expense) (enter as -)</t>
  </si>
  <si>
    <t>Core Business Revenue</t>
  </si>
  <si>
    <t>General Expense Margin</t>
  </si>
  <si>
    <t>Payroll Margin</t>
  </si>
  <si>
    <t>D&amp;A Margin</t>
  </si>
  <si>
    <t>Professional Fees Margin</t>
  </si>
  <si>
    <t>Advertising Margin</t>
  </si>
  <si>
    <t>Rent Margin</t>
  </si>
  <si>
    <t>Utilties Margin</t>
  </si>
  <si>
    <t>Insurance Margin</t>
  </si>
  <si>
    <t>Auto Margin</t>
  </si>
  <si>
    <t>Cash &amp; equivalents + Short Term Investments</t>
  </si>
  <si>
    <t>Vendor Deposits</t>
  </si>
  <si>
    <t>Prepaid Expenses and Other Current Assets</t>
  </si>
  <si>
    <t>Total Current Assets</t>
  </si>
  <si>
    <t>Property and Equipment, net</t>
  </si>
  <si>
    <t>Other Assets</t>
  </si>
  <si>
    <t>Customer Deposits</t>
  </si>
  <si>
    <t>Total Current Liabilities</t>
  </si>
  <si>
    <t>Deferred Rent</t>
  </si>
  <si>
    <t>Deposits as % of COGS</t>
  </si>
  <si>
    <t>x</t>
  </si>
  <si>
    <t>Accrued expenses &amp; other current liabilities</t>
  </si>
  <si>
    <t>Customer Deposits as a % of sales</t>
  </si>
  <si>
    <t xml:space="preserve">Accrued expenses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</si>
</sst>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7">
    <numFmt numFmtId="5" formatCode="&quot;$&quot;#,##0_);\(&quot;$&quot;#,##0\)"/>
    <numFmt numFmtId="6" formatCode="&quot;$&quot;#,##0_);[Red]\(&quot;$&quot;#,##0\)"/>
    <numFmt numFmtId="7" formatCode="&quot;$&quot;#,##0.00_);\(&quot;$&quot;#,##0.00\)"/>
    <numFmt numFmtId="8" formatCode="&quot;$&quot;#,##0.00_);[Red]\(&quot;$&quot;#,##0.00\)"/>
    <numFmt numFmtId="43" formatCode="_(* #,##0.00_);_(* \(#,##0.00\);_(* &quot;-&quot;??_);_(@_)"/>
    <numFmt numFmtId="164" formatCode="0.0%_);\(0.0%\);@_)"/>
    <numFmt numFmtId="165" formatCode="#,##0.0_);\(#,##0.0\);@_)"/>
    <numFmt numFmtId="166" formatCode="#,##0.00_);\(#,##0\)"/>
    <numFmt numFmtId="167" formatCode="#,##0.0%_);\(#,##0.0%\)"/>
    <numFmt numFmtId="168" formatCode="0.0\ \x"/>
    <numFmt numFmtId="169" formatCode="#,##0.00\ ;\(#,##0.00\)"/>
    <numFmt numFmtId="170" formatCode="&quot;$&quot;#,##0.00\ ;\(&quot;$&quot;#,##0.00\)"/>
    <numFmt numFmtId="171" formatCode="0.0%_);\(0.0%\)"/>
    <numFmt numFmtId="172" formatCode="0.000\ \x&quot;rate&quot;"/>
    <numFmt numFmtId="173" formatCode="#,##0.000_);[Red]\(#,##0.000\)"/>
    <numFmt numFmtId="174" formatCode="0.00_);\(0.00\);0.00"/>
    <numFmt numFmtId="175" formatCode="\C&quot;$&quot;#,##0.00_);[Red]\(&quot;$&quot;#,##0.00\)"/>
    <numFmt numFmtId="176" formatCode="#,##0%_);\(#,##0.0%\)"/>
    <numFmt numFmtId="177" formatCode="_(* #,##0.00000000_);_(* \(#,##0.00000000\);_(* &quot;-&quot;?_);_(@_)"/>
    <numFmt numFmtId="178" formatCode="mmm\-d\-yyyy"/>
    <numFmt numFmtId="179" formatCode="mmm\-yyyy"/>
    <numFmt numFmtId="180" formatCode="yyyy"/>
    <numFmt numFmtId="181" formatCode="0.00\x&quot;rate&quot;"/>
    <numFmt numFmtId="182" formatCode="0.0&quot;  &quot;"/>
    <numFmt numFmtId="183" formatCode="&quot;$&quot;#,##0.0\ ;[Red]\(&quot;$&quot;#,##0\)"/>
    <numFmt numFmtId="184" formatCode="&quot;$&quot;#,##0.000_);[Red]\(&quot;$&quot;#,##0.000\)"/>
    <numFmt numFmtId="185" formatCode="&quot;$&quot;#,##0.00&quot;A&quot;;[Red]\(&quot;$&quot;#,##0.00\)&quot;A&quot;"/>
    <numFmt numFmtId="186" formatCode="#,##0.0\ ;[Red]\(&quot;$&quot;#,##0\)"/>
    <numFmt numFmtId="187" formatCode="&quot;$&quot;#,##0.00&quot;E&quot;;[Red]\(&quot;$&quot;#,##0.00\)&quot;E&quot;"/>
    <numFmt numFmtId="188" formatCode="_([$€-2]* #,##0.00_);_([$€-2]* \(#,##0.00\);_([$€-2]* &quot;-&quot;??_)"/>
    <numFmt numFmtId="189" formatCode="#,##0.00;\(#,##0.00\)"/>
    <numFmt numFmtId="190" formatCode=".%\,\(0.0%%;\t"/>
    <numFmt numFmtId="191" formatCode="#,##0.0_);[Red]\(#,##0.0\)"/>
    <numFmt numFmtId="192" formatCode="0.0%_);[Red]\(0.0%\)"/>
    <numFmt numFmtId="193" formatCode="0.00_);\(0.00\);0.00_)"/>
    <numFmt numFmtId="194" formatCode="0.0%"/>
    <numFmt numFmtId="195" formatCode="#,##0\x"/>
    <numFmt numFmtId="196" formatCode="&quot;TKR&quot;\ 0"/>
    <numFmt numFmtId="197" formatCode=".%\,\(0.%%;\t"/>
    <numFmt numFmtId="198" formatCode="&quot;$&quot;#,###.0\ \ "/>
    <numFmt numFmtId="199" formatCode="#,##0.00\x_);[Red]\(#,##0.00\x\)"/>
    <numFmt numFmtId="200" formatCode="#,##0.0_);\(#,##0.0\)"/>
    <numFmt numFmtId="201" formatCode="#,##0.000_);\(#,##0.000\)"/>
    <numFmt numFmtId="202" formatCode="#,##0.00\x_);[Red]\(#,##0.00\x\);&quot;--  &quot;"/>
    <numFmt numFmtId="203" formatCode="_(* #,##0.0_);_(* \(#,##0.0\);_(* &quot;-&quot;??_);_(@_)"/>
    <numFmt numFmtId="204" formatCode="0.0\x_);[Red]\(0.0\x\)"/>
    <numFmt numFmtId="205" formatCode="0.0\ "/>
    <numFmt numFmtId="206" formatCode="&quot;$&quot;#,##0.0;\(&quot;$&quot;#,##0.00\)"/>
    <numFmt numFmtId="207" formatCode="#,##0.00%_);\(#,##0.00%\)"/>
    <numFmt numFmtId="208" formatCode="0.00\%;\-0.00\%;0.00\%"/>
    <numFmt numFmtId="209" formatCode="0.0%\ ;\(0.0%\)"/>
    <numFmt numFmtId="210" formatCode="_(&quot;$&quot;* #,##0_);_(&quot;$&quot;* \(#,##0\);_(&quot;$&quot;* &quot;-&quot;??_);_(@_)"/>
    <numFmt numFmtId="211" formatCode="&quot;$&quot;0.00\ "/>
    <numFmt numFmtId="212" formatCode="0.0\ \ \ \ \ "/>
    <numFmt numFmtId="213" formatCode="0.00\x;\-0.00\x;0.00\x"/>
    <numFmt numFmtId="214" formatCode="&quot;$&quot;#,##0.000_);\(&quot;$&quot;#,##0.000\)"/>
    <numFmt numFmtId="215" formatCode="#,##0.0_);\(#,##0.0\);_(* &quot;-&quot;_)"/>
    <numFmt numFmtId="216" formatCode="_(&quot;$&quot;* #,##0.00_);_(&quot;$&quot;* \(#,##0.00\);_(* &quot;-&quot;_);_(@_)"/>
    <numFmt numFmtId="217" formatCode="0.00%_);[Red]\(0.00%\)"/>
    <numFmt numFmtId="218" formatCode="#,##0.0\x_);\(#,##0.0\x\)"/>
    <numFmt numFmtId="219" formatCode="#,##0.00\x_);\(#,##0.00\x\)"/>
    <numFmt numFmtId="220" formatCode="###0&quot;E&quot;_)"/>
    <numFmt numFmtId="222" formatCode="0\A;[Red]0\A"/>
    <numFmt numFmtId="223" formatCode="0\P_);\(0\P\)"/>
    <numFmt numFmtId="225" formatCode="m/d/yy;@"/>
    <numFmt numFmtId="226" formatCode="#,##0_);\(#,##0\);@_)"/>
    <numFmt numFmtId="227" formatCode="&quot;$&quot;#,##0.0_);\(&quot;$&quot;#,##0.0\)"/>
    <numFmt numFmtId="228" formatCode="0.00\x_);\(0.00\x\);@_)"/>
    <numFmt numFmtId="229" formatCode="0\ &quot;days&quot;"/>
    <numFmt numFmtId="231" formatCode="0.00%_);\(0.00%\);@_)"/>
    <numFmt numFmtId="236" formatCode="[&gt;1]&quot;10Q: &quot;0&quot; qtrs&quot;;&quot;10Q: &quot;0&quot; qtr&quot;"/>
    <numFmt numFmtId="237" formatCode="&quot;$&quot;#,##0.00_);[Red]\(&quot;$&quot;#,##0.00\);&quot;--  &quot;;_(@_)"/>
    <numFmt numFmtId="238" formatCode="mmm\-dd\-yy"/>
    <numFmt numFmtId="239" formatCode="mmm\-dd\-yyyy"/>
    <numFmt numFmtId="240" formatCode="#,##0.0_);[Red]\(#,##0.0\);&quot;--  &quot;"/>
    <numFmt numFmtId="241" formatCode="0.00\x"/>
    <numFmt numFmtId="242" formatCode="0.0&quot; years&quot;"/>
  </numFmts>
  <fonts count="89">
    <font>
      <sz val="11"/>
      <color theme="1"/>
      <name val="Calibri"/>
      <family val="2"/>
      <scheme val="minor"/>
    </font>
    <font>
      <sz val="11"/>
      <color rgb="FF0000FF"/>
      <name val="Calibri"/>
      <family val="2"/>
      <scheme val="minor"/>
    </font>
    <font>
      <sz val="11"/>
      <color rgb="FF000000"/>
      <name val="Calibri"/>
      <family val="2"/>
      <scheme val="minor"/>
    </font>
    <font>
      <sz val="10"/>
      <name val="GillSans"/>
    </font>
    <font>
      <sz val="8"/>
      <color indexed="49"/>
      <name val="Times New Roman"/>
      <family val="1"/>
    </font>
    <font>
      <sz val="10"/>
      <name val="Arial"/>
      <family val="2"/>
    </font>
    <font>
      <sz val="10"/>
      <name val="Trebuchet MS"/>
      <family val="2"/>
    </font>
    <font>
      <sz val="11"/>
      <color indexed="8"/>
      <name val="Calibri"/>
      <family val="2"/>
    </font>
    <font>
      <sz val="11"/>
      <color indexed="9"/>
      <name val="Calibri"/>
      <family val="2"/>
    </font>
    <font>
      <sz val="11"/>
      <color indexed="20"/>
      <name val="Calibri"/>
      <family val="2"/>
    </font>
    <font>
      <sz val="8"/>
      <name val="Times New Roman"/>
      <family val="1"/>
    </font>
    <font>
      <sz val="10"/>
      <name val="Times New Roman"/>
      <family val="1"/>
    </font>
    <font>
      <b/>
      <sz val="18"/>
      <name val="Tms Rmn"/>
    </font>
    <font>
      <b/>
      <sz val="11"/>
      <color indexed="52"/>
      <name val="Calibri"/>
      <family val="2"/>
    </font>
    <font>
      <b/>
      <sz val="11"/>
      <color indexed="9"/>
      <name val="Calibri"/>
      <family val="2"/>
    </font>
    <font>
      <b/>
      <sz val="7"/>
      <name val="GillSans"/>
    </font>
    <font>
      <sz val="10"/>
      <name val="Geneva"/>
    </font>
    <font>
      <sz val="24"/>
      <name val="Arial"/>
      <family val="2"/>
    </font>
    <font>
      <sz val="8"/>
      <name val="Arial"/>
      <family val="2"/>
    </font>
    <font>
      <sz val="10"/>
      <name val="Helvetica"/>
      <family val="2"/>
    </font>
    <font>
      <b/>
      <sz val="8"/>
      <name val="Arial"/>
      <family val="2"/>
    </font>
    <font>
      <b/>
      <sz val="8"/>
      <name val="Times New Roman"/>
      <family val="1"/>
    </font>
    <font>
      <i/>
      <sz val="11"/>
      <color indexed="23"/>
      <name val="Calibri"/>
      <family val="2"/>
    </font>
    <font>
      <sz val="11"/>
      <color indexed="17"/>
      <name val="Calibri"/>
      <family val="2"/>
    </font>
    <font>
      <i/>
      <sz val="8"/>
      <color indexed="17"/>
      <name val="Times New Roman"/>
      <family val="1"/>
    </font>
    <font>
      <sz val="8"/>
      <color indexed="21"/>
      <name val="Arial"/>
      <family val="2"/>
    </font>
    <font>
      <b/>
      <sz val="15"/>
      <color indexed="56"/>
      <name val="Calibri"/>
      <family val="2"/>
    </font>
    <font>
      <b/>
      <sz val="13"/>
      <color indexed="56"/>
      <name val="Calibri"/>
      <family val="2"/>
    </font>
    <font>
      <b/>
      <sz val="11"/>
      <color indexed="56"/>
      <name val="Calibri"/>
      <family val="2"/>
    </font>
    <font>
      <sz val="10"/>
      <color indexed="12"/>
      <name val="Trebuchet MS"/>
      <family val="2"/>
    </font>
    <font>
      <sz val="10"/>
      <name val="MS Sans Serif"/>
      <family val="2"/>
    </font>
    <font>
      <sz val="11"/>
      <color indexed="62"/>
      <name val="Calibri"/>
      <family val="2"/>
    </font>
    <font>
      <b/>
      <sz val="10"/>
      <color indexed="9"/>
      <name val="Tms Rmn"/>
    </font>
    <font>
      <b/>
      <sz val="10"/>
      <name val="Arial"/>
      <family val="2"/>
    </font>
    <font>
      <sz val="11"/>
      <color indexed="52"/>
      <name val="Calibri"/>
      <family val="2"/>
    </font>
    <font>
      <sz val="8"/>
      <color indexed="18"/>
      <name val="Times New Roman"/>
      <family val="1"/>
    </font>
    <font>
      <sz val="11"/>
      <color indexed="60"/>
      <name val="Calibri"/>
      <family val="2"/>
    </font>
    <font>
      <b/>
      <sz val="11"/>
      <color indexed="63"/>
      <name val="Calibri"/>
      <family val="2"/>
    </font>
    <font>
      <sz val="10"/>
      <name val="Palatino"/>
    </font>
    <font>
      <sz val="12"/>
      <name val="Baskerville MT"/>
    </font>
    <font>
      <u/>
      <sz val="10"/>
      <name val="GillSans"/>
      <family val="2"/>
    </font>
    <font>
      <sz val="10"/>
      <name val="GillSans Light"/>
    </font>
    <font>
      <b/>
      <sz val="12"/>
      <name val="Arial"/>
      <family val="2"/>
    </font>
    <font>
      <b/>
      <sz val="16"/>
      <name val="Arial"/>
      <family val="2"/>
    </font>
    <font>
      <sz val="8"/>
      <name val="MS Sans Serif"/>
      <family val="2"/>
    </font>
    <font>
      <sz val="8.25"/>
      <color indexed="8"/>
      <name val="Arial"/>
      <family val="2"/>
    </font>
    <font>
      <b/>
      <u val="singleAccounting"/>
      <sz val="8"/>
      <color indexed="8"/>
      <name val="Arial"/>
      <family val="2"/>
    </font>
    <font>
      <sz val="8"/>
      <color indexed="8"/>
      <name val="Arial"/>
      <family val="2"/>
    </font>
    <font>
      <sz val="8"/>
      <color indexed="39"/>
      <name val="Arial"/>
      <family val="2"/>
    </font>
    <font>
      <sz val="7"/>
      <name val="Times New Roman"/>
      <family val="1"/>
    </font>
    <font>
      <sz val="7"/>
      <color indexed="17"/>
      <name val="Times New Roman"/>
      <family val="1"/>
    </font>
    <font>
      <sz val="7"/>
      <color indexed="18"/>
      <name val="Times New Roman"/>
      <family val="1"/>
    </font>
    <font>
      <b/>
      <sz val="12"/>
      <name val="GillSans"/>
      <family val="2"/>
    </font>
    <font>
      <b/>
      <sz val="18"/>
      <color indexed="56"/>
      <name val="Cambria"/>
      <family val="2"/>
    </font>
    <font>
      <b/>
      <sz val="11"/>
      <name val="GillSans"/>
    </font>
    <font>
      <b/>
      <sz val="8"/>
      <color indexed="18"/>
      <name val="Times New Roman"/>
      <family val="1"/>
    </font>
    <font>
      <i/>
      <sz val="8"/>
      <name val="Times New Roman"/>
      <family val="1"/>
    </font>
    <font>
      <u/>
      <sz val="11"/>
      <name val="GillSans"/>
      <family val="2"/>
    </font>
    <font>
      <b/>
      <sz val="11"/>
      <color indexed="8"/>
      <name val="Calibri"/>
      <family val="2"/>
    </font>
    <font>
      <sz val="11"/>
      <color indexed="10"/>
      <name val="Calibri"/>
      <family val="2"/>
    </font>
    <font>
      <b/>
      <sz val="11"/>
      <color rgb="FF000000"/>
      <name val="Calibri"/>
      <family val="2"/>
      <scheme val="minor"/>
    </font>
    <font>
      <sz val="12"/>
      <color theme="1"/>
      <name val="Calibri"/>
      <family val="2"/>
      <scheme val="minor"/>
    </font>
    <font>
      <sz val="9"/>
      <color indexed="81"/>
      <name val="Tahoma"/>
      <family val="2"/>
    </font>
    <font>
      <b/>
      <sz val="9"/>
      <color indexed="81"/>
      <name val="Tahoma"/>
      <family val="2"/>
    </font>
    <font>
      <i/>
      <sz val="11"/>
      <color rgb="FF000000"/>
      <name val="Calibri"/>
      <family val="2"/>
      <scheme val="minor"/>
    </font>
    <font>
      <b/>
      <sz val="20"/>
      <color theme="1"/>
      <name val="Calibri"/>
      <family val="2"/>
      <scheme val="minor"/>
    </font>
    <font>
      <b/>
      <sz val="11"/>
      <color theme="1"/>
      <name val="Calibri"/>
      <family val="2"/>
      <scheme val="minor"/>
    </font>
    <font>
      <b/>
      <sz val="11"/>
      <color rgb="FF008000"/>
      <name val="Calibri"/>
      <family val="2"/>
      <scheme val="minor"/>
    </font>
    <font>
      <i/>
      <sz val="11"/>
      <color theme="1"/>
      <name val="Calibri"/>
      <family val="2"/>
      <scheme val="minor"/>
    </font>
    <font>
      <i/>
      <sz val="11"/>
      <color rgb="FF0000FF"/>
      <name val="Calibri"/>
      <family val="2"/>
      <scheme val="minor"/>
    </font>
    <font>
      <u/>
      <sz val="11"/>
      <color theme="1"/>
      <name val="Calibri"/>
      <family val="2"/>
      <scheme val="minor"/>
    </font>
    <font>
      <sz val="11"/>
      <name val="Calibri"/>
      <family val="2"/>
      <scheme val="minor"/>
    </font>
    <font>
      <u/>
      <sz val="10"/>
      <color indexed="12"/>
      <name val="Arial"/>
      <family val="2"/>
    </font>
    <font>
      <sz val="10"/>
      <color indexed="8"/>
      <name val="Arial"/>
      <family val="2"/>
    </font>
    <font>
      <b/>
      <sz val="8"/>
      <color indexed="8"/>
      <name val="Verdana"/>
      <family val="2"/>
    </font>
    <font>
      <sz val="8"/>
      <color indexed="12"/>
      <name val="Arial"/>
      <family val="2"/>
    </font>
    <font>
      <sz val="1"/>
      <color indexed="9"/>
      <name val="Symbol"/>
      <family val="1"/>
      <charset val="2"/>
    </font>
    <font>
      <sz val="11"/>
      <color indexed="8"/>
      <name val="Calibri"/>
      <family val="2"/>
      <scheme val="minor"/>
    </font>
    <font>
      <b/>
      <u val="singleAccounting"/>
      <sz val="8"/>
      <color indexed="8"/>
      <name val="Verdana"/>
      <family val="2"/>
    </font>
    <font>
      <b/>
      <sz val="10"/>
      <color indexed="9"/>
      <name val="Arial"/>
      <family val="2"/>
    </font>
    <font>
      <b/>
      <sz val="12"/>
      <color indexed="8"/>
      <name val="Verdana"/>
      <family val="2"/>
    </font>
    <font>
      <sz val="8"/>
      <color indexed="10"/>
      <name val="Arial"/>
      <family val="2"/>
    </font>
    <font>
      <b/>
      <sz val="8"/>
      <color indexed="9"/>
      <name val="Verdana"/>
      <family val="2"/>
    </font>
    <font>
      <vertAlign val="subscript"/>
      <sz val="8"/>
      <color indexed="8"/>
      <name val="Arial"/>
      <family val="2"/>
    </font>
    <font>
      <vertAlign val="superscript"/>
      <sz val="8"/>
      <color indexed="8"/>
      <name val="Arial"/>
      <family val="2"/>
    </font>
    <font>
      <b/>
      <sz val="8"/>
      <color indexed="8"/>
      <name val="Arial"/>
      <family val="2"/>
    </font>
    <font>
      <i/>
      <sz val="8"/>
      <color indexed="8"/>
      <name val="Arial"/>
      <family val="2"/>
    </font>
    <font>
      <b/>
      <sz val="13"/>
      <color indexed="8"/>
      <name val="Verdana"/>
      <family val="2"/>
    </font>
    <font>
      <b/>
      <sz val="11"/>
      <name val="Calibri"/>
      <family val="2"/>
      <scheme val="minor"/>
    </font>
  </fonts>
  <fills count="36">
    <fill>
      <patternFill patternType="none"/>
    </fill>
    <fill>
      <patternFill patternType="gray125"/>
    </fill>
    <fill>
      <patternFill patternType="solid">
        <fgColor indexed="2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lightGray">
        <fgColor indexed="12"/>
      </patternFill>
    </fill>
    <fill>
      <patternFill patternType="solid">
        <fgColor indexed="26"/>
        <bgColor indexed="64"/>
      </patternFill>
    </fill>
    <fill>
      <patternFill patternType="solid">
        <fgColor indexed="15"/>
        <bgColor indexed="64"/>
      </patternFill>
    </fill>
    <fill>
      <patternFill patternType="solid">
        <fgColor indexed="43"/>
      </patternFill>
    </fill>
    <fill>
      <patternFill patternType="solid">
        <fgColor indexed="8"/>
        <bgColor indexed="64"/>
      </patternFill>
    </fill>
    <fill>
      <patternFill patternType="solid">
        <fgColor indexed="13"/>
        <bgColor indexed="64"/>
      </patternFill>
    </fill>
    <fill>
      <patternFill patternType="solid">
        <fgColor indexed="26"/>
      </patternFill>
    </fill>
    <fill>
      <patternFill patternType="solid">
        <fgColor indexed="61"/>
        <bgColor indexed="64"/>
      </patternFill>
    </fill>
    <fill>
      <patternFill patternType="solid">
        <fgColor indexed="60"/>
        <bgColor indexed="64"/>
      </patternFill>
    </fill>
    <fill>
      <patternFill patternType="solid">
        <fgColor rgb="FF808080"/>
        <bgColor indexed="64"/>
      </patternFill>
    </fill>
    <fill>
      <patternFill patternType="solid">
        <fgColor indexed="62"/>
        <bgColor indexed="64"/>
      </patternFill>
    </fill>
    <fill>
      <patternFill patternType="solid">
        <fgColor indexed="63"/>
        <bgColor indexed="64"/>
      </patternFill>
    </fill>
    <fill>
      <patternFill patternType="solid">
        <fgColor indexed="56"/>
        <bgColor indexed="64"/>
      </patternFill>
    </fill>
  </fills>
  <borders count="23">
    <border>
      <left/>
      <right/>
      <top/>
      <bottom/>
      <diagonal/>
    </border>
    <border>
      <left/>
      <right/>
      <top/>
      <bottom style="thin">
        <color rgb="FF000000"/>
      </bottom>
      <diagonal/>
    </border>
    <border>
      <left style="thin">
        <color indexed="23"/>
      </left>
      <right style="thin">
        <color indexed="23"/>
      </right>
      <top style="thin">
        <color indexed="23"/>
      </top>
      <bottom style="thin">
        <color indexed="23"/>
      </bottom>
      <diagonal/>
    </border>
    <border>
      <left/>
      <right/>
      <top/>
      <bottom style="double">
        <color auto="1"/>
      </bottom>
      <diagonal/>
    </border>
    <border>
      <left style="double">
        <color indexed="63"/>
      </left>
      <right style="double">
        <color indexed="63"/>
      </right>
      <top style="double">
        <color indexed="63"/>
      </top>
      <bottom style="double">
        <color indexed="63"/>
      </bottom>
      <diagonal/>
    </border>
    <border>
      <left/>
      <right/>
      <top/>
      <bottom style="thin">
        <color auto="1"/>
      </bottom>
      <diagonal/>
    </border>
    <border>
      <left/>
      <right style="thin">
        <color auto="1"/>
      </right>
      <top/>
      <bottom/>
      <diagonal/>
    </border>
    <border>
      <left style="thin">
        <color indexed="9"/>
      </left>
      <right style="thin">
        <color indexed="9"/>
      </right>
      <top/>
      <bottom/>
      <diagonal/>
    </border>
    <border>
      <left style="thin">
        <color auto="1"/>
      </left>
      <right style="thin">
        <color auto="1"/>
      </right>
      <top style="thin">
        <color auto="1"/>
      </top>
      <bottom style="thin">
        <color auto="1"/>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8"/>
      </left>
      <right style="thin">
        <color indexed="8"/>
      </right>
      <top style="thin">
        <color indexed="8"/>
      </top>
      <bottom style="thin">
        <color indexed="8"/>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style="thin">
        <color auto="1"/>
      </right>
      <top style="thin">
        <color auto="1"/>
      </top>
      <bottom/>
      <diagonal/>
    </border>
    <border>
      <left/>
      <right/>
      <top/>
      <bottom style="thick">
        <color auto="1"/>
      </bottom>
      <diagonal/>
    </border>
    <border>
      <left/>
      <right/>
      <top style="thin">
        <color indexed="62"/>
      </top>
      <bottom style="double">
        <color indexed="62"/>
      </bottom>
      <diagonal/>
    </border>
    <border>
      <left/>
      <right/>
      <top style="medium">
        <color rgb="FF000000"/>
      </top>
      <bottom style="medium">
        <color rgb="FF000000"/>
      </bottom>
      <diagonal/>
    </border>
    <border>
      <left style="thin">
        <color indexed="23"/>
      </left>
      <right style="thin">
        <color indexed="23"/>
      </right>
      <top/>
      <bottom/>
      <diagonal/>
    </border>
    <border>
      <left style="thin">
        <color auto="1"/>
      </left>
      <right style="thin">
        <color auto="1"/>
      </right>
      <top/>
      <bottom style="thin">
        <color auto="1"/>
      </bottom>
      <diagonal/>
    </border>
    <border>
      <left/>
      <right style="hair">
        <color rgb="FF000000"/>
      </right>
      <top/>
      <bottom/>
      <diagonal/>
    </border>
  </borders>
  <cellStyleXfs count="210">
    <xf numFmtId="0" fontId="0" fillId="0" borderId="0"/>
    <xf numFmtId="0" fontId="3" fillId="0" borderId="0"/>
    <xf numFmtId="166" fontId="3" fillId="0" borderId="0">
      <alignment horizontal="right"/>
    </xf>
    <xf numFmtId="167" fontId="3" fillId="2" borderId="0"/>
    <xf numFmtId="168" fontId="3" fillId="2" borderId="0"/>
    <xf numFmtId="169" fontId="3" fillId="2" borderId="0"/>
    <xf numFmtId="170" fontId="3" fillId="2" borderId="0">
      <alignment horizontal="right"/>
    </xf>
    <xf numFmtId="171" fontId="4" fillId="0" borderId="0" applyFont="0" applyFill="0" applyBorder="0" applyAlignment="0" applyProtection="0"/>
    <xf numFmtId="0" fontId="5" fillId="0" borderId="0" applyNumberFormat="0" applyFont="0" applyFill="0" applyBorder="0" applyAlignment="0" applyProtection="0"/>
    <xf numFmtId="172" fontId="6" fillId="0" borderId="0"/>
    <xf numFmtId="0" fontId="7" fillId="3" borderId="0" applyNumberFormat="0" applyBorder="0" applyAlignment="0" applyProtection="0"/>
    <xf numFmtId="0" fontId="7" fillId="4" borderId="0" applyNumberFormat="0" applyBorder="0" applyAlignment="0" applyProtection="0"/>
    <xf numFmtId="0" fontId="7" fillId="5" borderId="0" applyNumberFormat="0" applyBorder="0" applyAlignment="0" applyProtection="0"/>
    <xf numFmtId="0" fontId="7" fillId="6" borderId="0" applyNumberFormat="0" applyBorder="0" applyAlignment="0" applyProtection="0"/>
    <xf numFmtId="0" fontId="7" fillId="7" borderId="0" applyNumberFormat="0" applyBorder="0" applyAlignment="0" applyProtection="0"/>
    <xf numFmtId="0" fontId="7" fillId="8"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11" borderId="0" applyNumberFormat="0" applyBorder="0" applyAlignment="0" applyProtection="0"/>
    <xf numFmtId="0" fontId="7" fillId="6" borderId="0" applyNumberFormat="0" applyBorder="0" applyAlignment="0" applyProtection="0"/>
    <xf numFmtId="0" fontId="7" fillId="9" borderId="0" applyNumberFormat="0" applyBorder="0" applyAlignment="0" applyProtection="0"/>
    <xf numFmtId="0" fontId="7" fillId="12" borderId="0" applyNumberFormat="0" applyBorder="0" applyAlignment="0" applyProtection="0"/>
    <xf numFmtId="0" fontId="8" fillId="13" borderId="0" applyNumberFormat="0" applyBorder="0" applyAlignment="0" applyProtection="0"/>
    <xf numFmtId="0" fontId="8" fillId="10" borderId="0" applyNumberFormat="0" applyBorder="0" applyAlignment="0" applyProtection="0"/>
    <xf numFmtId="0" fontId="8" fillId="11" borderId="0" applyNumberFormat="0" applyBorder="0" applyAlignment="0" applyProtection="0"/>
    <xf numFmtId="0" fontId="8" fillId="14" borderId="0" applyNumberFormat="0" applyBorder="0" applyAlignment="0" applyProtection="0"/>
    <xf numFmtId="0" fontId="8" fillId="15" borderId="0" applyNumberFormat="0" applyBorder="0" applyAlignment="0" applyProtection="0"/>
    <xf numFmtId="0" fontId="8" fillId="16" borderId="0" applyNumberFormat="0" applyBorder="0" applyAlignment="0" applyProtection="0"/>
    <xf numFmtId="0" fontId="8" fillId="17" borderId="0" applyNumberFormat="0" applyBorder="0" applyAlignment="0" applyProtection="0"/>
    <xf numFmtId="0" fontId="8" fillId="18" borderId="0" applyNumberFormat="0" applyBorder="0" applyAlignment="0" applyProtection="0"/>
    <xf numFmtId="0" fontId="8" fillId="19" borderId="0" applyNumberFormat="0" applyBorder="0" applyAlignment="0" applyProtection="0"/>
    <xf numFmtId="0" fontId="8" fillId="14" borderId="0" applyNumberFormat="0" applyBorder="0" applyAlignment="0" applyProtection="0"/>
    <xf numFmtId="0" fontId="8" fillId="15" borderId="0" applyNumberFormat="0" applyBorder="0" applyAlignment="0" applyProtection="0"/>
    <xf numFmtId="0" fontId="8" fillId="20" borderId="0" applyNumberFormat="0" applyBorder="0" applyAlignment="0" applyProtection="0"/>
    <xf numFmtId="0" fontId="6" fillId="0" borderId="0"/>
    <xf numFmtId="0" fontId="9" fillId="4" borderId="0" applyNumberFormat="0" applyBorder="0" applyAlignment="0" applyProtection="0"/>
    <xf numFmtId="173" fontId="10" fillId="0" borderId="0" applyFont="0" applyFill="0" applyBorder="0" applyAlignment="0" applyProtection="0"/>
    <xf numFmtId="38" fontId="10" fillId="0" borderId="0" applyFill="0" applyBorder="0" applyAlignment="0" applyProtection="0">
      <protection locked="0"/>
    </xf>
    <xf numFmtId="0" fontId="11" fillId="0" borderId="0"/>
    <xf numFmtId="37" fontId="12" fillId="0" borderId="0">
      <alignment horizontal="centerContinuous"/>
    </xf>
    <xf numFmtId="0" fontId="13" fillId="21" borderId="2" applyNumberFormat="0" applyAlignment="0" applyProtection="0"/>
    <xf numFmtId="173" fontId="10" fillId="0" borderId="0" applyFont="0" applyFill="0" applyBorder="0" applyAlignment="0" applyProtection="0">
      <protection locked="0"/>
    </xf>
    <xf numFmtId="173" fontId="10" fillId="0" borderId="3" applyFont="0" applyFill="0" applyAlignment="0" applyProtection="0"/>
    <xf numFmtId="0" fontId="14" fillId="22" borderId="4" applyNumberFormat="0" applyAlignment="0" applyProtection="0"/>
    <xf numFmtId="0" fontId="5" fillId="0" borderId="0">
      <alignment horizontal="center" wrapText="1"/>
      <protection hidden="1"/>
    </xf>
    <xf numFmtId="0" fontId="15" fillId="0" borderId="5" applyNumberFormat="0" applyFill="0" applyBorder="0" applyProtection="0">
      <alignment horizontal="left" vertical="center"/>
    </xf>
    <xf numFmtId="0" fontId="15" fillId="0" borderId="5" applyNumberFormat="0" applyFill="0" applyBorder="0" applyProtection="0">
      <alignment horizontal="right" vertical="center"/>
    </xf>
    <xf numFmtId="43" fontId="5" fillId="0" borderId="0" applyFont="0" applyFill="0" applyBorder="0" applyAlignment="0" applyProtection="0"/>
    <xf numFmtId="37" fontId="16" fillId="0" borderId="0" applyFont="0" applyFill="0" applyBorder="0" applyAlignment="0" applyProtection="0"/>
    <xf numFmtId="39" fontId="16" fillId="0" borderId="0" applyFont="0" applyFill="0" applyBorder="0" applyAlignment="0" applyProtection="0"/>
    <xf numFmtId="0" fontId="17" fillId="23" borderId="0">
      <alignment horizontal="center" vertical="center" wrapText="1"/>
    </xf>
    <xf numFmtId="174" fontId="5" fillId="0" borderId="0" applyFill="0" applyBorder="0">
      <alignment horizontal="right"/>
      <protection locked="0"/>
    </xf>
    <xf numFmtId="0" fontId="18" fillId="0" borderId="0" applyFont="0" applyFill="0" applyBorder="0" applyAlignment="0"/>
    <xf numFmtId="7" fontId="19" fillId="0" borderId="0" applyFont="0" applyFill="0" applyBorder="0" applyAlignment="0" applyProtection="0"/>
    <xf numFmtId="5" fontId="16" fillId="0" borderId="0" applyFont="0" applyFill="0" applyBorder="0" applyAlignment="0" applyProtection="0"/>
    <xf numFmtId="175" fontId="6" fillId="0" borderId="0" applyFill="0" applyBorder="0" applyProtection="0">
      <alignment horizontal="right"/>
    </xf>
    <xf numFmtId="176" fontId="3" fillId="2" borderId="6">
      <alignment horizontal="right"/>
    </xf>
    <xf numFmtId="177" fontId="3" fillId="2" borderId="6">
      <alignment horizontal="right"/>
    </xf>
    <xf numFmtId="176" fontId="3" fillId="2" borderId="6">
      <alignment horizontal="right"/>
    </xf>
    <xf numFmtId="15" fontId="20" fillId="0" borderId="0" applyFill="0" applyBorder="0" applyAlignment="0"/>
    <xf numFmtId="178" fontId="18" fillId="24" borderId="0" applyFont="0" applyFill="0" applyBorder="0" applyAlignment="0" applyProtection="0"/>
    <xf numFmtId="179" fontId="20" fillId="0" borderId="5"/>
    <xf numFmtId="14" fontId="21" fillId="0" borderId="0" applyFont="0" applyFill="0" applyBorder="0" applyAlignment="0" applyProtection="0">
      <alignment horizontal="center"/>
    </xf>
    <xf numFmtId="180" fontId="21" fillId="0" borderId="0" applyFont="0" applyFill="0" applyBorder="0" applyAlignment="0" applyProtection="0">
      <alignment horizontal="center"/>
    </xf>
    <xf numFmtId="181" fontId="6" fillId="0" borderId="0" applyFont="0" applyFill="0" applyBorder="0" applyAlignment="0" applyProtection="0"/>
    <xf numFmtId="8" fontId="10" fillId="0" borderId="0" applyFont="0" applyFill="0" applyBorder="0" applyAlignment="0" applyProtection="0"/>
    <xf numFmtId="6" fontId="10" fillId="0" borderId="0" applyFont="0" applyFill="0" applyBorder="0" applyAlignment="0" applyProtection="0">
      <alignment horizontal="right"/>
    </xf>
    <xf numFmtId="6" fontId="10" fillId="0" borderId="0" applyFont="0" applyFill="0" applyBorder="0" applyAlignment="0" applyProtection="0"/>
    <xf numFmtId="39" fontId="3" fillId="25" borderId="0"/>
    <xf numFmtId="7" fontId="3" fillId="25" borderId="0" applyBorder="0"/>
    <xf numFmtId="182" fontId="3" fillId="25" borderId="0"/>
    <xf numFmtId="183" fontId="3" fillId="0" borderId="0"/>
    <xf numFmtId="184" fontId="3" fillId="25" borderId="0"/>
    <xf numFmtId="185" fontId="11" fillId="0" borderId="0" applyFont="0" applyFill="0" applyBorder="0" applyProtection="0">
      <alignment horizontal="left"/>
      <protection locked="0"/>
    </xf>
    <xf numFmtId="186" fontId="3" fillId="0" borderId="0"/>
    <xf numFmtId="187" fontId="11" fillId="0" borderId="0" applyFont="0" applyFill="0" applyBorder="0" applyProtection="0">
      <alignment horizontal="left"/>
      <protection locked="0"/>
    </xf>
    <xf numFmtId="188" fontId="5" fillId="0" borderId="0" applyFont="0" applyFill="0" applyBorder="0" applyAlignment="0" applyProtection="0"/>
    <xf numFmtId="0" fontId="22" fillId="0" borderId="0" applyNumberFormat="0" applyFill="0" applyBorder="0" applyAlignment="0" applyProtection="0"/>
    <xf numFmtId="171" fontId="3" fillId="0" borderId="7"/>
    <xf numFmtId="189" fontId="3" fillId="2" borderId="6">
      <alignment horizontal="right"/>
    </xf>
    <xf numFmtId="190" fontId="3" fillId="2" borderId="6">
      <alignment horizontal="right"/>
    </xf>
    <xf numFmtId="189" fontId="3" fillId="2" borderId="6">
      <alignment horizontal="right"/>
    </xf>
    <xf numFmtId="191" fontId="10" fillId="0" borderId="0" applyFill="0" applyBorder="0" applyAlignment="0" applyProtection="0">
      <protection locked="0"/>
    </xf>
    <xf numFmtId="0" fontId="23" fillId="5" borderId="0" applyNumberFormat="0" applyBorder="0" applyAlignment="0" applyProtection="0"/>
    <xf numFmtId="192" fontId="24" fillId="0" borderId="0" applyFill="0" applyBorder="0" applyAlignment="0" applyProtection="0"/>
    <xf numFmtId="171" fontId="25" fillId="0" borderId="0" applyAlignment="0">
      <alignment horizontal="left"/>
      <protection locked="0"/>
    </xf>
    <xf numFmtId="191" fontId="6" fillId="26" borderId="8" applyNumberFormat="0" applyFont="0" applyAlignment="0" applyProtection="0"/>
    <xf numFmtId="0" fontId="26" fillId="0" borderId="9" applyNumberFormat="0" applyFill="0" applyAlignment="0" applyProtection="0"/>
    <xf numFmtId="0" fontId="27" fillId="0" borderId="10" applyNumberFormat="0" applyFill="0" applyAlignment="0" applyProtection="0"/>
    <xf numFmtId="0" fontId="28" fillId="0" borderId="11" applyNumberFormat="0" applyFill="0" applyAlignment="0" applyProtection="0"/>
    <xf numFmtId="0" fontId="28" fillId="0" borderId="0" applyNumberFormat="0" applyFill="0" applyBorder="0" applyAlignment="0" applyProtection="0"/>
    <xf numFmtId="191" fontId="29" fillId="0" borderId="0" applyNumberFormat="0" applyFill="0" applyBorder="0" applyAlignment="0" applyProtection="0"/>
    <xf numFmtId="0" fontId="30" fillId="0" borderId="0"/>
    <xf numFmtId="173" fontId="10" fillId="0" borderId="0" applyFont="0" applyFill="0" applyBorder="0" applyAlignment="0" applyProtection="0"/>
    <xf numFmtId="38" fontId="10" fillId="0" borderId="0" applyFill="0" applyBorder="0" applyAlignment="0" applyProtection="0">
      <alignment horizontal="right"/>
      <protection locked="0"/>
    </xf>
    <xf numFmtId="0" fontId="31" fillId="8" borderId="2" applyNumberFormat="0" applyAlignment="0" applyProtection="0"/>
    <xf numFmtId="0" fontId="18" fillId="24" borderId="0" applyFont="0" applyBorder="0" applyAlignment="0">
      <protection locked="0"/>
    </xf>
    <xf numFmtId="0" fontId="5" fillId="0" borderId="0" applyFill="0" applyBorder="0">
      <alignment horizontal="right"/>
      <protection locked="0"/>
    </xf>
    <xf numFmtId="17" fontId="32" fillId="27" borderId="0"/>
    <xf numFmtId="193" fontId="5" fillId="0" borderId="0" applyFill="0" applyBorder="0">
      <alignment horizontal="right"/>
      <protection locked="0"/>
    </xf>
    <xf numFmtId="0" fontId="33" fillId="28" borderId="12">
      <alignment horizontal="left" vertical="center" wrapText="1"/>
    </xf>
    <xf numFmtId="0" fontId="34" fillId="0" borderId="13" applyNumberFormat="0" applyFill="0" applyAlignment="0" applyProtection="0"/>
    <xf numFmtId="194" fontId="10" fillId="0" borderId="0" applyFont="0" applyFill="0" applyBorder="0" applyAlignment="0" applyProtection="0">
      <alignment horizontal="right"/>
    </xf>
    <xf numFmtId="195" fontId="3" fillId="0" borderId="0">
      <alignment horizontal="right"/>
    </xf>
    <xf numFmtId="196" fontId="3" fillId="25" borderId="0">
      <alignment horizontal="right"/>
    </xf>
    <xf numFmtId="197" fontId="3" fillId="0" borderId="0">
      <alignment horizontal="right"/>
    </xf>
    <xf numFmtId="195" fontId="3" fillId="0" borderId="0">
      <alignment horizontal="right"/>
    </xf>
    <xf numFmtId="171" fontId="35" fillId="0" borderId="0" applyFill="0" applyBorder="0" applyAlignment="0" applyProtection="0">
      <alignment horizontal="right"/>
    </xf>
    <xf numFmtId="171" fontId="35" fillId="0" borderId="0" applyFill="0" applyBorder="0" applyAlignment="0" applyProtection="0"/>
    <xf numFmtId="198" fontId="3" fillId="2" borderId="6">
      <alignment horizontal="right"/>
    </xf>
    <xf numFmtId="199" fontId="10" fillId="0" borderId="0" applyFont="0" applyFill="0" applyBorder="0" applyAlignment="0" applyProtection="0"/>
    <xf numFmtId="0" fontId="16" fillId="2" borderId="0" applyFont="0" applyBorder="0" applyAlignment="0" applyProtection="0">
      <alignment horizontal="right"/>
      <protection hidden="1"/>
    </xf>
    <xf numFmtId="0" fontId="36" fillId="26" borderId="0" applyNumberFormat="0" applyBorder="0" applyAlignment="0" applyProtection="0"/>
    <xf numFmtId="37" fontId="19" fillId="0" borderId="0" applyFont="0" applyFill="0" applyBorder="0" applyAlignment="0" applyProtection="0"/>
    <xf numFmtId="200" fontId="5" fillId="0" borderId="0" applyFont="0" applyFill="0" applyBorder="0" applyAlignment="0" applyProtection="0"/>
    <xf numFmtId="39" fontId="5" fillId="0" borderId="0" applyFont="0" applyFill="0" applyBorder="0" applyAlignment="0" applyProtection="0"/>
    <xf numFmtId="201" fontId="5" fillId="0" borderId="0" applyFont="0" applyFill="0" applyBorder="0" applyAlignment="0" applyProtection="0"/>
    <xf numFmtId="0" fontId="5" fillId="0" borderId="0"/>
    <xf numFmtId="0" fontId="20" fillId="0" borderId="0" applyNumberFormat="0" applyFill="0" applyBorder="0" applyAlignment="0" applyProtection="0"/>
    <xf numFmtId="0" fontId="18" fillId="0" borderId="0" applyFont="0" applyFill="0" applyBorder="0" applyAlignment="0" applyProtection="0"/>
    <xf numFmtId="202" fontId="18" fillId="0" borderId="0" applyFont="0" applyFill="0" applyBorder="0" applyAlignment="0" applyProtection="0"/>
    <xf numFmtId="0" fontId="7" fillId="29" borderId="14" applyNumberFormat="0" applyFont="0" applyAlignment="0" applyProtection="0"/>
    <xf numFmtId="0" fontId="16" fillId="0" borderId="0" applyFont="0" applyFill="0" applyBorder="0" applyAlignment="0" applyProtection="0"/>
    <xf numFmtId="203" fontId="5" fillId="0" borderId="0" applyFont="0" applyFill="0" applyBorder="0" applyAlignment="0" applyProtection="0"/>
    <xf numFmtId="0" fontId="16" fillId="0" borderId="0" applyFont="0" applyFill="0" applyBorder="0" applyAlignment="0" applyProtection="0"/>
    <xf numFmtId="0" fontId="37" fillId="21" borderId="15" applyNumberFormat="0" applyAlignment="0" applyProtection="0"/>
    <xf numFmtId="204" fontId="10" fillId="0" borderId="0" applyFont="0" applyFill="0" applyBorder="0" applyAlignment="0" applyProtection="0">
      <alignment horizontal="right"/>
    </xf>
    <xf numFmtId="0" fontId="38" fillId="0" borderId="0" applyNumberFormat="0" applyFill="0" applyBorder="0" applyAlignment="0" applyProtection="0"/>
    <xf numFmtId="0" fontId="18" fillId="0" borderId="0"/>
    <xf numFmtId="205" fontId="3" fillId="25" borderId="0"/>
    <xf numFmtId="9" fontId="10" fillId="0" borderId="0" applyFont="0" applyFill="0" applyBorder="0" applyAlignment="0" applyProtection="0">
      <alignment horizontal="right"/>
    </xf>
    <xf numFmtId="206" fontId="3" fillId="0" borderId="0"/>
    <xf numFmtId="0" fontId="5" fillId="0" borderId="0" applyFont="0" applyFill="0" applyBorder="0" applyAlignment="0"/>
    <xf numFmtId="167" fontId="5" fillId="0" borderId="0" applyFont="0" applyFill="0" applyBorder="0" applyAlignment="0" applyProtection="0"/>
    <xf numFmtId="207" fontId="5" fillId="0" borderId="0" applyFont="0" applyFill="0" applyBorder="0" applyAlignment="0" applyProtection="0"/>
    <xf numFmtId="208" fontId="5" fillId="0" borderId="0" applyFill="0" applyBorder="0">
      <alignment horizontal="right"/>
      <protection locked="0"/>
    </xf>
    <xf numFmtId="192" fontId="10" fillId="0" borderId="0" applyFont="0" applyFill="0" applyBorder="0" applyAlignment="0" applyProtection="0"/>
    <xf numFmtId="8" fontId="10" fillId="0" borderId="0" applyFont="0" applyFill="0" applyBorder="0" applyAlignment="0" applyProtection="0"/>
    <xf numFmtId="173" fontId="10" fillId="0" borderId="0" applyFont="0" applyFill="0" applyBorder="0" applyAlignment="0" applyProtection="0">
      <protection locked="0"/>
    </xf>
    <xf numFmtId="191" fontId="10" fillId="0" borderId="0" applyFill="0" applyBorder="0" applyAlignment="0" applyProtection="0"/>
    <xf numFmtId="38" fontId="10" fillId="0" borderId="0" applyFont="0" applyFill="0" applyBorder="0" applyAlignment="0" applyProtection="0"/>
    <xf numFmtId="169" fontId="3" fillId="2" borderId="16">
      <alignment horizontal="right"/>
    </xf>
    <xf numFmtId="209" fontId="39" fillId="2" borderId="0"/>
    <xf numFmtId="210" fontId="3" fillId="2" borderId="0"/>
    <xf numFmtId="0" fontId="40" fillId="0" borderId="0">
      <alignment horizontal="center"/>
    </xf>
    <xf numFmtId="0" fontId="3" fillId="0" borderId="5">
      <alignment horizontal="centerContinuous"/>
    </xf>
    <xf numFmtId="211" fontId="3" fillId="2" borderId="0">
      <alignment horizontal="right"/>
    </xf>
    <xf numFmtId="212" fontId="3" fillId="2" borderId="6">
      <alignment horizontal="right"/>
    </xf>
    <xf numFmtId="213" fontId="5" fillId="0" borderId="0">
      <alignment horizontal="right"/>
      <protection locked="0"/>
    </xf>
    <xf numFmtId="191" fontId="21" fillId="0" borderId="0" applyFont="0" applyFill="0" applyBorder="0" applyAlignment="0" applyProtection="0"/>
    <xf numFmtId="0" fontId="41" fillId="0" borderId="0" applyNumberFormat="0" applyFill="0" applyBorder="0" applyProtection="0">
      <alignment horizontal="right" vertical="center"/>
    </xf>
    <xf numFmtId="0" fontId="42" fillId="23" borderId="8">
      <alignment horizontal="center" vertical="center" wrapText="1"/>
      <protection hidden="1"/>
    </xf>
    <xf numFmtId="173" fontId="10" fillId="0" borderId="0" applyFill="0" applyBorder="0" applyAlignment="0" applyProtection="0">
      <protection locked="0"/>
    </xf>
    <xf numFmtId="214" fontId="21" fillId="0" borderId="0" applyFont="0" applyFill="0" applyBorder="0" applyAlignment="0" applyProtection="0">
      <alignment horizontal="right"/>
    </xf>
    <xf numFmtId="38" fontId="5" fillId="0" borderId="0" applyFont="0" applyFill="0" applyBorder="0" applyAlignment="0" applyProtection="0"/>
    <xf numFmtId="0" fontId="43" fillId="0" borderId="17" applyNumberFormat="0" applyFill="0" applyProtection="0">
      <alignment horizontal="left" vertical="top" wrapText="1"/>
    </xf>
    <xf numFmtId="0" fontId="30" fillId="0" borderId="0" applyNumberFormat="0" applyFill="0" applyBorder="0" applyProtection="0">
      <alignment horizontal="left" vertical="top" wrapText="1"/>
    </xf>
    <xf numFmtId="0" fontId="44" fillId="0" borderId="0" applyNumberFormat="0" applyFill="0" applyProtection="0">
      <alignment horizontal="left" vertical="top" wrapText="1"/>
    </xf>
    <xf numFmtId="0" fontId="45" fillId="0" borderId="0" applyNumberFormat="0" applyFill="0" applyBorder="0" applyProtection="0"/>
    <xf numFmtId="0" fontId="46" fillId="30" borderId="0" applyNumberFormat="0" applyBorder="0" applyProtection="0"/>
    <xf numFmtId="0" fontId="47" fillId="0" borderId="0" applyNumberFormat="0" applyFill="0" applyBorder="0" applyProtection="0">
      <alignment vertical="top"/>
    </xf>
    <xf numFmtId="215" fontId="48" fillId="0" borderId="0" applyFill="0" applyBorder="0" applyProtection="0">
      <alignment horizontal="right" wrapText="1"/>
    </xf>
    <xf numFmtId="216" fontId="48" fillId="0" borderId="0" applyFill="0" applyBorder="0" applyProtection="0">
      <alignment horizontal="right"/>
    </xf>
    <xf numFmtId="4" fontId="18" fillId="0" borderId="0" applyFill="0" applyBorder="0" applyProtection="0">
      <alignment horizontal="right"/>
    </xf>
    <xf numFmtId="184" fontId="49" fillId="0" borderId="0" applyFill="0" applyBorder="0" applyAlignment="0" applyProtection="0"/>
    <xf numFmtId="217" fontId="50" fillId="0" borderId="0" applyFill="0" applyBorder="0" applyAlignment="0" applyProtection="0">
      <alignment horizontal="left"/>
      <protection locked="0"/>
    </xf>
    <xf numFmtId="217" fontId="50" fillId="0" borderId="0" applyFill="0" applyBorder="0" applyAlignment="0" applyProtection="0"/>
    <xf numFmtId="217" fontId="51" fillId="0" borderId="0" applyFill="0" applyBorder="0" applyAlignment="0" applyProtection="0">
      <alignment horizontal="left"/>
      <protection locked="0"/>
    </xf>
    <xf numFmtId="217" fontId="51" fillId="0" borderId="0" applyFill="0" applyBorder="0" applyAlignment="0" applyProtection="0">
      <protection locked="0"/>
    </xf>
    <xf numFmtId="191" fontId="10" fillId="0" borderId="0" applyFill="0" applyBorder="0" applyAlignment="0" applyProtection="0">
      <protection locked="0"/>
    </xf>
    <xf numFmtId="191" fontId="49" fillId="0" borderId="0" applyFill="0" applyBorder="0" applyAlignment="0" applyProtection="0"/>
    <xf numFmtId="49" fontId="52" fillId="0" borderId="0"/>
    <xf numFmtId="218" fontId="5" fillId="0" borderId="0" applyFont="0" applyFill="0" applyBorder="0" applyAlignment="0" applyProtection="0"/>
    <xf numFmtId="219" fontId="5" fillId="0" borderId="0" applyFont="0" applyFill="0" applyBorder="0" applyAlignment="0" applyProtection="0"/>
    <xf numFmtId="0" fontId="53" fillId="0" borderId="0" applyNumberFormat="0" applyFill="0" applyBorder="0" applyAlignment="0" applyProtection="0"/>
    <xf numFmtId="0" fontId="54" fillId="1" borderId="0" applyNumberFormat="0" applyBorder="0" applyProtection="0">
      <alignment horizontal="left" vertical="center"/>
    </xf>
    <xf numFmtId="191" fontId="55" fillId="0" borderId="0" applyNumberFormat="0" applyFill="0" applyBorder="0" applyAlignment="0" applyProtection="0"/>
    <xf numFmtId="0" fontId="5" fillId="0" borderId="0" applyBorder="0"/>
    <xf numFmtId="38" fontId="56" fillId="0" borderId="0" applyFill="0" applyBorder="0" applyAlignment="0" applyProtection="0">
      <alignment horizontal="left"/>
    </xf>
    <xf numFmtId="0" fontId="57" fillId="0" borderId="0"/>
    <xf numFmtId="0" fontId="58" fillId="0" borderId="18" applyNumberFormat="0" applyFill="0" applyAlignment="0" applyProtection="0"/>
    <xf numFmtId="0" fontId="59" fillId="0" borderId="0" applyNumberFormat="0" applyFill="0" applyBorder="0" applyAlignment="0" applyProtection="0"/>
    <xf numFmtId="1" fontId="10" fillId="0" borderId="0" applyFont="0" applyFill="0" applyBorder="0" applyAlignment="0" applyProtection="0"/>
    <xf numFmtId="220" fontId="19" fillId="0" borderId="0" applyFont="0" applyFill="0" applyBorder="0" applyAlignment="0" applyProtection="0"/>
    <xf numFmtId="0" fontId="72" fillId="0" borderId="0" applyNumberFormat="0" applyFill="0" applyBorder="0" applyAlignment="0" applyProtection="0">
      <alignment vertical="top"/>
      <protection locked="0"/>
    </xf>
    <xf numFmtId="236" fontId="20" fillId="0" borderId="0" applyFill="0" applyBorder="0" applyAlignment="0" applyProtection="0">
      <alignment horizontal="right"/>
    </xf>
    <xf numFmtId="0" fontId="73" fillId="0" borderId="0" applyAlignment="0"/>
    <xf numFmtId="0" fontId="74" fillId="0" borderId="0" applyAlignment="0"/>
    <xf numFmtId="0" fontId="46" fillId="31" borderId="0" applyAlignment="0"/>
    <xf numFmtId="237" fontId="18" fillId="0" borderId="20" applyFont="0" applyFill="0" applyBorder="0" applyAlignment="0" applyProtection="0"/>
    <xf numFmtId="238" fontId="20" fillId="0" borderId="0" applyFont="0" applyFill="0" applyBorder="0" applyAlignment="0" applyProtection="0"/>
    <xf numFmtId="239" fontId="18" fillId="0" borderId="0" applyFont="0" applyFill="0" applyBorder="0" applyAlignment="0" applyProtection="0"/>
    <xf numFmtId="178" fontId="75" fillId="24" borderId="21" applyFont="0" applyFill="0" applyBorder="0" applyAlignment="0" applyProtection="0"/>
    <xf numFmtId="0" fontId="76" fillId="0" borderId="0" applyAlignment="0"/>
    <xf numFmtId="14" fontId="20" fillId="0" borderId="5" applyFont="0" applyFill="0" applyBorder="0" applyAlignment="0" applyProtection="0"/>
    <xf numFmtId="0" fontId="77" fillId="32" borderId="22"/>
    <xf numFmtId="0" fontId="78" fillId="33" borderId="0" applyAlignment="0"/>
    <xf numFmtId="0" fontId="79" fillId="34" borderId="0" applyAlignment="0"/>
    <xf numFmtId="0" fontId="80" fillId="0" borderId="0" applyAlignment="0"/>
    <xf numFmtId="240" fontId="18" fillId="0" borderId="0" applyFont="0" applyFill="0" applyBorder="0" applyAlignment="0" applyProtection="0">
      <alignment horizontal="right"/>
    </xf>
    <xf numFmtId="191" fontId="81" fillId="0" borderId="0" applyNumberFormat="0" applyFill="0" applyBorder="0" applyAlignment="0" applyProtection="0">
      <alignment horizontal="left"/>
    </xf>
    <xf numFmtId="0" fontId="82" fillId="35" borderId="0" applyAlignment="0"/>
    <xf numFmtId="0" fontId="83" fillId="0" borderId="0" applyAlignment="0"/>
    <xf numFmtId="0" fontId="84" fillId="0" borderId="0" applyAlignment="0"/>
    <xf numFmtId="0" fontId="85" fillId="0" borderId="0" applyAlignment="0"/>
    <xf numFmtId="0" fontId="86" fillId="0" borderId="0" applyAlignment="0"/>
    <xf numFmtId="0" fontId="47" fillId="0" borderId="0" applyAlignment="0"/>
    <xf numFmtId="241" fontId="18" fillId="0" borderId="0" applyFont="0" applyFill="0" applyBorder="0" applyAlignment="0" applyProtection="0">
      <alignment horizontal="right"/>
    </xf>
    <xf numFmtId="0" fontId="87" fillId="0" borderId="0" applyAlignment="0"/>
    <xf numFmtId="242" fontId="18" fillId="0" borderId="0" applyFont="0" applyFill="0" applyBorder="0" applyAlignment="0"/>
  </cellStyleXfs>
  <cellXfs count="95">
    <xf numFmtId="0" fontId="0" fillId="0" borderId="0" xfId="0"/>
    <xf numFmtId="0" fontId="61" fillId="0" borderId="0" xfId="0" applyFont="1"/>
    <xf numFmtId="0" fontId="2" fillId="0" borderId="0" xfId="0" applyFont="1" applyBorder="1"/>
    <xf numFmtId="0" fontId="2" fillId="0" borderId="0" xfId="0" applyFont="1" applyFill="1" applyBorder="1"/>
    <xf numFmtId="14" fontId="1" fillId="0" borderId="0" xfId="0" applyNumberFormat="1" applyFont="1" applyFill="1" applyBorder="1" applyAlignment="1">
      <alignment horizontal="right"/>
    </xf>
    <xf numFmtId="0" fontId="1" fillId="0" borderId="0" xfId="0" applyFont="1" applyFill="1" applyBorder="1" applyAlignment="1">
      <alignment horizontal="right"/>
    </xf>
    <xf numFmtId="0" fontId="61" fillId="0" borderId="19" xfId="0" applyFont="1" applyBorder="1"/>
    <xf numFmtId="0" fontId="65" fillId="0" borderId="19" xfId="0" applyFont="1" applyBorder="1"/>
    <xf numFmtId="14" fontId="64" fillId="0" borderId="0" xfId="0" applyNumberFormat="1" applyFont="1" applyFill="1" applyBorder="1" applyAlignment="1">
      <alignment horizontal="left"/>
    </xf>
    <xf numFmtId="165" fontId="1" fillId="0" borderId="0" xfId="0" applyNumberFormat="1" applyFont="1" applyFill="1" applyBorder="1" applyAlignment="1">
      <alignment horizontal="right"/>
    </xf>
    <xf numFmtId="37" fontId="1" fillId="0" borderId="0" xfId="0" applyNumberFormat="1" applyFont="1"/>
    <xf numFmtId="164" fontId="0" fillId="0" borderId="0" xfId="0" applyNumberFormat="1" applyFont="1"/>
    <xf numFmtId="229" fontId="2" fillId="0" borderId="0" xfId="0" applyNumberFormat="1" applyFont="1"/>
    <xf numFmtId="164" fontId="2" fillId="0" borderId="0" xfId="0" applyNumberFormat="1" applyFont="1"/>
    <xf numFmtId="0" fontId="67" fillId="0" borderId="0" xfId="0" applyFont="1" applyBorder="1"/>
    <xf numFmtId="0" fontId="0" fillId="0" borderId="0" xfId="0" applyFont="1"/>
    <xf numFmtId="0" fontId="0" fillId="0" borderId="0" xfId="0" applyFont="1" applyBorder="1"/>
    <xf numFmtId="14" fontId="68" fillId="0" borderId="0" xfId="0" applyNumberFormat="1" applyFont="1" applyBorder="1"/>
    <xf numFmtId="0" fontId="66" fillId="0" borderId="1" xfId="0" applyFont="1" applyBorder="1"/>
    <xf numFmtId="0" fontId="67" fillId="0" borderId="1" xfId="0" applyFont="1" applyBorder="1"/>
    <xf numFmtId="0" fontId="0" fillId="0" borderId="1" xfId="0" applyFont="1" applyBorder="1"/>
    <xf numFmtId="222" fontId="66" fillId="0" borderId="0" xfId="0" applyNumberFormat="1" applyFont="1" applyBorder="1"/>
    <xf numFmtId="223" fontId="66" fillId="0" borderId="0" xfId="0" applyNumberFormat="1" applyFont="1" applyBorder="1"/>
    <xf numFmtId="0" fontId="68" fillId="0" borderId="1" xfId="0" applyFont="1" applyBorder="1"/>
    <xf numFmtId="225" fontId="69" fillId="0" borderId="1" xfId="0" applyNumberFormat="1" applyFont="1" applyBorder="1"/>
    <xf numFmtId="225" fontId="68" fillId="0" borderId="1" xfId="0" applyNumberFormat="1" applyFont="1" applyBorder="1"/>
    <xf numFmtId="0" fontId="68" fillId="0" borderId="0" xfId="0" applyFont="1" applyBorder="1"/>
    <xf numFmtId="225" fontId="69" fillId="0" borderId="0" xfId="0" applyNumberFormat="1" applyFont="1" applyBorder="1"/>
    <xf numFmtId="225" fontId="68" fillId="0" borderId="0" xfId="0" applyNumberFormat="1" applyFont="1" applyBorder="1"/>
    <xf numFmtId="37" fontId="1" fillId="0" borderId="0" xfId="0" applyNumberFormat="1" applyFont="1" applyFill="1" applyBorder="1"/>
    <xf numFmtId="37" fontId="2" fillId="0" borderId="0" xfId="0" applyNumberFormat="1" applyFont="1" applyBorder="1"/>
    <xf numFmtId="0" fontId="66" fillId="0" borderId="0" xfId="0" applyFont="1" applyBorder="1"/>
    <xf numFmtId="37" fontId="60" fillId="0" borderId="0" xfId="0" applyNumberFormat="1" applyFont="1" applyFill="1" applyBorder="1"/>
    <xf numFmtId="0" fontId="0" fillId="0" borderId="0" xfId="0" applyFont="1" applyFill="1" applyBorder="1"/>
    <xf numFmtId="37" fontId="0" fillId="0" borderId="0" xfId="0" applyNumberFormat="1" applyFont="1" applyBorder="1"/>
    <xf numFmtId="37" fontId="60" fillId="0" borderId="0" xfId="0" applyNumberFormat="1" applyFont="1" applyBorder="1"/>
    <xf numFmtId="3" fontId="1" fillId="0" borderId="0" xfId="0" applyNumberFormat="1" applyFont="1"/>
    <xf numFmtId="226" fontId="0" fillId="0" borderId="0" xfId="0" applyNumberFormat="1" applyFont="1"/>
    <xf numFmtId="0" fontId="66" fillId="0" borderId="0" xfId="0" applyFont="1"/>
    <xf numFmtId="0" fontId="70" fillId="0" borderId="0" xfId="0" applyFont="1"/>
    <xf numFmtId="0" fontId="0" fillId="0" borderId="0" xfId="0" applyFont="1" applyBorder="1" applyAlignment="1">
      <alignment horizontal="left" indent="1"/>
    </xf>
    <xf numFmtId="164" fontId="0" fillId="0" borderId="0" xfId="0" applyNumberFormat="1" applyFont="1" applyBorder="1" applyAlignment="1">
      <alignment horizontal="right"/>
    </xf>
    <xf numFmtId="164" fontId="2" fillId="0" borderId="0" xfId="0" applyNumberFormat="1" applyFont="1" applyBorder="1"/>
    <xf numFmtId="164" fontId="2" fillId="0" borderId="0" xfId="0" applyNumberFormat="1" applyFont="1" applyFill="1" applyBorder="1"/>
    <xf numFmtId="0" fontId="0" fillId="0" borderId="0" xfId="0" applyFont="1" applyFill="1" applyBorder="1" applyAlignment="1">
      <alignment horizontal="left" indent="1"/>
    </xf>
    <xf numFmtId="0" fontId="70" fillId="0" borderId="0" xfId="0" applyFont="1" applyFill="1" applyBorder="1"/>
    <xf numFmtId="0" fontId="0" fillId="0" borderId="0" xfId="0" applyFont="1" applyAlignment="1">
      <alignment horizontal="left" indent="1"/>
    </xf>
    <xf numFmtId="0" fontId="66" fillId="0" borderId="0" xfId="0" applyFont="1" applyAlignment="1">
      <alignment horizontal="left" indent="1"/>
    </xf>
    <xf numFmtId="3" fontId="60" fillId="0" borderId="0" xfId="0" applyNumberFormat="1" applyFont="1"/>
    <xf numFmtId="3" fontId="0" fillId="0" borderId="0" xfId="0" applyNumberFormat="1" applyFont="1"/>
    <xf numFmtId="222" fontId="60" fillId="0" borderId="0" xfId="0" applyNumberFormat="1" applyFont="1" applyBorder="1"/>
    <xf numFmtId="223" fontId="60" fillId="0" borderId="0" xfId="0" applyNumberFormat="1" applyFont="1" applyBorder="1"/>
    <xf numFmtId="225" fontId="64" fillId="0" borderId="1" xfId="0" applyNumberFormat="1" applyFont="1" applyBorder="1"/>
    <xf numFmtId="37" fontId="0" fillId="0" borderId="0" xfId="0" applyNumberFormat="1" applyFont="1"/>
    <xf numFmtId="164" fontId="1" fillId="0" borderId="0" xfId="0" applyNumberFormat="1" applyFont="1"/>
    <xf numFmtId="14" fontId="68" fillId="0" borderId="0" xfId="0" applyNumberFormat="1" applyFont="1"/>
    <xf numFmtId="37" fontId="1" fillId="0" borderId="0" xfId="0" applyNumberFormat="1" applyFont="1" applyFill="1" applyAlignment="1"/>
    <xf numFmtId="37" fontId="1" fillId="0" borderId="0" xfId="0" applyNumberFormat="1" applyFont="1" applyFill="1" applyBorder="1" applyAlignment="1"/>
    <xf numFmtId="37" fontId="2" fillId="0" borderId="0" xfId="0" applyNumberFormat="1" applyFont="1" applyFill="1" applyBorder="1" applyAlignment="1"/>
    <xf numFmtId="0" fontId="0" fillId="0" borderId="0" xfId="0" applyFont="1" applyFill="1" applyBorder="1" applyAlignment="1">
      <alignment horizontal="left"/>
    </xf>
    <xf numFmtId="0" fontId="66" fillId="0" borderId="0" xfId="0" applyFont="1" applyBorder="1" applyAlignment="1">
      <alignment horizontal="left"/>
    </xf>
    <xf numFmtId="227" fontId="60" fillId="0" borderId="0" xfId="0" applyNumberFormat="1" applyFont="1" applyFill="1" applyBorder="1" applyAlignment="1">
      <alignment horizontal="left" indent="3"/>
    </xf>
    <xf numFmtId="37" fontId="60" fillId="0" borderId="0" xfId="0" applyNumberFormat="1" applyFont="1" applyBorder="1" applyAlignment="1"/>
    <xf numFmtId="0" fontId="0" fillId="0" borderId="0" xfId="0" applyFont="1" applyBorder="1" applyAlignment="1">
      <alignment horizontal="left"/>
    </xf>
    <xf numFmtId="165" fontId="0" fillId="0" borderId="0" xfId="0" applyNumberFormat="1" applyFont="1" applyFill="1" applyBorder="1" applyAlignment="1">
      <alignment horizontal="left" indent="3"/>
    </xf>
    <xf numFmtId="37" fontId="0" fillId="0" borderId="0" xfId="0" applyNumberFormat="1" applyFont="1" applyFill="1" applyBorder="1" applyAlignment="1"/>
    <xf numFmtId="226" fontId="0" fillId="0" borderId="0" xfId="0" applyNumberFormat="1" applyFont="1" applyBorder="1"/>
    <xf numFmtId="37" fontId="60" fillId="0" borderId="0" xfId="0" applyNumberFormat="1" applyFont="1" applyFill="1" applyBorder="1" applyAlignment="1"/>
    <xf numFmtId="37" fontId="66" fillId="0" borderId="0" xfId="0" applyNumberFormat="1" applyFont="1" applyFill="1" applyBorder="1" applyAlignment="1"/>
    <xf numFmtId="165" fontId="0" fillId="0" borderId="0" xfId="0" applyNumberFormat="1" applyFont="1" applyFill="1" applyBorder="1"/>
    <xf numFmtId="37" fontId="0" fillId="0" borderId="0" xfId="0" applyNumberFormat="1" applyFont="1" applyBorder="1" applyAlignment="1"/>
    <xf numFmtId="37" fontId="68" fillId="0" borderId="0" xfId="0" applyNumberFormat="1" applyFont="1" applyBorder="1" applyAlignment="1"/>
    <xf numFmtId="228" fontId="0" fillId="0" borderId="0" xfId="0" applyNumberFormat="1" applyFont="1"/>
    <xf numFmtId="227" fontId="1" fillId="0" borderId="0" xfId="0" applyNumberFormat="1" applyFont="1" applyFill="1" applyBorder="1"/>
    <xf numFmtId="225" fontId="64" fillId="0" borderId="0" xfId="0" applyNumberFormat="1" applyFont="1" applyBorder="1"/>
    <xf numFmtId="0" fontId="0" fillId="0" borderId="0" xfId="0" quotePrefix="1" applyFont="1" applyBorder="1" applyAlignment="1">
      <alignment horizontal="left" indent="1"/>
    </xf>
    <xf numFmtId="227" fontId="66" fillId="0" borderId="0" xfId="0" applyNumberFormat="1" applyFont="1" applyBorder="1"/>
    <xf numFmtId="165" fontId="0" fillId="0" borderId="0" xfId="0" applyNumberFormat="1" applyFont="1" applyBorder="1"/>
    <xf numFmtId="164" fontId="0" fillId="0" borderId="0" xfId="0" applyNumberFormat="1" applyFont="1" applyBorder="1"/>
    <xf numFmtId="229" fontId="0" fillId="0" borderId="0" xfId="0" applyNumberFormat="1" applyFont="1"/>
    <xf numFmtId="229" fontId="71" fillId="0" borderId="0" xfId="0" applyNumberFormat="1" applyFont="1"/>
    <xf numFmtId="0" fontId="66" fillId="0" borderId="0" xfId="0" applyFont="1" applyFill="1" applyBorder="1"/>
    <xf numFmtId="164" fontId="0" fillId="0" borderId="1" xfId="0" applyNumberFormat="1" applyFont="1" applyBorder="1"/>
    <xf numFmtId="9" fontId="1" fillId="0" borderId="1" xfId="0" applyNumberFormat="1" applyFont="1" applyBorder="1"/>
    <xf numFmtId="9" fontId="1" fillId="0" borderId="0" xfId="0" applyNumberFormat="1" applyFont="1"/>
    <xf numFmtId="9" fontId="0" fillId="0" borderId="0" xfId="0" applyNumberFormat="1" applyFont="1"/>
    <xf numFmtId="3" fontId="0" fillId="0" borderId="0" xfId="0" applyNumberFormat="1" applyFont="1" applyBorder="1"/>
    <xf numFmtId="37" fontId="66" fillId="0" borderId="0" xfId="0" applyNumberFormat="1" applyFont="1" applyBorder="1"/>
    <xf numFmtId="37" fontId="66" fillId="0" borderId="0" xfId="0" applyNumberFormat="1" applyFont="1"/>
    <xf numFmtId="0" fontId="0" fillId="0" borderId="0" xfId="0" quotePrefix="1" applyFont="1" applyBorder="1"/>
    <xf numFmtId="231" fontId="1" fillId="0" borderId="0" xfId="0" applyNumberFormat="1" applyFont="1"/>
    <xf numFmtId="10" fontId="2" fillId="0" borderId="0" xfId="0" applyNumberFormat="1" applyFont="1"/>
    <xf numFmtId="37" fontId="0" fillId="0" borderId="0" xfId="0" applyNumberFormat="1" applyFont="1" applyFill="1"/>
    <xf numFmtId="37" fontId="2" fillId="0" borderId="0" xfId="0" applyNumberFormat="1" applyFont="1" applyFill="1" applyBorder="1"/>
    <xf numFmtId="37" fontId="88" fillId="0" borderId="0" xfId="0" applyNumberFormat="1" applyFont="1" applyFill="1" applyBorder="1" applyAlignment="1"/>
  </cellXfs>
  <cellStyles count="210">
    <cellStyle name="$" xfId="1" xr:uid="{00000000-0005-0000-0000-000000000000}"/>
    <cellStyle name="$m" xfId="2" xr:uid="{00000000-0005-0000-0000-000001000000}"/>
    <cellStyle name="$q" xfId="3" xr:uid="{00000000-0005-0000-0000-000002000000}"/>
    <cellStyle name="$q*" xfId="4" xr:uid="{00000000-0005-0000-0000-000003000000}"/>
    <cellStyle name="$qA" xfId="5" xr:uid="{00000000-0005-0000-0000-000004000000}"/>
    <cellStyle name="$qRange" xfId="6" xr:uid="{00000000-0005-0000-0000-000005000000}"/>
    <cellStyle name="%" xfId="7" xr:uid="{00000000-0005-0000-0000-000006000000}"/>
    <cellStyle name="******************************************" xfId="8" xr:uid="{00000000-0005-0000-0000-000007000000}"/>
    <cellStyle name="10Q" xfId="185" xr:uid="{00000000-0005-0000-0000-000008000000}"/>
    <cellStyle name="2 Decimal Places_MA Software Comps - List_AccretionDilution OTGS v16.xls Chart 1" xfId="9" xr:uid="{00000000-0005-0000-0000-000009000000}"/>
    <cellStyle name="20% - Accent1 2" xfId="10" xr:uid="{00000000-0005-0000-0000-00000A000000}"/>
    <cellStyle name="20% - Accent2 2" xfId="11" xr:uid="{00000000-0005-0000-0000-00000B000000}"/>
    <cellStyle name="20% - Accent3 2" xfId="12" xr:uid="{00000000-0005-0000-0000-00000C000000}"/>
    <cellStyle name="20% - Accent4 2" xfId="13" xr:uid="{00000000-0005-0000-0000-00000D000000}"/>
    <cellStyle name="20% - Accent5 2" xfId="14" xr:uid="{00000000-0005-0000-0000-00000E000000}"/>
    <cellStyle name="20% - Accent6 2" xfId="15" xr:uid="{00000000-0005-0000-0000-00000F000000}"/>
    <cellStyle name="40% - Accent1 2" xfId="16" xr:uid="{00000000-0005-0000-0000-000010000000}"/>
    <cellStyle name="40% - Accent2 2" xfId="17" xr:uid="{00000000-0005-0000-0000-000011000000}"/>
    <cellStyle name="40% - Accent3 2" xfId="18" xr:uid="{00000000-0005-0000-0000-000012000000}"/>
    <cellStyle name="40% - Accent4 2" xfId="19" xr:uid="{00000000-0005-0000-0000-000013000000}"/>
    <cellStyle name="40% - Accent5 2" xfId="20" xr:uid="{00000000-0005-0000-0000-000014000000}"/>
    <cellStyle name="40% - Accent6 2" xfId="21" xr:uid="{00000000-0005-0000-0000-000015000000}"/>
    <cellStyle name="60% - Accent1 2" xfId="22" xr:uid="{00000000-0005-0000-0000-000016000000}"/>
    <cellStyle name="60% - Accent2 2" xfId="23" xr:uid="{00000000-0005-0000-0000-000017000000}"/>
    <cellStyle name="60% - Accent3 2" xfId="24" xr:uid="{00000000-0005-0000-0000-000018000000}"/>
    <cellStyle name="60% - Accent4 2" xfId="25" xr:uid="{00000000-0005-0000-0000-000019000000}"/>
    <cellStyle name="60% - Accent5 2" xfId="26" xr:uid="{00000000-0005-0000-0000-00001A000000}"/>
    <cellStyle name="60% - Accent6 2" xfId="27" xr:uid="{00000000-0005-0000-0000-00001B000000}"/>
    <cellStyle name="Accent1 2" xfId="28" xr:uid="{00000000-0005-0000-0000-00001C000000}"/>
    <cellStyle name="Accent2 2" xfId="29" xr:uid="{00000000-0005-0000-0000-00001D000000}"/>
    <cellStyle name="Accent3 2" xfId="30" xr:uid="{00000000-0005-0000-0000-00001E000000}"/>
    <cellStyle name="Accent4 2" xfId="31" xr:uid="{00000000-0005-0000-0000-00001F000000}"/>
    <cellStyle name="Accent5 2" xfId="32" xr:uid="{00000000-0005-0000-0000-000020000000}"/>
    <cellStyle name="Accent6 2" xfId="33" xr:uid="{00000000-0005-0000-0000-000021000000}"/>
    <cellStyle name="AFE" xfId="34" xr:uid="{00000000-0005-0000-0000-000022000000}"/>
    <cellStyle name="Bad 2" xfId="35" xr:uid="{00000000-0005-0000-0000-000023000000}"/>
    <cellStyle name="Balance" xfId="36" xr:uid="{00000000-0005-0000-0000-000024000000}"/>
    <cellStyle name="BalanceSheet" xfId="37" xr:uid="{00000000-0005-0000-0000-000025000000}"/>
    <cellStyle name="Body_$Numeric" xfId="38" xr:uid="{00000000-0005-0000-0000-000026000000}"/>
    <cellStyle name="Bold Header" xfId="39" xr:uid="{00000000-0005-0000-0000-000027000000}"/>
    <cellStyle name="Calculation 2" xfId="40" xr:uid="{00000000-0005-0000-0000-000028000000}"/>
    <cellStyle name="CashFlow" xfId="41" xr:uid="{00000000-0005-0000-0000-000029000000}"/>
    <cellStyle name="ChartingText" xfId="186" xr:uid="{00000000-0005-0000-0000-00002A000000}"/>
    <cellStyle name="Check" xfId="42" xr:uid="{00000000-0005-0000-0000-00002B000000}"/>
    <cellStyle name="Check Cell 2" xfId="43" xr:uid="{00000000-0005-0000-0000-00002C000000}"/>
    <cellStyle name="CHPTop" xfId="187" xr:uid="{00000000-0005-0000-0000-00002D000000}"/>
    <cellStyle name="ColHeading" xfId="44" xr:uid="{00000000-0005-0000-0000-00002E000000}"/>
    <cellStyle name="colheadleft" xfId="45" xr:uid="{00000000-0005-0000-0000-00002F000000}"/>
    <cellStyle name="colheadright" xfId="46" xr:uid="{00000000-0005-0000-0000-000030000000}"/>
    <cellStyle name="ColumnHeaderNormal" xfId="188" xr:uid="{00000000-0005-0000-0000-000031000000}"/>
    <cellStyle name="Comma 2" xfId="47" xr:uid="{00000000-0005-0000-0000-000032000000}"/>
    <cellStyle name="Comma0" xfId="48" xr:uid="{00000000-0005-0000-0000-000033000000}"/>
    <cellStyle name="Comma2" xfId="49" xr:uid="{00000000-0005-0000-0000-000034000000}"/>
    <cellStyle name="Company" xfId="50" xr:uid="{00000000-0005-0000-0000-000035000000}"/>
    <cellStyle name="CurRatio" xfId="51" xr:uid="{00000000-0005-0000-0000-000036000000}"/>
    <cellStyle name="Currency--" xfId="189" xr:uid="{00000000-0005-0000-0000-000037000000}"/>
    <cellStyle name="Currency [1]" xfId="52" xr:uid="{00000000-0005-0000-0000-000038000000}"/>
    <cellStyle name="Currency [2]" xfId="53" xr:uid="{00000000-0005-0000-0000-000039000000}"/>
    <cellStyle name="Currency0" xfId="54" xr:uid="{00000000-0005-0000-0000-00003A000000}"/>
    <cellStyle name="Currency2" xfId="55" xr:uid="{00000000-0005-0000-0000-00003B000000}"/>
    <cellStyle name="d_yield" xfId="56" xr:uid="{00000000-0005-0000-0000-00003C000000}"/>
    <cellStyle name="d_yield_CW's MAKER MODEL" xfId="57" xr:uid="{00000000-0005-0000-0000-00003D000000}"/>
    <cellStyle name="d_yield_valuation" xfId="58" xr:uid="{00000000-0005-0000-0000-00003E000000}"/>
    <cellStyle name="Date [d-mmm-yy]" xfId="59" xr:uid="{00000000-0005-0000-0000-00003F000000}"/>
    <cellStyle name="Date [mm-dd-yy]" xfId="190" xr:uid="{00000000-0005-0000-0000-000040000000}"/>
    <cellStyle name="Date [mm-dd-yyyy]" xfId="191" xr:uid="{00000000-0005-0000-0000-000041000000}"/>
    <cellStyle name="Date [mm-d-yyyy]" xfId="192" xr:uid="{00000000-0005-0000-0000-000042000000}"/>
    <cellStyle name="Date [mmm-d-yyyy]" xfId="60" xr:uid="{00000000-0005-0000-0000-000043000000}"/>
    <cellStyle name="Date [mmm-yyyy]" xfId="61" xr:uid="{00000000-0005-0000-0000-000044000000}"/>
    <cellStyle name="Dates" xfId="62" xr:uid="{00000000-0005-0000-0000-000045000000}"/>
    <cellStyle name="DateYear" xfId="63" xr:uid="{00000000-0005-0000-0000-000046000000}"/>
    <cellStyle name="Dezimal_Capital expenditure planning FY 2000" xfId="64" xr:uid="{00000000-0005-0000-0000-000047000000}"/>
    <cellStyle name="Dollar" xfId="65" xr:uid="{00000000-0005-0000-0000-000048000000}"/>
    <cellStyle name="Dollars" xfId="66" xr:uid="{00000000-0005-0000-0000-000049000000}"/>
    <cellStyle name="DollarWhole" xfId="67" xr:uid="{00000000-0005-0000-0000-00004A000000}"/>
    <cellStyle name="eps" xfId="68" xr:uid="{00000000-0005-0000-0000-00004B000000}"/>
    <cellStyle name="eps$" xfId="69" xr:uid="{00000000-0005-0000-0000-00004C000000}"/>
    <cellStyle name="eps$A" xfId="70" xr:uid="{00000000-0005-0000-0000-00004D000000}"/>
    <cellStyle name="eps$E" xfId="71" xr:uid="{00000000-0005-0000-0000-00004E000000}"/>
    <cellStyle name="epsA" xfId="72" xr:uid="{00000000-0005-0000-0000-00004F000000}"/>
    <cellStyle name="EPSActual" xfId="73" xr:uid="{00000000-0005-0000-0000-000050000000}"/>
    <cellStyle name="epsE" xfId="74" xr:uid="{00000000-0005-0000-0000-000051000000}"/>
    <cellStyle name="EPSEstimate" xfId="75" xr:uid="{00000000-0005-0000-0000-000052000000}"/>
    <cellStyle name="Euro" xfId="76" xr:uid="{00000000-0005-0000-0000-000053000000}"/>
    <cellStyle name="Explanatory Text 2" xfId="77" xr:uid="{00000000-0005-0000-0000-000054000000}"/>
    <cellStyle name="fy_eps$" xfId="78" xr:uid="{00000000-0005-0000-0000-000055000000}"/>
    <cellStyle name="g_rate" xfId="79" xr:uid="{00000000-0005-0000-0000-000056000000}"/>
    <cellStyle name="g_rate_CW's MAKER MODEL" xfId="80" xr:uid="{00000000-0005-0000-0000-000057000000}"/>
    <cellStyle name="g_rate_valuation" xfId="81" xr:uid="{00000000-0005-0000-0000-000058000000}"/>
    <cellStyle name="General" xfId="82" xr:uid="{00000000-0005-0000-0000-000059000000}"/>
    <cellStyle name="Good 2" xfId="83" xr:uid="{00000000-0005-0000-0000-00005A000000}"/>
    <cellStyle name="GrowthRate" xfId="84" xr:uid="{00000000-0005-0000-0000-00005B000000}"/>
    <cellStyle name="GrowthSeq" xfId="85" xr:uid="{00000000-0005-0000-0000-00005C000000}"/>
    <cellStyle name="Hard Number Input" xfId="86" xr:uid="{00000000-0005-0000-0000-00005D000000}"/>
    <cellStyle name="Heading 1 2" xfId="87" xr:uid="{00000000-0005-0000-0000-00005E000000}"/>
    <cellStyle name="Heading 2 2" xfId="88" xr:uid="{00000000-0005-0000-0000-00005F000000}"/>
    <cellStyle name="Heading 3 2" xfId="89" xr:uid="{00000000-0005-0000-0000-000060000000}"/>
    <cellStyle name="Heading 4 2" xfId="90" xr:uid="{00000000-0005-0000-0000-000061000000}"/>
    <cellStyle name="Historical Number" xfId="91" xr:uid="{00000000-0005-0000-0000-000062000000}"/>
    <cellStyle name="Hyperlink_Accretion Dilution Training Unprotected" xfId="184" xr:uid="{00000000-0005-0000-0000-000063000000}"/>
    <cellStyle name="iemens" xfId="92" xr:uid="{00000000-0005-0000-0000-000064000000}"/>
    <cellStyle name="Income" xfId="93" xr:uid="{00000000-0005-0000-0000-000065000000}"/>
    <cellStyle name="IncomeStatement" xfId="94" xr:uid="{00000000-0005-0000-0000-000066000000}"/>
    <cellStyle name="Input 2" xfId="95" xr:uid="{00000000-0005-0000-0000-000067000000}"/>
    <cellStyle name="Input Fixed [0]" xfId="96" xr:uid="{00000000-0005-0000-0000-000068000000}"/>
    <cellStyle name="Integer" xfId="97" xr:uid="{00000000-0005-0000-0000-000069000000}"/>
    <cellStyle name="Inverse Header" xfId="98" xr:uid="{00000000-0005-0000-0000-00006A000000}"/>
    <cellStyle name="Invisible" xfId="193" xr:uid="{00000000-0005-0000-0000-00006B000000}"/>
    <cellStyle name="Item" xfId="99" xr:uid="{00000000-0005-0000-0000-00006C000000}"/>
    <cellStyle name="ItemTypeClass" xfId="100" xr:uid="{00000000-0005-0000-0000-00006D000000}"/>
    <cellStyle name="Linked Cell 2" xfId="101" xr:uid="{00000000-0005-0000-0000-00006E000000}"/>
    <cellStyle name="LTGR" xfId="102" xr:uid="{00000000-0005-0000-0000-00006F000000}"/>
    <cellStyle name="m" xfId="103" xr:uid="{00000000-0005-0000-0000-000070000000}"/>
    <cellStyle name="m$" xfId="104" xr:uid="{00000000-0005-0000-0000-000071000000}"/>
    <cellStyle name="m/d/yy" xfId="194" xr:uid="{00000000-0005-0000-0000-000072000000}"/>
    <cellStyle name="m_CW's MAKER MODEL" xfId="105" xr:uid="{00000000-0005-0000-0000-000073000000}"/>
    <cellStyle name="m_valuation" xfId="106" xr:uid="{00000000-0005-0000-0000-000074000000}"/>
    <cellStyle name="Margin" xfId="107" xr:uid="{00000000-0005-0000-0000-000075000000}"/>
    <cellStyle name="Margins" xfId="108" xr:uid="{00000000-0005-0000-0000-000076000000}"/>
    <cellStyle name="mm" xfId="109" xr:uid="{00000000-0005-0000-0000-000077000000}"/>
    <cellStyle name="Multiple" xfId="110" xr:uid="{00000000-0005-0000-0000-000078000000}"/>
    <cellStyle name="MyStyle" xfId="195" xr:uid="{00000000-0005-0000-0000-000079000000}"/>
    <cellStyle name="NA is zero" xfId="111" xr:uid="{00000000-0005-0000-0000-00007A000000}"/>
    <cellStyle name="Neutral 2" xfId="112" xr:uid="{00000000-0005-0000-0000-00007B000000}"/>
    <cellStyle name="NewColumnHeaderNormal" xfId="196" xr:uid="{00000000-0005-0000-0000-00007C000000}"/>
    <cellStyle name="NewSectionHeaderNormal" xfId="197" xr:uid="{00000000-0005-0000-0000-00007D000000}"/>
    <cellStyle name="NewTitleNormal" xfId="198" xr:uid="{00000000-0005-0000-0000-00007E000000}"/>
    <cellStyle name="Normal" xfId="0" builtinId="0"/>
    <cellStyle name="Normal--" xfId="199" xr:uid="{00000000-0005-0000-0000-000080000000}"/>
    <cellStyle name="Normal [0]" xfId="113" xr:uid="{00000000-0005-0000-0000-000081000000}"/>
    <cellStyle name="Normal [1]" xfId="114" xr:uid="{00000000-0005-0000-0000-000082000000}"/>
    <cellStyle name="Normal [2]" xfId="115" xr:uid="{00000000-0005-0000-0000-000083000000}"/>
    <cellStyle name="Normal [3]" xfId="116" xr:uid="{00000000-0005-0000-0000-000084000000}"/>
    <cellStyle name="Normal 2" xfId="117" xr:uid="{00000000-0005-0000-0000-000085000000}"/>
    <cellStyle name="Normal Bold" xfId="118" xr:uid="{00000000-0005-0000-0000-000086000000}"/>
    <cellStyle name="Normal Pct" xfId="119" xr:uid="{00000000-0005-0000-0000-000087000000}"/>
    <cellStyle name="NormalX" xfId="120" xr:uid="{00000000-0005-0000-0000-000088000000}"/>
    <cellStyle name="Note 2" xfId="121" xr:uid="{00000000-0005-0000-0000-000089000000}"/>
    <cellStyle name="NPPESalesPct" xfId="122" xr:uid="{00000000-0005-0000-0000-00008A000000}"/>
    <cellStyle name="Number" xfId="123" xr:uid="{00000000-0005-0000-0000-00008B000000}"/>
    <cellStyle name="NWI%S" xfId="124" xr:uid="{00000000-0005-0000-0000-00008C000000}"/>
    <cellStyle name="Output 2" xfId="125" xr:uid="{00000000-0005-0000-0000-00008D000000}"/>
    <cellStyle name="P/E" xfId="126" xr:uid="{00000000-0005-0000-0000-00008E000000}"/>
    <cellStyle name="Palatino" xfId="127" xr:uid="{00000000-0005-0000-0000-00008F000000}"/>
    <cellStyle name="pc1" xfId="128" xr:uid="{00000000-0005-0000-0000-000090000000}"/>
    <cellStyle name="pe" xfId="129" xr:uid="{00000000-0005-0000-0000-000091000000}"/>
    <cellStyle name="PE/LTGR" xfId="130" xr:uid="{00000000-0005-0000-0000-000092000000}"/>
    <cellStyle name="PEG" xfId="131" xr:uid="{00000000-0005-0000-0000-000093000000}"/>
    <cellStyle name="Percent [0]" xfId="132" xr:uid="{00000000-0005-0000-0000-000094000000}"/>
    <cellStyle name="Percent [1]" xfId="133" xr:uid="{00000000-0005-0000-0000-000095000000}"/>
    <cellStyle name="Percent [2]" xfId="134" xr:uid="{00000000-0005-0000-0000-000096000000}"/>
    <cellStyle name="PercentChange" xfId="135" xr:uid="{00000000-0005-0000-0000-000097000000}"/>
    <cellStyle name="PercentPresentation" xfId="136" xr:uid="{00000000-0005-0000-0000-000098000000}"/>
    <cellStyle name="PerShare" xfId="137" xr:uid="{00000000-0005-0000-0000-000099000000}"/>
    <cellStyle name="POPS" xfId="138" xr:uid="{00000000-0005-0000-0000-00009A000000}"/>
    <cellStyle name="Presentation" xfId="139" xr:uid="{00000000-0005-0000-0000-00009B000000}"/>
    <cellStyle name="PresentationZero" xfId="140" xr:uid="{00000000-0005-0000-0000-00009C000000}"/>
    <cellStyle name="price" xfId="141" xr:uid="{00000000-0005-0000-0000-00009D000000}"/>
    <cellStyle name="q" xfId="142" xr:uid="{00000000-0005-0000-0000-00009E000000}"/>
    <cellStyle name="q_CW's MAKER MODEL" xfId="143" xr:uid="{00000000-0005-0000-0000-00009F000000}"/>
    <cellStyle name="QEPS-h" xfId="144" xr:uid="{00000000-0005-0000-0000-0000A0000000}"/>
    <cellStyle name="QEPS-H1" xfId="145" xr:uid="{00000000-0005-0000-0000-0000A1000000}"/>
    <cellStyle name="qRange" xfId="146" xr:uid="{00000000-0005-0000-0000-0000A2000000}"/>
    <cellStyle name="range" xfId="147" xr:uid="{00000000-0005-0000-0000-0000A3000000}"/>
    <cellStyle name="RatioX" xfId="148" xr:uid="{00000000-0005-0000-0000-0000A4000000}"/>
    <cellStyle name="Red font" xfId="200" xr:uid="{00000000-0005-0000-0000-0000A5000000}"/>
    <cellStyle name="Report" xfId="149" xr:uid="{00000000-0005-0000-0000-0000A6000000}"/>
    <cellStyle name="Right" xfId="150" xr:uid="{00000000-0005-0000-0000-0000A7000000}"/>
    <cellStyle name="SectionHeaderNormal" xfId="201" xr:uid="{00000000-0005-0000-0000-0000A8000000}"/>
    <cellStyle name="SectionHeading" xfId="151" xr:uid="{00000000-0005-0000-0000-0000A9000000}"/>
    <cellStyle name="Shares" xfId="152" xr:uid="{00000000-0005-0000-0000-0000AA000000}"/>
    <cellStyle name="StockPrice" xfId="153" xr:uid="{00000000-0005-0000-0000-0000AB000000}"/>
    <cellStyle name="Style 1" xfId="154" xr:uid="{00000000-0005-0000-0000-0000AC000000}"/>
    <cellStyle name="Style 21" xfId="155" xr:uid="{00000000-0005-0000-0000-0000AD000000}"/>
    <cellStyle name="Style 22" xfId="156" xr:uid="{00000000-0005-0000-0000-0000AE000000}"/>
    <cellStyle name="Style 23" xfId="157" xr:uid="{00000000-0005-0000-0000-0000AF000000}"/>
    <cellStyle name="Style 24" xfId="158" xr:uid="{00000000-0005-0000-0000-0000B0000000}"/>
    <cellStyle name="Style 26" xfId="159" xr:uid="{00000000-0005-0000-0000-0000B1000000}"/>
    <cellStyle name="Style 27" xfId="160" xr:uid="{00000000-0005-0000-0000-0000B2000000}"/>
    <cellStyle name="Style 34" xfId="161" xr:uid="{00000000-0005-0000-0000-0000B3000000}"/>
    <cellStyle name="Style 37" xfId="162" xr:uid="{00000000-0005-0000-0000-0000B4000000}"/>
    <cellStyle name="Style 63" xfId="163" xr:uid="{00000000-0005-0000-0000-0000B5000000}"/>
    <cellStyle name="SubDollar" xfId="164" xr:uid="{00000000-0005-0000-0000-0000B6000000}"/>
    <cellStyle name="SubGrowth" xfId="165" xr:uid="{00000000-0005-0000-0000-0000B7000000}"/>
    <cellStyle name="SubGrowthRate" xfId="166" xr:uid="{00000000-0005-0000-0000-0000B8000000}"/>
    <cellStyle name="SubMargins" xfId="167" xr:uid="{00000000-0005-0000-0000-0000B9000000}"/>
    <cellStyle name="SubPenetration" xfId="168" xr:uid="{00000000-0005-0000-0000-0000BA000000}"/>
    <cellStyle name="Subscribers" xfId="169" xr:uid="{00000000-0005-0000-0000-0000BB000000}"/>
    <cellStyle name="SubScript" xfId="202" xr:uid="{00000000-0005-0000-0000-0000BC000000}"/>
    <cellStyle name="SubVariable" xfId="170" xr:uid="{00000000-0005-0000-0000-0000BD000000}"/>
    <cellStyle name="SuperScript" xfId="203" xr:uid="{00000000-0005-0000-0000-0000BE000000}"/>
    <cellStyle name="tcn" xfId="171" xr:uid="{00000000-0005-0000-0000-0000BF000000}"/>
    <cellStyle name="TextBold" xfId="204" xr:uid="{00000000-0005-0000-0000-0000C0000000}"/>
    <cellStyle name="TextItalic" xfId="205" xr:uid="{00000000-0005-0000-0000-0000C1000000}"/>
    <cellStyle name="TextNormal" xfId="206" xr:uid="{00000000-0005-0000-0000-0000C2000000}"/>
    <cellStyle name="Times" xfId="207" xr:uid="{00000000-0005-0000-0000-0000C3000000}"/>
    <cellStyle name="Times [1]" xfId="172" xr:uid="{00000000-0005-0000-0000-0000C4000000}"/>
    <cellStyle name="Times [2]" xfId="173" xr:uid="{00000000-0005-0000-0000-0000C5000000}"/>
    <cellStyle name="Title 2" xfId="174" xr:uid="{00000000-0005-0000-0000-0000C6000000}"/>
    <cellStyle name="title2" xfId="175" xr:uid="{00000000-0005-0000-0000-0000C7000000}"/>
    <cellStyle name="TitleII" xfId="176" xr:uid="{00000000-0005-0000-0000-0000C8000000}"/>
    <cellStyle name="TitleNormal" xfId="208" xr:uid="{00000000-0005-0000-0000-0000C9000000}"/>
    <cellStyle name="Titles" xfId="177" xr:uid="{00000000-0005-0000-0000-0000CA000000}"/>
    <cellStyle name="TitleSub" xfId="178" xr:uid="{00000000-0005-0000-0000-0000CB000000}"/>
    <cellStyle name="tn" xfId="179" xr:uid="{00000000-0005-0000-0000-0000CC000000}"/>
    <cellStyle name="Total 2" xfId="180" xr:uid="{00000000-0005-0000-0000-0000CD000000}"/>
    <cellStyle name="Warning Text 2" xfId="181" xr:uid="{00000000-0005-0000-0000-0000CE000000}"/>
    <cellStyle name="WholeNumber" xfId="182" xr:uid="{00000000-0005-0000-0000-0000CF000000}"/>
    <cellStyle name="Year&quot;E&quot;" xfId="183" xr:uid="{00000000-0005-0000-0000-0000D0000000}"/>
    <cellStyle name="Years" xfId="209" xr:uid="{00000000-0005-0000-0000-0000D1000000}"/>
  </cellStyles>
  <dxfs count="0"/>
  <tableStyles count="0" defaultTableStyle="TableStyleMedium2" defaultPivotStyle="PivotStyleLight16"/>
  <colors>
    <mruColors>
      <color rgb="FF0000FF"/>
      <color rgb="FFFFFF99"/>
      <color rgb="FF008000"/>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OCUME~1/Owner/LOCALS~1/Temp/Rar$DI00.921/Valuation_2010_Model.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nkumar.WSP/Downloads/DataSet1.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storical Data"/>
      <sheetName val="Forecast Drivers"/>
      <sheetName val="Results"/>
      <sheetName val="Valuation Summary"/>
    </sheetNames>
    <sheetDataSet>
      <sheetData sheetId="0" refreshError="1"/>
      <sheetData sheetId="1">
        <row r="25">
          <cell r="E25">
            <v>0</v>
          </cell>
          <cell r="F25">
            <v>0</v>
          </cell>
          <cell r="G25">
            <v>0</v>
          </cell>
          <cell r="H25">
            <v>0</v>
          </cell>
          <cell r="I25">
            <v>0</v>
          </cell>
          <cell r="J25">
            <v>0</v>
          </cell>
          <cell r="K25">
            <v>0</v>
          </cell>
          <cell r="L25">
            <v>0</v>
          </cell>
          <cell r="M25">
            <v>0</v>
          </cell>
          <cell r="N25">
            <v>0</v>
          </cell>
          <cell r="O25">
            <v>0</v>
          </cell>
          <cell r="P25">
            <v>0</v>
          </cell>
          <cell r="Q25">
            <v>0</v>
          </cell>
          <cell r="R25">
            <v>0</v>
          </cell>
          <cell r="S25">
            <v>0</v>
          </cell>
        </row>
        <row r="330">
          <cell r="D330">
            <v>1</v>
          </cell>
        </row>
      </sheetData>
      <sheetData sheetId="2">
        <row r="142">
          <cell r="F142">
            <v>0</v>
          </cell>
        </row>
        <row r="145">
          <cell r="F145">
            <v>0</v>
          </cell>
          <cell r="G145">
            <v>0</v>
          </cell>
          <cell r="H145">
            <v>0</v>
          </cell>
          <cell r="I145">
            <v>0</v>
          </cell>
          <cell r="J145">
            <v>0</v>
          </cell>
          <cell r="K145">
            <v>0</v>
          </cell>
          <cell r="L145">
            <v>0</v>
          </cell>
          <cell r="M145">
            <v>0</v>
          </cell>
          <cell r="N145">
            <v>0</v>
          </cell>
          <cell r="O145">
            <v>0</v>
          </cell>
          <cell r="P145">
            <v>0</v>
          </cell>
          <cell r="Q145">
            <v>0</v>
          </cell>
          <cell r="R145">
            <v>0</v>
          </cell>
          <cell r="S145">
            <v>0</v>
          </cell>
          <cell r="T145">
            <v>0</v>
          </cell>
          <cell r="U145">
            <v>0</v>
          </cell>
          <cell r="V145">
            <v>0</v>
          </cell>
          <cell r="W145">
            <v>0</v>
          </cell>
          <cell r="X145">
            <v>0</v>
          </cell>
          <cell r="Y145">
            <v>0</v>
          </cell>
          <cell r="Z145">
            <v>0</v>
          </cell>
          <cell r="AA145">
            <v>0</v>
          </cell>
          <cell r="AB145">
            <v>0</v>
          </cell>
          <cell r="AC145">
            <v>0</v>
          </cell>
          <cell r="AD145">
            <v>0</v>
          </cell>
        </row>
        <row r="182">
          <cell r="E182">
            <v>0</v>
          </cell>
          <cell r="F182">
            <v>0</v>
          </cell>
          <cell r="G182">
            <v>0</v>
          </cell>
          <cell r="H182">
            <v>0</v>
          </cell>
          <cell r="I182">
            <v>0</v>
          </cell>
          <cell r="J182">
            <v>0</v>
          </cell>
          <cell r="K182">
            <v>0</v>
          </cell>
          <cell r="L182">
            <v>0</v>
          </cell>
          <cell r="M182">
            <v>0</v>
          </cell>
          <cell r="N182">
            <v>0</v>
          </cell>
          <cell r="O182">
            <v>0</v>
          </cell>
          <cell r="P182">
            <v>0</v>
          </cell>
          <cell r="Q182">
            <v>0</v>
          </cell>
          <cell r="R182">
            <v>0</v>
          </cell>
          <cell r="S182">
            <v>0</v>
          </cell>
          <cell r="T182">
            <v>0</v>
          </cell>
          <cell r="U182">
            <v>0</v>
          </cell>
          <cell r="V182">
            <v>0</v>
          </cell>
          <cell r="W182">
            <v>0</v>
          </cell>
          <cell r="X182">
            <v>0</v>
          </cell>
          <cell r="Y182">
            <v>0</v>
          </cell>
          <cell r="Z182">
            <v>0</v>
          </cell>
          <cell r="AA182">
            <v>0</v>
          </cell>
          <cell r="AB182">
            <v>0</v>
          </cell>
          <cell r="AC182">
            <v>0</v>
          </cell>
          <cell r="AD182">
            <v>0</v>
          </cell>
        </row>
      </sheetData>
      <sheetData sheetId="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irc_ans"/>
      <sheetName val="Circ"/>
      <sheetName val="Reg 0"/>
      <sheetName val="Reg_ans"/>
      <sheetName val="CF"/>
      <sheetName val="CF_ans"/>
      <sheetName val="BoostToolkitClipBoard2010"/>
      <sheetName val="DS0"/>
      <sheetName val="DS0_ans"/>
      <sheetName val="Data Set1"/>
      <sheetName val="DataSet2"/>
      <sheetName val="DataSet3"/>
      <sheetName val="Other"/>
      <sheetName val="DataSet4"/>
      <sheetName val="Array0"/>
      <sheetName val="Array1"/>
      <sheetName val="Array2"/>
      <sheetName val="Array3"/>
      <sheetName val="Array4"/>
      <sheetName val="Array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5">
          <cell r="B5" t="str">
            <v>iPad</v>
          </cell>
          <cell r="C5">
            <v>500</v>
          </cell>
        </row>
        <row r="6">
          <cell r="B6" t="str">
            <v>iPod</v>
          </cell>
          <cell r="C6">
            <v>200</v>
          </cell>
        </row>
        <row r="7">
          <cell r="B7" t="str">
            <v>iPhone</v>
          </cell>
          <cell r="C7">
            <v>400</v>
          </cell>
        </row>
      </sheetData>
      <sheetData sheetId="15"/>
      <sheetData sheetId="16"/>
      <sheetData sheetId="17"/>
      <sheetData sheetId="18"/>
      <sheetData sheetId="1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6"/>
  <dimension ref="A1"/>
  <sheetViews>
    <sheetView workbookViewId="0"/>
  </sheetViews>
  <sheetFormatPr defaultColWidth="8.88671875" defaultRowHeight="14.4"/>
  <sheetData/>
  <pageMargins left="0.7" right="0.7" top="0.75" bottom="0.75" header="0.3" footer="0.3"/>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218"/>
  <sheetViews>
    <sheetView tabSelected="1" topLeftCell="A112" zoomScale="85" zoomScaleNormal="85" workbookViewId="0">
      <selection activeCell="D11" sqref="D11"/>
    </sheetView>
  </sheetViews>
  <sheetFormatPr defaultColWidth="8.88671875" defaultRowHeight="15.6"/>
  <cols>
    <col min="1" max="1" width="1.6640625" style="1" customWidth="1"/>
    <col min="2" max="2" width="42.6640625" style="1" customWidth="1"/>
    <col min="3" max="3" width="15" style="1" bestFit="1" customWidth="1"/>
    <col min="4" max="11" width="11.44140625" style="1" customWidth="1"/>
    <col min="12" max="12" width="8.88671875" style="1"/>
    <col min="13" max="13" width="10.88671875" style="1" bestFit="1" customWidth="1"/>
    <col min="14" max="16384" width="8.88671875" style="1"/>
  </cols>
  <sheetData>
    <row r="1" spans="1:11" ht="16.2" thickBot="1"/>
    <row r="2" spans="1:11" ht="26.4" thickBot="1">
      <c r="B2" s="7" t="str">
        <f>"Financial Statement Model for "&amp;'Model Complete'!D5</f>
        <v xml:space="preserve">Financial Statement Model for </v>
      </c>
      <c r="C2" s="6"/>
      <c r="D2" s="6"/>
      <c r="E2" s="6"/>
      <c r="F2" s="6"/>
      <c r="G2" s="6"/>
      <c r="H2" s="6"/>
      <c r="I2" s="6"/>
      <c r="J2" s="6"/>
      <c r="K2" s="6"/>
    </row>
    <row r="3" spans="1:11">
      <c r="B3" s="8"/>
      <c r="C3" s="14"/>
      <c r="D3" s="14"/>
      <c r="E3" s="15"/>
      <c r="F3" s="15"/>
      <c r="G3" s="16"/>
      <c r="H3" s="16"/>
      <c r="I3" s="16"/>
      <c r="J3" s="16"/>
      <c r="K3" s="16"/>
    </row>
    <row r="4" spans="1:11">
      <c r="B4" s="17"/>
      <c r="C4" s="14"/>
      <c r="D4" s="14"/>
      <c r="E4" s="15"/>
      <c r="F4" s="15"/>
      <c r="G4" s="16"/>
      <c r="H4" s="15"/>
      <c r="I4" s="15"/>
      <c r="J4" s="15"/>
      <c r="K4" s="15"/>
    </row>
    <row r="5" spans="1:11">
      <c r="B5" s="2" t="s">
        <v>7</v>
      </c>
      <c r="C5" s="5"/>
      <c r="D5" s="5"/>
      <c r="E5" s="15"/>
      <c r="F5" s="15"/>
      <c r="G5" s="16"/>
      <c r="H5" s="15"/>
      <c r="I5" s="15"/>
      <c r="J5" s="15"/>
      <c r="K5" s="15"/>
    </row>
    <row r="6" spans="1:11">
      <c r="B6" s="2" t="s">
        <v>9</v>
      </c>
      <c r="C6" s="4">
        <v>43465</v>
      </c>
      <c r="D6" s="4"/>
      <c r="E6" s="15"/>
      <c r="F6" s="15"/>
      <c r="G6" s="16"/>
      <c r="H6" s="16"/>
      <c r="I6" s="16"/>
      <c r="J6" s="16"/>
      <c r="K6" s="16"/>
    </row>
    <row r="7" spans="1:11">
      <c r="B7" s="3" t="s">
        <v>20</v>
      </c>
      <c r="C7" s="9" t="s">
        <v>5</v>
      </c>
      <c r="D7" s="9"/>
      <c r="E7" s="15"/>
      <c r="F7" s="16"/>
      <c r="G7" s="16"/>
      <c r="H7" s="16"/>
      <c r="I7" s="16"/>
      <c r="J7" s="16"/>
      <c r="K7" s="16"/>
    </row>
    <row r="8" spans="1:11">
      <c r="B8" s="15"/>
      <c r="C8" s="15"/>
      <c r="D8" s="15"/>
      <c r="E8" s="16"/>
      <c r="F8" s="16"/>
      <c r="G8" s="16"/>
      <c r="H8" s="16"/>
      <c r="I8" s="16"/>
      <c r="J8" s="16"/>
      <c r="K8" s="16"/>
    </row>
    <row r="9" spans="1:11">
      <c r="A9" s="1" t="s">
        <v>108</v>
      </c>
      <c r="B9" s="18" t="s">
        <v>19</v>
      </c>
      <c r="C9" s="19"/>
      <c r="D9" s="19"/>
      <c r="E9" s="20"/>
      <c r="F9" s="20"/>
      <c r="G9" s="20"/>
      <c r="H9" s="20"/>
      <c r="I9" s="20"/>
      <c r="J9" s="20"/>
      <c r="K9" s="20"/>
    </row>
    <row r="10" spans="1:11">
      <c r="B10" s="16" t="s">
        <v>10</v>
      </c>
      <c r="C10" s="21">
        <f>D10-1</f>
        <v>2015</v>
      </c>
      <c r="D10" s="21">
        <f>E10-1</f>
        <v>2016</v>
      </c>
      <c r="E10" s="21">
        <f>F10-1</f>
        <v>2017</v>
      </c>
      <c r="F10" s="21">
        <f>YEAR(C6)</f>
        <v>2018</v>
      </c>
      <c r="G10" s="22">
        <f>F10+1</f>
        <v>2019</v>
      </c>
      <c r="H10" s="22">
        <f>G10+1</f>
        <v>2020</v>
      </c>
      <c r="I10" s="22">
        <f>H10+1</f>
        <v>2021</v>
      </c>
      <c r="J10" s="22">
        <f>I10+1</f>
        <v>2022</v>
      </c>
      <c r="K10" s="22">
        <f>J10+1</f>
        <v>2023</v>
      </c>
    </row>
    <row r="11" spans="1:11">
      <c r="B11" s="23" t="s">
        <v>8</v>
      </c>
      <c r="C11" s="24">
        <v>42369</v>
      </c>
      <c r="D11" s="24">
        <v>42735</v>
      </c>
      <c r="E11" s="24">
        <v>43100</v>
      </c>
      <c r="F11" s="25">
        <f>C6</f>
        <v>43465</v>
      </c>
      <c r="G11" s="25">
        <f>EOMONTH(F11,12)</f>
        <v>43830</v>
      </c>
      <c r="H11" s="25">
        <f t="shared" ref="H11:K11" si="0">EOMONTH(G11,12)</f>
        <v>44196</v>
      </c>
      <c r="I11" s="25">
        <f t="shared" si="0"/>
        <v>44561</v>
      </c>
      <c r="J11" s="25">
        <f t="shared" si="0"/>
        <v>44926</v>
      </c>
      <c r="K11" s="25">
        <f t="shared" si="0"/>
        <v>45291</v>
      </c>
    </row>
    <row r="12" spans="1:11">
      <c r="B12" s="26"/>
      <c r="C12" s="27"/>
      <c r="D12" s="27"/>
      <c r="E12" s="27"/>
      <c r="F12" s="28"/>
      <c r="G12" s="28"/>
      <c r="H12" s="28"/>
      <c r="I12" s="28"/>
      <c r="J12" s="28"/>
      <c r="K12" s="28"/>
    </row>
    <row r="13" spans="1:11">
      <c r="B13" s="16" t="s">
        <v>88</v>
      </c>
      <c r="C13" s="29">
        <v>23853903</v>
      </c>
      <c r="D13" s="29">
        <v>30795661</v>
      </c>
      <c r="E13" s="29">
        <v>34419358</v>
      </c>
      <c r="F13" s="29">
        <v>35140407</v>
      </c>
      <c r="G13" s="30">
        <f>F13*(1+G35)</f>
        <v>40172857.97675211</v>
      </c>
      <c r="H13" s="30">
        <f t="shared" ref="H13:K13" si="1">G13*(1+H35)</f>
        <v>43946801.025588945</v>
      </c>
      <c r="I13" s="30">
        <f t="shared" si="1"/>
        <v>47727710.65861021</v>
      </c>
      <c r="J13" s="30">
        <f t="shared" si="1"/>
        <v>52869356.50618495</v>
      </c>
      <c r="K13" s="30">
        <f t="shared" si="1"/>
        <v>57939618.150174871</v>
      </c>
    </row>
    <row r="14" spans="1:11">
      <c r="B14" s="16" t="s">
        <v>13</v>
      </c>
      <c r="C14" s="29">
        <v>17660460</v>
      </c>
      <c r="D14" s="29">
        <v>22613814</v>
      </c>
      <c r="E14" s="29">
        <v>26021414</v>
      </c>
      <c r="F14" s="29">
        <v>25393680</v>
      </c>
      <c r="G14" s="30">
        <f>G13-G15</f>
        <v>29633695.918671858</v>
      </c>
      <c r="H14" s="30">
        <f t="shared" ref="H14:K14" si="2">H13-H15</f>
        <v>32466438.356743269</v>
      </c>
      <c r="I14" s="30">
        <f t="shared" si="2"/>
        <v>34985306.818323493</v>
      </c>
      <c r="J14" s="30">
        <f t="shared" si="2"/>
        <v>38937227.714190952</v>
      </c>
      <c r="K14" s="30">
        <f t="shared" si="2"/>
        <v>42648689.407076582</v>
      </c>
    </row>
    <row r="15" spans="1:11">
      <c r="B15" s="31" t="s">
        <v>12</v>
      </c>
      <c r="C15" s="32">
        <f>C13-C14</f>
        <v>6193443</v>
      </c>
      <c r="D15" s="32">
        <f>D13-D14</f>
        <v>8181847</v>
      </c>
      <c r="E15" s="32">
        <f t="shared" ref="E15:F15" si="3">E13-E14</f>
        <v>8397944</v>
      </c>
      <c r="F15" s="32">
        <f t="shared" si="3"/>
        <v>9746727</v>
      </c>
      <c r="G15" s="32">
        <f>G36*G13</f>
        <v>10539162.058080252</v>
      </c>
      <c r="H15" s="32">
        <f t="shared" ref="H15:K15" si="4">H36*H13</f>
        <v>11480362.668845678</v>
      </c>
      <c r="I15" s="32">
        <f t="shared" si="4"/>
        <v>12742403.840286721</v>
      </c>
      <c r="J15" s="32">
        <f t="shared" si="4"/>
        <v>13932128.791993996</v>
      </c>
      <c r="K15" s="32">
        <f t="shared" si="4"/>
        <v>15290928.743098292</v>
      </c>
    </row>
    <row r="16" spans="1:11">
      <c r="B16" s="16" t="s">
        <v>76</v>
      </c>
      <c r="C16" s="29">
        <v>464765</v>
      </c>
      <c r="D16" s="29">
        <v>568016</v>
      </c>
      <c r="E16" s="29">
        <v>721631</v>
      </c>
      <c r="F16" s="29">
        <v>962679</v>
      </c>
      <c r="G16" s="93">
        <f>G37*G$13</f>
        <v>979384.42816501728</v>
      </c>
      <c r="H16" s="93">
        <f t="shared" ref="H16:K16" si="5">H37*H$13</f>
        <v>1158325.6336483024</v>
      </c>
      <c r="I16" s="93">
        <f t="shared" si="5"/>
        <v>1304508.4723049647</v>
      </c>
      <c r="J16" s="93">
        <f t="shared" si="5"/>
        <v>1375819.5317871422</v>
      </c>
      <c r="K16" s="93">
        <f t="shared" si="5"/>
        <v>1539509.0215593569</v>
      </c>
    </row>
    <row r="17" spans="2:11">
      <c r="B17" s="16" t="s">
        <v>77</v>
      </c>
      <c r="C17" s="29">
        <v>3992142</v>
      </c>
      <c r="D17" s="29">
        <v>5321203</v>
      </c>
      <c r="E17" s="29">
        <v>5554350</v>
      </c>
      <c r="F17" s="29">
        <v>5757185</v>
      </c>
      <c r="G17" s="93">
        <f t="shared" ref="G17:K24" si="6">G38*G$13</f>
        <v>7232454.1806774652</v>
      </c>
      <c r="H17" s="93">
        <f t="shared" si="6"/>
        <v>8017987.271409248</v>
      </c>
      <c r="I17" s="93">
        <f t="shared" si="6"/>
        <v>8740993.7569583189</v>
      </c>
      <c r="J17" s="93">
        <f t="shared" si="6"/>
        <v>9615594.389058724</v>
      </c>
      <c r="K17" s="93">
        <f t="shared" si="6"/>
        <v>10573307.25750572</v>
      </c>
    </row>
    <row r="18" spans="2:11">
      <c r="B18" s="16" t="s">
        <v>78</v>
      </c>
      <c r="C18" s="29">
        <v>22857</v>
      </c>
      <c r="D18" s="29">
        <v>11681</v>
      </c>
      <c r="E18" s="29">
        <v>17579</v>
      </c>
      <c r="F18" s="29">
        <v>15182</v>
      </c>
      <c r="G18" s="93">
        <f t="shared" si="6"/>
        <v>19324.823651864648</v>
      </c>
      <c r="H18" s="93">
        <f t="shared" si="6"/>
        <v>22630.558882871996</v>
      </c>
      <c r="I18" s="93">
        <f t="shared" si="6"/>
        <v>23688.644035240319</v>
      </c>
      <c r="J18" s="93">
        <f t="shared" si="6"/>
        <v>26299.407258787603</v>
      </c>
      <c r="K18" s="93">
        <f t="shared" si="6"/>
        <v>29138.294538101312</v>
      </c>
    </row>
    <row r="19" spans="2:11">
      <c r="B19" s="16" t="s">
        <v>79</v>
      </c>
      <c r="C19" s="29">
        <v>120566</v>
      </c>
      <c r="D19" s="29">
        <v>199954</v>
      </c>
      <c r="E19" s="29">
        <v>163655</v>
      </c>
      <c r="F19" s="29">
        <v>342976</v>
      </c>
      <c r="G19" s="93">
        <f t="shared" si="6"/>
        <v>307246.08523587562</v>
      </c>
      <c r="H19" s="93">
        <f t="shared" si="6"/>
        <v>353031.64463422023</v>
      </c>
      <c r="I19" s="93">
        <f t="shared" si="6"/>
        <v>426660.49693810567</v>
      </c>
      <c r="J19" s="93">
        <f t="shared" si="6"/>
        <v>433894.07867418934</v>
      </c>
      <c r="K19" s="93">
        <f t="shared" si="6"/>
        <v>486297.66117485479</v>
      </c>
    </row>
    <row r="20" spans="2:11">
      <c r="B20" s="16" t="s">
        <v>80</v>
      </c>
      <c r="C20" s="29">
        <v>49732</v>
      </c>
      <c r="D20" s="29">
        <v>87666</v>
      </c>
      <c r="E20" s="29">
        <v>23576</v>
      </c>
      <c r="F20" s="29">
        <v>67585</v>
      </c>
      <c r="G20" s="93">
        <f t="shared" si="6"/>
        <v>77759.782169839324</v>
      </c>
      <c r="H20" s="93">
        <f t="shared" si="6"/>
        <v>71718.536264227238</v>
      </c>
      <c r="I20" s="93">
        <f t="shared" si="6"/>
        <v>91672.157698278257</v>
      </c>
      <c r="J20" s="93">
        <f t="shared" si="6"/>
        <v>96720.998940688514</v>
      </c>
      <c r="K20" s="93">
        <f t="shared" si="6"/>
        <v>103945.72634832874</v>
      </c>
    </row>
    <row r="21" spans="2:11">
      <c r="B21" s="16" t="s">
        <v>81</v>
      </c>
      <c r="C21" s="29">
        <v>391806</v>
      </c>
      <c r="D21" s="29">
        <v>399979</v>
      </c>
      <c r="E21" s="29">
        <v>453061</v>
      </c>
      <c r="F21" s="29">
        <v>480533</v>
      </c>
      <c r="G21" s="93">
        <f t="shared" si="6"/>
        <v>579880.81211214827</v>
      </c>
      <c r="H21" s="93">
        <f t="shared" si="6"/>
        <v>655545.72969133826</v>
      </c>
      <c r="I21" s="93">
        <f t="shared" si="6"/>
        <v>715205.51515551377</v>
      </c>
      <c r="J21" s="93">
        <f t="shared" si="6"/>
        <v>781348.54755084054</v>
      </c>
      <c r="K21" s="93">
        <f t="shared" si="6"/>
        <v>862929.06817507197</v>
      </c>
    </row>
    <row r="22" spans="2:11">
      <c r="B22" s="16" t="s">
        <v>82</v>
      </c>
      <c r="C22" s="29">
        <v>24167</v>
      </c>
      <c r="D22" s="29">
        <v>25932</v>
      </c>
      <c r="E22" s="29">
        <v>30091</v>
      </c>
      <c r="F22" s="29">
        <v>27772</v>
      </c>
      <c r="G22" s="93">
        <f t="shared" si="6"/>
        <v>36436.784976103649</v>
      </c>
      <c r="H22" s="93">
        <f t="shared" si="6"/>
        <v>40810.956507333161</v>
      </c>
      <c r="I22" s="93">
        <f t="shared" si="6"/>
        <v>43550.898949294584</v>
      </c>
      <c r="J22" s="93">
        <f t="shared" si="6"/>
        <v>48430.643685581148</v>
      </c>
      <c r="K22" s="93">
        <f t="shared" si="6"/>
        <v>53249.887682998087</v>
      </c>
    </row>
    <row r="23" spans="2:11">
      <c r="B23" s="16" t="s">
        <v>83</v>
      </c>
      <c r="C23" s="29">
        <v>39017</v>
      </c>
      <c r="D23" s="29">
        <v>42307</v>
      </c>
      <c r="E23" s="29">
        <v>45739</v>
      </c>
      <c r="F23" s="29">
        <v>52875</v>
      </c>
      <c r="G23" s="93">
        <f t="shared" si="6"/>
        <v>61277.023397786288</v>
      </c>
      <c r="H23" s="93">
        <f t="shared" si="6"/>
        <v>69253.394915815879</v>
      </c>
      <c r="I23" s="93">
        <f t="shared" si="6"/>
        <v>76652.973385052552</v>
      </c>
      <c r="J23" s="93">
        <f t="shared" si="6"/>
        <v>82956.03124599444</v>
      </c>
      <c r="K23" s="93">
        <f t="shared" si="6"/>
        <v>91756.45337409155</v>
      </c>
    </row>
    <row r="24" spans="2:11">
      <c r="B24" s="16" t="s">
        <v>84</v>
      </c>
      <c r="C24" s="29">
        <v>22314</v>
      </c>
      <c r="D24" s="29">
        <v>44925</v>
      </c>
      <c r="E24" s="29">
        <v>59619</v>
      </c>
      <c r="F24" s="29">
        <v>53623</v>
      </c>
      <c r="G24" s="93">
        <f t="shared" si="6"/>
        <v>68776.143795159456</v>
      </c>
      <c r="H24" s="93">
        <f t="shared" si="6"/>
        <v>78946.203215062429</v>
      </c>
      <c r="I24" s="93">
        <f t="shared" si="6"/>
        <v>83518.099004137985</v>
      </c>
      <c r="J24" s="93">
        <f t="shared" si="6"/>
        <v>92667.576796197871</v>
      </c>
      <c r="K24" s="93">
        <f t="shared" si="6"/>
        <v>102341.76420904553</v>
      </c>
    </row>
    <row r="25" spans="2:11">
      <c r="B25" s="31" t="s">
        <v>85</v>
      </c>
      <c r="C25" s="32">
        <f>SUM(C16:C24)</f>
        <v>5127366</v>
      </c>
      <c r="D25" s="32">
        <f>SUM(D16:D24)</f>
        <v>6701663</v>
      </c>
      <c r="E25" s="32">
        <f>SUM(E16:E24)</f>
        <v>7069301</v>
      </c>
      <c r="F25" s="32">
        <f>SUM(F16:F24)</f>
        <v>7760410</v>
      </c>
      <c r="G25" s="32">
        <f t="shared" ref="G25:K25" si="7">SUM(G16:G24)</f>
        <v>9362540.0641812608</v>
      </c>
      <c r="H25" s="32">
        <f t="shared" si="7"/>
        <v>10468249.929168418</v>
      </c>
      <c r="I25" s="32">
        <f t="shared" si="7"/>
        <v>11506451.014428908</v>
      </c>
      <c r="J25" s="32">
        <f t="shared" si="7"/>
        <v>12553731.204998147</v>
      </c>
      <c r="K25" s="32">
        <f t="shared" si="7"/>
        <v>13842475.13456757</v>
      </c>
    </row>
    <row r="26" spans="2:11">
      <c r="B26" s="31" t="s">
        <v>3</v>
      </c>
      <c r="C26" s="32">
        <f>C15-C25</f>
        <v>1066077</v>
      </c>
      <c r="D26" s="32">
        <f>D15-D25</f>
        <v>1480184</v>
      </c>
      <c r="E26" s="32">
        <f>E15-E25</f>
        <v>1328643</v>
      </c>
      <c r="F26" s="32">
        <f>F15-F25</f>
        <v>1986317</v>
      </c>
      <c r="G26" s="32">
        <f t="shared" ref="G26:K26" si="8">G15-G25</f>
        <v>1176621.9938989915</v>
      </c>
      <c r="H26" s="32">
        <f t="shared" si="8"/>
        <v>1012112.7396772597</v>
      </c>
      <c r="I26" s="32">
        <f t="shared" si="8"/>
        <v>1235952.8258578125</v>
      </c>
      <c r="J26" s="32">
        <f t="shared" si="8"/>
        <v>1378397.5869958494</v>
      </c>
      <c r="K26" s="32">
        <f t="shared" si="8"/>
        <v>1448453.6085307226</v>
      </c>
    </row>
    <row r="27" spans="2:11">
      <c r="B27" s="16" t="s">
        <v>86</v>
      </c>
      <c r="C27" s="29">
        <v>249</v>
      </c>
      <c r="D27" s="29">
        <v>1200</v>
      </c>
      <c r="E27" s="29">
        <v>7392</v>
      </c>
      <c r="F27" s="29">
        <v>26369</v>
      </c>
      <c r="G27" s="34">
        <f ca="1">G217</f>
        <v>33155.109361222705</v>
      </c>
      <c r="H27" s="34">
        <f ca="1">H217</f>
        <v>44807.104516242107</v>
      </c>
      <c r="I27" s="34">
        <f ca="1">I217</f>
        <v>55330.589441985634</v>
      </c>
      <c r="J27" s="34">
        <f ca="1">J217</f>
        <v>67599.79554348746</v>
      </c>
      <c r="K27" s="34">
        <f ca="1">K217</f>
        <v>81092.018238780322</v>
      </c>
    </row>
    <row r="28" spans="2:11">
      <c r="B28" s="33" t="s">
        <v>87</v>
      </c>
      <c r="C28" s="29">
        <v>1778</v>
      </c>
      <c r="D28" s="29">
        <v>0</v>
      </c>
      <c r="E28" s="29">
        <v>-310</v>
      </c>
      <c r="F28" s="29">
        <v>0</v>
      </c>
      <c r="G28" s="34">
        <f>F28</f>
        <v>0</v>
      </c>
      <c r="H28" s="34">
        <f t="shared" ref="H28:K28" si="9">G28</f>
        <v>0</v>
      </c>
      <c r="I28" s="34">
        <f t="shared" si="9"/>
        <v>0</v>
      </c>
      <c r="J28" s="34">
        <f t="shared" si="9"/>
        <v>0</v>
      </c>
      <c r="K28" s="34">
        <f t="shared" si="9"/>
        <v>0</v>
      </c>
    </row>
    <row r="29" spans="2:11">
      <c r="B29" s="31" t="s">
        <v>11</v>
      </c>
      <c r="C29" s="32">
        <f>SUM(C26:C28)</f>
        <v>1068104</v>
      </c>
      <c r="D29" s="32">
        <f>SUM(D26:D28)</f>
        <v>1481384</v>
      </c>
      <c r="E29" s="32">
        <f>SUM(E26:E28)</f>
        <v>1335725</v>
      </c>
      <c r="F29" s="32">
        <f>SUM(F26:F28)</f>
        <v>2012686</v>
      </c>
      <c r="G29" s="32">
        <f t="shared" ref="G29:K29" ca="1" si="10">SUM(G26:G28)</f>
        <v>1209777.1032602142</v>
      </c>
      <c r="H29" s="32">
        <f t="shared" ca="1" si="10"/>
        <v>1056919.8441935019</v>
      </c>
      <c r="I29" s="32">
        <f t="shared" ca="1" si="10"/>
        <v>1291283.4152997981</v>
      </c>
      <c r="J29" s="32">
        <f t="shared" ca="1" si="10"/>
        <v>1445997.3825393368</v>
      </c>
      <c r="K29" s="32">
        <f t="shared" ca="1" si="10"/>
        <v>1529545.6267695029</v>
      </c>
    </row>
    <row r="30" spans="2:11">
      <c r="B30" s="16" t="s">
        <v>14</v>
      </c>
      <c r="C30" s="29">
        <v>-800</v>
      </c>
      <c r="D30" s="29">
        <v>-24453</v>
      </c>
      <c r="E30" s="29">
        <v>-29338</v>
      </c>
      <c r="F30" s="29">
        <v>-26026</v>
      </c>
      <c r="G30" s="30">
        <f ca="1">-G46*G29</f>
        <v>-20728.297435794633</v>
      </c>
      <c r="H30" s="30">
        <f t="shared" ref="H30:K30" ca="1" si="11">-H46*H29</f>
        <v>-18330.182457324459</v>
      </c>
      <c r="I30" s="30">
        <f t="shared" ca="1" si="11"/>
        <v>-20405.712712246652</v>
      </c>
      <c r="J30" s="30">
        <f t="shared" ca="1" si="11"/>
        <v>-24234.752734725967</v>
      </c>
      <c r="K30" s="30">
        <f t="shared" ca="1" si="11"/>
        <v>-25444.280783209546</v>
      </c>
    </row>
    <row r="31" spans="2:11">
      <c r="B31" s="31" t="s">
        <v>2</v>
      </c>
      <c r="C31" s="35">
        <f>SUM(C29:C30)</f>
        <v>1067304</v>
      </c>
      <c r="D31" s="35">
        <f>SUM(D29:D30)</f>
        <v>1456931</v>
      </c>
      <c r="E31" s="35">
        <f>SUM(E29:E30)</f>
        <v>1306387</v>
      </c>
      <c r="F31" s="35">
        <f>SUM(F29:F30)</f>
        <v>1986660</v>
      </c>
      <c r="G31" s="35">
        <f t="shared" ref="G31:K31" ca="1" si="12">SUM(G29:G30)</f>
        <v>1189048.8058244195</v>
      </c>
      <c r="H31" s="35">
        <f t="shared" ca="1" si="12"/>
        <v>1038589.6617361774</v>
      </c>
      <c r="I31" s="35">
        <f t="shared" ca="1" si="12"/>
        <v>1270877.7025875514</v>
      </c>
      <c r="J31" s="35">
        <f t="shared" ca="1" si="12"/>
        <v>1421762.6298046107</v>
      </c>
      <c r="K31" s="35">
        <f t="shared" ca="1" si="12"/>
        <v>1504101.3459862934</v>
      </c>
    </row>
    <row r="32" spans="2:11">
      <c r="B32" s="15"/>
      <c r="C32" s="15"/>
      <c r="D32" s="15"/>
      <c r="E32" s="15"/>
      <c r="F32" s="15"/>
      <c r="G32" s="15"/>
      <c r="H32" s="15"/>
      <c r="I32" s="15"/>
      <c r="J32" s="15"/>
      <c r="K32" s="15"/>
    </row>
    <row r="33" spans="2:11">
      <c r="B33" s="15"/>
      <c r="C33" s="15"/>
      <c r="D33" s="15"/>
      <c r="E33" s="15"/>
      <c r="F33" s="15"/>
      <c r="G33" s="15"/>
      <c r="H33" s="15"/>
      <c r="I33" s="15"/>
      <c r="J33" s="15"/>
      <c r="K33" s="15"/>
    </row>
    <row r="34" spans="2:11">
      <c r="B34" s="39" t="s">
        <v>18</v>
      </c>
      <c r="C34" s="15"/>
      <c r="D34" s="15"/>
      <c r="E34" s="15"/>
      <c r="F34" s="15"/>
      <c r="G34" s="15"/>
      <c r="H34" s="15"/>
      <c r="I34" s="15"/>
      <c r="J34" s="15"/>
      <c r="K34" s="15"/>
    </row>
    <row r="35" spans="2:11">
      <c r="B35" s="40" t="s">
        <v>1</v>
      </c>
      <c r="C35" s="41"/>
      <c r="D35" s="41">
        <f>(D13-C13)/C13</f>
        <v>0.29101141226238741</v>
      </c>
      <c r="E35" s="41">
        <f t="shared" ref="E35:F35" si="13">(E13-D13)/D13</f>
        <v>0.11766907682221855</v>
      </c>
      <c r="F35" s="41">
        <f t="shared" si="13"/>
        <v>2.094893809466173E-2</v>
      </c>
      <c r="G35" s="43">
        <f>AVERAGE(D35:F35)</f>
        <v>0.14320980905975592</v>
      </c>
      <c r="H35" s="43">
        <f t="shared" ref="H35:K35" si="14">AVERAGE(E35:G35)</f>
        <v>9.394260799221206E-2</v>
      </c>
      <c r="I35" s="43">
        <f t="shared" si="14"/>
        <v>8.6033785048876557E-2</v>
      </c>
      <c r="J35" s="43">
        <f t="shared" si="14"/>
        <v>0.10772873403361484</v>
      </c>
      <c r="K35" s="43">
        <f t="shared" si="14"/>
        <v>9.5901709024901152E-2</v>
      </c>
    </row>
    <row r="36" spans="2:11">
      <c r="B36" s="40" t="s">
        <v>15</v>
      </c>
      <c r="C36" s="42"/>
      <c r="D36" s="42">
        <f>D15/D13</f>
        <v>0.26568181147337605</v>
      </c>
      <c r="E36" s="42">
        <f>E15/E13</f>
        <v>0.24398897852772269</v>
      </c>
      <c r="F36" s="42">
        <f>F15/F13</f>
        <v>0.27736522801229935</v>
      </c>
      <c r="G36" s="43">
        <f>AVERAGE(D36:F36)</f>
        <v>0.26234533933779935</v>
      </c>
      <c r="H36" s="43">
        <f t="shared" ref="H36:K36" si="15">AVERAGE(E36:G36)</f>
        <v>0.26123318195927381</v>
      </c>
      <c r="I36" s="43">
        <f t="shared" si="15"/>
        <v>0.26698124976979082</v>
      </c>
      <c r="J36" s="43">
        <f t="shared" si="15"/>
        <v>0.26351992368895466</v>
      </c>
      <c r="K36" s="43">
        <f t="shared" si="15"/>
        <v>0.26391145180600645</v>
      </c>
    </row>
    <row r="37" spans="2:11">
      <c r="B37" s="40" t="s">
        <v>89</v>
      </c>
      <c r="C37" s="42"/>
      <c r="D37" s="42">
        <f>D16/$D$13</f>
        <v>1.8444676345800794E-2</v>
      </c>
      <c r="E37" s="42">
        <f t="shared" ref="E37:F37" si="16">E16/$D$13</f>
        <v>2.3432879066956867E-2</v>
      </c>
      <c r="F37" s="42">
        <f t="shared" si="16"/>
        <v>3.1260215521920445E-2</v>
      </c>
      <c r="G37" s="43">
        <f>AVERAGE(D37:F37)</f>
        <v>2.4379256978226033E-2</v>
      </c>
      <c r="H37" s="43">
        <f t="shared" ref="H37:K46" si="17">AVERAGE(E37:G37)</f>
        <v>2.6357450522367782E-2</v>
      </c>
      <c r="I37" s="43">
        <f t="shared" si="17"/>
        <v>2.7332307674171417E-2</v>
      </c>
      <c r="J37" s="43">
        <f t="shared" si="17"/>
        <v>2.602300505825508E-2</v>
      </c>
      <c r="K37" s="43">
        <f t="shared" si="17"/>
        <v>2.6570921084931424E-2</v>
      </c>
    </row>
    <row r="38" spans="2:11">
      <c r="B38" s="40" t="s">
        <v>90</v>
      </c>
      <c r="C38" s="42"/>
      <c r="D38" s="42">
        <f t="shared" ref="D38:F45" si="18">D17/$D$13</f>
        <v>0.17279067333544165</v>
      </c>
      <c r="E38" s="42">
        <f t="shared" si="18"/>
        <v>0.18036144767277443</v>
      </c>
      <c r="F38" s="42">
        <f t="shared" si="18"/>
        <v>0.18694792750186462</v>
      </c>
      <c r="G38" s="43">
        <f t="shared" ref="G38:G46" si="19">AVERAGE(D38:F38)</f>
        <v>0.18003334950336022</v>
      </c>
      <c r="H38" s="43">
        <f t="shared" si="17"/>
        <v>0.18244757489266641</v>
      </c>
      <c r="I38" s="43">
        <f t="shared" si="17"/>
        <v>0.18314295063263042</v>
      </c>
      <c r="J38" s="43">
        <f t="shared" si="17"/>
        <v>0.18187462500955234</v>
      </c>
      <c r="K38" s="43">
        <f t="shared" si="17"/>
        <v>0.18248838351161636</v>
      </c>
    </row>
    <row r="39" spans="2:11">
      <c r="B39" s="40" t="s">
        <v>91</v>
      </c>
      <c r="C39" s="42"/>
      <c r="D39" s="42">
        <f t="shared" si="18"/>
        <v>3.7930668219785896E-4</v>
      </c>
      <c r="E39" s="42">
        <f t="shared" si="18"/>
        <v>5.7082716945091715E-4</v>
      </c>
      <c r="F39" s="42">
        <f t="shared" si="18"/>
        <v>4.9299152890402325E-4</v>
      </c>
      <c r="G39" s="43">
        <f t="shared" si="19"/>
        <v>4.8104179351759975E-4</v>
      </c>
      <c r="H39" s="43">
        <f t="shared" si="17"/>
        <v>5.149534972908467E-4</v>
      </c>
      <c r="I39" s="43">
        <f t="shared" si="17"/>
        <v>4.9632893990415655E-4</v>
      </c>
      <c r="J39" s="43">
        <f t="shared" si="17"/>
        <v>4.9744141023753431E-4</v>
      </c>
      <c r="K39" s="43">
        <f t="shared" si="17"/>
        <v>5.029079491441793E-4</v>
      </c>
    </row>
    <row r="40" spans="2:11">
      <c r="B40" s="40" t="s">
        <v>92</v>
      </c>
      <c r="C40" s="42"/>
      <c r="D40" s="42">
        <f t="shared" si="18"/>
        <v>6.4929276887416053E-3</v>
      </c>
      <c r="E40" s="42">
        <f t="shared" si="18"/>
        <v>5.3142226757204531E-3</v>
      </c>
      <c r="F40" s="42">
        <f t="shared" si="18"/>
        <v>1.1137153380146638E-2</v>
      </c>
      <c r="G40" s="43">
        <f t="shared" si="19"/>
        <v>7.6481012482028992E-3</v>
      </c>
      <c r="H40" s="43">
        <f t="shared" si="17"/>
        <v>8.0331591013566642E-3</v>
      </c>
      <c r="I40" s="43">
        <f t="shared" si="17"/>
        <v>8.9394712432353998E-3</v>
      </c>
      <c r="J40" s="43">
        <f t="shared" si="17"/>
        <v>8.2069105309316558E-3</v>
      </c>
      <c r="K40" s="43">
        <f t="shared" si="17"/>
        <v>8.3931802918412405E-3</v>
      </c>
    </row>
    <row r="41" spans="2:11">
      <c r="B41" s="40" t="s">
        <v>93</v>
      </c>
      <c r="C41" s="42"/>
      <c r="D41" s="42">
        <f t="shared" si="18"/>
        <v>2.8466997347450992E-3</v>
      </c>
      <c r="E41" s="42">
        <f t="shared" si="18"/>
        <v>7.6556239529977936E-4</v>
      </c>
      <c r="F41" s="42">
        <f t="shared" si="18"/>
        <v>2.194627353509314E-3</v>
      </c>
      <c r="G41" s="43">
        <f t="shared" si="19"/>
        <v>1.9356298278513974E-3</v>
      </c>
      <c r="H41" s="43">
        <f t="shared" si="17"/>
        <v>1.6319398588868304E-3</v>
      </c>
      <c r="I41" s="43">
        <f t="shared" si="17"/>
        <v>1.9207323467491804E-3</v>
      </c>
      <c r="J41" s="43">
        <f t="shared" si="17"/>
        <v>1.8294340111624692E-3</v>
      </c>
      <c r="K41" s="43">
        <f t="shared" si="17"/>
        <v>1.7940354055994933E-3</v>
      </c>
    </row>
    <row r="42" spans="2:11">
      <c r="B42" s="40" t="s">
        <v>94</v>
      </c>
      <c r="C42" s="42"/>
      <c r="D42" s="42">
        <f t="shared" si="18"/>
        <v>1.2988160897082221E-2</v>
      </c>
      <c r="E42" s="42">
        <f t="shared" si="18"/>
        <v>1.4711845282359746E-2</v>
      </c>
      <c r="F42" s="42">
        <f t="shared" si="18"/>
        <v>1.5603919006641877E-2</v>
      </c>
      <c r="G42" s="43">
        <f t="shared" si="19"/>
        <v>1.4434641728694615E-2</v>
      </c>
      <c r="H42" s="43">
        <f t="shared" si="17"/>
        <v>1.4916802005898747E-2</v>
      </c>
      <c r="I42" s="43">
        <f t="shared" si="17"/>
        <v>1.4985120913745079E-2</v>
      </c>
      <c r="J42" s="43">
        <f t="shared" si="17"/>
        <v>1.4778854882779481E-2</v>
      </c>
      <c r="K42" s="43">
        <f t="shared" si="17"/>
        <v>1.4893592600807769E-2</v>
      </c>
    </row>
    <row r="43" spans="2:11">
      <c r="B43" s="40" t="s">
        <v>95</v>
      </c>
      <c r="C43" s="42"/>
      <c r="D43" s="42">
        <f t="shared" si="18"/>
        <v>8.4206667945851206E-4</v>
      </c>
      <c r="E43" s="42">
        <f t="shared" si="18"/>
        <v>9.7711817258931384E-4</v>
      </c>
      <c r="F43" s="42">
        <f t="shared" si="18"/>
        <v>9.0181535639062918E-4</v>
      </c>
      <c r="G43" s="43">
        <f t="shared" si="19"/>
        <v>9.0700006947948503E-4</v>
      </c>
      <c r="H43" s="43">
        <f t="shared" si="17"/>
        <v>9.2864453281980928E-4</v>
      </c>
      <c r="I43" s="43">
        <f t="shared" si="17"/>
        <v>9.1248665289664127E-4</v>
      </c>
      <c r="J43" s="43">
        <f t="shared" si="17"/>
        <v>9.1604375173197849E-4</v>
      </c>
      <c r="K43" s="43">
        <f t="shared" si="17"/>
        <v>9.1905831248280964E-4</v>
      </c>
    </row>
    <row r="44" spans="2:11">
      <c r="B44" s="40" t="s">
        <v>96</v>
      </c>
      <c r="C44" s="42"/>
      <c r="D44" s="42">
        <f t="shared" si="18"/>
        <v>1.3737974320473265E-3</v>
      </c>
      <c r="E44" s="42">
        <f t="shared" si="18"/>
        <v>1.4852417033685361E-3</v>
      </c>
      <c r="F44" s="42">
        <f t="shared" si="18"/>
        <v>1.7169626591226601E-3</v>
      </c>
      <c r="G44" s="43">
        <f t="shared" si="19"/>
        <v>1.5253339315128408E-3</v>
      </c>
      <c r="H44" s="43">
        <f t="shared" si="17"/>
        <v>1.5758460980013456E-3</v>
      </c>
      <c r="I44" s="43">
        <f t="shared" si="17"/>
        <v>1.6060475628789487E-3</v>
      </c>
      <c r="J44" s="43">
        <f t="shared" si="17"/>
        <v>1.569075864131045E-3</v>
      </c>
      <c r="K44" s="43">
        <f t="shared" si="17"/>
        <v>1.583656508337113E-3</v>
      </c>
    </row>
    <row r="45" spans="2:11">
      <c r="B45" s="40" t="s">
        <v>97</v>
      </c>
      <c r="C45" s="42"/>
      <c r="D45" s="42">
        <f t="shared" si="18"/>
        <v>1.45880940824748E-3</v>
      </c>
      <c r="E45" s="42">
        <f t="shared" si="18"/>
        <v>1.9359545489216808E-3</v>
      </c>
      <c r="F45" s="42">
        <f t="shared" si="18"/>
        <v>1.741251795179847E-3</v>
      </c>
      <c r="G45" s="43">
        <f t="shared" si="19"/>
        <v>1.7120052507830028E-3</v>
      </c>
      <c r="H45" s="43">
        <f t="shared" si="17"/>
        <v>1.79640386496151E-3</v>
      </c>
      <c r="I45" s="43">
        <f t="shared" si="17"/>
        <v>1.7498869703081201E-3</v>
      </c>
      <c r="J45" s="43">
        <f t="shared" si="17"/>
        <v>1.7527653620175443E-3</v>
      </c>
      <c r="K45" s="43">
        <f t="shared" si="17"/>
        <v>1.7663520657623915E-3</v>
      </c>
    </row>
    <row r="46" spans="2:11">
      <c r="B46" s="40" t="s">
        <v>0</v>
      </c>
      <c r="C46" s="42"/>
      <c r="D46" s="42">
        <f>-D30/D29</f>
        <v>1.6506861151463766E-2</v>
      </c>
      <c r="E46" s="42">
        <f>-E30/E29</f>
        <v>2.196410189223081E-2</v>
      </c>
      <c r="F46" s="42">
        <f>-F30/F29</f>
        <v>1.2930978801462325E-2</v>
      </c>
      <c r="G46" s="43">
        <f t="shared" si="19"/>
        <v>1.7133980615052297E-2</v>
      </c>
      <c r="H46" s="43">
        <f t="shared" si="17"/>
        <v>1.7343020436248479E-2</v>
      </c>
      <c r="I46" s="43">
        <f t="shared" si="17"/>
        <v>1.5802659950921033E-2</v>
      </c>
      <c r="J46" s="43">
        <f t="shared" si="17"/>
        <v>1.6759887000740603E-2</v>
      </c>
      <c r="K46" s="43">
        <f t="shared" si="17"/>
        <v>1.6635189129303372E-2</v>
      </c>
    </row>
    <row r="47" spans="2:11">
      <c r="B47" s="15"/>
      <c r="C47" s="15"/>
      <c r="D47" s="15"/>
      <c r="E47" s="15"/>
      <c r="F47" s="15"/>
      <c r="G47" s="15"/>
      <c r="H47" s="15"/>
      <c r="I47" s="15"/>
      <c r="J47" s="15"/>
      <c r="K47" s="15"/>
    </row>
    <row r="48" spans="2:11">
      <c r="B48" s="45" t="s">
        <v>17</v>
      </c>
      <c r="C48" s="15"/>
      <c r="D48" s="15"/>
      <c r="E48" s="15"/>
      <c r="F48" s="15"/>
      <c r="G48" s="15"/>
      <c r="H48" s="15"/>
      <c r="I48" s="15"/>
      <c r="J48" s="15"/>
      <c r="K48" s="15"/>
    </row>
    <row r="49" spans="1:11">
      <c r="B49" s="46" t="s">
        <v>16</v>
      </c>
      <c r="C49" s="36"/>
      <c r="D49" s="36">
        <f>C18</f>
        <v>22857</v>
      </c>
      <c r="E49" s="36">
        <f t="shared" ref="E49:F49" si="20">D18</f>
        <v>11681</v>
      </c>
      <c r="F49" s="36">
        <f t="shared" si="20"/>
        <v>17579</v>
      </c>
      <c r="G49" s="37">
        <f>G18</f>
        <v>19324.823651864648</v>
      </c>
      <c r="H49" s="37">
        <f t="shared" ref="H49:K49" si="21">H18</f>
        <v>22630.558882871996</v>
      </c>
      <c r="I49" s="37">
        <f t="shared" si="21"/>
        <v>23688.644035240319</v>
      </c>
      <c r="J49" s="37">
        <f t="shared" si="21"/>
        <v>26299.407258787603</v>
      </c>
      <c r="K49" s="37">
        <f t="shared" si="21"/>
        <v>29138.294538101312</v>
      </c>
    </row>
    <row r="50" spans="1:11">
      <c r="B50" s="46"/>
      <c r="C50" s="36"/>
      <c r="D50" s="36"/>
      <c r="E50" s="36"/>
      <c r="F50" s="36"/>
      <c r="G50" s="37"/>
      <c r="H50" s="37"/>
      <c r="I50" s="37"/>
      <c r="J50" s="37"/>
      <c r="K50" s="37"/>
    </row>
    <row r="51" spans="1:11">
      <c r="B51" s="47" t="s">
        <v>4</v>
      </c>
      <c r="C51" s="48"/>
      <c r="D51" s="48">
        <f>D26+D49+D50</f>
        <v>1503041</v>
      </c>
      <c r="E51" s="48">
        <f>E26+E49+E50</f>
        <v>1340324</v>
      </c>
      <c r="F51" s="48">
        <f>F26+F49+F50</f>
        <v>2003896</v>
      </c>
      <c r="G51" s="48">
        <f>G26+G49+G50</f>
        <v>1195946.8175508562</v>
      </c>
      <c r="H51" s="48">
        <f>H26+H49+H50</f>
        <v>1034743.2985601317</v>
      </c>
      <c r="I51" s="48">
        <f>I26+I49+I50</f>
        <v>1259641.4698930529</v>
      </c>
      <c r="J51" s="48">
        <f>J26+J49+J50</f>
        <v>1404696.994254637</v>
      </c>
      <c r="K51" s="48">
        <f>K26+K49+K50</f>
        <v>1477591.903068824</v>
      </c>
    </row>
    <row r="52" spans="1:11">
      <c r="B52" s="15"/>
      <c r="C52" s="49"/>
      <c r="D52" s="49"/>
      <c r="E52" s="49"/>
      <c r="F52" s="49"/>
      <c r="G52" s="15"/>
      <c r="H52" s="15"/>
      <c r="I52" s="15"/>
      <c r="J52" s="15"/>
      <c r="K52" s="15"/>
    </row>
    <row r="53" spans="1:11">
      <c r="B53" s="15"/>
      <c r="C53" s="49"/>
      <c r="D53" s="49"/>
      <c r="E53" s="49"/>
      <c r="F53" s="49"/>
      <c r="G53" s="15"/>
      <c r="H53" s="15"/>
      <c r="I53" s="15"/>
      <c r="J53" s="15"/>
      <c r="K53" s="15"/>
    </row>
    <row r="54" spans="1:11">
      <c r="A54" s="1" t="s">
        <v>108</v>
      </c>
      <c r="B54" s="18" t="s">
        <v>21</v>
      </c>
      <c r="C54" s="25"/>
      <c r="D54" s="25"/>
      <c r="E54" s="25"/>
      <c r="F54" s="25"/>
      <c r="G54" s="20"/>
      <c r="H54" s="20"/>
      <c r="I54" s="20"/>
      <c r="J54" s="20"/>
      <c r="K54" s="20"/>
    </row>
    <row r="55" spans="1:11">
      <c r="B55" s="55" t="str">
        <f>B10</f>
        <v xml:space="preserve">Fiscal year  </v>
      </c>
      <c r="C55" s="50">
        <f>C10</f>
        <v>2015</v>
      </c>
      <c r="D55" s="50">
        <f>D10</f>
        <v>2016</v>
      </c>
      <c r="E55" s="50">
        <f>E10</f>
        <v>2017</v>
      </c>
      <c r="F55" s="50">
        <f>F10</f>
        <v>2018</v>
      </c>
      <c r="G55" s="51">
        <f>G10</f>
        <v>2019</v>
      </c>
      <c r="H55" s="51">
        <f>H10</f>
        <v>2020</v>
      </c>
      <c r="I55" s="51">
        <f>I10</f>
        <v>2021</v>
      </c>
      <c r="J55" s="51">
        <f>J10</f>
        <v>2022</v>
      </c>
      <c r="K55" s="51">
        <f>K10</f>
        <v>2023</v>
      </c>
    </row>
    <row r="56" spans="1:11">
      <c r="B56" s="20" t="str">
        <f>B11</f>
        <v>Fiscal year end date</v>
      </c>
      <c r="C56" s="52">
        <v>42369</v>
      </c>
      <c r="D56" s="52">
        <v>42735</v>
      </c>
      <c r="E56" s="52">
        <f>E11</f>
        <v>43100</v>
      </c>
      <c r="F56" s="52">
        <f>F11</f>
        <v>43465</v>
      </c>
      <c r="G56" s="52">
        <f>G11</f>
        <v>43830</v>
      </c>
      <c r="H56" s="52">
        <f>H11</f>
        <v>44196</v>
      </c>
      <c r="I56" s="52">
        <f>I11</f>
        <v>44561</v>
      </c>
      <c r="J56" s="52">
        <f>J11</f>
        <v>44926</v>
      </c>
      <c r="K56" s="52">
        <f>K11</f>
        <v>45291</v>
      </c>
    </row>
    <row r="57" spans="1:11">
      <c r="B57" s="15" t="s">
        <v>98</v>
      </c>
      <c r="C57" s="56">
        <v>3027787</v>
      </c>
      <c r="D57" s="56">
        <v>3286001</v>
      </c>
      <c r="E57" s="56">
        <f>1821673+1495000</f>
        <v>3316673</v>
      </c>
      <c r="F57" s="56">
        <f>2019950+2069579</f>
        <v>4089529</v>
      </c>
      <c r="G57" s="34">
        <f ca="1">F57+G208</f>
        <v>6194424.2201366536</v>
      </c>
      <c r="H57" s="34">
        <f ca="1">G57+H208</f>
        <v>7703710.2047716146</v>
      </c>
      <c r="I57" s="34">
        <f ca="1">H57+I208</f>
        <v>9458567.4781207275</v>
      </c>
      <c r="J57" s="34">
        <f ca="1">I57+J208</f>
        <v>11509336.065370699</v>
      </c>
      <c r="K57" s="34">
        <f ca="1">J57+K208</f>
        <v>13643544.988595778</v>
      </c>
    </row>
    <row r="58" spans="1:11">
      <c r="B58" s="16" t="s">
        <v>22</v>
      </c>
      <c r="C58" s="57">
        <v>481777</v>
      </c>
      <c r="D58" s="57">
        <v>479040</v>
      </c>
      <c r="E58" s="57">
        <v>957250</v>
      </c>
      <c r="F58" s="57">
        <v>1315318</v>
      </c>
      <c r="G58" s="58">
        <f>G94</f>
        <v>1486395.745139828</v>
      </c>
      <c r="H58" s="58">
        <f t="shared" ref="H58:K58" si="22">H94</f>
        <v>1626031.6379467908</v>
      </c>
      <c r="I58" s="58">
        <f t="shared" si="22"/>
        <v>1765925.2943685777</v>
      </c>
      <c r="J58" s="58">
        <f t="shared" si="22"/>
        <v>1956166.190728843</v>
      </c>
      <c r="K58" s="58">
        <f t="shared" si="22"/>
        <v>2143765.8715564702</v>
      </c>
    </row>
    <row r="59" spans="1:11">
      <c r="B59" s="16" t="s">
        <v>99</v>
      </c>
      <c r="C59" s="57">
        <v>2140342</v>
      </c>
      <c r="D59" s="57">
        <v>2290687</v>
      </c>
      <c r="E59" s="57">
        <v>2303993</v>
      </c>
      <c r="F59" s="57">
        <v>2050088</v>
      </c>
      <c r="G59" s="58">
        <f>G102</f>
        <v>2400329.3694124203</v>
      </c>
      <c r="H59" s="58">
        <f t="shared" ref="H59:K59" si="23">H102</f>
        <v>2629781.5068962048</v>
      </c>
      <c r="I59" s="58">
        <f t="shared" si="23"/>
        <v>2833809.8522842028</v>
      </c>
      <c r="J59" s="58">
        <f t="shared" si="23"/>
        <v>3153915.4448494674</v>
      </c>
      <c r="K59" s="58">
        <f t="shared" si="23"/>
        <v>3454543.8419732032</v>
      </c>
    </row>
    <row r="60" spans="1:11">
      <c r="B60" s="33" t="s">
        <v>100</v>
      </c>
      <c r="C60" s="57">
        <v>107635</v>
      </c>
      <c r="D60" s="57">
        <v>90492</v>
      </c>
      <c r="E60" s="57">
        <v>102246</v>
      </c>
      <c r="F60" s="57">
        <v>119453</v>
      </c>
      <c r="G60" s="58">
        <f>G149</f>
        <v>119453</v>
      </c>
      <c r="H60" s="58">
        <f t="shared" ref="H60:K60" si="24">H149</f>
        <v>119453</v>
      </c>
      <c r="I60" s="58">
        <f t="shared" si="24"/>
        <v>119453</v>
      </c>
      <c r="J60" s="58">
        <f t="shared" si="24"/>
        <v>119453</v>
      </c>
      <c r="K60" s="58">
        <f t="shared" si="24"/>
        <v>119453</v>
      </c>
    </row>
    <row r="61" spans="1:11">
      <c r="B61" s="81" t="s">
        <v>101</v>
      </c>
      <c r="C61" s="94">
        <f>SUM(C57:C60)</f>
        <v>5757541</v>
      </c>
      <c r="D61" s="94">
        <f t="shared" ref="D61:F61" si="25">SUM(D57:D60)</f>
        <v>6146220</v>
      </c>
      <c r="E61" s="94">
        <f t="shared" si="25"/>
        <v>6680162</v>
      </c>
      <c r="F61" s="94">
        <f t="shared" si="25"/>
        <v>7574388</v>
      </c>
      <c r="G61" s="94">
        <f t="shared" ref="G61" ca="1" si="26">SUM(G57:G60)</f>
        <v>10200602.334688902</v>
      </c>
      <c r="H61" s="94">
        <f t="shared" ref="H61" ca="1" si="27">SUM(H57:H60)</f>
        <v>12078976.349614611</v>
      </c>
      <c r="I61" s="94">
        <f t="shared" ref="I61" ca="1" si="28">SUM(I57:I60)</f>
        <v>14177755.624773508</v>
      </c>
      <c r="J61" s="94">
        <f t="shared" ref="J61" ca="1" si="29">SUM(J57:J60)</f>
        <v>16738870.70094901</v>
      </c>
      <c r="K61" s="94">
        <f t="shared" ref="K61" ca="1" si="30">SUM(K57:K60)</f>
        <v>19361307.702125452</v>
      </c>
    </row>
    <row r="62" spans="1:11">
      <c r="B62" s="33" t="s">
        <v>102</v>
      </c>
      <c r="C62" s="57">
        <v>58675</v>
      </c>
      <c r="D62" s="57">
        <v>55781</v>
      </c>
      <c r="E62" s="57">
        <v>37892</v>
      </c>
      <c r="F62" s="57">
        <v>25959</v>
      </c>
      <c r="G62" s="58">
        <f>G135</f>
        <v>40172.857976752108</v>
      </c>
      <c r="H62" s="58">
        <f t="shared" ref="H62:K62" si="31">H135</f>
        <v>43946.801025588946</v>
      </c>
      <c r="I62" s="58">
        <f t="shared" si="31"/>
        <v>47727.710658610209</v>
      </c>
      <c r="J62" s="58">
        <f t="shared" si="31"/>
        <v>52869.356506184951</v>
      </c>
      <c r="K62" s="58">
        <f t="shared" si="31"/>
        <v>57939.618150174872</v>
      </c>
    </row>
    <row r="63" spans="1:11">
      <c r="B63" s="33" t="s">
        <v>103</v>
      </c>
      <c r="C63" s="57">
        <v>156965</v>
      </c>
      <c r="D63" s="57">
        <v>161929</v>
      </c>
      <c r="E63" s="57">
        <v>128829</v>
      </c>
      <c r="F63" s="57">
        <v>129242</v>
      </c>
      <c r="G63" s="58">
        <f>G151</f>
        <v>119453</v>
      </c>
      <c r="H63" s="58">
        <f t="shared" ref="H63:K63" si="32">H151</f>
        <v>119453</v>
      </c>
      <c r="I63" s="58">
        <f t="shared" si="32"/>
        <v>119453</v>
      </c>
      <c r="J63" s="58">
        <f t="shared" si="32"/>
        <v>119453</v>
      </c>
      <c r="K63" s="58">
        <f t="shared" si="32"/>
        <v>119453</v>
      </c>
    </row>
    <row r="64" spans="1:11">
      <c r="B64" s="60" t="s">
        <v>24</v>
      </c>
      <c r="C64" s="62">
        <f>SUM(C61:C63)</f>
        <v>5973181</v>
      </c>
      <c r="D64" s="62">
        <f t="shared" ref="D64:F64" si="33">SUM(D61:D63)</f>
        <v>6363930</v>
      </c>
      <c r="E64" s="62">
        <f t="shared" si="33"/>
        <v>6846883</v>
      </c>
      <c r="F64" s="62">
        <f t="shared" si="33"/>
        <v>7729589</v>
      </c>
      <c r="G64" s="62">
        <f t="shared" ref="G64" ca="1" si="34">SUM(G61:G63)</f>
        <v>10360228.192665653</v>
      </c>
      <c r="H64" s="62">
        <f t="shared" ref="H64" ca="1" si="35">SUM(H61:H63)</f>
        <v>12242376.150640199</v>
      </c>
      <c r="I64" s="62">
        <f t="shared" ref="I64" ca="1" si="36">SUM(I61:I63)</f>
        <v>14344936.335432118</v>
      </c>
      <c r="J64" s="62">
        <f t="shared" ref="J64" ca="1" si="37">SUM(J61:J63)</f>
        <v>16911193.057455193</v>
      </c>
      <c r="K64" s="62">
        <f t="shared" ref="K64" ca="1" si="38">SUM(K61:K63)</f>
        <v>19538700.320275627</v>
      </c>
    </row>
    <row r="65" spans="2:11">
      <c r="B65" s="63"/>
      <c r="C65" s="64"/>
      <c r="D65" s="64"/>
      <c r="E65" s="65"/>
      <c r="F65" s="65"/>
      <c r="G65" s="15"/>
      <c r="H65" s="15"/>
      <c r="I65" s="15"/>
      <c r="J65" s="15"/>
      <c r="K65" s="15"/>
    </row>
    <row r="66" spans="2:11">
      <c r="B66" s="63" t="s">
        <v>25</v>
      </c>
      <c r="C66" s="57">
        <v>374388</v>
      </c>
      <c r="D66" s="57">
        <v>327719</v>
      </c>
      <c r="E66" s="57">
        <v>211324</v>
      </c>
      <c r="F66" s="57">
        <v>465646</v>
      </c>
      <c r="G66" s="53">
        <f>G109</f>
        <v>404502.14598794351</v>
      </c>
      <c r="H66" s="53">
        <f t="shared" ref="H66:K66" si="39">H109</f>
        <v>454530.13699440577</v>
      </c>
      <c r="I66" s="53">
        <f t="shared" si="39"/>
        <v>489794.2954565289</v>
      </c>
      <c r="J66" s="53">
        <f t="shared" si="39"/>
        <v>545121.1879986733</v>
      </c>
      <c r="K66" s="53">
        <f t="shared" si="39"/>
        <v>597081.65169907222</v>
      </c>
    </row>
    <row r="67" spans="2:11">
      <c r="B67" s="63" t="s">
        <v>109</v>
      </c>
      <c r="C67" s="57">
        <v>398736</v>
      </c>
      <c r="D67" s="57">
        <v>482563</v>
      </c>
      <c r="E67" s="57">
        <v>749129</v>
      </c>
      <c r="F67" s="57">
        <v>863244</v>
      </c>
      <c r="G67" s="53">
        <f>G117</f>
        <v>790560.83740512491</v>
      </c>
      <c r="H67" s="53">
        <f t="shared" ref="H67:K67" si="40">H117</f>
        <v>878936.02051177889</v>
      </c>
      <c r="I67" s="53">
        <f t="shared" si="40"/>
        <v>954554.21317220421</v>
      </c>
      <c r="J67" s="53">
        <f t="shared" si="40"/>
        <v>1057387.1301236991</v>
      </c>
      <c r="K67" s="53">
        <f t="shared" si="40"/>
        <v>1158792.3630034975</v>
      </c>
    </row>
    <row r="68" spans="2:11">
      <c r="B68" s="63" t="s">
        <v>104</v>
      </c>
      <c r="C68" s="57">
        <v>5686497</v>
      </c>
      <c r="D68" s="57">
        <v>5544245</v>
      </c>
      <c r="E68" s="57">
        <v>6471426</v>
      </c>
      <c r="F68" s="57">
        <v>6299035</v>
      </c>
      <c r="G68" s="66">
        <f>G125</f>
        <v>7890875.5797963021</v>
      </c>
      <c r="H68" s="66">
        <f t="shared" ref="H68:K68" si="41">H125</f>
        <v>8613573.001015434</v>
      </c>
      <c r="I68" s="66">
        <f t="shared" si="41"/>
        <v>9354631.289087601</v>
      </c>
      <c r="J68" s="66">
        <f t="shared" si="41"/>
        <v>10362393.87521225</v>
      </c>
      <c r="K68" s="66">
        <f t="shared" si="41"/>
        <v>11356165.157434275</v>
      </c>
    </row>
    <row r="69" spans="2:11">
      <c r="B69" s="60" t="s">
        <v>105</v>
      </c>
      <c r="C69" s="94">
        <f>SUM(C66:C68)</f>
        <v>6459621</v>
      </c>
      <c r="D69" s="94">
        <f t="shared" ref="D69:K69" si="42">SUM(D66:D68)</f>
        <v>6354527</v>
      </c>
      <c r="E69" s="94">
        <f t="shared" si="42"/>
        <v>7431879</v>
      </c>
      <c r="F69" s="94">
        <f t="shared" si="42"/>
        <v>7627925</v>
      </c>
      <c r="G69" s="94">
        <f t="shared" si="42"/>
        <v>9085938.5631893706</v>
      </c>
      <c r="H69" s="94">
        <f t="shared" si="42"/>
        <v>9947039.1585216187</v>
      </c>
      <c r="I69" s="94">
        <f t="shared" si="42"/>
        <v>10798979.797716334</v>
      </c>
      <c r="J69" s="94">
        <f t="shared" si="42"/>
        <v>11964902.193334622</v>
      </c>
      <c r="K69" s="94">
        <f t="shared" si="42"/>
        <v>13112039.172136845</v>
      </c>
    </row>
    <row r="70" spans="2:11">
      <c r="B70" s="63" t="s">
        <v>26</v>
      </c>
      <c r="C70" s="57">
        <v>0</v>
      </c>
      <c r="D70" s="57">
        <v>0</v>
      </c>
      <c r="E70" s="57">
        <v>0</v>
      </c>
      <c r="F70" s="57">
        <v>0</v>
      </c>
      <c r="G70" s="53">
        <f>G166</f>
        <v>0</v>
      </c>
      <c r="H70" s="53">
        <f t="shared" ref="H70:K70" si="43">H166</f>
        <v>0</v>
      </c>
      <c r="I70" s="53">
        <f t="shared" si="43"/>
        <v>0</v>
      </c>
      <c r="J70" s="53">
        <f t="shared" si="43"/>
        <v>0</v>
      </c>
      <c r="K70" s="53">
        <f t="shared" si="43"/>
        <v>0</v>
      </c>
    </row>
    <row r="71" spans="2:11">
      <c r="B71" s="59" t="s">
        <v>106</v>
      </c>
      <c r="C71" s="57">
        <v>20021</v>
      </c>
      <c r="D71" s="57">
        <v>8933</v>
      </c>
      <c r="E71" s="57">
        <v>8147</v>
      </c>
      <c r="F71" s="57">
        <v>8147</v>
      </c>
      <c r="G71" s="53">
        <f>G156</f>
        <v>8147</v>
      </c>
      <c r="H71" s="53">
        <f t="shared" ref="H71:K71" si="44">H156</f>
        <v>8147</v>
      </c>
      <c r="I71" s="53">
        <f t="shared" si="44"/>
        <v>8147</v>
      </c>
      <c r="J71" s="53">
        <f t="shared" si="44"/>
        <v>8147</v>
      </c>
      <c r="K71" s="53">
        <f t="shared" si="44"/>
        <v>8147</v>
      </c>
    </row>
    <row r="72" spans="2:11">
      <c r="B72" s="60" t="s">
        <v>27</v>
      </c>
      <c r="C72" s="67">
        <f>SUM(C69:C71)</f>
        <v>6479642</v>
      </c>
      <c r="D72" s="67">
        <f t="shared" ref="D72:F72" si="45">SUM(D69:D71)</f>
        <v>6363460</v>
      </c>
      <c r="E72" s="67">
        <f t="shared" si="45"/>
        <v>7440026</v>
      </c>
      <c r="F72" s="67">
        <f t="shared" si="45"/>
        <v>7636072</v>
      </c>
      <c r="G72" s="67">
        <f>SUM(G69:G71)</f>
        <v>9094085.5631893706</v>
      </c>
      <c r="H72" s="67">
        <f t="shared" ref="H72:K72" si="46">SUM(H69:H71)</f>
        <v>9955186.1585216187</v>
      </c>
      <c r="I72" s="67">
        <f t="shared" si="46"/>
        <v>10807126.797716334</v>
      </c>
      <c r="J72" s="67">
        <f t="shared" si="46"/>
        <v>11973049.193334622</v>
      </c>
      <c r="K72" s="67">
        <f t="shared" si="46"/>
        <v>13120186.172136845</v>
      </c>
    </row>
    <row r="73" spans="2:11">
      <c r="B73" s="60"/>
      <c r="C73" s="61"/>
      <c r="D73" s="61"/>
      <c r="E73" s="67"/>
      <c r="F73" s="67"/>
      <c r="G73" s="15"/>
      <c r="H73" s="15"/>
      <c r="I73" s="15"/>
      <c r="J73" s="15"/>
      <c r="K73" s="15"/>
    </row>
    <row r="74" spans="2:11">
      <c r="B74" s="63" t="s">
        <v>28</v>
      </c>
      <c r="C74" s="57">
        <v>106023</v>
      </c>
      <c r="D74" s="57">
        <v>106023</v>
      </c>
      <c r="E74" s="57">
        <v>106023</v>
      </c>
      <c r="F74" s="57">
        <v>106023</v>
      </c>
      <c r="G74" s="53">
        <f>F74</f>
        <v>106023</v>
      </c>
      <c r="H74" s="53">
        <f t="shared" ref="H74:K74" si="47">G74</f>
        <v>106023</v>
      </c>
      <c r="I74" s="53">
        <f t="shared" si="47"/>
        <v>106023</v>
      </c>
      <c r="J74" s="53">
        <f t="shared" si="47"/>
        <v>106023</v>
      </c>
      <c r="K74" s="53">
        <f t="shared" si="47"/>
        <v>106023</v>
      </c>
    </row>
    <row r="75" spans="2:11">
      <c r="B75" s="63" t="s">
        <v>29</v>
      </c>
      <c r="C75" s="57">
        <v>-612484</v>
      </c>
      <c r="D75" s="57">
        <v>-105553</v>
      </c>
      <c r="E75" s="57">
        <v>-699166</v>
      </c>
      <c r="F75" s="57">
        <v>-12506</v>
      </c>
      <c r="G75" s="53">
        <f ca="1">G182</f>
        <v>1176542.8058244195</v>
      </c>
      <c r="H75" s="53">
        <f t="shared" ref="H75:K75" ca="1" si="48">H182</f>
        <v>2215132.4675605968</v>
      </c>
      <c r="I75" s="53">
        <f t="shared" ca="1" si="48"/>
        <v>3486010.1701481482</v>
      </c>
      <c r="J75" s="53">
        <f t="shared" ca="1" si="48"/>
        <v>4907772.7999527585</v>
      </c>
      <c r="K75" s="53">
        <f t="shared" ca="1" si="48"/>
        <v>6411874.1459390521</v>
      </c>
    </row>
    <row r="76" spans="2:11">
      <c r="B76" s="60" t="s">
        <v>30</v>
      </c>
      <c r="C76" s="68">
        <f t="shared" ref="C76:D76" si="49">SUM(C74:C75)</f>
        <v>-506461</v>
      </c>
      <c r="D76" s="68">
        <f t="shared" si="49"/>
        <v>470</v>
      </c>
      <c r="E76" s="68">
        <f>SUM(E74:E75)</f>
        <v>-593143</v>
      </c>
      <c r="F76" s="68">
        <f>SUM(F74:F75)</f>
        <v>93517</v>
      </c>
      <c r="G76" s="68">
        <f ca="1">SUM(G74:G75)</f>
        <v>1282565.8058244195</v>
      </c>
      <c r="H76" s="68">
        <f ca="1">SUM(H74:H75)</f>
        <v>2321155.4675605968</v>
      </c>
      <c r="I76" s="68">
        <f ca="1">SUM(I74:I75)</f>
        <v>3592033.1701481482</v>
      </c>
      <c r="J76" s="68">
        <f ca="1">SUM(J74:J75)</f>
        <v>5013795.7999527585</v>
      </c>
      <c r="K76" s="68">
        <f ca="1">SUM(K74:K75)</f>
        <v>6517897.1459390521</v>
      </c>
    </row>
    <row r="77" spans="2:11">
      <c r="B77" s="16"/>
      <c r="C77" s="69"/>
      <c r="D77" s="69"/>
      <c r="E77" s="70"/>
      <c r="F77" s="70"/>
      <c r="G77" s="15"/>
      <c r="H77" s="15"/>
      <c r="I77" s="15"/>
      <c r="J77" s="15"/>
      <c r="K77" s="15"/>
    </row>
    <row r="78" spans="2:11">
      <c r="B78" s="26" t="s">
        <v>31</v>
      </c>
      <c r="C78" s="71">
        <f t="shared" ref="C78:D78" si="50">ROUND(C64-C72-C76,3)</f>
        <v>0</v>
      </c>
      <c r="D78" s="71">
        <f t="shared" si="50"/>
        <v>0</v>
      </c>
      <c r="E78" s="71">
        <f>ROUND(E64-E72-E76,3)</f>
        <v>0</v>
      </c>
      <c r="F78" s="71">
        <f>ROUND(F64-F72-F76,3)</f>
        <v>0</v>
      </c>
      <c r="G78" s="71">
        <f ca="1">ROUND(G64-G72-G76,3)</f>
        <v>-16423.175999999999</v>
      </c>
      <c r="H78" s="71">
        <f ca="1">ROUND(H64-H72-H76,3)</f>
        <v>-33965.474999999999</v>
      </c>
      <c r="I78" s="71">
        <f ca="1">ROUND(I64-I72-I76,3)</f>
        <v>-54223.631999999998</v>
      </c>
      <c r="J78" s="71">
        <f ca="1">ROUND(J64-J72-J76,3)</f>
        <v>-75651.936000000002</v>
      </c>
      <c r="K78" s="71">
        <f ca="1">ROUND(K64-K72-K76,3)</f>
        <v>-99382.998000000007</v>
      </c>
    </row>
    <row r="79" spans="2:11">
      <c r="B79" s="15"/>
      <c r="C79" s="11"/>
      <c r="D79" s="11"/>
      <c r="E79" s="11"/>
      <c r="F79" s="11"/>
      <c r="G79" s="15"/>
      <c r="H79" s="15"/>
      <c r="I79" s="15"/>
      <c r="J79" s="15"/>
      <c r="K79" s="15"/>
    </row>
    <row r="80" spans="2:11">
      <c r="B80" s="38" t="s">
        <v>32</v>
      </c>
      <c r="C80" s="11"/>
      <c r="D80" s="11"/>
      <c r="E80" s="11"/>
      <c r="F80" s="11"/>
      <c r="G80" s="15"/>
      <c r="H80" s="15"/>
      <c r="I80" s="15"/>
      <c r="J80" s="15"/>
      <c r="K80" s="15"/>
    </row>
    <row r="81" spans="1:11">
      <c r="B81" s="15" t="s">
        <v>33</v>
      </c>
      <c r="C81" s="11"/>
      <c r="D81" s="11"/>
      <c r="E81" s="53">
        <f>E70+E68-E57</f>
        <v>3154753</v>
      </c>
      <c r="F81" s="53">
        <f>F70+F68-F57</f>
        <v>2209506</v>
      </c>
      <c r="G81" s="53">
        <f ca="1">G70+G68-G57</f>
        <v>1696451.3596596485</v>
      </c>
      <c r="H81" s="53">
        <f ca="1">H70+H68-H57</f>
        <v>909862.79624381941</v>
      </c>
      <c r="I81" s="53">
        <f ca="1">I70+I68-I57</f>
        <v>-103936.18903312646</v>
      </c>
      <c r="J81" s="53">
        <f ca="1">J70+J68-J57</f>
        <v>-1146942.1901584491</v>
      </c>
      <c r="K81" s="53">
        <f ca="1">K70+K68-K57</f>
        <v>-2287379.8311615027</v>
      </c>
    </row>
    <row r="82" spans="1:11">
      <c r="B82" s="15" t="s">
        <v>34</v>
      </c>
      <c r="C82" s="11"/>
      <c r="D82" s="11"/>
      <c r="E82" s="72">
        <f>E13/E64</f>
        <v>5.027011269215496</v>
      </c>
      <c r="F82" s="72">
        <f>F13/F64</f>
        <v>4.5462193397346224</v>
      </c>
      <c r="G82" s="72">
        <f ca="1">G13/G64</f>
        <v>3.8776035845611778</v>
      </c>
      <c r="H82" s="72">
        <f ca="1">H13/H64</f>
        <v>3.5897280466497352</v>
      </c>
      <c r="I82" s="72">
        <f ca="1">I13/I64</f>
        <v>3.3271469139059437</v>
      </c>
      <c r="J82" s="72">
        <f ca="1">J13/J64</f>
        <v>3.1262937113048821</v>
      </c>
      <c r="K82" s="72">
        <f ca="1">K13/K64</f>
        <v>2.9653772871499537</v>
      </c>
    </row>
    <row r="83" spans="1:11">
      <c r="B83" s="15" t="s">
        <v>35</v>
      </c>
      <c r="C83" s="11"/>
      <c r="D83" s="11"/>
      <c r="E83" s="11">
        <f>E31/E13</f>
        <v>3.7955007760458521E-2</v>
      </c>
      <c r="F83" s="11">
        <f>F31/F13</f>
        <v>5.6534917196605035E-2</v>
      </c>
      <c r="G83" s="11">
        <f ca="1">G31/G13</f>
        <v>2.9598312535108102E-2</v>
      </c>
      <c r="H83" s="11">
        <f ca="1">H31/H13</f>
        <v>2.3632884248649563E-2</v>
      </c>
      <c r="I83" s="11">
        <f ca="1">I31/I13</f>
        <v>2.6627669440882382E-2</v>
      </c>
      <c r="J83" s="11">
        <f ca="1">J31/J13</f>
        <v>2.6891998007168579E-2</v>
      </c>
      <c r="K83" s="11">
        <f ca="1">K31/K13</f>
        <v>2.5959807710292163E-2</v>
      </c>
    </row>
    <row r="84" spans="1:11">
      <c r="B84" s="15" t="s">
        <v>36</v>
      </c>
      <c r="C84" s="11"/>
      <c r="D84" s="11"/>
      <c r="E84" s="11">
        <f>E31/E64</f>
        <v>0.19080025173498658</v>
      </c>
      <c r="F84" s="11">
        <f>F31/F64</f>
        <v>0.25702013392950129</v>
      </c>
      <c r="G84" s="11">
        <f ca="1">G31/G64</f>
        <v>0.11477052278309721</v>
      </c>
      <c r="H84" s="11">
        <f ca="1">H31/H64</f>
        <v>8.4835627410604089E-2</v>
      </c>
      <c r="I84" s="11">
        <f ca="1">I31/I64</f>
        <v>8.8594168204739421E-2</v>
      </c>
      <c r="J84" s="11">
        <f ca="1">J31/J64</f>
        <v>8.4072284254234547E-2</v>
      </c>
      <c r="K84" s="11">
        <f ca="1">K31/K64</f>
        <v>7.6980624162880623E-2</v>
      </c>
    </row>
    <row r="85" spans="1:11">
      <c r="B85" s="15" t="s">
        <v>37</v>
      </c>
      <c r="C85" s="11"/>
      <c r="D85" s="11"/>
      <c r="E85" s="11">
        <f>E31/E76</f>
        <v>-2.2024823693443234</v>
      </c>
      <c r="F85" s="11">
        <f>F31/F76</f>
        <v>21.243838018755948</v>
      </c>
      <c r="G85" s="11">
        <f ca="1">G31/G76</f>
        <v>0.92708600246839712</v>
      </c>
      <c r="H85" s="11">
        <f ca="1">H31/H76</f>
        <v>0.44744510923590847</v>
      </c>
      <c r="I85" s="11">
        <f ca="1">I31/I76</f>
        <v>0.35380455646937581</v>
      </c>
      <c r="J85" s="11">
        <f ca="1">J31/J76</f>
        <v>0.28357011065708082</v>
      </c>
      <c r="K85" s="11">
        <f ca="1">K31/K76</f>
        <v>0.23076481759510692</v>
      </c>
    </row>
    <row r="86" spans="1:11">
      <c r="B86" s="15"/>
      <c r="C86" s="15"/>
      <c r="D86" s="15"/>
      <c r="E86" s="15"/>
      <c r="F86" s="15"/>
      <c r="G86" s="15"/>
      <c r="H86" s="15"/>
      <c r="I86" s="15"/>
      <c r="J86" s="15"/>
      <c r="K86" s="15"/>
    </row>
    <row r="87" spans="1:11">
      <c r="A87" s="1" t="s">
        <v>108</v>
      </c>
      <c r="B87" s="18" t="s">
        <v>38</v>
      </c>
      <c r="C87" s="25"/>
      <c r="D87" s="25"/>
      <c r="E87" s="25"/>
      <c r="F87" s="25"/>
      <c r="G87" s="20"/>
      <c r="H87" s="20"/>
      <c r="I87" s="20"/>
      <c r="J87" s="20"/>
      <c r="K87" s="20"/>
    </row>
    <row r="88" spans="1:11">
      <c r="B88" s="55" t="str">
        <f>B10</f>
        <v xml:space="preserve">Fiscal year  </v>
      </c>
      <c r="C88" s="50"/>
      <c r="D88" s="50"/>
      <c r="E88" s="50">
        <f>E10</f>
        <v>2017</v>
      </c>
      <c r="F88" s="50">
        <f>F10</f>
        <v>2018</v>
      </c>
      <c r="G88" s="51">
        <f>G10</f>
        <v>2019</v>
      </c>
      <c r="H88" s="51">
        <f>H10</f>
        <v>2020</v>
      </c>
      <c r="I88" s="51">
        <f>I10</f>
        <v>2021</v>
      </c>
      <c r="J88" s="51">
        <f>J10</f>
        <v>2022</v>
      </c>
      <c r="K88" s="51">
        <f>K10</f>
        <v>2023</v>
      </c>
    </row>
    <row r="89" spans="1:11">
      <c r="B89" s="20" t="str">
        <f>B11</f>
        <v>Fiscal year end date</v>
      </c>
      <c r="C89" s="52"/>
      <c r="D89" s="52"/>
      <c r="E89" s="52">
        <f>E11</f>
        <v>43100</v>
      </c>
      <c r="F89" s="52">
        <f>F11</f>
        <v>43465</v>
      </c>
      <c r="G89" s="52">
        <f>G11</f>
        <v>43830</v>
      </c>
      <c r="H89" s="52">
        <f>H11</f>
        <v>44196</v>
      </c>
      <c r="I89" s="52">
        <f>I11</f>
        <v>44561</v>
      </c>
      <c r="J89" s="52">
        <f>J11</f>
        <v>44926</v>
      </c>
      <c r="K89" s="52">
        <f>K11</f>
        <v>45291</v>
      </c>
    </row>
    <row r="90" spans="1:11">
      <c r="B90" s="16"/>
      <c r="C90" s="73"/>
      <c r="D90" s="73"/>
      <c r="E90" s="74"/>
      <c r="F90" s="74"/>
      <c r="G90" s="15"/>
      <c r="H90" s="15"/>
      <c r="I90" s="15"/>
      <c r="J90" s="15"/>
      <c r="K90" s="15"/>
    </row>
    <row r="91" spans="1:11">
      <c r="B91" s="31" t="s">
        <v>22</v>
      </c>
      <c r="C91" s="31"/>
      <c r="D91" s="31"/>
      <c r="E91" s="31"/>
      <c r="F91" s="31"/>
      <c r="G91" s="15"/>
      <c r="H91" s="15"/>
      <c r="I91" s="15"/>
      <c r="J91" s="15"/>
      <c r="K91" s="15"/>
    </row>
    <row r="92" spans="1:11">
      <c r="B92" s="40" t="s">
        <v>39</v>
      </c>
      <c r="C92" s="16"/>
      <c r="D92" s="16"/>
      <c r="E92" s="16"/>
      <c r="F92" s="16"/>
      <c r="G92" s="53">
        <f>F94</f>
        <v>1315318</v>
      </c>
      <c r="H92" s="53">
        <f t="shared" ref="H92:K92" si="51">G94</f>
        <v>1486395.745139828</v>
      </c>
      <c r="I92" s="53">
        <f t="shared" si="51"/>
        <v>1626031.6379467908</v>
      </c>
      <c r="J92" s="53">
        <f t="shared" si="51"/>
        <v>1765925.2943685777</v>
      </c>
      <c r="K92" s="53">
        <f t="shared" si="51"/>
        <v>1956166.190728843</v>
      </c>
    </row>
    <row r="93" spans="1:11">
      <c r="B93" s="75" t="s">
        <v>40</v>
      </c>
      <c r="C93" s="16"/>
      <c r="D93" s="16"/>
      <c r="E93" s="16"/>
      <c r="F93" s="16"/>
      <c r="G93" s="53">
        <f>G94-G92</f>
        <v>171077.74513982795</v>
      </c>
      <c r="H93" s="53">
        <f t="shared" ref="H93:K93" si="52">H94-H92</f>
        <v>139635.89280696283</v>
      </c>
      <c r="I93" s="53">
        <f t="shared" si="52"/>
        <v>139893.65642178687</v>
      </c>
      <c r="J93" s="53">
        <f t="shared" si="52"/>
        <v>190240.89636026532</v>
      </c>
      <c r="K93" s="53">
        <f t="shared" si="52"/>
        <v>187599.68082762719</v>
      </c>
    </row>
    <row r="94" spans="1:11">
      <c r="B94" s="40" t="s">
        <v>41</v>
      </c>
      <c r="C94" s="76"/>
      <c r="D94" s="76"/>
      <c r="E94" s="53">
        <f>E58</f>
        <v>957250</v>
      </c>
      <c r="F94" s="53">
        <f>F58</f>
        <v>1315318</v>
      </c>
      <c r="G94" s="53">
        <f>IF(G96,G96*G13,F94*(1+G35))</f>
        <v>1486395.745139828</v>
      </c>
      <c r="H94" s="53">
        <f>IF(H96,H96*H13,G94*(1+H35))</f>
        <v>1626031.6379467908</v>
      </c>
      <c r="I94" s="53">
        <f>IF(I96,I96*I13,H94*(1+I35))</f>
        <v>1765925.2943685777</v>
      </c>
      <c r="J94" s="53">
        <f>IF(J96,J96*J13,I94*(1+J35))</f>
        <v>1956166.190728843</v>
      </c>
      <c r="K94" s="53">
        <f>IF(K96,K96*K13,J94*(1+K35))</f>
        <v>2143765.8715564702</v>
      </c>
    </row>
    <row r="95" spans="1:11">
      <c r="B95" s="16"/>
      <c r="C95" s="77"/>
      <c r="D95" s="77"/>
      <c r="E95" s="15"/>
      <c r="F95" s="15"/>
      <c r="G95" s="15"/>
      <c r="H95" s="15"/>
      <c r="I95" s="15"/>
      <c r="J95" s="15"/>
      <c r="K95" s="15"/>
    </row>
    <row r="96" spans="1:11">
      <c r="B96" s="40" t="s">
        <v>42</v>
      </c>
      <c r="C96" s="78"/>
      <c r="D96" s="78"/>
      <c r="E96" s="11">
        <f>E94/E13</f>
        <v>2.7811384512168996E-2</v>
      </c>
      <c r="F96" s="11">
        <f>F94/F13</f>
        <v>3.7430357593752399E-2</v>
      </c>
      <c r="G96" s="54">
        <v>3.6999999999999998E-2</v>
      </c>
      <c r="H96" s="54">
        <v>3.6999999999999998E-2</v>
      </c>
      <c r="I96" s="54">
        <v>3.6999999999999998E-2</v>
      </c>
      <c r="J96" s="54">
        <v>3.6999999999999998E-2</v>
      </c>
      <c r="K96" s="54">
        <v>3.6999999999999998E-2</v>
      </c>
    </row>
    <row r="97" spans="2:11">
      <c r="B97" s="44" t="s">
        <v>43</v>
      </c>
      <c r="C97" s="78"/>
      <c r="D97" s="78"/>
      <c r="E97" s="79">
        <f>E96*365</f>
        <v>10.151155346941684</v>
      </c>
      <c r="F97" s="79">
        <f>F96*365</f>
        <v>13.662080521719625</v>
      </c>
      <c r="G97" s="80">
        <f>G96*365</f>
        <v>13.504999999999999</v>
      </c>
      <c r="H97" s="80">
        <f t="shared" ref="H97:K97" si="53">H96*365</f>
        <v>13.504999999999999</v>
      </c>
      <c r="I97" s="80">
        <f t="shared" si="53"/>
        <v>13.504999999999999</v>
      </c>
      <c r="J97" s="80">
        <f t="shared" si="53"/>
        <v>13.504999999999999</v>
      </c>
      <c r="K97" s="80">
        <f t="shared" si="53"/>
        <v>13.504999999999999</v>
      </c>
    </row>
    <row r="98" spans="2:11">
      <c r="B98" s="16"/>
      <c r="C98" s="78"/>
      <c r="D98" s="78"/>
      <c r="E98" s="15"/>
      <c r="F98" s="15"/>
      <c r="G98" s="15"/>
      <c r="H98" s="15"/>
      <c r="I98" s="15"/>
      <c r="J98" s="15"/>
      <c r="K98" s="15"/>
    </row>
    <row r="99" spans="2:11">
      <c r="B99" s="31" t="s">
        <v>99</v>
      </c>
      <c r="C99" s="31"/>
      <c r="D99" s="31"/>
      <c r="E99" s="15"/>
      <c r="F99" s="15"/>
      <c r="G99" s="15"/>
      <c r="H99" s="15"/>
      <c r="I99" s="15"/>
      <c r="J99" s="15"/>
      <c r="K99" s="15"/>
    </row>
    <row r="100" spans="2:11">
      <c r="B100" s="40" t="s">
        <v>39</v>
      </c>
      <c r="C100" s="16"/>
      <c r="D100" s="16"/>
      <c r="E100" s="15"/>
      <c r="F100" s="15"/>
      <c r="G100" s="53">
        <f>F102</f>
        <v>2050088</v>
      </c>
      <c r="H100" s="53">
        <f t="shared" ref="H100:K100" si="54">G102</f>
        <v>2400329.3694124203</v>
      </c>
      <c r="I100" s="53">
        <f t="shared" si="54"/>
        <v>2629781.5068962048</v>
      </c>
      <c r="J100" s="53">
        <f t="shared" si="54"/>
        <v>2833809.8522842028</v>
      </c>
      <c r="K100" s="53">
        <f t="shared" si="54"/>
        <v>3153915.4448494674</v>
      </c>
    </row>
    <row r="101" spans="2:11">
      <c r="B101" s="75" t="s">
        <v>40</v>
      </c>
      <c r="C101" s="16"/>
      <c r="D101" s="16"/>
      <c r="E101" s="15"/>
      <c r="F101" s="15"/>
      <c r="G101" s="53">
        <f>G102-G100</f>
        <v>350241.36941242032</v>
      </c>
      <c r="H101" s="53">
        <f t="shared" ref="H101:K101" si="55">H102-H100</f>
        <v>229452.13748378446</v>
      </c>
      <c r="I101" s="53">
        <f t="shared" si="55"/>
        <v>204028.34538799804</v>
      </c>
      <c r="J101" s="53">
        <f t="shared" si="55"/>
        <v>320105.59256526455</v>
      </c>
      <c r="K101" s="53">
        <f t="shared" si="55"/>
        <v>300628.39712373586</v>
      </c>
    </row>
    <row r="102" spans="2:11">
      <c r="B102" s="40" t="s">
        <v>41</v>
      </c>
      <c r="C102" s="76"/>
      <c r="D102" s="76"/>
      <c r="E102" s="53">
        <f>E59</f>
        <v>2303993</v>
      </c>
      <c r="F102" s="53">
        <f>F59</f>
        <v>2050088</v>
      </c>
      <c r="G102" s="53">
        <f>IF(G104,(G104*G14),F102*G14/F14)</f>
        <v>2400329.3694124203</v>
      </c>
      <c r="H102" s="53">
        <f>IF(H104,(H104*H14),G102*H14/G14)</f>
        <v>2629781.5068962048</v>
      </c>
      <c r="I102" s="53">
        <f>IF(I104,(I104*I14),H102*I14/H14)</f>
        <v>2833809.8522842028</v>
      </c>
      <c r="J102" s="53">
        <f>IF(J104,(J104*J14),I102*J14/I14)</f>
        <v>3153915.4448494674</v>
      </c>
      <c r="K102" s="53">
        <f>IF(K104,(K104*K14),J102*K14/J14)</f>
        <v>3454543.8419732032</v>
      </c>
    </row>
    <row r="103" spans="2:11">
      <c r="B103" s="16"/>
      <c r="C103" s="77"/>
      <c r="D103" s="77"/>
      <c r="E103" s="15"/>
      <c r="F103" s="15"/>
      <c r="G103" s="15"/>
      <c r="H103" s="15"/>
      <c r="I103" s="15"/>
      <c r="J103" s="15"/>
      <c r="K103" s="15"/>
    </row>
    <row r="104" spans="2:11">
      <c r="B104" s="40" t="s">
        <v>107</v>
      </c>
      <c r="C104" s="78"/>
      <c r="D104" s="78"/>
      <c r="E104" s="11">
        <f>(E102/E14)</f>
        <v>8.8542190674188573E-2</v>
      </c>
      <c r="F104" s="11">
        <f>(F102/F14)</f>
        <v>8.073221368466485E-2</v>
      </c>
      <c r="G104" s="54">
        <v>8.1000000000000003E-2</v>
      </c>
      <c r="H104" s="54">
        <f t="shared" ref="H104:K104" si="56">G104</f>
        <v>8.1000000000000003E-2</v>
      </c>
      <c r="I104" s="54">
        <f t="shared" si="56"/>
        <v>8.1000000000000003E-2</v>
      </c>
      <c r="J104" s="54">
        <f t="shared" si="56"/>
        <v>8.1000000000000003E-2</v>
      </c>
      <c r="K104" s="54">
        <f t="shared" si="56"/>
        <v>8.1000000000000003E-2</v>
      </c>
    </row>
    <row r="105" spans="2:11">
      <c r="B105" s="16"/>
      <c r="C105" s="78"/>
      <c r="D105" s="78"/>
      <c r="E105" s="15"/>
      <c r="F105" s="15"/>
      <c r="G105" s="15"/>
      <c r="H105" s="15"/>
      <c r="I105" s="15"/>
      <c r="J105" s="15"/>
      <c r="K105" s="15"/>
    </row>
    <row r="106" spans="2:11">
      <c r="B106" s="31" t="s">
        <v>25</v>
      </c>
      <c r="C106" s="31"/>
      <c r="D106" s="31"/>
      <c r="E106" s="15"/>
      <c r="F106" s="15"/>
      <c r="G106" s="15"/>
      <c r="H106" s="15"/>
      <c r="I106" s="15"/>
      <c r="J106" s="15"/>
      <c r="K106" s="15"/>
    </row>
    <row r="107" spans="2:11">
      <c r="B107" s="40" t="s">
        <v>39</v>
      </c>
      <c r="C107" s="16"/>
      <c r="D107" s="16"/>
      <c r="E107" s="15"/>
      <c r="F107" s="15"/>
      <c r="G107" s="53">
        <f>F109</f>
        <v>465646</v>
      </c>
      <c r="H107" s="53">
        <f t="shared" ref="H107:K107" si="57">G109</f>
        <v>404502.14598794351</v>
      </c>
      <c r="I107" s="53">
        <f t="shared" si="57"/>
        <v>454530.13699440577</v>
      </c>
      <c r="J107" s="53">
        <f t="shared" si="57"/>
        <v>489794.2954565289</v>
      </c>
      <c r="K107" s="53">
        <f t="shared" si="57"/>
        <v>545121.1879986733</v>
      </c>
    </row>
    <row r="108" spans="2:11">
      <c r="B108" s="75" t="s">
        <v>40</v>
      </c>
      <c r="C108" s="16"/>
      <c r="D108" s="16"/>
      <c r="E108" s="15"/>
      <c r="F108" s="15"/>
      <c r="G108" s="53">
        <f>G109-G107</f>
        <v>-61143.854012056487</v>
      </c>
      <c r="H108" s="53">
        <f t="shared" ref="H108:K108" si="58">H109-H107</f>
        <v>50027.991006462253</v>
      </c>
      <c r="I108" s="53">
        <f t="shared" si="58"/>
        <v>35264.15846212313</v>
      </c>
      <c r="J108" s="53">
        <f t="shared" si="58"/>
        <v>55326.8925421444</v>
      </c>
      <c r="K108" s="53">
        <f t="shared" si="58"/>
        <v>51960.463700398919</v>
      </c>
    </row>
    <row r="109" spans="2:11">
      <c r="B109" s="40" t="s">
        <v>41</v>
      </c>
      <c r="C109" s="76"/>
      <c r="D109" s="53">
        <f>D66</f>
        <v>327719</v>
      </c>
      <c r="E109" s="53">
        <f>E66</f>
        <v>211324</v>
      </c>
      <c r="F109" s="53">
        <f>F66</f>
        <v>465646</v>
      </c>
      <c r="G109" s="53">
        <f>IF(G111,(G111*G14),F109*G14/F14)</f>
        <v>404502.14598794351</v>
      </c>
      <c r="H109" s="53">
        <f>IF(H111,(H111*H14),G109*H14/G14)</f>
        <v>454530.13699440577</v>
      </c>
      <c r="I109" s="53">
        <f>IF(I111,(I111*I14),H109*I14/H14)</f>
        <v>489794.2954565289</v>
      </c>
      <c r="J109" s="53">
        <f>IF(J111,(J111*J14),I109*J14/I14)</f>
        <v>545121.1879986733</v>
      </c>
      <c r="K109" s="53">
        <f>IF(K111,(K111*K14),J109*K14/J14)</f>
        <v>597081.65169907222</v>
      </c>
    </row>
    <row r="110" spans="2:11">
      <c r="B110" s="16"/>
      <c r="C110" s="78"/>
      <c r="D110" s="78"/>
      <c r="E110" s="15"/>
      <c r="F110" s="15"/>
      <c r="G110" s="15"/>
      <c r="H110" s="15"/>
      <c r="I110" s="15"/>
      <c r="J110" s="15"/>
      <c r="K110" s="15"/>
    </row>
    <row r="111" spans="2:11">
      <c r="B111" s="40" t="s">
        <v>44</v>
      </c>
      <c r="C111" s="78"/>
      <c r="D111" s="11">
        <f>(D109/D14)</f>
        <v>1.4491982643883071E-2</v>
      </c>
      <c r="E111" s="11">
        <f>(E109/E14)</f>
        <v>8.1211574436346919E-3</v>
      </c>
      <c r="F111" s="11">
        <f>(F109/F14)</f>
        <v>1.8337082297642564E-2</v>
      </c>
      <c r="G111" s="54">
        <f>AVERAGE(D111:F111)</f>
        <v>1.3650074128386777E-2</v>
      </c>
      <c r="H111" s="54">
        <v>1.4E-2</v>
      </c>
      <c r="I111" s="54">
        <v>1.4E-2</v>
      </c>
      <c r="J111" s="54">
        <v>1.4E-2</v>
      </c>
      <c r="K111" s="54">
        <v>1.4E-2</v>
      </c>
    </row>
    <row r="112" spans="2:11">
      <c r="B112" s="40" t="s">
        <v>45</v>
      </c>
      <c r="C112" s="78"/>
      <c r="D112" s="78"/>
      <c r="E112" s="79">
        <f>E111*365</f>
        <v>2.9642224669266626</v>
      </c>
      <c r="F112" s="79">
        <f>F111*365</f>
        <v>6.6930350386395361</v>
      </c>
      <c r="G112" s="12">
        <f>G111*365</f>
        <v>4.9822770568611734</v>
      </c>
      <c r="H112" s="12">
        <f t="shared" ref="H112:K112" si="59">H111*365</f>
        <v>5.1100000000000003</v>
      </c>
      <c r="I112" s="12">
        <f t="shared" si="59"/>
        <v>5.1100000000000003</v>
      </c>
      <c r="J112" s="12">
        <f t="shared" si="59"/>
        <v>5.1100000000000003</v>
      </c>
      <c r="K112" s="12">
        <f t="shared" si="59"/>
        <v>5.1100000000000003</v>
      </c>
    </row>
    <row r="113" spans="2:11">
      <c r="B113" s="16"/>
      <c r="C113" s="78"/>
      <c r="D113" s="78"/>
      <c r="E113" s="15"/>
      <c r="F113" s="15"/>
      <c r="G113" s="15"/>
      <c r="H113" s="15"/>
      <c r="I113" s="15"/>
      <c r="J113" s="15"/>
      <c r="K113" s="15"/>
    </row>
    <row r="114" spans="2:11">
      <c r="B114" s="31" t="s">
        <v>111</v>
      </c>
      <c r="C114" s="78"/>
      <c r="D114" s="78"/>
      <c r="E114" s="15"/>
      <c r="F114" s="15"/>
      <c r="G114" s="15"/>
      <c r="H114" s="15"/>
      <c r="I114" s="15"/>
      <c r="J114" s="15"/>
      <c r="K114" s="15"/>
    </row>
    <row r="115" spans="2:11">
      <c r="B115" s="40" t="s">
        <v>39</v>
      </c>
      <c r="C115" s="78"/>
      <c r="D115" s="78"/>
      <c r="E115" s="15"/>
      <c r="F115" s="15"/>
      <c r="G115" s="53">
        <f>F117</f>
        <v>863244</v>
      </c>
      <c r="H115" s="53">
        <f t="shared" ref="H115:K115" si="60">G117</f>
        <v>790560.83740512491</v>
      </c>
      <c r="I115" s="53">
        <f t="shared" si="60"/>
        <v>878936.02051177889</v>
      </c>
      <c r="J115" s="53">
        <f t="shared" si="60"/>
        <v>954554.21317220421</v>
      </c>
      <c r="K115" s="53">
        <f t="shared" si="60"/>
        <v>1057387.1301236991</v>
      </c>
    </row>
    <row r="116" spans="2:11">
      <c r="B116" s="75" t="s">
        <v>40</v>
      </c>
      <c r="C116" s="78"/>
      <c r="D116" s="78"/>
      <c r="E116" s="15"/>
      <c r="F116" s="15"/>
      <c r="G116" s="53">
        <f>G117-G115</f>
        <v>-72683.162594875088</v>
      </c>
      <c r="H116" s="53">
        <f t="shared" ref="H116:K116" si="61">H117-H115</f>
        <v>88375.183106653974</v>
      </c>
      <c r="I116" s="53">
        <f t="shared" si="61"/>
        <v>75618.192660425324</v>
      </c>
      <c r="J116" s="53">
        <f t="shared" si="61"/>
        <v>102832.91695149487</v>
      </c>
      <c r="K116" s="53">
        <f t="shared" si="61"/>
        <v>101405.23287979839</v>
      </c>
    </row>
    <row r="117" spans="2:11">
      <c r="B117" s="40" t="s">
        <v>41</v>
      </c>
      <c r="C117" s="53">
        <f t="shared" ref="C117:D117" si="62">C67</f>
        <v>398736</v>
      </c>
      <c r="D117" s="53">
        <f t="shared" si="62"/>
        <v>482563</v>
      </c>
      <c r="E117" s="53">
        <f>E67</f>
        <v>749129</v>
      </c>
      <c r="F117" s="53">
        <f>F67</f>
        <v>863244</v>
      </c>
      <c r="G117" s="53">
        <f>IF(G119,G119*G13,F117*(1+G35))</f>
        <v>790560.83740512491</v>
      </c>
      <c r="H117" s="53">
        <f>IF(H119,H119*H13,G117*(1+H35))</f>
        <v>878936.02051177889</v>
      </c>
      <c r="I117" s="53">
        <f>IF(I119,I119*I13,H117*(1+I35))</f>
        <v>954554.21317220421</v>
      </c>
      <c r="J117" s="53">
        <f>IF(J119,J119*J13,I117*(1+J35))</f>
        <v>1057387.1301236991</v>
      </c>
      <c r="K117" s="53">
        <f>IF(K119,K119*K13,J117*(1+K35))</f>
        <v>1158792.3630034975</v>
      </c>
    </row>
    <row r="118" spans="2:11">
      <c r="B118" s="16"/>
      <c r="C118" s="78"/>
      <c r="D118" s="78"/>
      <c r="E118" s="15"/>
      <c r="F118" s="15"/>
      <c r="G118" s="15"/>
      <c r="H118" s="15"/>
      <c r="I118" s="15"/>
      <c r="J118" s="15"/>
      <c r="K118" s="15"/>
    </row>
    <row r="119" spans="2:11">
      <c r="B119" s="40" t="s">
        <v>47</v>
      </c>
      <c r="C119" s="11">
        <f>C117/C13</f>
        <v>1.6715755069516298E-2</v>
      </c>
      <c r="D119" s="11">
        <f>D117/D13</f>
        <v>1.5669837383909375E-2</v>
      </c>
      <c r="E119" s="11">
        <f>E117/E13</f>
        <v>2.1764758075964112E-2</v>
      </c>
      <c r="F119" s="13">
        <f>F117/F13</f>
        <v>2.4565566357839852E-2</v>
      </c>
      <c r="G119" s="54">
        <f>AVERAGE(C119:F119)</f>
        <v>1.9678979221807412E-2</v>
      </c>
      <c r="H119" s="54">
        <v>0.02</v>
      </c>
      <c r="I119" s="54">
        <v>0.02</v>
      </c>
      <c r="J119" s="54">
        <v>0.02</v>
      </c>
      <c r="K119" s="54">
        <v>0.02</v>
      </c>
    </row>
    <row r="120" spans="2:11">
      <c r="B120" s="40"/>
      <c r="C120" s="78"/>
      <c r="D120" s="78"/>
      <c r="E120" s="11"/>
      <c r="F120" s="13"/>
      <c r="G120" s="54"/>
      <c r="H120" s="54"/>
      <c r="I120" s="54"/>
      <c r="J120" s="54"/>
      <c r="K120" s="54"/>
    </row>
    <row r="121" spans="2:11">
      <c r="B121" s="40"/>
      <c r="C121" s="78"/>
      <c r="D121" s="78"/>
      <c r="E121" s="11"/>
      <c r="F121" s="13"/>
      <c r="G121" s="54"/>
      <c r="H121" s="54"/>
      <c r="I121" s="54"/>
      <c r="J121" s="54"/>
      <c r="K121" s="54"/>
    </row>
    <row r="122" spans="2:11">
      <c r="B122" s="31" t="s">
        <v>104</v>
      </c>
      <c r="C122" s="78"/>
      <c r="D122" s="78"/>
      <c r="E122" s="11"/>
      <c r="F122" s="13"/>
    </row>
    <row r="123" spans="2:11">
      <c r="B123" s="40" t="s">
        <v>39</v>
      </c>
      <c r="C123" s="53"/>
      <c r="D123" s="53"/>
      <c r="E123" s="53"/>
      <c r="F123" s="53"/>
      <c r="G123" s="53">
        <f>F125</f>
        <v>6299035</v>
      </c>
      <c r="H123" s="53">
        <f>G125</f>
        <v>7890875.5797963021</v>
      </c>
      <c r="I123" s="53">
        <f>H125</f>
        <v>8613573.001015434</v>
      </c>
      <c r="J123" s="53">
        <f>I125</f>
        <v>9354631.289087601</v>
      </c>
      <c r="K123" s="53">
        <f>J125</f>
        <v>10362393.87521225</v>
      </c>
    </row>
    <row r="124" spans="2:11">
      <c r="B124" s="75" t="s">
        <v>40</v>
      </c>
      <c r="C124" s="53"/>
      <c r="D124" s="53"/>
      <c r="E124" s="53"/>
      <c r="F124" s="53"/>
      <c r="G124" s="53">
        <f>G125-G123</f>
        <v>1591840.5797963021</v>
      </c>
      <c r="H124" s="53">
        <f t="shared" ref="H124:K124" si="63">H125-H123</f>
        <v>722697.42121913191</v>
      </c>
      <c r="I124" s="53">
        <f t="shared" si="63"/>
        <v>741058.28807216696</v>
      </c>
      <c r="J124" s="53">
        <f t="shared" si="63"/>
        <v>1007762.5861246493</v>
      </c>
      <c r="K124" s="53">
        <f t="shared" si="63"/>
        <v>993771.2822220251</v>
      </c>
    </row>
    <row r="125" spans="2:11">
      <c r="B125" s="40" t="s">
        <v>41</v>
      </c>
      <c r="C125" s="53">
        <f>C68</f>
        <v>5686497</v>
      </c>
      <c r="D125" s="53">
        <f t="shared" ref="D125:F125" si="64">D68</f>
        <v>5544245</v>
      </c>
      <c r="E125" s="53">
        <f t="shared" si="64"/>
        <v>6471426</v>
      </c>
      <c r="F125" s="53">
        <f t="shared" si="64"/>
        <v>6299035</v>
      </c>
      <c r="G125" s="53">
        <f>G127*G13</f>
        <v>7890875.5797963021</v>
      </c>
      <c r="H125" s="53">
        <f>H127*H13</f>
        <v>8613573.001015434</v>
      </c>
      <c r="I125" s="53">
        <f>I127*I13</f>
        <v>9354631.289087601</v>
      </c>
      <c r="J125" s="53">
        <f>J127*J13</f>
        <v>10362393.87521225</v>
      </c>
      <c r="K125" s="53">
        <f>K127*K13</f>
        <v>11356165.157434275</v>
      </c>
    </row>
    <row r="126" spans="2:11">
      <c r="B126" s="16"/>
      <c r="C126" s="78"/>
      <c r="D126" s="78"/>
      <c r="E126" s="11"/>
      <c r="F126" s="13"/>
      <c r="G126" s="54"/>
      <c r="H126" s="54"/>
      <c r="I126" s="54"/>
      <c r="J126" s="54"/>
      <c r="K126" s="54"/>
    </row>
    <row r="127" spans="2:11">
      <c r="B127" s="40" t="s">
        <v>110</v>
      </c>
      <c r="C127" s="78">
        <f>C125/C13</f>
        <v>0.23838853541074598</v>
      </c>
      <c r="D127" s="78">
        <f>D125/D13</f>
        <v>0.18003331703125319</v>
      </c>
      <c r="E127" s="78">
        <f>E125/E13</f>
        <v>0.18801704552420762</v>
      </c>
      <c r="F127" s="78">
        <f>F125/F13</f>
        <v>0.17925333078811523</v>
      </c>
      <c r="G127" s="54">
        <f>AVERAGE(C127:F127)</f>
        <v>0.1964230571885805</v>
      </c>
      <c r="H127" s="54">
        <v>0.19600000000000001</v>
      </c>
      <c r="I127" s="54">
        <v>0.19600000000000001</v>
      </c>
      <c r="J127" s="54">
        <v>0.19600000000000001</v>
      </c>
      <c r="K127" s="54">
        <v>0.19600000000000001</v>
      </c>
    </row>
    <row r="128" spans="2:11">
      <c r="B128" s="40"/>
      <c r="C128" s="78"/>
      <c r="D128" s="78"/>
      <c r="E128" s="11"/>
      <c r="F128" s="13"/>
      <c r="G128" s="54"/>
      <c r="H128" s="54"/>
      <c r="I128" s="54"/>
      <c r="J128" s="54"/>
      <c r="K128" s="54"/>
    </row>
    <row r="129" spans="1:11">
      <c r="B129" s="16"/>
      <c r="C129" s="15"/>
      <c r="D129" s="15"/>
      <c r="E129" s="15"/>
      <c r="F129" s="15"/>
      <c r="G129" s="15"/>
      <c r="H129" s="15"/>
      <c r="I129" s="15"/>
      <c r="J129" s="15"/>
      <c r="K129" s="15"/>
    </row>
    <row r="130" spans="1:11">
      <c r="A130" s="1" t="s">
        <v>108</v>
      </c>
      <c r="B130" s="18" t="s">
        <v>48</v>
      </c>
      <c r="C130" s="20"/>
      <c r="D130" s="20"/>
      <c r="E130" s="20"/>
      <c r="F130" s="20"/>
      <c r="G130" s="20"/>
      <c r="H130" s="20"/>
      <c r="I130" s="20"/>
      <c r="J130" s="20"/>
      <c r="K130" s="20"/>
    </row>
    <row r="131" spans="1:11">
      <c r="B131" s="55" t="str">
        <f>B10</f>
        <v xml:space="preserve">Fiscal year  </v>
      </c>
      <c r="C131" s="50"/>
      <c r="D131" s="50">
        <f>D10</f>
        <v>2016</v>
      </c>
      <c r="E131" s="50">
        <f>E10</f>
        <v>2017</v>
      </c>
      <c r="F131" s="50">
        <f>F10</f>
        <v>2018</v>
      </c>
      <c r="G131" s="51">
        <f>G10</f>
        <v>2019</v>
      </c>
      <c r="H131" s="51">
        <f>H10</f>
        <v>2020</v>
      </c>
      <c r="I131" s="51">
        <f>I10</f>
        <v>2021</v>
      </c>
      <c r="J131" s="51">
        <f>J10</f>
        <v>2022</v>
      </c>
      <c r="K131" s="51">
        <f>K10</f>
        <v>2023</v>
      </c>
    </row>
    <row r="132" spans="1:11">
      <c r="B132" s="20" t="str">
        <f>B11</f>
        <v>Fiscal year end date</v>
      </c>
      <c r="C132" s="52"/>
      <c r="D132" s="52">
        <f>D11</f>
        <v>42735</v>
      </c>
      <c r="E132" s="52">
        <f>E11</f>
        <v>43100</v>
      </c>
      <c r="F132" s="52">
        <f>F11</f>
        <v>43465</v>
      </c>
      <c r="G132" s="52">
        <f>G11</f>
        <v>43830</v>
      </c>
      <c r="H132" s="52">
        <f>H11</f>
        <v>44196</v>
      </c>
      <c r="I132" s="52">
        <f>I11</f>
        <v>44561</v>
      </c>
      <c r="J132" s="52">
        <f>J11</f>
        <v>44926</v>
      </c>
      <c r="K132" s="52">
        <f>K11</f>
        <v>45291</v>
      </c>
    </row>
    <row r="133" spans="1:11">
      <c r="B133" s="31"/>
      <c r="C133" s="15"/>
      <c r="D133" s="15"/>
      <c r="E133" s="15"/>
      <c r="F133" s="15"/>
      <c r="G133" s="15"/>
      <c r="H133" s="15"/>
      <c r="I133" s="15"/>
      <c r="J133" s="15"/>
      <c r="K133" s="15"/>
    </row>
    <row r="134" spans="1:11">
      <c r="B134" s="40" t="s">
        <v>39</v>
      </c>
      <c r="C134" s="15"/>
      <c r="D134" s="15"/>
      <c r="E134" s="15"/>
      <c r="F134" s="15"/>
      <c r="G134" s="53">
        <f>F137</f>
        <v>25959</v>
      </c>
      <c r="H134" s="53">
        <f t="shared" ref="H134:K134" si="65">G137</f>
        <v>42028.143190700837</v>
      </c>
      <c r="I134" s="53">
        <f t="shared" si="65"/>
        <v>59606.863600936427</v>
      </c>
      <c r="J134" s="53">
        <f t="shared" si="65"/>
        <v>78697.94786438052</v>
      </c>
      <c r="K134" s="53">
        <f t="shared" si="65"/>
        <v>99845.690466854488</v>
      </c>
    </row>
    <row r="135" spans="1:11">
      <c r="B135" s="75" t="s">
        <v>49</v>
      </c>
      <c r="C135" s="15"/>
      <c r="D135" s="15"/>
      <c r="E135" s="15"/>
      <c r="F135" s="15"/>
      <c r="G135" s="53">
        <f>G139</f>
        <v>40172.857976752108</v>
      </c>
      <c r="H135" s="53">
        <f t="shared" ref="H135:K135" si="66">H139</f>
        <v>43946.801025588946</v>
      </c>
      <c r="I135" s="53">
        <f t="shared" si="66"/>
        <v>47727.710658610209</v>
      </c>
      <c r="J135" s="53">
        <f t="shared" si="66"/>
        <v>52869.356506184951</v>
      </c>
      <c r="K135" s="53">
        <f t="shared" si="66"/>
        <v>57939.618150174872</v>
      </c>
    </row>
    <row r="136" spans="1:11">
      <c r="B136" s="75" t="s">
        <v>50</v>
      </c>
      <c r="C136" s="15"/>
      <c r="D136" s="15"/>
      <c r="E136" s="15"/>
      <c r="F136" s="15"/>
      <c r="G136" s="53">
        <f t="shared" ref="G136:K136" si="67">G141</f>
        <v>-24103.714786051263</v>
      </c>
      <c r="H136" s="53">
        <f t="shared" si="67"/>
        <v>-26368.080615353367</v>
      </c>
      <c r="I136" s="53">
        <f t="shared" si="67"/>
        <v>-28636.626395166124</v>
      </c>
      <c r="J136" s="53">
        <f t="shared" si="67"/>
        <v>-31721.613903710968</v>
      </c>
      <c r="K136" s="53">
        <f t="shared" si="67"/>
        <v>-34763.770890104919</v>
      </c>
    </row>
    <row r="137" spans="1:11">
      <c r="B137" s="40" t="s">
        <v>41</v>
      </c>
      <c r="C137" s="53">
        <f t="shared" ref="C137:D137" si="68">C62</f>
        <v>58675</v>
      </c>
      <c r="D137" s="53">
        <f t="shared" si="68"/>
        <v>55781</v>
      </c>
      <c r="E137" s="53">
        <f>E62</f>
        <v>37892</v>
      </c>
      <c r="F137" s="53">
        <f>F62</f>
        <v>25959</v>
      </c>
      <c r="G137" s="53">
        <f>SUM(G134:G136)</f>
        <v>42028.143190700837</v>
      </c>
      <c r="H137" s="53">
        <f t="shared" ref="H137:K137" si="69">SUM(H134:H136)</f>
        <v>59606.863600936427</v>
      </c>
      <c r="I137" s="53">
        <f t="shared" si="69"/>
        <v>78697.94786438052</v>
      </c>
      <c r="J137" s="53">
        <f t="shared" si="69"/>
        <v>99845.690466854488</v>
      </c>
      <c r="K137" s="53">
        <f t="shared" si="69"/>
        <v>123021.53772692445</v>
      </c>
    </row>
    <row r="138" spans="1:11">
      <c r="B138" s="40"/>
      <c r="C138" s="15"/>
      <c r="D138" s="15"/>
      <c r="E138" s="15"/>
      <c r="F138" s="15"/>
      <c r="G138" s="15"/>
      <c r="H138" s="15"/>
      <c r="I138" s="15"/>
      <c r="J138" s="15"/>
      <c r="K138" s="15"/>
    </row>
    <row r="139" spans="1:11">
      <c r="B139" s="44" t="s">
        <v>51</v>
      </c>
      <c r="C139" s="10">
        <v>37856</v>
      </c>
      <c r="D139" s="10">
        <v>8787</v>
      </c>
      <c r="E139" s="10">
        <v>0</v>
      </c>
      <c r="F139" s="10">
        <v>3249</v>
      </c>
      <c r="G139" s="53">
        <f>G140*G13</f>
        <v>40172.857976752108</v>
      </c>
      <c r="H139" s="53">
        <f>H140*H13</f>
        <v>43946.801025588946</v>
      </c>
      <c r="I139" s="53">
        <f>I140*I13</f>
        <v>47727.710658610209</v>
      </c>
      <c r="J139" s="53">
        <f>J140*J13</f>
        <v>52869.356506184951</v>
      </c>
      <c r="K139" s="53">
        <f>K140*K13</f>
        <v>57939.618150174872</v>
      </c>
    </row>
    <row r="140" spans="1:11">
      <c r="B140" s="40" t="s">
        <v>52</v>
      </c>
      <c r="C140" s="11">
        <f>C139/C13</f>
        <v>1.5869939606948181E-3</v>
      </c>
      <c r="D140" s="11">
        <f>D139/D13</f>
        <v>2.8533240445788777E-4</v>
      </c>
      <c r="E140" s="11">
        <f>E139/E13</f>
        <v>0</v>
      </c>
      <c r="F140" s="11">
        <f>F139/F13</f>
        <v>9.2457665615540535E-5</v>
      </c>
      <c r="G140" s="54">
        <v>1E-3</v>
      </c>
      <c r="H140" s="54">
        <v>1E-3</v>
      </c>
      <c r="I140" s="54">
        <v>1E-3</v>
      </c>
      <c r="J140" s="54">
        <v>1E-3</v>
      </c>
      <c r="K140" s="54">
        <v>1E-3</v>
      </c>
    </row>
    <row r="141" spans="1:11">
      <c r="B141" s="44" t="s">
        <v>53</v>
      </c>
      <c r="C141" s="10">
        <v>22857</v>
      </c>
      <c r="D141" s="10">
        <v>11681</v>
      </c>
      <c r="E141" s="10">
        <v>17579</v>
      </c>
      <c r="F141" s="10">
        <v>15182</v>
      </c>
      <c r="G141" s="53">
        <f>-(G142*G139)</f>
        <v>-24103.714786051263</v>
      </c>
      <c r="H141" s="53">
        <f t="shared" ref="H141:K141" si="70">-(H142*H139)</f>
        <v>-26368.080615353367</v>
      </c>
      <c r="I141" s="53">
        <f t="shared" si="70"/>
        <v>-28636.626395166124</v>
      </c>
      <c r="J141" s="53">
        <f t="shared" si="70"/>
        <v>-31721.613903710968</v>
      </c>
      <c r="K141" s="53">
        <f t="shared" si="70"/>
        <v>-34763.770890104919</v>
      </c>
    </row>
    <row r="142" spans="1:11">
      <c r="B142" s="40" t="s">
        <v>54</v>
      </c>
      <c r="C142" s="11"/>
      <c r="D142" s="11">
        <f>-(D141/D139)</f>
        <v>-1.32935017639695</v>
      </c>
      <c r="E142" s="11" t="e">
        <f t="shared" ref="E142:F142" si="71">-(E141/E139)</f>
        <v>#DIV/0!</v>
      </c>
      <c r="F142" s="11">
        <f t="shared" si="71"/>
        <v>-4.6728224068944293</v>
      </c>
      <c r="G142" s="54">
        <v>0.6</v>
      </c>
      <c r="H142" s="54">
        <v>0.6</v>
      </c>
      <c r="I142" s="54">
        <f t="shared" ref="I142:K142" si="72">H142</f>
        <v>0.6</v>
      </c>
      <c r="J142" s="54">
        <f t="shared" si="72"/>
        <v>0.6</v>
      </c>
      <c r="K142" s="54">
        <f t="shared" si="72"/>
        <v>0.6</v>
      </c>
    </row>
    <row r="143" spans="1:11">
      <c r="B143" s="15"/>
      <c r="C143" s="15"/>
      <c r="D143" s="15"/>
      <c r="E143" s="15"/>
      <c r="F143" s="15"/>
      <c r="G143" s="15"/>
      <c r="H143" s="15"/>
      <c r="I143" s="15"/>
      <c r="J143" s="15"/>
      <c r="K143" s="15"/>
    </row>
    <row r="144" spans="1:11">
      <c r="A144" s="1" t="s">
        <v>108</v>
      </c>
      <c r="B144" s="18" t="s">
        <v>55</v>
      </c>
      <c r="C144" s="20"/>
      <c r="D144" s="20"/>
      <c r="E144" s="20"/>
      <c r="F144" s="20"/>
      <c r="G144" s="20"/>
      <c r="H144" s="20"/>
      <c r="I144" s="20"/>
      <c r="J144" s="20"/>
      <c r="K144" s="20"/>
    </row>
    <row r="145" spans="2:11">
      <c r="B145" s="55" t="str">
        <f>B10</f>
        <v xml:space="preserve">Fiscal year  </v>
      </c>
      <c r="C145" s="50">
        <v>2015</v>
      </c>
      <c r="D145" s="50">
        <f>D10</f>
        <v>2016</v>
      </c>
      <c r="E145" s="50">
        <f>E10</f>
        <v>2017</v>
      </c>
      <c r="F145" s="50">
        <f>F10</f>
        <v>2018</v>
      </c>
      <c r="G145" s="51">
        <f>G10</f>
        <v>2019</v>
      </c>
      <c r="H145" s="51">
        <f>H10</f>
        <v>2020</v>
      </c>
      <c r="I145" s="51">
        <f>I10</f>
        <v>2021</v>
      </c>
      <c r="J145" s="51">
        <f>J10</f>
        <v>2022</v>
      </c>
      <c r="K145" s="51">
        <f>K10</f>
        <v>2023</v>
      </c>
    </row>
    <row r="146" spans="2:11">
      <c r="B146" s="20" t="str">
        <f>B11</f>
        <v>Fiscal year end date</v>
      </c>
      <c r="C146" s="52"/>
      <c r="D146" s="52">
        <f>D11</f>
        <v>42735</v>
      </c>
      <c r="E146" s="52">
        <f>E11</f>
        <v>43100</v>
      </c>
      <c r="F146" s="52">
        <f>F11</f>
        <v>43465</v>
      </c>
      <c r="G146" s="52">
        <f>G11</f>
        <v>43830</v>
      </c>
      <c r="H146" s="52">
        <f>H11</f>
        <v>44196</v>
      </c>
      <c r="I146" s="52">
        <f>I11</f>
        <v>44561</v>
      </c>
      <c r="J146" s="52">
        <f>J11</f>
        <v>44926</v>
      </c>
      <c r="K146" s="52">
        <f>K11</f>
        <v>45291</v>
      </c>
    </row>
    <row r="147" spans="2:11">
      <c r="B147" s="31"/>
      <c r="C147" s="15"/>
      <c r="D147" s="15"/>
      <c r="E147" s="15"/>
      <c r="F147" s="15"/>
      <c r="G147" s="15"/>
      <c r="H147" s="15"/>
      <c r="I147" s="15"/>
      <c r="J147" s="15"/>
      <c r="K147" s="15"/>
    </row>
    <row r="148" spans="2:11">
      <c r="B148" s="31" t="s">
        <v>23</v>
      </c>
      <c r="C148" s="15"/>
      <c r="D148" s="15"/>
      <c r="E148" s="15"/>
      <c r="F148" s="15"/>
      <c r="G148" s="15"/>
      <c r="H148" s="15"/>
      <c r="I148" s="15"/>
      <c r="J148" s="15"/>
      <c r="K148" s="15"/>
    </row>
    <row r="149" spans="2:11">
      <c r="B149" s="40" t="s">
        <v>39</v>
      </c>
      <c r="C149" s="15"/>
      <c r="D149" s="15"/>
      <c r="E149" s="15"/>
      <c r="F149" s="15"/>
      <c r="G149" s="53">
        <f>F151</f>
        <v>119453</v>
      </c>
      <c r="H149" s="53">
        <f t="shared" ref="H149:K149" si="73">G151</f>
        <v>119453</v>
      </c>
      <c r="I149" s="53">
        <f t="shared" si="73"/>
        <v>119453</v>
      </c>
      <c r="J149" s="53">
        <f t="shared" si="73"/>
        <v>119453</v>
      </c>
      <c r="K149" s="53">
        <f t="shared" si="73"/>
        <v>119453</v>
      </c>
    </row>
    <row r="150" spans="2:11">
      <c r="B150" s="75" t="s">
        <v>40</v>
      </c>
      <c r="C150" s="15"/>
      <c r="D150" s="15"/>
      <c r="E150" s="15"/>
      <c r="F150" s="15"/>
      <c r="G150" s="10">
        <v>0</v>
      </c>
      <c r="H150" s="10">
        <v>0</v>
      </c>
      <c r="I150" s="10">
        <v>0</v>
      </c>
      <c r="J150" s="10">
        <v>0</v>
      </c>
      <c r="K150" s="10">
        <v>0</v>
      </c>
    </row>
    <row r="151" spans="2:11">
      <c r="B151" s="40" t="s">
        <v>41</v>
      </c>
      <c r="C151" s="53">
        <f>C60</f>
        <v>107635</v>
      </c>
      <c r="D151" s="53">
        <f>D60</f>
        <v>90492</v>
      </c>
      <c r="E151" s="53">
        <f>E60</f>
        <v>102246</v>
      </c>
      <c r="F151" s="53">
        <f>F60</f>
        <v>119453</v>
      </c>
      <c r="G151" s="53">
        <f>SUM(G149:G150)</f>
        <v>119453</v>
      </c>
      <c r="H151" s="53">
        <f t="shared" ref="H151:K151" si="74">SUM(H149:H150)</f>
        <v>119453</v>
      </c>
      <c r="I151" s="53">
        <f t="shared" si="74"/>
        <v>119453</v>
      </c>
      <c r="J151" s="53">
        <f t="shared" si="74"/>
        <v>119453</v>
      </c>
      <c r="K151" s="53">
        <f t="shared" si="74"/>
        <v>119453</v>
      </c>
    </row>
    <row r="152" spans="2:11">
      <c r="B152" s="16"/>
      <c r="C152" s="15"/>
      <c r="D152" s="15"/>
      <c r="E152" s="15"/>
      <c r="F152" s="15"/>
      <c r="G152" s="15"/>
      <c r="H152" s="15"/>
      <c r="I152" s="15"/>
      <c r="J152" s="15"/>
      <c r="K152" s="15"/>
    </row>
    <row r="153" spans="2:11">
      <c r="B153" s="31" t="s">
        <v>106</v>
      </c>
      <c r="C153" s="15"/>
      <c r="D153" s="15"/>
      <c r="E153" s="15"/>
      <c r="F153" s="15"/>
      <c r="G153" s="15"/>
      <c r="H153" s="15"/>
      <c r="I153" s="15"/>
      <c r="J153" s="15"/>
      <c r="K153" s="15"/>
    </row>
    <row r="154" spans="2:11">
      <c r="B154" s="40" t="s">
        <v>39</v>
      </c>
      <c r="C154" s="15"/>
      <c r="D154" s="15"/>
      <c r="E154" s="15"/>
      <c r="F154" s="15"/>
      <c r="G154" s="53">
        <f>F156</f>
        <v>8147</v>
      </c>
      <c r="H154" s="53">
        <f t="shared" ref="H154:K154" si="75">G156</f>
        <v>8147</v>
      </c>
      <c r="I154" s="53">
        <f t="shared" si="75"/>
        <v>8147</v>
      </c>
      <c r="J154" s="53">
        <f t="shared" si="75"/>
        <v>8147</v>
      </c>
      <c r="K154" s="53">
        <f t="shared" si="75"/>
        <v>8147</v>
      </c>
    </row>
    <row r="155" spans="2:11">
      <c r="B155" s="75" t="s">
        <v>40</v>
      </c>
      <c r="C155" s="15"/>
      <c r="D155" s="15"/>
      <c r="E155" s="15"/>
      <c r="F155" s="15"/>
      <c r="G155" s="10">
        <v>0</v>
      </c>
      <c r="H155" s="10">
        <v>0</v>
      </c>
      <c r="I155" s="10">
        <v>0</v>
      </c>
      <c r="J155" s="10">
        <v>0</v>
      </c>
      <c r="K155" s="10">
        <v>0</v>
      </c>
    </row>
    <row r="156" spans="2:11">
      <c r="B156" s="40" t="s">
        <v>41</v>
      </c>
      <c r="C156" s="53">
        <f t="shared" ref="C156:D156" si="76">C71</f>
        <v>20021</v>
      </c>
      <c r="D156" s="53">
        <f t="shared" si="76"/>
        <v>8933</v>
      </c>
      <c r="E156" s="53">
        <f>E71</f>
        <v>8147</v>
      </c>
      <c r="F156" s="53">
        <f>F71</f>
        <v>8147</v>
      </c>
      <c r="G156" s="53">
        <f>SUM(G154:G155)</f>
        <v>8147</v>
      </c>
      <c r="H156" s="53">
        <f t="shared" ref="H156:K156" si="77">SUM(H154:H155)</f>
        <v>8147</v>
      </c>
      <c r="I156" s="53">
        <f t="shared" si="77"/>
        <v>8147</v>
      </c>
      <c r="J156" s="53">
        <f t="shared" si="77"/>
        <v>8147</v>
      </c>
      <c r="K156" s="53">
        <f t="shared" si="77"/>
        <v>8147</v>
      </c>
    </row>
    <row r="157" spans="2:11">
      <c r="B157" s="15"/>
      <c r="C157" s="15"/>
      <c r="D157" s="15"/>
      <c r="E157" s="15"/>
      <c r="F157" s="15"/>
      <c r="G157" s="15"/>
      <c r="H157" s="15"/>
      <c r="I157" s="15"/>
      <c r="J157" s="15"/>
      <c r="K157" s="15"/>
    </row>
    <row r="158" spans="2:11">
      <c r="B158" s="18" t="s">
        <v>56</v>
      </c>
      <c r="C158" s="82"/>
      <c r="D158" s="82"/>
      <c r="E158" s="82"/>
      <c r="F158" s="82"/>
      <c r="G158" s="83"/>
      <c r="H158" s="83"/>
      <c r="I158" s="83"/>
      <c r="J158" s="83"/>
      <c r="K158" s="83"/>
    </row>
    <row r="159" spans="2:11">
      <c r="B159" s="55" t="str">
        <f>B10</f>
        <v xml:space="preserve">Fiscal year  </v>
      </c>
      <c r="C159" s="50"/>
      <c r="D159" s="50"/>
      <c r="E159" s="50">
        <f>E10</f>
        <v>2017</v>
      </c>
      <c r="F159" s="50">
        <f>F10</f>
        <v>2018</v>
      </c>
      <c r="G159" s="51">
        <f>G10</f>
        <v>2019</v>
      </c>
      <c r="H159" s="51">
        <f>H10</f>
        <v>2020</v>
      </c>
      <c r="I159" s="51">
        <f>I10</f>
        <v>2021</v>
      </c>
      <c r="J159" s="51">
        <f>J10</f>
        <v>2022</v>
      </c>
      <c r="K159" s="51">
        <f>K10</f>
        <v>2023</v>
      </c>
    </row>
    <row r="160" spans="2:11">
      <c r="B160" s="20" t="str">
        <f>B11</f>
        <v>Fiscal year end date</v>
      </c>
      <c r="C160" s="52"/>
      <c r="D160" s="52"/>
      <c r="E160" s="52">
        <f>E11</f>
        <v>43100</v>
      </c>
      <c r="F160" s="52">
        <f>F11</f>
        <v>43465</v>
      </c>
      <c r="G160" s="52">
        <f>G11</f>
        <v>43830</v>
      </c>
      <c r="H160" s="52">
        <f>H11</f>
        <v>44196</v>
      </c>
      <c r="I160" s="52">
        <f>I11</f>
        <v>44561</v>
      </c>
      <c r="J160" s="52">
        <f>J11</f>
        <v>44926</v>
      </c>
      <c r="K160" s="52">
        <f>K11</f>
        <v>45291</v>
      </c>
    </row>
    <row r="161" spans="2:11">
      <c r="B161" s="16"/>
      <c r="C161" s="15"/>
      <c r="D161" s="15"/>
      <c r="E161" s="15"/>
      <c r="F161" s="15"/>
      <c r="G161" s="15"/>
      <c r="H161" s="15"/>
      <c r="I161" s="15"/>
      <c r="J161" s="15"/>
      <c r="K161" s="15"/>
    </row>
    <row r="162" spans="2:11">
      <c r="B162" s="60" t="s">
        <v>57</v>
      </c>
      <c r="C162" s="15"/>
      <c r="D162" s="15"/>
      <c r="E162" s="15"/>
      <c r="F162" s="15"/>
      <c r="G162" s="15"/>
      <c r="H162" s="15"/>
      <c r="I162" s="15"/>
      <c r="J162" s="15"/>
      <c r="K162" s="15"/>
    </row>
    <row r="163" spans="2:11">
      <c r="B163" s="40" t="s">
        <v>39</v>
      </c>
      <c r="C163" s="15"/>
      <c r="D163" s="15"/>
      <c r="E163" s="15"/>
      <c r="F163" s="15"/>
      <c r="G163" s="53">
        <f>F166</f>
        <v>0</v>
      </c>
      <c r="H163" s="53">
        <f t="shared" ref="H163:K163" si="78">G166</f>
        <v>0</v>
      </c>
      <c r="I163" s="53">
        <f t="shared" si="78"/>
        <v>0</v>
      </c>
      <c r="J163" s="53">
        <f t="shared" si="78"/>
        <v>0</v>
      </c>
      <c r="K163" s="53">
        <f t="shared" si="78"/>
        <v>0</v>
      </c>
    </row>
    <row r="164" spans="2:11">
      <c r="B164" s="40" t="s">
        <v>58</v>
      </c>
      <c r="C164" s="15"/>
      <c r="D164" s="15"/>
      <c r="E164" s="15"/>
      <c r="F164" s="15"/>
      <c r="G164" s="10">
        <v>0</v>
      </c>
      <c r="H164" s="10">
        <v>0</v>
      </c>
      <c r="I164" s="10">
        <v>0</v>
      </c>
      <c r="J164" s="10">
        <v>0</v>
      </c>
      <c r="K164" s="10">
        <v>0</v>
      </c>
    </row>
    <row r="165" spans="2:11">
      <c r="B165" s="40" t="s">
        <v>61</v>
      </c>
      <c r="C165" s="15"/>
      <c r="D165" s="15"/>
      <c r="E165" s="15"/>
      <c r="F165" s="15"/>
      <c r="G165" s="53">
        <f>G172*G168</f>
        <v>0</v>
      </c>
      <c r="H165" s="53">
        <f t="shared" ref="H165:K165" si="79">H172*H168</f>
        <v>0</v>
      </c>
      <c r="I165" s="53">
        <f t="shared" si="79"/>
        <v>0</v>
      </c>
      <c r="J165" s="53">
        <f t="shared" si="79"/>
        <v>0</v>
      </c>
      <c r="K165" s="53">
        <f t="shared" si="79"/>
        <v>0</v>
      </c>
    </row>
    <row r="166" spans="2:11">
      <c r="B166" s="40" t="s">
        <v>41</v>
      </c>
      <c r="C166" s="15"/>
      <c r="D166" s="15"/>
      <c r="E166" s="53">
        <f>E70</f>
        <v>0</v>
      </c>
      <c r="F166" s="53">
        <f>F70</f>
        <v>0</v>
      </c>
      <c r="G166" s="53">
        <f>SUM(G163:G165)</f>
        <v>0</v>
      </c>
      <c r="H166" s="53">
        <f t="shared" ref="H166:K166" si="80">SUM(H163:H165)</f>
        <v>0</v>
      </c>
      <c r="I166" s="53">
        <f t="shared" si="80"/>
        <v>0</v>
      </c>
      <c r="J166" s="53">
        <f t="shared" si="80"/>
        <v>0</v>
      </c>
      <c r="K166" s="53">
        <f t="shared" si="80"/>
        <v>0</v>
      </c>
    </row>
    <row r="167" spans="2:11">
      <c r="B167" s="16"/>
      <c r="C167" s="15"/>
      <c r="D167" s="15"/>
      <c r="E167" s="15"/>
      <c r="F167" s="15"/>
      <c r="G167" s="15"/>
      <c r="H167" s="15"/>
      <c r="I167" s="15"/>
      <c r="J167" s="15"/>
      <c r="K167" s="15"/>
    </row>
    <row r="168" spans="2:11">
      <c r="B168" s="40" t="s">
        <v>59</v>
      </c>
      <c r="C168" s="15"/>
      <c r="D168" s="15"/>
      <c r="E168" s="15"/>
      <c r="F168" s="15"/>
      <c r="G168" s="10">
        <f>1000*0.0051+2000*0.011+1500*0.0051+4000*0.0108+5500*0.0244+3000*0.0391</f>
        <v>329.45000000000005</v>
      </c>
      <c r="H168" s="10">
        <f t="shared" ref="H168" si="81">1000*0.0051+2000*0.011+1500*0.0051+4000*0.0108+5500*0.0244+3000*0.0391</f>
        <v>329.45000000000005</v>
      </c>
      <c r="I168" s="10">
        <f>2000*0.011+4000*0.0108+5500*0.0244+3000*0.0391</f>
        <v>316.70000000000005</v>
      </c>
      <c r="J168" s="10">
        <f>2000*0.011+4000*0.0108+5500*0.0244+3000*0.0391</f>
        <v>316.70000000000005</v>
      </c>
      <c r="K168" s="10">
        <f>5500*0.0244+3000*0.0391</f>
        <v>251.50000000000003</v>
      </c>
    </row>
    <row r="169" spans="2:11">
      <c r="B169" s="40" t="s">
        <v>60</v>
      </c>
      <c r="C169" s="15"/>
      <c r="D169" s="15"/>
      <c r="E169" s="15"/>
      <c r="F169" s="15"/>
      <c r="G169" s="11" t="e">
        <f>G168/AVERAGE(F166:G166)</f>
        <v>#DIV/0!</v>
      </c>
      <c r="H169" s="11" t="e">
        <f t="shared" ref="H169:K169" si="82">H168/AVERAGE(G166:H166)</f>
        <v>#DIV/0!</v>
      </c>
      <c r="I169" s="11" t="e">
        <f t="shared" si="82"/>
        <v>#DIV/0!</v>
      </c>
      <c r="J169" s="11" t="e">
        <f t="shared" si="82"/>
        <v>#DIV/0!</v>
      </c>
      <c r="K169" s="11" t="e">
        <f t="shared" si="82"/>
        <v>#DIV/0!</v>
      </c>
    </row>
    <row r="170" spans="2:11">
      <c r="B170" s="40"/>
      <c r="C170" s="15"/>
      <c r="D170" s="15"/>
      <c r="E170" s="15"/>
      <c r="F170" s="15"/>
      <c r="G170" s="15"/>
      <c r="H170" s="15"/>
      <c r="I170" s="15"/>
      <c r="J170" s="15"/>
      <c r="K170" s="15"/>
    </row>
    <row r="171" spans="2:11">
      <c r="B171" s="40" t="s">
        <v>62</v>
      </c>
      <c r="C171" s="15"/>
      <c r="D171" s="15"/>
      <c r="E171" s="15"/>
      <c r="F171" s="15"/>
      <c r="G171" s="84">
        <v>1</v>
      </c>
      <c r="H171" s="84">
        <v>1</v>
      </c>
      <c r="I171" s="84">
        <v>1</v>
      </c>
      <c r="J171" s="84">
        <v>1</v>
      </c>
      <c r="K171" s="84">
        <v>1</v>
      </c>
    </row>
    <row r="172" spans="2:11">
      <c r="B172" s="40"/>
      <c r="C172" s="15"/>
      <c r="D172" s="15"/>
      <c r="E172" s="15"/>
      <c r="F172" s="15"/>
      <c r="G172" s="85"/>
      <c r="H172" s="85"/>
      <c r="I172" s="85"/>
      <c r="J172" s="85"/>
      <c r="K172" s="85"/>
    </row>
    <row r="173" spans="2:11">
      <c r="B173" s="15"/>
      <c r="C173" s="15"/>
      <c r="D173" s="15"/>
      <c r="E173" s="15"/>
      <c r="F173" s="15"/>
      <c r="G173" s="15"/>
      <c r="H173" s="15"/>
      <c r="I173" s="15"/>
      <c r="J173" s="15"/>
      <c r="K173" s="15"/>
    </row>
    <row r="174" spans="2:11">
      <c r="B174" s="15"/>
      <c r="C174" s="15"/>
      <c r="D174" s="15"/>
      <c r="E174" s="15"/>
      <c r="F174" s="15"/>
      <c r="G174" s="15"/>
      <c r="H174" s="15"/>
      <c r="I174" s="15"/>
      <c r="J174" s="15"/>
      <c r="K174" s="15"/>
    </row>
    <row r="175" spans="2:11">
      <c r="B175" s="18" t="s">
        <v>63</v>
      </c>
      <c r="C175" s="20"/>
      <c r="D175" s="20"/>
      <c r="E175" s="20"/>
      <c r="F175" s="20"/>
      <c r="G175" s="20"/>
      <c r="H175" s="20"/>
      <c r="I175" s="20"/>
      <c r="J175" s="20"/>
      <c r="K175" s="20"/>
    </row>
    <row r="176" spans="2:11">
      <c r="B176" s="55" t="str">
        <f>B10</f>
        <v xml:space="preserve">Fiscal year  </v>
      </c>
      <c r="C176" s="50"/>
      <c r="D176" s="50">
        <f>D10</f>
        <v>2016</v>
      </c>
      <c r="E176" s="50">
        <f>E10</f>
        <v>2017</v>
      </c>
      <c r="F176" s="50">
        <f>F10</f>
        <v>2018</v>
      </c>
      <c r="G176" s="51">
        <f>G10</f>
        <v>2019</v>
      </c>
      <c r="H176" s="51">
        <f>H10</f>
        <v>2020</v>
      </c>
      <c r="I176" s="51">
        <f>I10</f>
        <v>2021</v>
      </c>
      <c r="J176" s="51">
        <f>J10</f>
        <v>2022</v>
      </c>
      <c r="K176" s="51">
        <f>K10</f>
        <v>2023</v>
      </c>
    </row>
    <row r="177" spans="1:11">
      <c r="B177" s="20" t="str">
        <f>B11</f>
        <v>Fiscal year end date</v>
      </c>
      <c r="C177" s="52"/>
      <c r="D177" s="52">
        <f>D11</f>
        <v>42735</v>
      </c>
      <c r="E177" s="52">
        <f>E11</f>
        <v>43100</v>
      </c>
      <c r="F177" s="52">
        <f>F11</f>
        <v>43465</v>
      </c>
      <c r="G177" s="52">
        <f>G11</f>
        <v>43830</v>
      </c>
      <c r="H177" s="52">
        <f>H11</f>
        <v>44196</v>
      </c>
      <c r="I177" s="52">
        <f>I11</f>
        <v>44561</v>
      </c>
      <c r="J177" s="52">
        <f>J11</f>
        <v>44926</v>
      </c>
      <c r="K177" s="52">
        <f>K11</f>
        <v>45291</v>
      </c>
    </row>
    <row r="178" spans="1:11">
      <c r="B178" s="16"/>
      <c r="C178" s="15"/>
      <c r="D178" s="15"/>
      <c r="E178" s="15"/>
      <c r="F178" s="15"/>
      <c r="G178" s="15"/>
      <c r="H178" s="15"/>
      <c r="I178" s="15"/>
      <c r="J178" s="15"/>
      <c r="K178" s="15"/>
    </row>
    <row r="179" spans="1:11">
      <c r="B179" s="31" t="s">
        <v>64</v>
      </c>
      <c r="C179" s="15"/>
      <c r="D179" s="15"/>
      <c r="E179" s="15"/>
      <c r="F179" s="15"/>
      <c r="G179" s="15"/>
      <c r="H179" s="15"/>
      <c r="I179" s="15"/>
      <c r="J179" s="15"/>
      <c r="K179" s="15"/>
    </row>
    <row r="180" spans="1:11">
      <c r="B180" s="40" t="s">
        <v>39</v>
      </c>
      <c r="C180" s="15"/>
      <c r="D180" s="15"/>
      <c r="E180" s="15"/>
      <c r="F180" s="15"/>
      <c r="G180" s="53">
        <f>F182</f>
        <v>-12506</v>
      </c>
      <c r="H180" s="53">
        <f t="shared" ref="H180:K180" ca="1" si="83">G182</f>
        <v>1176542.8058244195</v>
      </c>
      <c r="I180" s="53">
        <f t="shared" ca="1" si="83"/>
        <v>2215132.4675605968</v>
      </c>
      <c r="J180" s="53">
        <f t="shared" ca="1" si="83"/>
        <v>3486010.1701481482</v>
      </c>
      <c r="K180" s="53">
        <f t="shared" ca="1" si="83"/>
        <v>4907772.7999527585</v>
      </c>
    </row>
    <row r="181" spans="1:11">
      <c r="B181" s="75" t="s">
        <v>65</v>
      </c>
      <c r="C181" s="15"/>
      <c r="D181" s="15"/>
      <c r="E181" s="15"/>
      <c r="F181" s="15"/>
      <c r="G181" s="53">
        <f ca="1">G184</f>
        <v>1189048.8058244195</v>
      </c>
      <c r="H181" s="53">
        <f t="shared" ref="H181:K181" ca="1" si="84">H184</f>
        <v>1038589.6617361774</v>
      </c>
      <c r="I181" s="53">
        <f t="shared" ca="1" si="84"/>
        <v>1270877.7025875514</v>
      </c>
      <c r="J181" s="53">
        <f t="shared" ca="1" si="84"/>
        <v>1421762.6298046107</v>
      </c>
      <c r="K181" s="53">
        <f t="shared" ca="1" si="84"/>
        <v>1504101.3459862934</v>
      </c>
    </row>
    <row r="182" spans="1:11">
      <c r="B182" s="40" t="s">
        <v>41</v>
      </c>
      <c r="C182" s="15"/>
      <c r="D182" s="15"/>
      <c r="E182" s="53">
        <f>E75</f>
        <v>-699166</v>
      </c>
      <c r="F182" s="53">
        <f>F75</f>
        <v>-12506</v>
      </c>
      <c r="G182" s="53">
        <f ca="1">SUM(G180:G181)</f>
        <v>1176542.8058244195</v>
      </c>
      <c r="H182" s="53">
        <f ca="1">SUM(H180:H181)</f>
        <v>2215132.4675605968</v>
      </c>
      <c r="I182" s="53">
        <f ca="1">SUM(I180:I181)</f>
        <v>3486010.1701481482</v>
      </c>
      <c r="J182" s="53">
        <f ca="1">SUM(J180:J181)</f>
        <v>4907772.7999527585</v>
      </c>
      <c r="K182" s="53">
        <f ca="1">SUM(K180:K181)</f>
        <v>6411874.1459390521</v>
      </c>
    </row>
    <row r="183" spans="1:11">
      <c r="B183" s="16"/>
      <c r="C183" s="15"/>
      <c r="D183" s="15"/>
      <c r="E183" s="15"/>
      <c r="F183" s="15"/>
      <c r="G183" s="15"/>
      <c r="H183" s="15"/>
      <c r="I183" s="15"/>
      <c r="J183" s="15"/>
      <c r="K183" s="15"/>
    </row>
    <row r="184" spans="1:11">
      <c r="B184" s="44" t="s">
        <v>2</v>
      </c>
      <c r="C184" s="53"/>
      <c r="D184" s="53">
        <f>D31</f>
        <v>1456931</v>
      </c>
      <c r="E184" s="53">
        <f>E31</f>
        <v>1306387</v>
      </c>
      <c r="F184" s="53">
        <f>F31</f>
        <v>1986660</v>
      </c>
      <c r="G184" s="53">
        <f ca="1">G31</f>
        <v>1189048.8058244195</v>
      </c>
      <c r="H184" s="53">
        <f ca="1">H31</f>
        <v>1038589.6617361774</v>
      </c>
      <c r="I184" s="53">
        <f ca="1">I31</f>
        <v>1270877.7025875514</v>
      </c>
      <c r="J184" s="53">
        <f ca="1">J31</f>
        <v>1421762.6298046107</v>
      </c>
      <c r="K184" s="53">
        <f ca="1">K31</f>
        <v>1504101.3459862934</v>
      </c>
    </row>
    <row r="185" spans="1:11">
      <c r="B185" s="16"/>
      <c r="C185" s="15"/>
      <c r="D185" s="15"/>
      <c r="E185" s="15"/>
      <c r="F185" s="15"/>
      <c r="G185" s="15"/>
      <c r="H185" s="15"/>
      <c r="I185" s="15"/>
      <c r="J185" s="15"/>
      <c r="K185" s="15"/>
    </row>
    <row r="186" spans="1:11">
      <c r="B186" s="15"/>
      <c r="C186" s="15"/>
      <c r="D186" s="15"/>
      <c r="E186" s="15"/>
      <c r="F186" s="53"/>
      <c r="G186" s="15"/>
      <c r="H186" s="15"/>
      <c r="I186" s="15"/>
      <c r="J186" s="15"/>
      <c r="K186" s="15"/>
    </row>
    <row r="187" spans="1:11">
      <c r="A187" s="1" t="s">
        <v>108</v>
      </c>
      <c r="B187" s="18" t="s">
        <v>66</v>
      </c>
      <c r="C187" s="25"/>
      <c r="D187" s="25"/>
      <c r="E187" s="25"/>
      <c r="F187" s="25"/>
      <c r="G187" s="25"/>
      <c r="H187" s="25"/>
      <c r="I187" s="25"/>
      <c r="J187" s="25"/>
      <c r="K187" s="25"/>
    </row>
    <row r="188" spans="1:11">
      <c r="B188" s="55" t="str">
        <f>B10</f>
        <v xml:space="preserve">Fiscal year  </v>
      </c>
      <c r="C188" s="50">
        <v>2015</v>
      </c>
      <c r="D188" s="50">
        <v>2016</v>
      </c>
      <c r="E188" s="50">
        <f>E10</f>
        <v>2017</v>
      </c>
      <c r="F188" s="50">
        <f>F10</f>
        <v>2018</v>
      </c>
      <c r="G188" s="51">
        <f>G10</f>
        <v>2019</v>
      </c>
      <c r="H188" s="51">
        <f>H10</f>
        <v>2020</v>
      </c>
      <c r="I188" s="51">
        <f>I10</f>
        <v>2021</v>
      </c>
      <c r="J188" s="51">
        <f>J10</f>
        <v>2022</v>
      </c>
      <c r="K188" s="51">
        <f>K10</f>
        <v>2023</v>
      </c>
    </row>
    <row r="189" spans="1:11">
      <c r="B189" s="20" t="str">
        <f>B11</f>
        <v>Fiscal year end date</v>
      </c>
      <c r="C189" s="52">
        <v>42369</v>
      </c>
      <c r="D189" s="52">
        <v>42735</v>
      </c>
      <c r="E189" s="52">
        <f>E11</f>
        <v>43100</v>
      </c>
      <c r="F189" s="52">
        <f>F11</f>
        <v>43465</v>
      </c>
      <c r="G189" s="52">
        <f>G11</f>
        <v>43830</v>
      </c>
      <c r="H189" s="52">
        <f>H11</f>
        <v>44196</v>
      </c>
      <c r="I189" s="52">
        <f>I11</f>
        <v>44561</v>
      </c>
      <c r="J189" s="52">
        <f>J11</f>
        <v>44926</v>
      </c>
      <c r="K189" s="52">
        <f>K11</f>
        <v>45291</v>
      </c>
    </row>
    <row r="190" spans="1:11">
      <c r="B190" s="15"/>
      <c r="C190" s="15"/>
      <c r="D190" s="15"/>
      <c r="E190" s="15"/>
      <c r="F190" s="15"/>
      <c r="G190" s="15"/>
      <c r="H190" s="15"/>
      <c r="I190" s="15"/>
      <c r="J190" s="15"/>
      <c r="K190" s="15"/>
    </row>
    <row r="191" spans="1:11">
      <c r="B191" s="16" t="s">
        <v>2</v>
      </c>
      <c r="C191" s="86">
        <f>C31</f>
        <v>1067304</v>
      </c>
      <c r="D191" s="86">
        <f>D31</f>
        <v>1456931</v>
      </c>
      <c r="E191" s="86">
        <f>E31</f>
        <v>1306387</v>
      </c>
      <c r="F191" s="86">
        <f>F31</f>
        <v>1986660</v>
      </c>
      <c r="G191" s="34">
        <f ca="1">G31</f>
        <v>1189048.8058244195</v>
      </c>
      <c r="H191" s="34">
        <f ca="1">H31</f>
        <v>1038589.6617361774</v>
      </c>
      <c r="I191" s="34">
        <f ca="1">I31</f>
        <v>1270877.7025875514</v>
      </c>
      <c r="J191" s="34">
        <f ca="1">J31</f>
        <v>1421762.6298046107</v>
      </c>
      <c r="K191" s="34">
        <f ca="1">K31</f>
        <v>1504101.3459862934</v>
      </c>
    </row>
    <row r="192" spans="1:11">
      <c r="B192" s="16" t="s">
        <v>67</v>
      </c>
      <c r="C192" s="86"/>
      <c r="D192" s="86"/>
      <c r="E192" s="86"/>
      <c r="F192" s="86"/>
      <c r="G192" s="66">
        <f>G49</f>
        <v>19324.823651864648</v>
      </c>
      <c r="H192" s="66">
        <f>H49</f>
        <v>22630.558882871996</v>
      </c>
      <c r="I192" s="66">
        <f>I49</f>
        <v>23688.644035240319</v>
      </c>
      <c r="J192" s="66">
        <f>J49</f>
        <v>26299.407258787603</v>
      </c>
      <c r="K192" s="66">
        <f>K49</f>
        <v>29138.294538101312</v>
      </c>
    </row>
    <row r="193" spans="2:11">
      <c r="B193" s="16" t="s">
        <v>22</v>
      </c>
      <c r="C193" s="34"/>
      <c r="D193" s="34"/>
      <c r="E193" s="34"/>
      <c r="F193" s="34"/>
      <c r="G193" s="34">
        <f>-(G93)</f>
        <v>-171077.74513982795</v>
      </c>
      <c r="H193" s="34">
        <f>-(H93)</f>
        <v>-139635.89280696283</v>
      </c>
      <c r="I193" s="34">
        <f>-(I93)</f>
        <v>-139893.65642178687</v>
      </c>
      <c r="J193" s="34">
        <f>-(J93)</f>
        <v>-190240.89636026532</v>
      </c>
      <c r="K193" s="34">
        <f>-(K93)</f>
        <v>-187599.68082762719</v>
      </c>
    </row>
    <row r="194" spans="2:11">
      <c r="B194" s="16" t="s">
        <v>99</v>
      </c>
      <c r="C194" s="15"/>
      <c r="D194" s="15"/>
      <c r="E194" s="15"/>
      <c r="F194" s="53"/>
      <c r="G194" s="34">
        <f>-(G101)</f>
        <v>-350241.36941242032</v>
      </c>
      <c r="H194" s="34">
        <f>-(H101)</f>
        <v>-229452.13748378446</v>
      </c>
      <c r="I194" s="34">
        <f>-(I101)</f>
        <v>-204028.34538799804</v>
      </c>
      <c r="J194" s="34">
        <f>-(J101)</f>
        <v>-320105.59256526455</v>
      </c>
      <c r="K194" s="34">
        <f>-(K101)</f>
        <v>-300628.39712373586</v>
      </c>
    </row>
    <row r="195" spans="2:11">
      <c r="B195" s="16" t="s">
        <v>25</v>
      </c>
      <c r="C195" s="15"/>
      <c r="D195" s="15"/>
      <c r="E195" s="15"/>
      <c r="F195" s="15"/>
      <c r="G195" s="34">
        <f>G108</f>
        <v>-61143.854012056487</v>
      </c>
      <c r="H195" s="34">
        <f>H108</f>
        <v>50027.991006462253</v>
      </c>
      <c r="I195" s="34">
        <f>I108</f>
        <v>35264.15846212313</v>
      </c>
      <c r="J195" s="34">
        <f>J108</f>
        <v>55326.8925421444</v>
      </c>
      <c r="K195" s="34">
        <f>K108</f>
        <v>51960.463700398919</v>
      </c>
    </row>
    <row r="196" spans="2:11">
      <c r="B196" s="16" t="s">
        <v>46</v>
      </c>
      <c r="C196" s="15"/>
      <c r="D196" s="15"/>
      <c r="E196" s="15"/>
      <c r="F196" s="15"/>
      <c r="G196" s="34">
        <f>G116</f>
        <v>-72683.162594875088</v>
      </c>
      <c r="H196" s="34">
        <f>H116</f>
        <v>88375.183106653974</v>
      </c>
      <c r="I196" s="34">
        <f>I116</f>
        <v>75618.192660425324</v>
      </c>
      <c r="J196" s="34">
        <f>J116</f>
        <v>102832.91695149487</v>
      </c>
      <c r="K196" s="34">
        <f>K116</f>
        <v>101405.23287979839</v>
      </c>
    </row>
    <row r="197" spans="2:11">
      <c r="B197" s="16" t="s">
        <v>23</v>
      </c>
      <c r="C197" s="15"/>
      <c r="D197" s="15"/>
      <c r="E197" s="15"/>
      <c r="F197" s="15"/>
      <c r="G197" s="34">
        <f>-(G150)</f>
        <v>0</v>
      </c>
      <c r="H197" s="34">
        <f>-(H150)</f>
        <v>0</v>
      </c>
      <c r="I197" s="34">
        <f>-(I150)</f>
        <v>0</v>
      </c>
      <c r="J197" s="34">
        <f>-(J150)</f>
        <v>0</v>
      </c>
      <c r="K197" s="34">
        <f>-(K150)</f>
        <v>0</v>
      </c>
    </row>
    <row r="198" spans="2:11">
      <c r="B198" s="33" t="s">
        <v>104</v>
      </c>
      <c r="C198" s="15"/>
      <c r="D198" s="15"/>
      <c r="E198" s="15"/>
      <c r="F198" s="15"/>
      <c r="G198" s="34">
        <f>G124</f>
        <v>1591840.5797963021</v>
      </c>
      <c r="H198" s="34">
        <f t="shared" ref="H198:K198" si="85">H124</f>
        <v>722697.42121913191</v>
      </c>
      <c r="I198" s="34">
        <f t="shared" si="85"/>
        <v>741058.28807216696</v>
      </c>
      <c r="J198" s="34">
        <f t="shared" si="85"/>
        <v>1007762.5861246493</v>
      </c>
      <c r="K198" s="34">
        <f t="shared" si="85"/>
        <v>993771.2822220251</v>
      </c>
    </row>
    <row r="199" spans="2:11">
      <c r="B199" s="16" t="s">
        <v>106</v>
      </c>
      <c r="C199" s="15"/>
      <c r="D199" s="15"/>
      <c r="E199" s="15"/>
      <c r="F199" s="15"/>
      <c r="G199" s="34">
        <f>G155</f>
        <v>0</v>
      </c>
      <c r="H199" s="34">
        <f>H155</f>
        <v>0</v>
      </c>
      <c r="I199" s="34">
        <f>I155</f>
        <v>0</v>
      </c>
      <c r="J199" s="34">
        <f>J155</f>
        <v>0</v>
      </c>
      <c r="K199" s="34">
        <f>K155</f>
        <v>0</v>
      </c>
    </row>
    <row r="200" spans="2:11">
      <c r="B200" s="31" t="s">
        <v>68</v>
      </c>
      <c r="C200" s="15"/>
      <c r="D200" s="15"/>
      <c r="E200" s="15"/>
      <c r="F200" s="15"/>
      <c r="G200" s="87">
        <f ca="1">SUM(G191:G199)</f>
        <v>2145068.0781134064</v>
      </c>
      <c r="H200" s="87">
        <f ca="1">SUM(H191:H199)</f>
        <v>1553232.7856605502</v>
      </c>
      <c r="I200" s="87">
        <f ca="1">SUM(I191:I199)</f>
        <v>1802584.9840077222</v>
      </c>
      <c r="J200" s="87">
        <f ca="1">SUM(J191:J199)</f>
        <v>2103637.9437561571</v>
      </c>
      <c r="K200" s="87">
        <f ca="1">SUM(K191:K199)</f>
        <v>2192148.5413752543</v>
      </c>
    </row>
    <row r="201" spans="2:11">
      <c r="B201" s="16"/>
      <c r="C201" s="15"/>
      <c r="D201" s="15"/>
      <c r="E201" s="15"/>
      <c r="F201" s="15"/>
      <c r="G201" s="15"/>
      <c r="H201" s="15"/>
      <c r="I201" s="15"/>
      <c r="J201" s="15"/>
      <c r="K201" s="15"/>
    </row>
    <row r="202" spans="2:11">
      <c r="B202" s="16" t="s">
        <v>69</v>
      </c>
      <c r="C202" s="15"/>
      <c r="D202" s="15"/>
      <c r="E202" s="15"/>
      <c r="F202" s="15"/>
      <c r="G202" s="53">
        <f>-(G135)</f>
        <v>-40172.857976752108</v>
      </c>
      <c r="H202" s="53">
        <f>-(H135)</f>
        <v>-43946.801025588946</v>
      </c>
      <c r="I202" s="53">
        <f>-(I135)</f>
        <v>-47727.710658610209</v>
      </c>
      <c r="J202" s="53">
        <f>-(J135)</f>
        <v>-52869.356506184951</v>
      </c>
      <c r="K202" s="53">
        <f>-(K135)</f>
        <v>-57939.618150174872</v>
      </c>
    </row>
    <row r="203" spans="2:11">
      <c r="B203" s="31" t="s">
        <v>70</v>
      </c>
      <c r="C203" s="15"/>
      <c r="D203" s="15"/>
      <c r="E203" s="15"/>
      <c r="F203" s="15"/>
      <c r="G203" s="88">
        <f>SUM(G202:G202)</f>
        <v>-40172.857976752108</v>
      </c>
      <c r="H203" s="88">
        <f>SUM(H202:H202)</f>
        <v>-43946.801025588946</v>
      </c>
      <c r="I203" s="88">
        <f>SUM(I202:I202)</f>
        <v>-47727.710658610209</v>
      </c>
      <c r="J203" s="88">
        <f>SUM(J202:J202)</f>
        <v>-52869.356506184951</v>
      </c>
      <c r="K203" s="88">
        <f>SUM(K202:K202)</f>
        <v>-57939.618150174872</v>
      </c>
    </row>
    <row r="204" spans="2:11">
      <c r="B204" s="16"/>
      <c r="C204" s="15"/>
      <c r="D204" s="15"/>
      <c r="E204" s="15"/>
      <c r="F204" s="15"/>
      <c r="G204" s="15"/>
      <c r="H204" s="15"/>
      <c r="I204" s="15"/>
      <c r="J204" s="15"/>
      <c r="K204" s="15"/>
    </row>
    <row r="205" spans="2:11">
      <c r="B205" s="16" t="s">
        <v>26</v>
      </c>
      <c r="C205" s="15"/>
      <c r="D205" s="15"/>
      <c r="E205" s="15"/>
      <c r="F205" s="15"/>
      <c r="G205" s="53">
        <f>G164</f>
        <v>0</v>
      </c>
      <c r="H205" s="53">
        <f>H164</f>
        <v>0</v>
      </c>
      <c r="I205" s="53">
        <f>I164</f>
        <v>0</v>
      </c>
      <c r="J205" s="53">
        <f>J164</f>
        <v>0</v>
      </c>
      <c r="K205" s="53">
        <f>K164</f>
        <v>0</v>
      </c>
    </row>
    <row r="206" spans="2:11">
      <c r="B206" s="31" t="s">
        <v>71</v>
      </c>
      <c r="C206" s="15"/>
      <c r="D206" s="15"/>
      <c r="E206" s="15"/>
      <c r="F206" s="15"/>
      <c r="G206" s="88">
        <f>SUM(G205:G205)</f>
        <v>0</v>
      </c>
      <c r="H206" s="88">
        <f>SUM(H205:H205)</f>
        <v>0</v>
      </c>
      <c r="I206" s="88">
        <f>SUM(I205:I205)</f>
        <v>0</v>
      </c>
      <c r="J206" s="88">
        <f>SUM(J205:J205)</f>
        <v>0</v>
      </c>
      <c r="K206" s="88">
        <f>SUM(K205:K205)</f>
        <v>0</v>
      </c>
    </row>
    <row r="207" spans="2:11">
      <c r="B207" s="15"/>
      <c r="C207" s="15"/>
      <c r="D207" s="15"/>
      <c r="E207" s="15"/>
      <c r="F207" s="15"/>
      <c r="G207" s="15"/>
      <c r="H207" s="15"/>
      <c r="I207" s="15"/>
      <c r="J207" s="15"/>
      <c r="K207" s="15"/>
    </row>
    <row r="208" spans="2:11">
      <c r="B208" s="38" t="s">
        <v>72</v>
      </c>
      <c r="C208" s="15"/>
      <c r="D208" s="15"/>
      <c r="E208" s="15"/>
      <c r="F208" s="15"/>
      <c r="G208" s="88">
        <f ca="1">G200+G203+G206</f>
        <v>2104895.2201366541</v>
      </c>
      <c r="H208" s="88">
        <f ca="1">H200+H203+H206</f>
        <v>1509285.9846349612</v>
      </c>
      <c r="I208" s="88">
        <f ca="1">I200+I203+I206</f>
        <v>1754857.2733491121</v>
      </c>
      <c r="J208" s="88">
        <f ca="1">J200+J203+J206</f>
        <v>2050768.5872499722</v>
      </c>
      <c r="K208" s="88">
        <f ca="1">K200+K203+K206</f>
        <v>2134208.9232250792</v>
      </c>
    </row>
    <row r="209" spans="2:11">
      <c r="B209" s="15"/>
      <c r="C209" s="15"/>
      <c r="D209" s="15"/>
      <c r="E209" s="15"/>
      <c r="F209" s="15"/>
      <c r="G209" s="15"/>
      <c r="H209" s="15"/>
      <c r="I209" s="15"/>
      <c r="J209" s="15"/>
      <c r="K209" s="15"/>
    </row>
    <row r="210" spans="2:11">
      <c r="B210" s="15"/>
      <c r="C210" s="15"/>
      <c r="D210" s="15"/>
      <c r="E210" s="15"/>
      <c r="F210" s="15"/>
      <c r="G210" s="15"/>
      <c r="H210" s="15"/>
      <c r="I210" s="15"/>
      <c r="J210" s="15"/>
      <c r="K210" s="15"/>
    </row>
    <row r="211" spans="2:11">
      <c r="B211" s="60" t="s">
        <v>73</v>
      </c>
      <c r="C211" s="15"/>
      <c r="D211" s="15"/>
      <c r="E211" s="15"/>
      <c r="F211" s="15"/>
      <c r="G211" s="15"/>
      <c r="H211" s="15"/>
      <c r="I211" s="15"/>
      <c r="J211" s="15"/>
      <c r="K211" s="15"/>
    </row>
    <row r="212" spans="2:11">
      <c r="B212" s="40" t="s">
        <v>39</v>
      </c>
      <c r="C212" s="15"/>
      <c r="D212" s="15"/>
      <c r="E212" s="15"/>
      <c r="F212" s="15"/>
      <c r="G212" s="53">
        <f>F214</f>
        <v>4089529</v>
      </c>
      <c r="H212" s="53">
        <f ca="1">G214</f>
        <v>6194424.2201366536</v>
      </c>
      <c r="I212" s="53">
        <f ca="1">H214</f>
        <v>7703710.2047716146</v>
      </c>
      <c r="J212" s="53">
        <f t="shared" ref="J212:K212" ca="1" si="86">I214</f>
        <v>9458567.4781207275</v>
      </c>
      <c r="K212" s="53">
        <f t="shared" ca="1" si="86"/>
        <v>11509336.065370699</v>
      </c>
    </row>
    <row r="213" spans="2:11">
      <c r="B213" s="89" t="s">
        <v>74</v>
      </c>
      <c r="C213" s="15"/>
      <c r="D213" s="15"/>
      <c r="E213" s="15"/>
      <c r="F213" s="15"/>
      <c r="G213" s="53">
        <f ca="1">G214-G212</f>
        <v>2104895.2201366536</v>
      </c>
      <c r="H213" s="53">
        <f ca="1">H214-H212</f>
        <v>1509285.984634961</v>
      </c>
      <c r="I213" s="53">
        <f ca="1">I214-I212</f>
        <v>1754857.2733491128</v>
      </c>
      <c r="J213" s="53">
        <f t="shared" ref="J213:K213" ca="1" si="87">J214-J212</f>
        <v>2050768.5872499719</v>
      </c>
      <c r="K213" s="53">
        <f t="shared" ca="1" si="87"/>
        <v>2134208.9232250787</v>
      </c>
    </row>
    <row r="214" spans="2:11">
      <c r="B214" s="40" t="s">
        <v>41</v>
      </c>
      <c r="C214" s="15"/>
      <c r="D214" s="15"/>
      <c r="E214" s="53">
        <f>E57</f>
        <v>3316673</v>
      </c>
      <c r="F214" s="53">
        <f>F57</f>
        <v>4089529</v>
      </c>
      <c r="G214" s="53">
        <f ca="1">G57</f>
        <v>6194424.2201366536</v>
      </c>
      <c r="H214" s="53">
        <f ca="1">H57</f>
        <v>7703710.2047716146</v>
      </c>
      <c r="I214" s="53">
        <f ca="1">I57</f>
        <v>9458567.4781207275</v>
      </c>
      <c r="J214" s="53">
        <f ca="1">J57</f>
        <v>11509336.065370699</v>
      </c>
      <c r="K214" s="53">
        <f ca="1">K57</f>
        <v>13643544.988595778</v>
      </c>
    </row>
    <row r="215" spans="2:11">
      <c r="B215" s="40"/>
      <c r="C215" s="15"/>
      <c r="D215" s="15"/>
      <c r="E215" s="15"/>
      <c r="F215" s="15"/>
      <c r="G215" s="15"/>
      <c r="H215" s="15"/>
      <c r="I215" s="15"/>
      <c r="J215" s="15"/>
      <c r="K215" s="15"/>
    </row>
    <row r="216" spans="2:11">
      <c r="B216" s="40" t="s">
        <v>75</v>
      </c>
      <c r="C216" s="15"/>
      <c r="D216" s="90">
        <f t="shared" ref="D216:E216" si="88">D27/D57</f>
        <v>3.6518552489789259E-4</v>
      </c>
      <c r="E216" s="90">
        <f t="shared" si="88"/>
        <v>2.2287394627085637E-3</v>
      </c>
      <c r="F216" s="90">
        <f>F27/F57</f>
        <v>6.4479308008330545E-3</v>
      </c>
      <c r="G216" s="91">
        <f>F216</f>
        <v>6.4479308008330545E-3</v>
      </c>
      <c r="H216" s="91">
        <f>G216</f>
        <v>6.4479308008330545E-3</v>
      </c>
      <c r="I216" s="91">
        <f>H216</f>
        <v>6.4479308008330545E-3</v>
      </c>
      <c r="J216" s="91">
        <f t="shared" ref="J216:K216" si="89">I216</f>
        <v>6.4479308008330545E-3</v>
      </c>
      <c r="K216" s="91">
        <f t="shared" si="89"/>
        <v>6.4479308008330545E-3</v>
      </c>
    </row>
    <row r="217" spans="2:11">
      <c r="B217" s="40" t="s">
        <v>6</v>
      </c>
      <c r="C217" s="53"/>
      <c r="D217" s="53">
        <f>D27</f>
        <v>1200</v>
      </c>
      <c r="E217" s="53">
        <f>E27</f>
        <v>7392</v>
      </c>
      <c r="F217" s="53">
        <f>F27</f>
        <v>26369</v>
      </c>
      <c r="G217" s="92">
        <f ca="1">IF($C$7="OFF",AVERAGE(G212,G214)*G216,0)</f>
        <v>33155.109361222705</v>
      </c>
      <c r="H217" s="92">
        <f t="shared" ref="H217:K217" ca="1" si="90">IF($C$7="OFF",AVERAGE(H212,H214)*H216,0)</f>
        <v>44807.104516242107</v>
      </c>
      <c r="I217" s="92">
        <f t="shared" ca="1" si="90"/>
        <v>55330.589441985634</v>
      </c>
      <c r="J217" s="92">
        <f t="shared" ca="1" si="90"/>
        <v>67599.79554348746</v>
      </c>
      <c r="K217" s="92">
        <f t="shared" ca="1" si="90"/>
        <v>81092.018238780322</v>
      </c>
    </row>
    <row r="218" spans="2:11">
      <c r="B218" s="15"/>
      <c r="C218" s="15"/>
      <c r="D218" s="15"/>
      <c r="E218" s="15"/>
      <c r="F218" s="15"/>
      <c r="G218" s="15"/>
      <c r="H218" s="15"/>
      <c r="I218" s="15"/>
      <c r="J218" s="15"/>
      <c r="K218" s="15"/>
    </row>
  </sheetData>
  <dataValidations count="2">
    <dataValidation type="list" allowBlank="1" showInputMessage="1" showErrorMessage="1" sqref="C7:D7" xr:uid="{00000000-0002-0000-0100-000000000000}">
      <formula1>"ON,OFF"</formula1>
    </dataValidation>
    <dataValidation type="list" allowBlank="1" showInputMessage="1" showErrorMessage="1" sqref="B3" xr:uid="{00000000-0002-0000-0100-000001000000}">
      <formula1>"$ bns except per share, $ mm except per share,$ in thousands except per share"</formula1>
    </dataValidation>
  </dataValidations>
  <pageMargins left="0.7" right="0.7" top="0.75" bottom="0.75" header="0.3" footer="0.3"/>
  <pageSetup orientation="portrait" r:id="rId1"/>
  <legacyDrawing r:id="rId2"/>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Model Complete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XXX</cp:lastModifiedBy>
  <cp:lastPrinted>2014-05-21T15:17:24Z</cp:lastPrinted>
  <dcterms:created xsi:type="dcterms:W3CDTF">2011-11-04T21:28:06Z</dcterms:created>
  <dcterms:modified xsi:type="dcterms:W3CDTF">2019-06-27T23:44:36Z</dcterms:modified>
</cp:coreProperties>
</file>