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35" windowHeight="4485" firstSheet="1" activeTab="1"/>
  </bookViews>
  <sheets>
    <sheet name="Operating Assumptions" sheetId="1" state="hidden" r:id="rId1"/>
    <sheet name="Model" sheetId="2" r:id="rId2"/>
  </sheets>
  <definedNames>
    <definedName name="circ">#REF!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EXPENSE_CODE_">"NB12825"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43290.8904282407</definedName>
    <definedName name="IQ_NTM">6000</definedName>
    <definedName name="IQ_QTD" hidden="1">750000</definedName>
    <definedName name="IQ_SHAREOUTSTANDING" hidden="1">"c1347"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'Operating Assumptions'!$B$1:$H$56</definedName>
    <definedName name="tax">#REF!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<sst xmlns="http://schemas.openxmlformats.org/spreadsheetml/2006/main" count="153" uniqueCount="117">
  <si>
    <t>Operating Assumptions</t>
  </si>
  <si>
    <t>Revenues</t>
  </si>
  <si>
    <t>YOY Growth</t>
  </si>
  <si>
    <t>Amortization</t>
  </si>
  <si>
    <t>Tax Rate</t>
  </si>
  <si>
    <t>Cash &amp; Equivalents</t>
  </si>
  <si>
    <t>Accounts Receivable</t>
  </si>
  <si>
    <t>Inventory</t>
  </si>
  <si>
    <t>Other Current Assets</t>
  </si>
  <si>
    <t>Gross PP&amp;E</t>
  </si>
  <si>
    <t>Accumulated Depreciation</t>
  </si>
  <si>
    <t>Other Assets</t>
  </si>
  <si>
    <t>Accounts Payable</t>
  </si>
  <si>
    <t>Accrued Expenses &amp; Liabilities</t>
  </si>
  <si>
    <t>Taxes Payable</t>
  </si>
  <si>
    <t>Other Current Liabilities</t>
  </si>
  <si>
    <t>Revolver Debt</t>
  </si>
  <si>
    <t>Dividend Per Share</t>
  </si>
  <si>
    <t>Other Assumptions</t>
  </si>
  <si>
    <t>Interest Rate on Straight Debt</t>
  </si>
  <si>
    <t>Interest Rate on Cash &amp; Equivalents</t>
  </si>
  <si>
    <t xml:space="preserve">Common Shares </t>
  </si>
  <si>
    <t>Price per Share Issued</t>
  </si>
  <si>
    <t>Minimum Cash Balance</t>
  </si>
  <si>
    <t>Interest Rate on Revolver</t>
  </si>
  <si>
    <t>Goodwill &amp; Other Intangibles</t>
  </si>
  <si>
    <t>Other Long Term Liabilities</t>
  </si>
  <si>
    <t>Shareholders Equity</t>
  </si>
  <si>
    <t>($ in thousands)</t>
  </si>
  <si>
    <t>Income Statement</t>
  </si>
  <si>
    <t>For the period ending December 31,</t>
  </si>
  <si>
    <t>Balance Sheet</t>
  </si>
  <si>
    <t>Statement Of Cash Flows</t>
  </si>
  <si>
    <t>Discounted Cash Flow Analysis</t>
  </si>
  <si>
    <t>COGS</t>
  </si>
  <si>
    <t>Sales &amp; Marketing Expenses</t>
  </si>
  <si>
    <t>Depreciation</t>
  </si>
  <si>
    <t>Receivable Days</t>
  </si>
  <si>
    <t>Drivers</t>
  </si>
  <si>
    <t>Inventory Turnover</t>
  </si>
  <si>
    <t>% of Revenue</t>
  </si>
  <si>
    <t>Balance Sheet Assumptions</t>
  </si>
  <si>
    <t>Cash Flow Statement Assumptions</t>
  </si>
  <si>
    <t>Days Payable</t>
  </si>
  <si>
    <t>General &amp; Administration Expenses</t>
  </si>
  <si>
    <t>G&amp;A % Revenue (assume constant margin)</t>
  </si>
  <si>
    <t>COGS % Revenue (assume declining margin to 44%)</t>
  </si>
  <si>
    <t>S&amp;M % Revenue (assume declining margin to 4%)</t>
  </si>
  <si>
    <t>Term Loan</t>
  </si>
  <si>
    <t>($ in thousands, except share values)</t>
  </si>
  <si>
    <t>New Shares Issued Annually (First 3 Years)</t>
  </si>
  <si>
    <t>Term Loan Amortization (Annual)</t>
  </si>
  <si>
    <t>Depreciation Schedule</t>
  </si>
  <si>
    <t>Debt and Interest Schedule</t>
  </si>
  <si>
    <t>Capex (2018)</t>
  </si>
  <si>
    <t>Capex (2019)</t>
  </si>
  <si>
    <t>Capex (2020)</t>
  </si>
  <si>
    <t>Capex (2021)</t>
  </si>
  <si>
    <t>Capex (2022)</t>
  </si>
  <si>
    <t>Build a Depreciation Waterfall; Assume 2017 PP&amp;E depreciates over next 3 years; New Capex depreciates over 5 years</t>
  </si>
  <si>
    <t>Growth Rate</t>
  </si>
  <si>
    <t xml:space="preserve"> % of Revenue</t>
  </si>
  <si>
    <t>EBIT</t>
  </si>
  <si>
    <t>Interest Expense</t>
  </si>
  <si>
    <t>Interest Income</t>
  </si>
  <si>
    <t>Pre-Tax Income</t>
  </si>
  <si>
    <t>Net Income</t>
  </si>
  <si>
    <t>% of Rev</t>
  </si>
  <si>
    <t>% of COGS</t>
  </si>
  <si>
    <t xml:space="preserve"> % of revenue</t>
  </si>
  <si>
    <t>Total Current Assets</t>
  </si>
  <si>
    <t>Total Assets</t>
  </si>
  <si>
    <t>Total Current Liab</t>
  </si>
  <si>
    <t>Total Liab</t>
  </si>
  <si>
    <t xml:space="preserve"> Total L&amp;E</t>
  </si>
  <si>
    <t>Balance Check</t>
  </si>
  <si>
    <t>Existing PP&amp;E, Net</t>
  </si>
  <si>
    <t>Useful Life</t>
  </si>
  <si>
    <t>New Capex</t>
  </si>
  <si>
    <t>Depreciation Expense</t>
  </si>
  <si>
    <t>Depreciation on Existing PPE</t>
  </si>
  <si>
    <t>Year 1</t>
  </si>
  <si>
    <t>Year2</t>
  </si>
  <si>
    <t>Year3</t>
  </si>
  <si>
    <t>Year4</t>
  </si>
  <si>
    <t>Year5</t>
  </si>
  <si>
    <t>Total Depcreciation</t>
  </si>
  <si>
    <t>Amort.</t>
  </si>
  <si>
    <t>AR</t>
  </si>
  <si>
    <t>Inv.</t>
  </si>
  <si>
    <t>Other CA</t>
  </si>
  <si>
    <t>AP</t>
  </si>
  <si>
    <t>Accrued Expenses</t>
  </si>
  <si>
    <t>Other CL</t>
  </si>
  <si>
    <t>Cash from Operations</t>
  </si>
  <si>
    <t>Capex</t>
  </si>
  <si>
    <t>Financing:</t>
  </si>
  <si>
    <t>Dividends Paid</t>
  </si>
  <si>
    <t>Equity Issuance</t>
  </si>
  <si>
    <t>Repayment of Loan</t>
  </si>
  <si>
    <t>Repayment of Revolver</t>
  </si>
  <si>
    <t>Min. Cash Balance</t>
  </si>
  <si>
    <t>Mandatory Repayments</t>
  </si>
  <si>
    <t>Net Change in Cash, Pre-Revolver</t>
  </si>
  <si>
    <t>Revolver Balance</t>
  </si>
  <si>
    <t>Paid off/Drawn</t>
  </si>
  <si>
    <t>Revolver EOP</t>
  </si>
  <si>
    <t>Term Loan, BOP</t>
  </si>
  <si>
    <t>Repayment</t>
  </si>
  <si>
    <t>EOP</t>
  </si>
  <si>
    <t>Interest on Term Loan</t>
  </si>
  <si>
    <t>Interest on Revolver</t>
  </si>
  <si>
    <t>Change in Cash</t>
  </si>
  <si>
    <t>Cash from Investong</t>
  </si>
  <si>
    <t>Other Long term assets</t>
  </si>
  <si>
    <t>Other long term liab</t>
  </si>
  <si>
    <t>APIC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</si>
</sst>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_);\(&quot;$&quot;#,##0\);@_)"/>
    <numFmt numFmtId="166" formatCode="#,##0%_);\(#,##0%\);@_)"/>
    <numFmt numFmtId="167" formatCode="&quot;$&quot;#,##0.00_);\(&quot;$&quot;#,##0.00\);@_)"/>
    <numFmt numFmtId="168" formatCode="#,##0_);\(#,##0\);@_)"/>
    <numFmt numFmtId="169" formatCode="General&quot;A&quot;"/>
    <numFmt numFmtId="170" formatCode="General&quot;E&quot;"/>
    <numFmt numFmtId="171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8"/>
      <color indexed="19"/>
      <name val="Cambria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9" fontId="0" fillId="0" borderId="0" xfId="57" applyFont="1" applyAlignment="1">
      <alignment/>
    </xf>
    <xf numFmtId="0" fontId="2" fillId="0" borderId="11" xfId="0" applyFont="1" applyBorder="1" applyAlignment="1">
      <alignment horizontal="centerContinuous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169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5" fontId="38" fillId="0" borderId="0" xfId="0" applyNumberFormat="1" applyFont="1" applyAlignment="1">
      <alignment/>
    </xf>
    <xf numFmtId="37" fontId="38" fillId="0" borderId="0" xfId="0" applyNumberFormat="1" applyFont="1" applyAlignment="1">
      <alignment/>
    </xf>
    <xf numFmtId="37" fontId="38" fillId="0" borderId="0" xfId="44" applyNumberFormat="1" applyFont="1" applyAlignment="1">
      <alignment/>
    </xf>
    <xf numFmtId="37" fontId="38" fillId="0" borderId="0" xfId="42" applyNumberFormat="1" applyFont="1" applyAlignment="1">
      <alignment/>
    </xf>
    <xf numFmtId="37" fontId="38" fillId="0" borderId="0" xfId="42" applyNumberFormat="1" applyFont="1" applyBorder="1" applyAlignment="1">
      <alignment/>
    </xf>
    <xf numFmtId="37" fontId="38" fillId="0" borderId="0" xfId="44" applyNumberFormat="1" applyFont="1" applyBorder="1" applyAlignment="1">
      <alignment/>
    </xf>
    <xf numFmtId="5" fontId="38" fillId="0" borderId="0" xfId="44" applyNumberFormat="1" applyFont="1" applyAlignment="1">
      <alignment/>
    </xf>
    <xf numFmtId="166" fontId="38" fillId="0" borderId="0" xfId="57" applyNumberFormat="1" applyFont="1" applyAlignment="1">
      <alignment horizontal="right"/>
    </xf>
    <xf numFmtId="165" fontId="38" fillId="0" borderId="0" xfId="44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9" fontId="38" fillId="0" borderId="0" xfId="57" applyFont="1" applyFill="1" applyAlignment="1">
      <alignment horizontal="right"/>
    </xf>
    <xf numFmtId="0" fontId="0" fillId="0" borderId="10" xfId="0" applyFont="1" applyBorder="1" applyAlignment="1">
      <alignment horizontal="right"/>
    </xf>
    <xf numFmtId="168" fontId="38" fillId="0" borderId="0" xfId="42" applyNumberFormat="1" applyFont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164" fontId="0" fillId="0" borderId="0" xfId="42" applyNumberFormat="1" applyFont="1" applyAlignment="1">
      <alignment horizontal="right"/>
    </xf>
    <xf numFmtId="5" fontId="38" fillId="0" borderId="0" xfId="42" applyNumberFormat="1" applyFont="1" applyAlignment="1">
      <alignment horizontal="right"/>
    </xf>
    <xf numFmtId="167" fontId="38" fillId="0" borderId="0" xfId="44" applyNumberFormat="1" applyFont="1" applyAlignment="1">
      <alignment horizontal="right"/>
    </xf>
    <xf numFmtId="44" fontId="0" fillId="0" borderId="10" xfId="44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vertical="top"/>
    </xf>
    <xf numFmtId="168" fontId="38" fillId="0" borderId="0" xfId="42" applyNumberFormat="1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/>
    </xf>
    <xf numFmtId="168" fontId="38" fillId="0" borderId="0" xfId="42" applyNumberFormat="1" applyFont="1" applyBorder="1" applyAlignment="1">
      <alignment horizontal="right" vertical="top"/>
    </xf>
    <xf numFmtId="168" fontId="38" fillId="0" borderId="0" xfId="42" applyNumberFormat="1" applyFont="1" applyBorder="1" applyAlignment="1">
      <alignment horizontal="right" vertical="top" wrapText="1"/>
    </xf>
    <xf numFmtId="165" fontId="38" fillId="0" borderId="0" xfId="44" applyNumberFormat="1" applyFont="1" applyBorder="1" applyAlignment="1">
      <alignment horizontal="right" vertical="top"/>
    </xf>
    <xf numFmtId="9" fontId="0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38" fillId="0" borderId="0" xfId="0" applyNumberFormat="1" applyFont="1" applyAlignment="1">
      <alignment/>
    </xf>
    <xf numFmtId="9" fontId="0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1" fontId="0" fillId="0" borderId="0" xfId="0" applyNumberFormat="1" applyAlignment="1">
      <alignment/>
    </xf>
    <xf numFmtId="171" fontId="38" fillId="0" borderId="0" xfId="0" applyNumberFormat="1" applyFont="1" applyAlignment="1">
      <alignment/>
    </xf>
    <xf numFmtId="37" fontId="0" fillId="0" borderId="0" xfId="0" applyNumberFormat="1" applyAlignment="1">
      <alignment/>
    </xf>
    <xf numFmtId="9" fontId="38" fillId="0" borderId="0" xfId="42" applyNumberFormat="1" applyFont="1" applyAlignment="1">
      <alignment/>
    </xf>
    <xf numFmtId="37" fontId="0" fillId="0" borderId="0" xfId="0" applyNumberFormat="1" applyFont="1" applyAlignment="1">
      <alignment/>
    </xf>
    <xf numFmtId="9" fontId="0" fillId="0" borderId="0" xfId="0" applyNumberFormat="1" applyFont="1" applyFill="1" applyBorder="1" applyAlignment="1" quotePrefix="1">
      <alignment/>
    </xf>
    <xf numFmtId="9" fontId="0" fillId="0" borderId="0" xfId="0" applyNumberFormat="1" applyFont="1" applyBorder="1" applyAlignment="1">
      <alignment/>
    </xf>
    <xf numFmtId="9" fontId="38" fillId="0" borderId="0" xfId="42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9" fontId="38" fillId="0" borderId="0" xfId="44" applyNumberFormat="1" applyFont="1" applyBorder="1" applyAlignment="1">
      <alignment/>
    </xf>
    <xf numFmtId="9" fontId="0" fillId="0" borderId="0" xfId="42" applyNumberFormat="1" applyFont="1" applyBorder="1" applyAlignment="1">
      <alignment/>
    </xf>
    <xf numFmtId="9" fontId="2" fillId="0" borderId="0" xfId="0" applyNumberFormat="1" applyFont="1" applyFill="1" applyBorder="1" applyAlignment="1" quotePrefix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5" fontId="2" fillId="0" borderId="0" xfId="42" applyNumberFormat="1" applyFont="1" applyBorder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Font="1" applyBorder="1" applyAlignment="1">
      <alignment horizontal="center"/>
    </xf>
    <xf numFmtId="37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37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37" fontId="38" fillId="33" borderId="0" xfId="42" applyNumberFormat="1" applyFont="1" applyFill="1" applyBorder="1" applyAlignment="1">
      <alignment/>
    </xf>
    <xf numFmtId="37" fontId="38" fillId="33" borderId="0" xfId="44" applyNumberFormat="1" applyFont="1" applyFill="1" applyBorder="1" applyAlignment="1">
      <alignment/>
    </xf>
    <xf numFmtId="37" fontId="38" fillId="33" borderId="0" xfId="42" applyNumberFormat="1" applyFont="1" applyFill="1" applyAlignment="1">
      <alignment/>
    </xf>
    <xf numFmtId="37" fontId="0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37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D252B"/>
      <rgbColor rgb="00008000"/>
      <rgbColor rgb="00000080"/>
      <rgbColor rgb="00E3E311"/>
      <rgbColor rgb="00800080"/>
      <rgbColor rgb="0068A2B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A46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FF079"/>
      <rgbColor rgb="00993300"/>
      <rgbColor rgb="00993366"/>
      <rgbColor rgb="0020396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JMP">
      <a:dk1>
        <a:sysClr val="windowText" lastClr="000000"/>
      </a:dk1>
      <a:lt1>
        <a:sysClr val="window" lastClr="FFFFFF"/>
      </a:lt1>
      <a:dk2>
        <a:srgbClr val="D1B97E"/>
      </a:dk2>
      <a:lt2>
        <a:srgbClr val="285C92"/>
      </a:lt2>
      <a:accent1>
        <a:srgbClr val="221F20"/>
      </a:accent1>
      <a:accent2>
        <a:srgbClr val="666666"/>
      </a:accent2>
      <a:accent3>
        <a:srgbClr val="C3C3C3"/>
      </a:accent3>
      <a:accent4>
        <a:srgbClr val="EBEBEB"/>
      </a:accent4>
      <a:accent5>
        <a:srgbClr val="800000"/>
      </a:accent5>
      <a:accent6>
        <a:srgbClr val="51BA56"/>
      </a:accent6>
      <a:hlink>
        <a:srgbClr val="0600FF"/>
      </a:hlink>
      <a:folHlink>
        <a:srgbClr val="7776D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2:P57"/>
  <sheetViews>
    <sheetView showGridLines="0" zoomScale="85" zoomScaleNormal="85" zoomScaleSheetLayoutView="100" zoomScalePageLayoutView="0" workbookViewId="0" topLeftCell="A1">
      <selection activeCell="N30" sqref="N30"/>
    </sheetView>
  </sheetViews>
  <sheetFormatPr defaultColWidth="9.140625" defaultRowHeight="12.75"/>
  <cols>
    <col min="8" max="8" width="52.28125" style="35" customWidth="1"/>
  </cols>
  <sheetData>
    <row r="2" spans="2:16" ht="12.75">
      <c r="B2" s="1" t="s">
        <v>0</v>
      </c>
      <c r="C2" s="3"/>
      <c r="D2" s="3"/>
      <c r="E2" s="3"/>
      <c r="F2" s="3"/>
      <c r="G2" s="3"/>
      <c r="H2" s="24"/>
      <c r="I2" s="3"/>
      <c r="J2" s="3"/>
      <c r="K2" s="3"/>
      <c r="L2" s="3"/>
      <c r="M2" s="3"/>
      <c r="N2" s="3"/>
      <c r="O2" s="3"/>
      <c r="P2" s="3"/>
    </row>
    <row r="3" spans="2:16" ht="12.75">
      <c r="B3" s="3"/>
      <c r="C3" s="3"/>
      <c r="D3" s="3"/>
      <c r="E3" s="3"/>
      <c r="F3" s="3"/>
      <c r="G3" s="3"/>
      <c r="H3" s="24"/>
      <c r="I3" s="3"/>
      <c r="J3" s="3"/>
      <c r="K3" s="3"/>
      <c r="L3" s="3"/>
      <c r="M3" s="3"/>
      <c r="N3" s="3"/>
      <c r="O3" s="3"/>
      <c r="P3" s="3"/>
    </row>
    <row r="4" spans="2:16" ht="12.75">
      <c r="B4" s="4"/>
      <c r="C4" s="3"/>
      <c r="D4" s="3"/>
      <c r="E4" s="3"/>
      <c r="F4" s="3"/>
      <c r="G4" s="3"/>
      <c r="H4" s="25" t="s">
        <v>38</v>
      </c>
      <c r="I4" s="3"/>
      <c r="J4" s="3"/>
      <c r="K4" s="3"/>
      <c r="L4" s="3"/>
      <c r="M4" s="3"/>
      <c r="N4" s="3"/>
      <c r="O4" s="3"/>
      <c r="P4" s="3"/>
    </row>
    <row r="5" spans="2:16" ht="3" customHeight="1" thickBot="1">
      <c r="B5" s="5"/>
      <c r="C5" s="5"/>
      <c r="D5" s="5"/>
      <c r="E5" s="5"/>
      <c r="F5" s="5"/>
      <c r="G5" s="5"/>
      <c r="H5" s="26"/>
      <c r="I5" s="3"/>
      <c r="J5" s="3"/>
      <c r="K5" s="3"/>
      <c r="L5" s="3"/>
      <c r="M5" s="3"/>
      <c r="N5" s="3"/>
      <c r="O5" s="3"/>
      <c r="P5" s="3"/>
    </row>
    <row r="6" spans="2:16" ht="12.75">
      <c r="B6" s="3" t="s">
        <v>2</v>
      </c>
      <c r="C6" s="3"/>
      <c r="D6" s="3"/>
      <c r="E6" s="3"/>
      <c r="F6" s="3"/>
      <c r="G6" s="3"/>
      <c r="H6" s="22">
        <v>0.1</v>
      </c>
      <c r="I6" s="3"/>
      <c r="J6" s="3"/>
      <c r="K6" s="3"/>
      <c r="L6" s="3"/>
      <c r="M6" s="3"/>
      <c r="N6" s="3"/>
      <c r="O6" s="3"/>
      <c r="P6" s="3"/>
    </row>
    <row r="7" spans="2:16" ht="12.75">
      <c r="B7" s="3" t="s">
        <v>46</v>
      </c>
      <c r="C7" s="3"/>
      <c r="D7" s="3"/>
      <c r="E7" s="3"/>
      <c r="F7" s="3"/>
      <c r="G7" s="3"/>
      <c r="H7" s="22">
        <v>0.45</v>
      </c>
      <c r="I7" s="3"/>
      <c r="J7" s="3"/>
      <c r="K7" s="3"/>
      <c r="L7" s="3"/>
      <c r="M7" s="3"/>
      <c r="N7" s="3"/>
      <c r="O7" s="3"/>
      <c r="P7" s="3"/>
    </row>
    <row r="8" spans="2:16" ht="12.75">
      <c r="B8" s="3" t="s">
        <v>45</v>
      </c>
      <c r="C8" s="3"/>
      <c r="D8" s="3"/>
      <c r="E8" s="3"/>
      <c r="F8" s="3"/>
      <c r="G8" s="3"/>
      <c r="H8" s="22">
        <v>0.09</v>
      </c>
      <c r="I8" s="3"/>
      <c r="J8" s="3"/>
      <c r="K8" s="3"/>
      <c r="L8" s="3"/>
      <c r="M8" s="3"/>
      <c r="N8" s="3"/>
      <c r="O8" s="3"/>
      <c r="P8" s="3"/>
    </row>
    <row r="9" spans="2:16" ht="12.75">
      <c r="B9" s="3" t="s">
        <v>47</v>
      </c>
      <c r="C9" s="3"/>
      <c r="D9" s="3"/>
      <c r="E9" s="3"/>
      <c r="F9" s="3"/>
      <c r="G9" s="3"/>
      <c r="H9" s="22">
        <v>0.055</v>
      </c>
      <c r="I9" s="3"/>
      <c r="J9" s="3"/>
      <c r="K9" s="3"/>
      <c r="L9" s="3"/>
      <c r="M9" s="3"/>
      <c r="N9" s="3"/>
      <c r="O9" s="3"/>
      <c r="P9" s="3"/>
    </row>
    <row r="10" spans="2:16" ht="12.75">
      <c r="B10" s="3" t="s">
        <v>3</v>
      </c>
      <c r="C10" s="3"/>
      <c r="D10" s="3"/>
      <c r="E10" s="3"/>
      <c r="F10" s="3"/>
      <c r="G10" s="3"/>
      <c r="H10" s="23" t="s">
        <v>40</v>
      </c>
      <c r="I10" s="3"/>
      <c r="J10" s="3"/>
      <c r="K10" s="3"/>
      <c r="L10" s="3"/>
      <c r="M10" s="3"/>
      <c r="N10" s="3"/>
      <c r="O10" s="3"/>
      <c r="P10" s="3"/>
    </row>
    <row r="11" spans="2:16" ht="12.75">
      <c r="B11" s="3" t="s">
        <v>4</v>
      </c>
      <c r="C11" s="3"/>
      <c r="D11" s="3"/>
      <c r="E11" s="3"/>
      <c r="F11" s="3"/>
      <c r="G11" s="3"/>
      <c r="H11" s="27">
        <v>0.4</v>
      </c>
      <c r="I11" s="3"/>
      <c r="J11" s="3"/>
      <c r="K11" s="3"/>
      <c r="L11" s="3"/>
      <c r="M11" s="3"/>
      <c r="N11" s="3"/>
      <c r="O11" s="3"/>
      <c r="P11" s="3"/>
    </row>
    <row r="12" spans="2:16" ht="3" customHeight="1" thickBot="1">
      <c r="B12" s="5"/>
      <c r="C12" s="5"/>
      <c r="D12" s="5"/>
      <c r="E12" s="5"/>
      <c r="F12" s="5"/>
      <c r="G12" s="5"/>
      <c r="H12" s="28"/>
      <c r="I12" s="3"/>
      <c r="J12" s="3"/>
      <c r="K12" s="3"/>
      <c r="L12" s="3"/>
      <c r="M12" s="3"/>
      <c r="N12" s="3"/>
      <c r="O12" s="3"/>
      <c r="P12" s="3"/>
    </row>
    <row r="14" spans="2:16" ht="12.75">
      <c r="B14" s="1" t="s">
        <v>41</v>
      </c>
      <c r="C14" s="3"/>
      <c r="D14" s="3"/>
      <c r="E14" s="3"/>
      <c r="F14" s="3"/>
      <c r="G14" s="3"/>
      <c r="H14" s="24"/>
      <c r="I14" s="3"/>
      <c r="J14" s="3"/>
      <c r="K14" s="3"/>
      <c r="L14" s="3"/>
      <c r="M14" s="3"/>
      <c r="N14" s="3"/>
      <c r="O14" s="3"/>
      <c r="P14" s="3"/>
    </row>
    <row r="15" spans="2:16" ht="12.75">
      <c r="B15" s="3"/>
      <c r="C15" s="3"/>
      <c r="D15" s="3"/>
      <c r="E15" s="3"/>
      <c r="F15" s="3"/>
      <c r="G15" s="3"/>
      <c r="H15" s="24"/>
      <c r="I15" s="3"/>
      <c r="J15" s="3"/>
      <c r="K15" s="3"/>
      <c r="L15" s="3"/>
      <c r="M15" s="3"/>
      <c r="N15" s="3"/>
      <c r="O15" s="3"/>
      <c r="P15" s="3"/>
    </row>
    <row r="16" spans="2:16" ht="12.75">
      <c r="B16" s="4"/>
      <c r="C16" s="3"/>
      <c r="D16" s="3"/>
      <c r="E16" s="3"/>
      <c r="F16" s="3"/>
      <c r="G16" s="3"/>
      <c r="H16" s="25" t="s">
        <v>38</v>
      </c>
      <c r="I16" s="3"/>
      <c r="J16" s="3"/>
      <c r="K16" s="3"/>
      <c r="L16" s="3"/>
      <c r="M16" s="3"/>
      <c r="N16" s="3"/>
      <c r="O16" s="3"/>
      <c r="P16" s="3"/>
    </row>
    <row r="17" spans="2:16" ht="3" customHeight="1" thickBot="1">
      <c r="B17" s="5"/>
      <c r="C17" s="5"/>
      <c r="D17" s="5"/>
      <c r="E17" s="5"/>
      <c r="F17" s="5"/>
      <c r="G17" s="5"/>
      <c r="H17" s="28"/>
      <c r="I17" s="3"/>
      <c r="J17" s="3"/>
      <c r="K17" s="3"/>
      <c r="L17" s="3"/>
      <c r="M17" s="3"/>
      <c r="N17" s="3"/>
      <c r="O17" s="3"/>
      <c r="P17" s="3"/>
    </row>
    <row r="18" spans="2:16" s="38" customFormat="1" ht="12.75">
      <c r="B18" s="36" t="s">
        <v>6</v>
      </c>
      <c r="C18" s="36"/>
      <c r="D18" s="36"/>
      <c r="E18" s="36"/>
      <c r="F18" s="36"/>
      <c r="G18" s="36"/>
      <c r="H18" s="37" t="s">
        <v>37</v>
      </c>
      <c r="I18" s="36"/>
      <c r="J18" s="36"/>
      <c r="K18" s="36"/>
      <c r="L18" s="36"/>
      <c r="M18" s="36"/>
      <c r="N18" s="36"/>
      <c r="O18" s="36"/>
      <c r="P18" s="36"/>
    </row>
    <row r="19" spans="2:16" s="38" customFormat="1" ht="12.75">
      <c r="B19" s="36" t="s">
        <v>7</v>
      </c>
      <c r="C19" s="36"/>
      <c r="D19" s="36"/>
      <c r="E19" s="36"/>
      <c r="F19" s="36"/>
      <c r="G19" s="36"/>
      <c r="H19" s="37" t="s">
        <v>39</v>
      </c>
      <c r="I19" s="36"/>
      <c r="J19" s="36"/>
      <c r="K19" s="36"/>
      <c r="L19" s="36"/>
      <c r="M19" s="36"/>
      <c r="N19" s="36"/>
      <c r="O19" s="36"/>
      <c r="P19" s="36"/>
    </row>
    <row r="20" spans="2:16" s="38" customFormat="1" ht="12.75">
      <c r="B20" s="39" t="s">
        <v>8</v>
      </c>
      <c r="C20" s="39"/>
      <c r="D20" s="39"/>
      <c r="E20" s="39"/>
      <c r="F20" s="39"/>
      <c r="G20" s="39"/>
      <c r="H20" s="40" t="s">
        <v>40</v>
      </c>
      <c r="I20" s="36"/>
      <c r="J20" s="36"/>
      <c r="K20" s="36"/>
      <c r="L20" s="36"/>
      <c r="M20" s="36"/>
      <c r="N20" s="36"/>
      <c r="O20" s="36"/>
      <c r="P20" s="36"/>
    </row>
    <row r="21" spans="2:16" s="38" customFormat="1" ht="38.25">
      <c r="B21" s="39" t="s">
        <v>10</v>
      </c>
      <c r="C21" s="39"/>
      <c r="D21" s="39"/>
      <c r="E21" s="39"/>
      <c r="F21" s="39"/>
      <c r="G21" s="39"/>
      <c r="H21" s="41" t="s">
        <v>59</v>
      </c>
      <c r="I21" s="36"/>
      <c r="J21" s="36"/>
      <c r="K21" s="36"/>
      <c r="L21" s="36"/>
      <c r="M21" s="36"/>
      <c r="N21" s="36"/>
      <c r="O21" s="36"/>
      <c r="P21" s="36"/>
    </row>
    <row r="22" spans="2:16" s="38" customFormat="1" ht="12.75">
      <c r="B22" s="39" t="s">
        <v>11</v>
      </c>
      <c r="C22" s="39"/>
      <c r="D22" s="39"/>
      <c r="E22" s="39"/>
      <c r="F22" s="39"/>
      <c r="G22" s="39"/>
      <c r="H22" s="42" t="s">
        <v>40</v>
      </c>
      <c r="I22" s="36"/>
      <c r="J22" s="36"/>
      <c r="K22" s="36"/>
      <c r="L22" s="36"/>
      <c r="M22" s="36"/>
      <c r="N22" s="36"/>
      <c r="O22" s="36"/>
      <c r="P22" s="36"/>
    </row>
    <row r="23" spans="2:16" s="38" customFormat="1" ht="12.75">
      <c r="B23" s="39" t="s">
        <v>12</v>
      </c>
      <c r="C23" s="39"/>
      <c r="D23" s="39"/>
      <c r="E23" s="39"/>
      <c r="F23" s="39"/>
      <c r="G23" s="39"/>
      <c r="H23" s="42" t="s">
        <v>43</v>
      </c>
      <c r="I23" s="36"/>
      <c r="J23" s="36"/>
      <c r="K23" s="36"/>
      <c r="L23" s="36"/>
      <c r="M23" s="36"/>
      <c r="N23" s="36"/>
      <c r="O23" s="36"/>
      <c r="P23" s="36"/>
    </row>
    <row r="24" spans="2:16" s="38" customFormat="1" ht="12.75">
      <c r="B24" s="39" t="s">
        <v>13</v>
      </c>
      <c r="C24" s="39"/>
      <c r="D24" s="39"/>
      <c r="E24" s="39"/>
      <c r="F24" s="39"/>
      <c r="G24" s="39"/>
      <c r="H24" s="40" t="s">
        <v>40</v>
      </c>
      <c r="I24" s="36"/>
      <c r="J24" s="36"/>
      <c r="K24" s="36"/>
      <c r="L24" s="36"/>
      <c r="M24" s="36"/>
      <c r="N24" s="36"/>
      <c r="O24" s="36"/>
      <c r="P24" s="36"/>
    </row>
    <row r="25" spans="2:16" s="38" customFormat="1" ht="12.75">
      <c r="B25" s="39" t="s">
        <v>14</v>
      </c>
      <c r="C25" s="39"/>
      <c r="D25" s="39"/>
      <c r="E25" s="39"/>
      <c r="F25" s="39"/>
      <c r="G25" s="39"/>
      <c r="H25" s="40" t="s">
        <v>40</v>
      </c>
      <c r="I25" s="36"/>
      <c r="J25" s="36"/>
      <c r="K25" s="36"/>
      <c r="L25" s="36"/>
      <c r="M25" s="36"/>
      <c r="N25" s="36"/>
      <c r="O25" s="36"/>
      <c r="P25" s="36"/>
    </row>
    <row r="26" spans="2:16" s="38" customFormat="1" ht="12.75">
      <c r="B26" s="39" t="s">
        <v>15</v>
      </c>
      <c r="C26" s="39"/>
      <c r="D26" s="39"/>
      <c r="E26" s="39"/>
      <c r="F26" s="39"/>
      <c r="G26" s="39"/>
      <c r="H26" s="40" t="s">
        <v>40</v>
      </c>
      <c r="I26" s="36"/>
      <c r="J26" s="36"/>
      <c r="K26" s="36"/>
      <c r="L26" s="36"/>
      <c r="M26" s="36"/>
      <c r="N26" s="36"/>
      <c r="O26" s="36"/>
      <c r="P26" s="36"/>
    </row>
    <row r="27" spans="2:16" s="38" customFormat="1" ht="12.75">
      <c r="B27" s="39" t="s">
        <v>26</v>
      </c>
      <c r="C27" s="39"/>
      <c r="D27" s="39"/>
      <c r="E27" s="39"/>
      <c r="F27" s="39"/>
      <c r="G27" s="39"/>
      <c r="H27" s="40" t="s">
        <v>40</v>
      </c>
      <c r="I27" s="36"/>
      <c r="J27" s="36"/>
      <c r="K27" s="36"/>
      <c r="L27" s="36"/>
      <c r="M27" s="36"/>
      <c r="N27" s="36"/>
      <c r="O27" s="36"/>
      <c r="P27" s="36"/>
    </row>
    <row r="28" spans="2:16" ht="3" customHeight="1" thickBot="1">
      <c r="B28" s="5"/>
      <c r="C28" s="5"/>
      <c r="D28" s="5"/>
      <c r="E28" s="5"/>
      <c r="F28" s="5"/>
      <c r="G28" s="5"/>
      <c r="H28" s="30"/>
      <c r="I28" s="3"/>
      <c r="J28" s="3"/>
      <c r="K28" s="3"/>
      <c r="L28" s="3"/>
      <c r="M28" s="3"/>
      <c r="N28" s="3"/>
      <c r="O28" s="3"/>
      <c r="P28" s="3"/>
    </row>
    <row r="29" spans="2:16" ht="12.75">
      <c r="B29" s="3"/>
      <c r="C29" s="3"/>
      <c r="D29" s="3"/>
      <c r="E29" s="3"/>
      <c r="F29" s="3"/>
      <c r="G29" s="3"/>
      <c r="H29" s="31"/>
      <c r="I29" s="3"/>
      <c r="J29" s="3"/>
      <c r="K29" s="3"/>
      <c r="L29" s="3"/>
      <c r="M29" s="3"/>
      <c r="N29" s="3"/>
      <c r="O29" s="3"/>
      <c r="P29" s="3"/>
    </row>
    <row r="30" spans="2:16" ht="12.75">
      <c r="B30" s="1" t="s">
        <v>42</v>
      </c>
      <c r="C30" s="3"/>
      <c r="D30" s="3"/>
      <c r="E30" s="3"/>
      <c r="F30" s="3"/>
      <c r="G30" s="3"/>
      <c r="H30" s="31"/>
      <c r="I30" s="3"/>
      <c r="J30" s="3"/>
      <c r="K30" s="3"/>
      <c r="L30" s="3"/>
      <c r="M30" s="3"/>
      <c r="N30" s="3"/>
      <c r="O30" s="3"/>
      <c r="P30" s="3"/>
    </row>
    <row r="31" spans="2:16" ht="12.75">
      <c r="B31" s="3"/>
      <c r="C31" s="3"/>
      <c r="D31" s="3"/>
      <c r="E31" s="3"/>
      <c r="F31" s="3"/>
      <c r="G31" s="3"/>
      <c r="H31" s="31"/>
      <c r="I31" s="3"/>
      <c r="J31" s="3"/>
      <c r="K31" s="3"/>
      <c r="L31" s="3"/>
      <c r="M31" s="3"/>
      <c r="N31" s="3"/>
      <c r="O31" s="3"/>
      <c r="P31" s="3"/>
    </row>
    <row r="32" spans="2:16" ht="12.75">
      <c r="B32" s="4"/>
      <c r="C32" s="3"/>
      <c r="D32" s="3"/>
      <c r="E32" s="3"/>
      <c r="F32" s="3"/>
      <c r="G32" s="3"/>
      <c r="H32" s="25" t="s">
        <v>38</v>
      </c>
      <c r="I32" s="3"/>
      <c r="J32" s="3"/>
      <c r="K32" s="3"/>
      <c r="L32" s="3"/>
      <c r="M32" s="3"/>
      <c r="N32" s="3"/>
      <c r="O32" s="3"/>
      <c r="P32" s="3"/>
    </row>
    <row r="33" spans="2:16" ht="3" customHeight="1" thickBot="1">
      <c r="B33" s="5"/>
      <c r="C33" s="5"/>
      <c r="D33" s="5"/>
      <c r="E33" s="5"/>
      <c r="F33" s="5"/>
      <c r="G33" s="5"/>
      <c r="H33" s="28"/>
      <c r="I33" s="3"/>
      <c r="J33" s="3"/>
      <c r="K33" s="3"/>
      <c r="L33" s="3"/>
      <c r="M33" s="3"/>
      <c r="N33" s="3"/>
      <c r="O33" s="3"/>
      <c r="P33" s="3"/>
    </row>
    <row r="34" spans="2:16" ht="12.75">
      <c r="B34" s="3" t="s">
        <v>54</v>
      </c>
      <c r="C34" s="3"/>
      <c r="D34" s="3"/>
      <c r="E34" s="3"/>
      <c r="F34" s="3"/>
      <c r="G34" s="3"/>
      <c r="H34" s="32">
        <v>1750</v>
      </c>
      <c r="I34" s="3"/>
      <c r="J34" s="3"/>
      <c r="K34" s="3"/>
      <c r="L34" s="3"/>
      <c r="M34" s="3"/>
      <c r="N34" s="3"/>
      <c r="O34" s="3"/>
      <c r="P34" s="3"/>
    </row>
    <row r="35" spans="2:16" ht="12.75">
      <c r="B35" s="3" t="s">
        <v>55</v>
      </c>
      <c r="C35" s="3"/>
      <c r="D35" s="3"/>
      <c r="E35" s="3"/>
      <c r="F35" s="3"/>
      <c r="G35" s="3"/>
      <c r="H35" s="32">
        <v>2250</v>
      </c>
      <c r="I35" s="3"/>
      <c r="J35" s="3"/>
      <c r="K35" s="3"/>
      <c r="L35" s="3"/>
      <c r="M35" s="3"/>
      <c r="N35" s="3"/>
      <c r="O35" s="3"/>
      <c r="P35" s="3"/>
    </row>
    <row r="36" spans="2:16" ht="12.75">
      <c r="B36" s="3" t="s">
        <v>56</v>
      </c>
      <c r="C36" s="3"/>
      <c r="D36" s="3"/>
      <c r="E36" s="3"/>
      <c r="F36" s="3"/>
      <c r="G36" s="3"/>
      <c r="H36" s="32">
        <v>3000</v>
      </c>
      <c r="I36" s="3"/>
      <c r="J36" s="3"/>
      <c r="K36" s="3"/>
      <c r="L36" s="3"/>
      <c r="M36" s="3"/>
      <c r="N36" s="3"/>
      <c r="O36" s="3"/>
      <c r="P36" s="3"/>
    </row>
    <row r="37" spans="2:16" ht="12.75">
      <c r="B37" s="3" t="s">
        <v>57</v>
      </c>
      <c r="C37" s="3"/>
      <c r="D37" s="3"/>
      <c r="E37" s="3"/>
      <c r="F37" s="3"/>
      <c r="G37" s="3"/>
      <c r="H37" s="32">
        <v>4000</v>
      </c>
      <c r="I37" s="3"/>
      <c r="J37" s="3"/>
      <c r="K37" s="3"/>
      <c r="L37" s="3"/>
      <c r="M37" s="3"/>
      <c r="N37" s="3"/>
      <c r="O37" s="3"/>
      <c r="P37" s="3"/>
    </row>
    <row r="38" spans="2:16" ht="12.75">
      <c r="B38" s="3" t="s">
        <v>58</v>
      </c>
      <c r="C38" s="3"/>
      <c r="D38" s="3"/>
      <c r="E38" s="3"/>
      <c r="F38" s="3"/>
      <c r="G38" s="3"/>
      <c r="H38" s="32">
        <v>4000</v>
      </c>
      <c r="I38" s="3"/>
      <c r="J38" s="3"/>
      <c r="K38" s="3"/>
      <c r="L38" s="3"/>
      <c r="M38" s="3"/>
      <c r="N38" s="3"/>
      <c r="O38" s="3"/>
      <c r="P38" s="3"/>
    </row>
    <row r="39" spans="2:16" ht="3" customHeight="1" thickBot="1">
      <c r="B39" s="5"/>
      <c r="C39" s="5"/>
      <c r="D39" s="5"/>
      <c r="E39" s="5"/>
      <c r="F39" s="5"/>
      <c r="G39" s="5"/>
      <c r="H39" s="30"/>
      <c r="I39" s="3"/>
      <c r="J39" s="3"/>
      <c r="K39" s="3"/>
      <c r="L39" s="3"/>
      <c r="M39" s="3"/>
      <c r="N39" s="3"/>
      <c r="O39" s="3"/>
      <c r="P39" s="3"/>
    </row>
    <row r="40" spans="2:16" ht="12.75">
      <c r="B40" s="3"/>
      <c r="C40" s="3"/>
      <c r="D40" s="3"/>
      <c r="E40" s="3"/>
      <c r="F40" s="3"/>
      <c r="G40" s="3"/>
      <c r="H40" s="31"/>
      <c r="I40" s="3"/>
      <c r="J40" s="3"/>
      <c r="K40" s="3"/>
      <c r="L40" s="3"/>
      <c r="M40" s="3"/>
      <c r="N40" s="3"/>
      <c r="O40" s="3"/>
      <c r="P40" s="3"/>
    </row>
    <row r="41" spans="2:16" ht="12.75">
      <c r="B41" s="1" t="s">
        <v>18</v>
      </c>
      <c r="C41" s="3"/>
      <c r="D41" s="3"/>
      <c r="E41" s="3"/>
      <c r="F41" s="3"/>
      <c r="G41" s="3"/>
      <c r="H41" s="24"/>
      <c r="I41" s="3"/>
      <c r="J41" s="3"/>
      <c r="K41" s="3"/>
      <c r="L41" s="3"/>
      <c r="M41" s="3"/>
      <c r="N41" s="3"/>
      <c r="O41" s="3"/>
      <c r="P41" s="3"/>
    </row>
    <row r="42" spans="2:16" ht="12.75">
      <c r="B42" s="3"/>
      <c r="C42" s="3"/>
      <c r="D42" s="3"/>
      <c r="E42" s="3"/>
      <c r="F42" s="3"/>
      <c r="G42" s="3"/>
      <c r="H42" s="24"/>
      <c r="I42" s="3"/>
      <c r="J42" s="3"/>
      <c r="K42" s="3"/>
      <c r="L42" s="3"/>
      <c r="M42" s="3"/>
      <c r="N42" s="3"/>
      <c r="O42" s="3"/>
      <c r="P42" s="3"/>
    </row>
    <row r="43" spans="2:16" ht="12.75">
      <c r="B43" s="4" t="s">
        <v>49</v>
      </c>
      <c r="C43" s="3"/>
      <c r="D43" s="3"/>
      <c r="E43" s="3"/>
      <c r="F43" s="3"/>
      <c r="G43" s="3"/>
      <c r="H43" s="25" t="s">
        <v>38</v>
      </c>
      <c r="I43" s="3"/>
      <c r="J43" s="3"/>
      <c r="K43" s="3"/>
      <c r="L43" s="3"/>
      <c r="M43" s="3"/>
      <c r="N43" s="3"/>
      <c r="O43" s="3"/>
      <c r="P43" s="3"/>
    </row>
    <row r="44" spans="2:16" ht="3" customHeight="1" thickBot="1">
      <c r="B44" s="5"/>
      <c r="C44" s="5"/>
      <c r="D44" s="5"/>
      <c r="E44" s="5"/>
      <c r="F44" s="5"/>
      <c r="G44" s="5"/>
      <c r="H44" s="26"/>
      <c r="I44" s="3"/>
      <c r="J44" s="3"/>
      <c r="K44" s="3"/>
      <c r="L44" s="3"/>
      <c r="M44" s="3"/>
      <c r="N44" s="3"/>
      <c r="O44" s="3"/>
      <c r="P44" s="3"/>
    </row>
    <row r="45" spans="2:16" ht="12.75">
      <c r="B45" s="3" t="s">
        <v>24</v>
      </c>
      <c r="C45" s="3"/>
      <c r="D45" s="3"/>
      <c r="E45" s="3"/>
      <c r="F45" s="3"/>
      <c r="G45" s="3"/>
      <c r="H45" s="22">
        <v>0.05</v>
      </c>
      <c r="I45" s="3"/>
      <c r="J45" s="3"/>
      <c r="K45" s="3"/>
      <c r="L45" s="3"/>
      <c r="M45" s="3"/>
      <c r="N45" s="3"/>
      <c r="O45" s="3"/>
      <c r="P45" s="3"/>
    </row>
    <row r="46" spans="2:16" ht="12.75">
      <c r="B46" s="3" t="s">
        <v>19</v>
      </c>
      <c r="C46" s="3"/>
      <c r="D46" s="3"/>
      <c r="E46" s="3"/>
      <c r="F46" s="3"/>
      <c r="G46" s="3"/>
      <c r="H46" s="22">
        <v>0.06</v>
      </c>
      <c r="I46" s="3"/>
      <c r="J46" s="3"/>
      <c r="K46" s="3"/>
      <c r="L46" s="3"/>
      <c r="M46" s="3"/>
      <c r="N46" s="3"/>
      <c r="O46" s="3"/>
      <c r="P46" s="3"/>
    </row>
    <row r="47" spans="2:16" ht="12.75">
      <c r="B47" s="3" t="s">
        <v>20</v>
      </c>
      <c r="C47" s="3"/>
      <c r="D47" s="3"/>
      <c r="E47" s="3"/>
      <c r="F47" s="3"/>
      <c r="G47" s="3"/>
      <c r="H47" s="22">
        <v>0.02</v>
      </c>
      <c r="I47" s="3"/>
      <c r="J47" s="3"/>
      <c r="K47" s="3"/>
      <c r="L47" s="3"/>
      <c r="M47" s="3"/>
      <c r="N47" s="3"/>
      <c r="O47" s="3"/>
      <c r="P47" s="3"/>
    </row>
    <row r="48" spans="2:16" ht="12.75">
      <c r="B48" s="3" t="s">
        <v>51</v>
      </c>
      <c r="C48" s="3"/>
      <c r="D48" s="3"/>
      <c r="E48" s="3"/>
      <c r="F48" s="3"/>
      <c r="G48" s="3"/>
      <c r="H48" s="23">
        <v>2000</v>
      </c>
      <c r="I48" s="3"/>
      <c r="J48" s="3"/>
      <c r="K48" s="3"/>
      <c r="L48" s="3"/>
      <c r="M48" s="3"/>
      <c r="N48" s="3"/>
      <c r="O48" s="3"/>
      <c r="P48" s="3"/>
    </row>
    <row r="49" spans="2:16" ht="12.75">
      <c r="B49" s="3" t="s">
        <v>23</v>
      </c>
      <c r="C49" s="3"/>
      <c r="D49" s="3"/>
      <c r="E49" s="3"/>
      <c r="F49" s="3"/>
      <c r="G49" s="3"/>
      <c r="H49" s="23">
        <v>300</v>
      </c>
      <c r="I49" s="3"/>
      <c r="J49" s="3"/>
      <c r="K49" s="3"/>
      <c r="L49" s="3"/>
      <c r="M49" s="3"/>
      <c r="N49" s="3"/>
      <c r="O49" s="3"/>
      <c r="P49" s="3"/>
    </row>
    <row r="50" spans="2:16" ht="12.75">
      <c r="B50" s="3"/>
      <c r="C50" s="3"/>
      <c r="D50" s="3"/>
      <c r="E50" s="3"/>
      <c r="F50" s="3"/>
      <c r="G50" s="3"/>
      <c r="H50" s="24"/>
      <c r="I50" s="3"/>
      <c r="J50" s="3"/>
      <c r="K50" s="3"/>
      <c r="L50" s="3"/>
      <c r="M50" s="3"/>
      <c r="N50" s="3"/>
      <c r="O50" s="3"/>
      <c r="P50" s="3"/>
    </row>
    <row r="51" spans="2:16" ht="12.75">
      <c r="B51" s="3" t="s">
        <v>17</v>
      </c>
      <c r="C51" s="3"/>
      <c r="D51" s="3"/>
      <c r="E51" s="3"/>
      <c r="F51" s="3"/>
      <c r="G51" s="3"/>
      <c r="H51" s="33">
        <v>0.2</v>
      </c>
      <c r="I51" s="3"/>
      <c r="J51" s="3"/>
      <c r="K51" s="3"/>
      <c r="L51" s="3"/>
      <c r="M51" s="3"/>
      <c r="N51" s="3"/>
      <c r="O51" s="3"/>
      <c r="P51" s="3"/>
    </row>
    <row r="52" spans="2:16" ht="12.75">
      <c r="B52" s="3" t="s">
        <v>21</v>
      </c>
      <c r="C52" s="3"/>
      <c r="D52" s="3"/>
      <c r="E52" s="3"/>
      <c r="F52" s="3"/>
      <c r="G52" s="3"/>
      <c r="H52" s="29">
        <v>400000</v>
      </c>
      <c r="I52" s="3"/>
      <c r="J52" s="3"/>
      <c r="K52" s="3"/>
      <c r="L52" s="3"/>
      <c r="M52" s="3"/>
      <c r="N52" s="3"/>
      <c r="O52" s="3"/>
      <c r="P52" s="3"/>
    </row>
    <row r="53" spans="2:16" ht="12.75">
      <c r="B53" s="3" t="s">
        <v>50</v>
      </c>
      <c r="C53" s="3"/>
      <c r="D53" s="3"/>
      <c r="E53" s="3"/>
      <c r="F53" s="3"/>
      <c r="G53" s="3"/>
      <c r="H53" s="29">
        <v>10000</v>
      </c>
      <c r="I53" s="3"/>
      <c r="J53" s="3"/>
      <c r="K53" s="3"/>
      <c r="L53" s="3"/>
      <c r="M53" s="3"/>
      <c r="N53" s="3"/>
      <c r="O53" s="3"/>
      <c r="P53" s="3"/>
    </row>
    <row r="54" spans="2:16" ht="12.75">
      <c r="B54" s="3" t="s">
        <v>22</v>
      </c>
      <c r="C54" s="3"/>
      <c r="D54" s="3"/>
      <c r="E54" s="3"/>
      <c r="F54" s="3"/>
      <c r="G54" s="3"/>
      <c r="H54" s="33">
        <v>15</v>
      </c>
      <c r="I54" s="3"/>
      <c r="J54" s="3"/>
      <c r="K54" s="3"/>
      <c r="L54" s="3"/>
      <c r="M54" s="3"/>
      <c r="N54" s="3"/>
      <c r="O54" s="3"/>
      <c r="P54" s="3"/>
    </row>
    <row r="55" spans="2:16" ht="3" customHeight="1" thickBot="1">
      <c r="B55" s="5"/>
      <c r="C55" s="5"/>
      <c r="D55" s="5"/>
      <c r="E55" s="5"/>
      <c r="F55" s="5"/>
      <c r="G55" s="5"/>
      <c r="H55" s="34"/>
      <c r="I55" s="3"/>
      <c r="J55" s="3"/>
      <c r="K55" s="3"/>
      <c r="L55" s="3"/>
      <c r="M55" s="3"/>
      <c r="N55" s="3"/>
      <c r="O55" s="3"/>
      <c r="P55" s="3"/>
    </row>
    <row r="56" spans="2:16" ht="12.75">
      <c r="B56" s="3"/>
      <c r="C56" s="3"/>
      <c r="D56" s="3"/>
      <c r="E56" s="3"/>
      <c r="F56" s="3"/>
      <c r="G56" s="3"/>
      <c r="H56" s="24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24"/>
      <c r="I57" s="3"/>
      <c r="J57" s="3"/>
      <c r="K57" s="3"/>
      <c r="L57" s="3"/>
      <c r="M57" s="3"/>
      <c r="N57" s="3"/>
      <c r="O57" s="3"/>
      <c r="P57" s="3"/>
    </row>
  </sheetData>
  <sheetProtection/>
  <printOptions/>
  <pageMargins left="0.25" right="0.25" top="0.25" bottom="0.25" header="0.3" footer="0.3"/>
  <pageSetup horizontalDpi="600" verticalDpi="600" orientation="landscape" r:id="rId1"/>
  <rowBreaks count="2" manualBreakCount="2">
    <brk id="13" max="255" man="1"/>
    <brk id="40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B1:P225"/>
  <sheetViews>
    <sheetView showGridLines="0" tabSelected="1" zoomScalePageLayoutView="0" workbookViewId="0" topLeftCell="A19">
      <selection activeCell="O48" sqref="O48"/>
    </sheetView>
  </sheetViews>
  <sheetFormatPr defaultColWidth="9.140625" defaultRowHeight="12.75"/>
  <cols>
    <col min="2" max="2" width="9.140625" style="0" customWidth="1"/>
    <col min="8" max="8" width="15.28125" style="0" bestFit="1" customWidth="1"/>
    <col min="9" max="9" width="18.00390625" style="0" bestFit="1" customWidth="1"/>
    <col min="10" max="13" width="15.28125" style="0" bestFit="1" customWidth="1"/>
  </cols>
  <sheetData>
    <row r="1" ht="12.75">
      <c r="E1" s="3"/>
    </row>
    <row r="2" spans="2:16" ht="12.75">
      <c r="B2" s="1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12.75">
      <c r="B3" s="3"/>
      <c r="C3" s="3"/>
      <c r="D3" s="3"/>
      <c r="E3" s="3"/>
      <c r="F3" s="3"/>
      <c r="G3" s="3"/>
      <c r="H3" s="7" t="s">
        <v>30</v>
      </c>
      <c r="I3" s="7"/>
      <c r="J3" s="7"/>
      <c r="K3" s="7"/>
      <c r="L3" s="7"/>
      <c r="M3" s="7"/>
      <c r="N3" s="3"/>
      <c r="O3" s="3"/>
      <c r="P3" s="3"/>
    </row>
    <row r="4" spans="2:16" ht="12.75">
      <c r="B4" s="4" t="s">
        <v>28</v>
      </c>
      <c r="C4" s="3"/>
      <c r="D4" s="3"/>
      <c r="E4" s="3"/>
      <c r="F4" s="3"/>
      <c r="G4" s="3"/>
      <c r="H4" s="8">
        <f ca="1">+YEAR(TODAY())-1</f>
        <v>2017</v>
      </c>
      <c r="I4" s="9">
        <f>+H4+1</f>
        <v>2018</v>
      </c>
      <c r="J4" s="9">
        <f>+I4+1</f>
        <v>2019</v>
      </c>
      <c r="K4" s="9">
        <f>+J4+1</f>
        <v>2020</v>
      </c>
      <c r="L4" s="9">
        <f>+K4+1</f>
        <v>2021</v>
      </c>
      <c r="M4" s="9">
        <f>+L4+1</f>
        <v>2022</v>
      </c>
      <c r="N4" s="3"/>
      <c r="O4" s="3"/>
      <c r="P4" s="3"/>
    </row>
    <row r="5" spans="2:16" ht="3" customHeight="1" thickBot="1">
      <c r="B5" s="5"/>
      <c r="C5" s="5"/>
      <c r="D5" s="5"/>
      <c r="E5" s="5"/>
      <c r="F5" s="5"/>
      <c r="G5" s="5"/>
      <c r="H5" s="2"/>
      <c r="I5" s="2"/>
      <c r="J5" s="2"/>
      <c r="K5" s="2"/>
      <c r="L5" s="2"/>
      <c r="M5" s="2"/>
      <c r="N5" s="3"/>
      <c r="O5" s="3"/>
      <c r="P5" s="3"/>
    </row>
    <row r="7" spans="2:13" ht="12.75">
      <c r="B7" t="s">
        <v>1</v>
      </c>
      <c r="H7" s="15">
        <v>20000</v>
      </c>
      <c r="I7" s="51">
        <f>H7*(1+I8)</f>
        <v>22000</v>
      </c>
      <c r="J7" s="51">
        <f>I7*(1+J8)</f>
        <v>24200.000000000004</v>
      </c>
      <c r="K7" s="51">
        <f>J7*(1+K8)</f>
        <v>26620.000000000007</v>
      </c>
      <c r="L7" s="51">
        <f>K7*(1+L8)</f>
        <v>29282.00000000001</v>
      </c>
      <c r="M7" s="51">
        <f>L7*(1+M8)</f>
        <v>32210.200000000015</v>
      </c>
    </row>
    <row r="8" spans="2:13" s="44" customFormat="1" ht="12.75">
      <c r="B8" s="43" t="s">
        <v>60</v>
      </c>
      <c r="H8" s="45">
        <f>'Operating Assumptions'!H6</f>
        <v>0.1</v>
      </c>
      <c r="I8" s="44">
        <f>H8</f>
        <v>0.1</v>
      </c>
      <c r="J8" s="44">
        <f>I8</f>
        <v>0.1</v>
      </c>
      <c r="K8" s="44">
        <f>J8</f>
        <v>0.1</v>
      </c>
      <c r="L8" s="44">
        <f>K8</f>
        <v>0.1</v>
      </c>
      <c r="M8" s="44">
        <f>L8</f>
        <v>0.1</v>
      </c>
    </row>
    <row r="9" spans="2:13" ht="12.75">
      <c r="B9" t="s">
        <v>34</v>
      </c>
      <c r="H9" s="16">
        <v>9000</v>
      </c>
      <c r="I9" s="51">
        <f>I10*I7</f>
        <v>9900</v>
      </c>
      <c r="J9" s="51">
        <f>J10*J7</f>
        <v>10829.500000000002</v>
      </c>
      <c r="K9" s="51">
        <f>K10*K7</f>
        <v>11845.900000000003</v>
      </c>
      <c r="L9" s="51">
        <f>L10*L7</f>
        <v>12957.285000000005</v>
      </c>
      <c r="M9" s="51">
        <f>M10*M7</f>
        <v>14172.488000000007</v>
      </c>
    </row>
    <row r="10" spans="2:13" s="44" customFormat="1" ht="12.75">
      <c r="B10" s="43" t="s">
        <v>40</v>
      </c>
      <c r="H10" s="45">
        <v>0.45</v>
      </c>
      <c r="I10" s="44">
        <v>0.45</v>
      </c>
      <c r="J10" s="44">
        <v>0.4475</v>
      </c>
      <c r="K10" s="44">
        <v>0.445</v>
      </c>
      <c r="L10" s="44">
        <v>0.4425</v>
      </c>
      <c r="M10" s="44">
        <v>0.44</v>
      </c>
    </row>
    <row r="11" spans="2:13" ht="12.75">
      <c r="B11" s="12" t="s">
        <v>44</v>
      </c>
      <c r="H11" s="16">
        <v>1800</v>
      </c>
      <c r="I11" s="51">
        <f>I12*I7</f>
        <v>1980</v>
      </c>
      <c r="J11" s="51">
        <f>J12*J7</f>
        <v>2178.0000000000005</v>
      </c>
      <c r="K11" s="51">
        <f>K12*K7</f>
        <v>2395.8000000000006</v>
      </c>
      <c r="L11" s="51">
        <f>L12*L7</f>
        <v>2635.380000000001</v>
      </c>
      <c r="M11" s="51">
        <f>M12*M7</f>
        <v>2898.9180000000015</v>
      </c>
    </row>
    <row r="12" spans="2:13" s="44" customFormat="1" ht="12.75">
      <c r="B12" s="46" t="s">
        <v>61</v>
      </c>
      <c r="H12" s="45">
        <v>0.09</v>
      </c>
      <c r="I12" s="44">
        <f>H12</f>
        <v>0.09</v>
      </c>
      <c r="J12" s="44">
        <f>I12</f>
        <v>0.09</v>
      </c>
      <c r="K12" s="44">
        <f>J12</f>
        <v>0.09</v>
      </c>
      <c r="L12" s="44">
        <f>K12</f>
        <v>0.09</v>
      </c>
      <c r="M12" s="44">
        <f>L12</f>
        <v>0.09</v>
      </c>
    </row>
    <row r="13" spans="2:13" ht="12.75">
      <c r="B13" s="12" t="s">
        <v>35</v>
      </c>
      <c r="H13" s="16">
        <v>1100</v>
      </c>
      <c r="I13" s="51">
        <f>I14*I7</f>
        <v>1320</v>
      </c>
      <c r="J13" s="51">
        <f>J14*J7</f>
        <v>1331.0000000000002</v>
      </c>
      <c r="K13" s="51">
        <f>K14*K7</f>
        <v>1331.0000000000005</v>
      </c>
      <c r="L13" s="51">
        <f>L14*L7</f>
        <v>1317.6900000000005</v>
      </c>
      <c r="M13" s="51">
        <f>M14*M7</f>
        <v>1288.4080000000006</v>
      </c>
    </row>
    <row r="14" spans="2:13" s="44" customFormat="1" ht="12.75">
      <c r="B14" s="46" t="s">
        <v>61</v>
      </c>
      <c r="H14" s="45">
        <v>0.06</v>
      </c>
      <c r="I14" s="44">
        <v>0.06</v>
      </c>
      <c r="J14" s="44">
        <v>0.055</v>
      </c>
      <c r="K14" s="44">
        <v>0.05</v>
      </c>
      <c r="L14" s="44">
        <v>0.045</v>
      </c>
      <c r="M14" s="44">
        <v>0.04</v>
      </c>
    </row>
    <row r="15" spans="2:13" ht="12.75">
      <c r="B15" s="12" t="s">
        <v>36</v>
      </c>
      <c r="H15" s="16">
        <v>1000</v>
      </c>
      <c r="I15" s="51">
        <f>I73</f>
        <v>4683.333333333333</v>
      </c>
      <c r="J15" s="51">
        <f>J73</f>
        <v>5133.333333333333</v>
      </c>
      <c r="K15" s="51">
        <f>K73</f>
        <v>5733.333333333333</v>
      </c>
      <c r="L15" s="51">
        <f>L73</f>
        <v>2200</v>
      </c>
      <c r="M15" s="51">
        <f>M73</f>
        <v>3000</v>
      </c>
    </row>
    <row r="16" spans="2:13" ht="12.75">
      <c r="B16" s="12" t="s">
        <v>3</v>
      </c>
      <c r="H16" s="16">
        <v>12</v>
      </c>
      <c r="I16" s="51">
        <f>I17*I7</f>
        <v>13.2</v>
      </c>
      <c r="J16" s="51">
        <f>J17*J7</f>
        <v>14.520000000000001</v>
      </c>
      <c r="K16" s="51">
        <f>K17*K7</f>
        <v>15.972000000000003</v>
      </c>
      <c r="L16" s="51">
        <f>L17*L7</f>
        <v>17.569200000000006</v>
      </c>
      <c r="M16" s="51">
        <f>M17*M7</f>
        <v>19.326120000000007</v>
      </c>
    </row>
    <row r="17" spans="2:13" s="44" customFormat="1" ht="12.75">
      <c r="B17" s="46" t="s">
        <v>61</v>
      </c>
      <c r="H17" s="50">
        <f>H16/H7</f>
        <v>0.0006</v>
      </c>
      <c r="I17" s="49">
        <f>H17</f>
        <v>0.0006</v>
      </c>
      <c r="J17" s="49">
        <f>I17</f>
        <v>0.0006</v>
      </c>
      <c r="K17" s="49">
        <f>J17</f>
        <v>0.0006</v>
      </c>
      <c r="L17" s="49">
        <f>K17</f>
        <v>0.0006</v>
      </c>
      <c r="M17" s="49">
        <f>L17</f>
        <v>0.0006</v>
      </c>
    </row>
    <row r="18" spans="2:13" ht="12.75">
      <c r="B18" s="48" t="s">
        <v>62</v>
      </c>
      <c r="H18" s="16">
        <f>H7-H9-H11-H13-H15-H16</f>
        <v>7088</v>
      </c>
      <c r="I18" s="51">
        <f>I7-I9-I11-I13-I15-I16</f>
        <v>4103.466666666667</v>
      </c>
      <c r="J18" s="51">
        <f>J7-J9-J11-J13-J15-J16</f>
        <v>4713.646666666668</v>
      </c>
      <c r="K18" s="51">
        <f>K7-K9-K11-K13-K15-K16</f>
        <v>5297.99466666667</v>
      </c>
      <c r="L18" s="51">
        <f>L7-L9-L11-L13-L15-L16</f>
        <v>10154.075800000004</v>
      </c>
      <c r="M18" s="51">
        <f>M7-M9-M11-M13-M15-M16</f>
        <v>10831.059880000004</v>
      </c>
    </row>
    <row r="19" spans="2:13" ht="12.75">
      <c r="B19" s="47" t="s">
        <v>63</v>
      </c>
      <c r="H19" s="16"/>
      <c r="I19" s="51">
        <f>I131+I127</f>
        <v>497.5</v>
      </c>
      <c r="J19" s="51">
        <f>J131+J127</f>
        <v>300</v>
      </c>
      <c r="K19" s="51">
        <f>K131+K127</f>
        <v>180</v>
      </c>
      <c r="L19" s="51">
        <f>L131+L127</f>
        <v>60</v>
      </c>
      <c r="M19" s="51">
        <f>M131+M127</f>
        <v>0</v>
      </c>
    </row>
    <row r="20" spans="2:13" ht="12.75">
      <c r="B20" s="47" t="s">
        <v>64</v>
      </c>
      <c r="H20" s="16"/>
      <c r="I20" s="51">
        <f>0.02*I31</f>
        <v>35.55560053981106</v>
      </c>
      <c r="J20" s="51">
        <f>0.02*J31</f>
        <v>106.2975534028677</v>
      </c>
      <c r="K20" s="51">
        <f>0.02*K31</f>
        <v>183.15242517159353</v>
      </c>
      <c r="L20" s="51">
        <f>0.02*L31</f>
        <v>226.33076573823013</v>
      </c>
      <c r="M20" s="51">
        <f>0.02*M31</f>
        <v>335.39962328880705</v>
      </c>
    </row>
    <row r="21" spans="2:13" ht="12.75">
      <c r="B21" s="47" t="s">
        <v>65</v>
      </c>
      <c r="H21" s="16"/>
      <c r="I21" s="51">
        <f>I18-I19+I20</f>
        <v>3641.5222672064783</v>
      </c>
      <c r="J21" s="51">
        <f>J18-J19+J20</f>
        <v>4519.944220069536</v>
      </c>
      <c r="K21" s="51">
        <f>K18-K19+K20</f>
        <v>5301.147091838264</v>
      </c>
      <c r="L21" s="51">
        <f>L18-L19+L20</f>
        <v>10320.406565738234</v>
      </c>
      <c r="M21" s="51">
        <f>M18-M19+M20</f>
        <v>11166.459503288812</v>
      </c>
    </row>
    <row r="22" spans="2:13" ht="12.75">
      <c r="B22" s="47" t="s">
        <v>4</v>
      </c>
      <c r="I22" s="44">
        <v>0.4</v>
      </c>
      <c r="J22" s="44">
        <v>0.4</v>
      </c>
      <c r="K22" s="44">
        <v>0.4</v>
      </c>
      <c r="L22" s="44">
        <v>0.4</v>
      </c>
      <c r="M22" s="44">
        <v>0.4</v>
      </c>
    </row>
    <row r="23" spans="2:16" ht="3" customHeight="1" thickBo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3"/>
      <c r="O23" s="3"/>
      <c r="P23" s="3"/>
    </row>
    <row r="24" spans="2:16" ht="12.75">
      <c r="B24" s="47" t="s">
        <v>66</v>
      </c>
      <c r="C24" s="3"/>
      <c r="D24" s="3"/>
      <c r="E24" s="3"/>
      <c r="F24" s="3"/>
      <c r="G24" s="3"/>
      <c r="H24" s="6"/>
      <c r="I24" s="51">
        <f>I21*(1-I22)</f>
        <v>2184.913360323887</v>
      </c>
      <c r="J24" s="51">
        <f>J21*(1-J22)</f>
        <v>2711.966532041721</v>
      </c>
      <c r="K24" s="51">
        <f>K21*(1-K22)</f>
        <v>3180.688255102958</v>
      </c>
      <c r="L24" s="51">
        <f>L21*(1-L22)</f>
        <v>6192.24393944294</v>
      </c>
      <c r="M24" s="51">
        <f>M21*(1-M22)</f>
        <v>6699.875701973287</v>
      </c>
      <c r="N24" s="3"/>
      <c r="O24" s="3"/>
      <c r="P24" s="3"/>
    </row>
    <row r="25" spans="2:1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1" t="s">
        <v>31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ht="12.75">
      <c r="B27" s="3"/>
      <c r="C27" s="3"/>
      <c r="D27" s="3"/>
      <c r="E27" s="3"/>
      <c r="F27" s="3"/>
      <c r="G27" s="3"/>
      <c r="H27" s="7" t="str">
        <f>+$H$3</f>
        <v>For the period ending December 31,</v>
      </c>
      <c r="I27" s="7"/>
      <c r="J27" s="7"/>
      <c r="K27" s="7"/>
      <c r="L27" s="7"/>
      <c r="M27" s="7"/>
      <c r="N27" s="3"/>
      <c r="O27" s="3"/>
      <c r="P27" s="3"/>
    </row>
    <row r="28" spans="2:16" ht="12.75">
      <c r="B28" s="4" t="s">
        <v>28</v>
      </c>
      <c r="C28" s="3"/>
      <c r="D28" s="3"/>
      <c r="E28" s="3"/>
      <c r="F28" s="3"/>
      <c r="G28" s="3"/>
      <c r="H28" s="8">
        <f>+$H$4</f>
        <v>2017</v>
      </c>
      <c r="I28" s="9">
        <f>+I$4</f>
        <v>2018</v>
      </c>
      <c r="J28" s="9">
        <f>+J$4</f>
        <v>2019</v>
      </c>
      <c r="K28" s="9">
        <f>+K$4</f>
        <v>2020</v>
      </c>
      <c r="L28" s="9">
        <f>+L$4</f>
        <v>2021</v>
      </c>
      <c r="M28" s="9">
        <f>+M$4</f>
        <v>2022</v>
      </c>
      <c r="N28" s="3"/>
      <c r="O28" s="3"/>
      <c r="P28" s="3"/>
    </row>
    <row r="29" spans="2:16" ht="3" customHeight="1" thickBot="1">
      <c r="B29" s="5"/>
      <c r="C29" s="5"/>
      <c r="D29" s="5"/>
      <c r="E29" s="5"/>
      <c r="F29" s="5"/>
      <c r="G29" s="5"/>
      <c r="H29" s="2"/>
      <c r="I29" s="2"/>
      <c r="J29" s="2"/>
      <c r="K29" s="2"/>
      <c r="L29" s="2"/>
      <c r="M29" s="2"/>
      <c r="N29" s="3"/>
      <c r="O29" s="3"/>
      <c r="P29" s="3"/>
    </row>
    <row r="31" spans="2:13" ht="12.75">
      <c r="B31" s="3" t="s">
        <v>5</v>
      </c>
      <c r="C31" s="3"/>
      <c r="D31" s="3"/>
      <c r="E31" s="3"/>
      <c r="F31" s="3"/>
      <c r="G31" s="3"/>
      <c r="H31" s="21">
        <v>350</v>
      </c>
      <c r="I31" s="51">
        <f>H31+I92</f>
        <v>1777.7800269905529</v>
      </c>
      <c r="J31" s="51">
        <f>I31+J92</f>
        <v>5314.877670143385</v>
      </c>
      <c r="K31" s="51">
        <f>J31+K92</f>
        <v>9157.621258579677</v>
      </c>
      <c r="L31" s="51">
        <f>K31+L92</f>
        <v>11316.538286911506</v>
      </c>
      <c r="M31" s="51">
        <f>L31+M92</f>
        <v>16769.981164440353</v>
      </c>
    </row>
    <row r="32" spans="2:13" s="76" customFormat="1" ht="12.75">
      <c r="B32" s="75" t="s">
        <v>6</v>
      </c>
      <c r="C32" s="75"/>
      <c r="D32" s="75"/>
      <c r="E32" s="75"/>
      <c r="F32" s="75"/>
      <c r="G32" s="75"/>
      <c r="H32" s="81">
        <v>2800</v>
      </c>
      <c r="I32" s="82">
        <f>I33*I7</f>
        <v>3080.0000000000005</v>
      </c>
      <c r="J32" s="82">
        <f>J33*J7</f>
        <v>3388.000000000001</v>
      </c>
      <c r="K32" s="82">
        <f>K33*K7</f>
        <v>3726.8000000000015</v>
      </c>
      <c r="L32" s="82">
        <f>L33*L7</f>
        <v>4099.480000000002</v>
      </c>
      <c r="M32" s="82">
        <f>M33*M7</f>
        <v>4509.428000000003</v>
      </c>
    </row>
    <row r="33" spans="2:13" ht="12.75">
      <c r="B33" s="3" t="s">
        <v>67</v>
      </c>
      <c r="C33" s="3"/>
      <c r="D33" s="3"/>
      <c r="E33" s="3"/>
      <c r="F33" s="3"/>
      <c r="G33" s="3"/>
      <c r="H33" s="52">
        <f>H32/H7</f>
        <v>0.14</v>
      </c>
      <c r="I33" s="44">
        <f>H33</f>
        <v>0.14</v>
      </c>
      <c r="J33" s="44">
        <f>I33</f>
        <v>0.14</v>
      </c>
      <c r="K33" s="44">
        <f>J33</f>
        <v>0.14</v>
      </c>
      <c r="L33" s="44">
        <f>K33</f>
        <v>0.14</v>
      </c>
      <c r="M33" s="44">
        <f>L33</f>
        <v>0.14</v>
      </c>
    </row>
    <row r="34" spans="2:13" ht="12.75">
      <c r="B34" s="3" t="s">
        <v>7</v>
      </c>
      <c r="C34" s="3"/>
      <c r="D34" s="3"/>
      <c r="E34" s="3"/>
      <c r="F34" s="3"/>
      <c r="G34" s="3"/>
      <c r="H34" s="18">
        <v>2000</v>
      </c>
      <c r="I34" s="51">
        <f>I35*I9</f>
        <v>2200</v>
      </c>
      <c r="J34" s="51">
        <f>J35*J9</f>
        <v>2406.5555555555557</v>
      </c>
      <c r="K34" s="51">
        <f>K35*K9</f>
        <v>2632.422222222223</v>
      </c>
      <c r="L34" s="51">
        <f>L35*L9</f>
        <v>2879.396666666668</v>
      </c>
      <c r="M34" s="51">
        <f>M35*M9</f>
        <v>3149.441777777779</v>
      </c>
    </row>
    <row r="35" spans="2:13" ht="12.75">
      <c r="B35" s="3" t="s">
        <v>68</v>
      </c>
      <c r="C35" s="3"/>
      <c r="D35" s="3"/>
      <c r="E35" s="3"/>
      <c r="F35" s="3"/>
      <c r="G35" s="3"/>
      <c r="H35" s="52">
        <f>H34/H9</f>
        <v>0.2222222222222222</v>
      </c>
      <c r="I35" s="44">
        <f>H35</f>
        <v>0.2222222222222222</v>
      </c>
      <c r="J35" s="44">
        <f>I35</f>
        <v>0.2222222222222222</v>
      </c>
      <c r="K35" s="44">
        <f>J35</f>
        <v>0.2222222222222222</v>
      </c>
      <c r="L35" s="44">
        <f>K35</f>
        <v>0.2222222222222222</v>
      </c>
      <c r="M35" s="44">
        <f>L35</f>
        <v>0.2222222222222222</v>
      </c>
    </row>
    <row r="36" spans="2:13" ht="12.75">
      <c r="B36" s="13" t="s">
        <v>8</v>
      </c>
      <c r="C36" s="13"/>
      <c r="D36" s="13"/>
      <c r="E36" s="13"/>
      <c r="F36" s="13"/>
      <c r="G36" s="13"/>
      <c r="H36" s="19">
        <v>100</v>
      </c>
      <c r="I36" s="51">
        <f>I37*I7</f>
        <v>110</v>
      </c>
      <c r="J36" s="51">
        <f>J37*J7</f>
        <v>121.00000000000001</v>
      </c>
      <c r="K36" s="51">
        <f>K37*K7</f>
        <v>133.10000000000005</v>
      </c>
      <c r="L36" s="51">
        <f>L37*L7</f>
        <v>146.41000000000005</v>
      </c>
      <c r="M36" s="51">
        <f>M37*M7</f>
        <v>161.05100000000007</v>
      </c>
    </row>
    <row r="37" spans="2:13" s="44" customFormat="1" ht="12.75">
      <c r="B37" s="54" t="s">
        <v>69</v>
      </c>
      <c r="C37" s="55"/>
      <c r="D37" s="55"/>
      <c r="E37" s="55"/>
      <c r="F37" s="55"/>
      <c r="G37" s="55"/>
      <c r="H37" s="56">
        <f>H36/H7</f>
        <v>0.005</v>
      </c>
      <c r="I37" s="57">
        <f>H37</f>
        <v>0.005</v>
      </c>
      <c r="J37" s="57">
        <f>I37</f>
        <v>0.005</v>
      </c>
      <c r="K37" s="57">
        <f>J37</f>
        <v>0.005</v>
      </c>
      <c r="L37" s="57">
        <f>K37</f>
        <v>0.005</v>
      </c>
      <c r="M37" s="57">
        <f>L37</f>
        <v>0.005</v>
      </c>
    </row>
    <row r="38" spans="2:13" s="64" customFormat="1" ht="12.75">
      <c r="B38" s="62" t="s">
        <v>70</v>
      </c>
      <c r="C38" s="63"/>
      <c r="D38" s="63"/>
      <c r="E38" s="63"/>
      <c r="F38" s="63"/>
      <c r="G38" s="63"/>
      <c r="H38" s="67">
        <f>H31+H32+H34+H36</f>
        <v>5250</v>
      </c>
      <c r="I38" s="67">
        <f>I31+I32+I34+I36</f>
        <v>7167.780026990553</v>
      </c>
      <c r="J38" s="67">
        <f>J31+J32+J34+J36</f>
        <v>11230.43322569894</v>
      </c>
      <c r="K38" s="67">
        <f>K31+K32+K34+K36</f>
        <v>15649.943480801901</v>
      </c>
      <c r="L38" s="67">
        <f>L31+L32+L34+L36</f>
        <v>18441.824953578176</v>
      </c>
      <c r="M38" s="67">
        <f>M31+M32+M34+M36</f>
        <v>24589.901942218134</v>
      </c>
    </row>
    <row r="39" spans="2:13" s="76" customFormat="1" ht="12.75">
      <c r="B39" s="78" t="s">
        <v>9</v>
      </c>
      <c r="C39" s="78"/>
      <c r="D39" s="78"/>
      <c r="E39" s="78"/>
      <c r="F39" s="78"/>
      <c r="G39" s="78"/>
      <c r="H39" s="80">
        <v>16000</v>
      </c>
      <c r="I39" s="77">
        <f>H39+I105</f>
        <v>17750</v>
      </c>
      <c r="J39" s="77">
        <f>I39+J105</f>
        <v>20000</v>
      </c>
      <c r="K39" s="77">
        <f>J39+K105</f>
        <v>23000</v>
      </c>
      <c r="L39" s="77">
        <f>K39+L105</f>
        <v>27000</v>
      </c>
      <c r="M39" s="77">
        <f>L39+M105</f>
        <v>31000</v>
      </c>
    </row>
    <row r="40" spans="2:13" s="76" customFormat="1" ht="12.75">
      <c r="B40" s="78" t="s">
        <v>10</v>
      </c>
      <c r="C40" s="78"/>
      <c r="D40" s="78"/>
      <c r="E40" s="78"/>
      <c r="F40" s="78"/>
      <c r="G40" s="78"/>
      <c r="H40" s="79">
        <v>-3000</v>
      </c>
      <c r="I40" s="77">
        <f>H40-I113</f>
        <v>-7683.333333333333</v>
      </c>
      <c r="J40" s="77">
        <f>I40-J113</f>
        <v>-12816.666666666666</v>
      </c>
      <c r="K40" s="77">
        <f>J40-K113</f>
        <v>-18550</v>
      </c>
      <c r="L40" s="77">
        <f>K40-L113</f>
        <v>-20750</v>
      </c>
      <c r="M40" s="77">
        <f>L40-M113</f>
        <v>-23750</v>
      </c>
    </row>
    <row r="41" spans="2:13" s="76" customFormat="1" ht="12.75">
      <c r="B41" s="78" t="s">
        <v>25</v>
      </c>
      <c r="C41" s="78"/>
      <c r="D41" s="78"/>
      <c r="E41" s="78"/>
      <c r="F41" s="78"/>
      <c r="G41" s="78"/>
      <c r="H41" s="80">
        <v>150</v>
      </c>
      <c r="I41" s="77">
        <f>H41-I16</f>
        <v>136.8</v>
      </c>
      <c r="J41" s="77">
        <f>I41-J16</f>
        <v>122.28000000000002</v>
      </c>
      <c r="K41" s="77">
        <f>J41-K16</f>
        <v>106.308</v>
      </c>
      <c r="L41" s="77">
        <f>K41-L16</f>
        <v>88.7388</v>
      </c>
      <c r="M41" s="77">
        <f>L41-M16</f>
        <v>69.41268</v>
      </c>
    </row>
    <row r="42" spans="2:13" s="76" customFormat="1" ht="12.75">
      <c r="B42" s="78" t="s">
        <v>11</v>
      </c>
      <c r="C42" s="78"/>
      <c r="D42" s="78"/>
      <c r="E42" s="78"/>
      <c r="F42" s="78"/>
      <c r="G42" s="78"/>
      <c r="H42" s="79">
        <v>500</v>
      </c>
      <c r="I42" s="77">
        <f>I43*I7</f>
        <v>550</v>
      </c>
      <c r="J42" s="77">
        <f>J43*J7</f>
        <v>605.0000000000001</v>
      </c>
      <c r="K42" s="77">
        <f>K43*K7</f>
        <v>665.5000000000002</v>
      </c>
      <c r="L42" s="77">
        <f>L43*L7</f>
        <v>732.0500000000003</v>
      </c>
      <c r="M42" s="77">
        <f>M43*M7</f>
        <v>805.2550000000005</v>
      </c>
    </row>
    <row r="43" spans="2:13" s="44" customFormat="1" ht="12.75">
      <c r="B43" s="54" t="s">
        <v>69</v>
      </c>
      <c r="C43" s="55"/>
      <c r="D43" s="55"/>
      <c r="E43" s="55"/>
      <c r="F43" s="55"/>
      <c r="G43" s="55"/>
      <c r="H43" s="56">
        <f>H42/H7</f>
        <v>0.025</v>
      </c>
      <c r="I43" s="57">
        <f>H43</f>
        <v>0.025</v>
      </c>
      <c r="J43" s="57">
        <f>I43</f>
        <v>0.025</v>
      </c>
      <c r="K43" s="57">
        <f>J43</f>
        <v>0.025</v>
      </c>
      <c r="L43" s="57">
        <f>K43</f>
        <v>0.025</v>
      </c>
      <c r="M43" s="57">
        <f>L43</f>
        <v>0.025</v>
      </c>
    </row>
    <row r="44" spans="2:13" s="64" customFormat="1" ht="12.75">
      <c r="B44" s="62" t="s">
        <v>71</v>
      </c>
      <c r="C44" s="63"/>
      <c r="D44" s="63"/>
      <c r="E44" s="63"/>
      <c r="F44" s="63"/>
      <c r="G44" s="63"/>
      <c r="H44" s="67">
        <f>H38+H39+H40+H41+H42</f>
        <v>18900</v>
      </c>
      <c r="I44" s="67">
        <f>I38+I39+I40+I41+I42</f>
        <v>17921.24669365722</v>
      </c>
      <c r="J44" s="67">
        <f>J38+J39+J40+J41+J42</f>
        <v>19141.04655903227</v>
      </c>
      <c r="K44" s="67">
        <f>K38+K39+K40+K41+K42</f>
        <v>20871.7514808019</v>
      </c>
      <c r="L44" s="67">
        <f>L38+L39+L40+L41+L42</f>
        <v>25512.613753578178</v>
      </c>
      <c r="M44" s="67">
        <f>M38+M39+M40+M41+M42</f>
        <v>32714.569622218132</v>
      </c>
    </row>
    <row r="45" spans="2:13" ht="12.75">
      <c r="B45" s="13" t="s">
        <v>12</v>
      </c>
      <c r="C45" s="13"/>
      <c r="D45" s="13"/>
      <c r="E45" s="13"/>
      <c r="F45" s="13"/>
      <c r="G45" s="13"/>
      <c r="H45" s="20">
        <v>1200</v>
      </c>
      <c r="I45" s="51">
        <f>I46*I7</f>
        <v>2933.3333333333335</v>
      </c>
      <c r="J45" s="51">
        <f>J46*J7</f>
        <v>3226.666666666667</v>
      </c>
      <c r="K45" s="51">
        <f>K46*K7</f>
        <v>3549.3333333333344</v>
      </c>
      <c r="L45" s="51">
        <f>L46*L7</f>
        <v>3904.2666666666682</v>
      </c>
      <c r="M45" s="51">
        <f>M46*M7</f>
        <v>4294.693333333335</v>
      </c>
    </row>
    <row r="46" spans="2:13" s="44" customFormat="1" ht="12.75">
      <c r="B46" s="59" t="s">
        <v>68</v>
      </c>
      <c r="C46" s="55"/>
      <c r="D46" s="55"/>
      <c r="E46" s="55"/>
      <c r="F46" s="55"/>
      <c r="G46" s="55"/>
      <c r="H46" s="60">
        <f>H45/H9</f>
        <v>0.13333333333333333</v>
      </c>
      <c r="I46" s="57">
        <f>H46</f>
        <v>0.13333333333333333</v>
      </c>
      <c r="J46" s="57">
        <f>I46</f>
        <v>0.13333333333333333</v>
      </c>
      <c r="K46" s="57">
        <f>J46</f>
        <v>0.13333333333333333</v>
      </c>
      <c r="L46" s="57">
        <f>K46</f>
        <v>0.13333333333333333</v>
      </c>
      <c r="M46" s="57">
        <f>L46</f>
        <v>0.13333333333333333</v>
      </c>
    </row>
    <row r="47" spans="2:13" ht="12.75">
      <c r="B47" s="13" t="s">
        <v>13</v>
      </c>
      <c r="C47" s="13"/>
      <c r="D47" s="13"/>
      <c r="E47" s="13"/>
      <c r="F47" s="13"/>
      <c r="G47" s="13"/>
      <c r="H47" s="19">
        <v>400</v>
      </c>
      <c r="I47" s="51">
        <f>I48*I7</f>
        <v>440</v>
      </c>
      <c r="J47" s="51">
        <f>J48*J7</f>
        <v>484.00000000000006</v>
      </c>
      <c r="K47" s="51">
        <f>K48*K7</f>
        <v>532.4000000000002</v>
      </c>
      <c r="L47" s="51">
        <f>L48*L7</f>
        <v>585.6400000000002</v>
      </c>
      <c r="M47" s="51">
        <f>M48*M7</f>
        <v>644.2040000000003</v>
      </c>
    </row>
    <row r="48" spans="2:13" s="44" customFormat="1" ht="12.75">
      <c r="B48" s="55" t="s">
        <v>67</v>
      </c>
      <c r="C48" s="55"/>
      <c r="D48" s="55"/>
      <c r="E48" s="55"/>
      <c r="F48" s="55"/>
      <c r="G48" s="55"/>
      <c r="H48" s="56">
        <f>H47/H7</f>
        <v>0.02</v>
      </c>
      <c r="I48" s="44">
        <f>H48</f>
        <v>0.02</v>
      </c>
      <c r="J48" s="44">
        <f>I48</f>
        <v>0.02</v>
      </c>
      <c r="K48" s="44">
        <f>J48</f>
        <v>0.02</v>
      </c>
      <c r="L48" s="44">
        <f>K48</f>
        <v>0.02</v>
      </c>
      <c r="M48" s="44">
        <f>L48</f>
        <v>0.02</v>
      </c>
    </row>
    <row r="49" spans="2:13" ht="12.75">
      <c r="B49" s="13" t="s">
        <v>14</v>
      </c>
      <c r="C49" s="13"/>
      <c r="D49" s="13"/>
      <c r="E49" s="13"/>
      <c r="F49" s="13"/>
      <c r="G49" s="13"/>
      <c r="H49" s="19">
        <v>350</v>
      </c>
      <c r="I49" s="51">
        <f>I50*I7</f>
        <v>385.00000000000006</v>
      </c>
      <c r="J49" s="51">
        <f>J50*J7</f>
        <v>423.5000000000001</v>
      </c>
      <c r="K49" s="51">
        <f>K50*K7</f>
        <v>465.8500000000002</v>
      </c>
      <c r="L49" s="51">
        <f>L50*L7</f>
        <v>512.4350000000003</v>
      </c>
      <c r="M49" s="51">
        <f>M50*M7</f>
        <v>563.6785000000003</v>
      </c>
    </row>
    <row r="50" spans="2:13" s="44" customFormat="1" ht="12.75">
      <c r="B50" s="59" t="s">
        <v>67</v>
      </c>
      <c r="C50" s="55"/>
      <c r="D50" s="55"/>
      <c r="E50" s="55"/>
      <c r="F50" s="55"/>
      <c r="G50" s="55"/>
      <c r="H50" s="56">
        <f>H49/H$7</f>
        <v>0.0175</v>
      </c>
      <c r="I50" s="61">
        <f>H50</f>
        <v>0.0175</v>
      </c>
      <c r="J50" s="61">
        <f>I50</f>
        <v>0.0175</v>
      </c>
      <c r="K50" s="61">
        <f>J50</f>
        <v>0.0175</v>
      </c>
      <c r="L50" s="61">
        <f>K50</f>
        <v>0.0175</v>
      </c>
      <c r="M50" s="61">
        <f>L50</f>
        <v>0.0175</v>
      </c>
    </row>
    <row r="51" spans="2:13" ht="12.75">
      <c r="B51" s="13" t="s">
        <v>15</v>
      </c>
      <c r="C51" s="13"/>
      <c r="D51" s="13"/>
      <c r="E51" s="13"/>
      <c r="F51" s="13"/>
      <c r="G51" s="13"/>
      <c r="H51" s="19">
        <v>200</v>
      </c>
      <c r="I51" s="53">
        <f>I52*I7</f>
        <v>220</v>
      </c>
      <c r="J51" s="53">
        <f>J52*J7</f>
        <v>242.00000000000003</v>
      </c>
      <c r="K51" s="53">
        <f>K52*K7</f>
        <v>266.2000000000001</v>
      </c>
      <c r="L51" s="53">
        <f>L52*L7</f>
        <v>292.8200000000001</v>
      </c>
      <c r="M51" s="53">
        <f>M52*M7</f>
        <v>322.10200000000015</v>
      </c>
    </row>
    <row r="52" spans="2:13" ht="12.75">
      <c r="B52" s="58" t="s">
        <v>67</v>
      </c>
      <c r="C52" s="13"/>
      <c r="D52" s="13"/>
      <c r="E52" s="13"/>
      <c r="F52" s="13"/>
      <c r="G52" s="13"/>
      <c r="H52" s="56">
        <f>H51/H$7</f>
        <v>0.01</v>
      </c>
      <c r="I52" s="61">
        <f>H52</f>
        <v>0.01</v>
      </c>
      <c r="J52" s="61">
        <f>I52</f>
        <v>0.01</v>
      </c>
      <c r="K52" s="61">
        <f>J52</f>
        <v>0.01</v>
      </c>
      <c r="L52" s="61">
        <f>K52</f>
        <v>0.01</v>
      </c>
      <c r="M52" s="61">
        <f>L52</f>
        <v>0.01</v>
      </c>
    </row>
    <row r="53" spans="2:13" s="68" customFormat="1" ht="12.75">
      <c r="B53" s="68" t="s">
        <v>72</v>
      </c>
      <c r="H53" s="68">
        <f>H45+H47+H49+H51</f>
        <v>2150</v>
      </c>
      <c r="I53" s="68">
        <f>I45+I47+I49+I51</f>
        <v>3978.3333333333335</v>
      </c>
      <c r="J53" s="68">
        <f>J45+J47+J49+J51</f>
        <v>4376.166666666667</v>
      </c>
      <c r="K53" s="68">
        <f>K45+K47+K49+K51</f>
        <v>4813.783333333335</v>
      </c>
      <c r="L53" s="68">
        <f>L45+L47+L49+L51</f>
        <v>5295.161666666669</v>
      </c>
      <c r="M53" s="68">
        <f>M45+M47+M49+M51</f>
        <v>5824.677833333336</v>
      </c>
    </row>
    <row r="54" spans="2:13" ht="12.75">
      <c r="B54" s="13" t="s">
        <v>16</v>
      </c>
      <c r="C54" s="13"/>
      <c r="D54" s="13"/>
      <c r="E54" s="13"/>
      <c r="F54" s="13"/>
      <c r="G54" s="13"/>
      <c r="H54" s="20">
        <v>3100</v>
      </c>
      <c r="I54" s="53">
        <f>I126</f>
        <v>0</v>
      </c>
      <c r="J54" s="53">
        <f>J126</f>
        <v>0</v>
      </c>
      <c r="K54" s="53">
        <f>K126</f>
        <v>0</v>
      </c>
      <c r="L54" s="53">
        <f>L126</f>
        <v>0</v>
      </c>
      <c r="M54" s="53">
        <f>M126</f>
        <v>0</v>
      </c>
    </row>
    <row r="55" spans="2:13" ht="12.75">
      <c r="B55" s="13" t="s">
        <v>48</v>
      </c>
      <c r="C55" s="13"/>
      <c r="D55" s="13"/>
      <c r="E55" s="13"/>
      <c r="F55" s="13"/>
      <c r="G55" s="13"/>
      <c r="H55" s="19">
        <v>8000</v>
      </c>
      <c r="I55" s="53">
        <f>I130</f>
        <v>6000</v>
      </c>
      <c r="J55" s="53">
        <f>J130</f>
        <v>4000</v>
      </c>
      <c r="K55" s="53">
        <f>K130</f>
        <v>2000</v>
      </c>
      <c r="L55" s="53">
        <f>L130</f>
        <v>0</v>
      </c>
      <c r="M55" s="53">
        <f>M130</f>
        <v>0</v>
      </c>
    </row>
    <row r="56" spans="2:13" s="76" customFormat="1" ht="12.75">
      <c r="B56" s="78" t="s">
        <v>26</v>
      </c>
      <c r="C56" s="78"/>
      <c r="D56" s="78"/>
      <c r="E56" s="78"/>
      <c r="F56" s="78"/>
      <c r="G56" s="78"/>
      <c r="H56" s="79">
        <v>400</v>
      </c>
      <c r="I56" s="82">
        <f>I57*I7</f>
        <v>440</v>
      </c>
      <c r="J56" s="82">
        <f>J57*J7</f>
        <v>484.00000000000006</v>
      </c>
      <c r="K56" s="82">
        <f>K57*K7</f>
        <v>532.4000000000002</v>
      </c>
      <c r="L56" s="82">
        <f>L57*L7</f>
        <v>585.6400000000002</v>
      </c>
      <c r="M56" s="82">
        <f>M57*M7</f>
        <v>644.2040000000003</v>
      </c>
    </row>
    <row r="57" spans="2:13" ht="12.75">
      <c r="B57" s="58" t="s">
        <v>67</v>
      </c>
      <c r="C57" s="13"/>
      <c r="D57" s="13"/>
      <c r="E57" s="13"/>
      <c r="F57" s="13"/>
      <c r="G57" s="13"/>
      <c r="H57" s="56">
        <f>H56/H$7</f>
        <v>0.02</v>
      </c>
      <c r="I57" s="61">
        <f>H57</f>
        <v>0.02</v>
      </c>
      <c r="J57" s="61">
        <f>I57</f>
        <v>0.02</v>
      </c>
      <c r="K57" s="61">
        <f>J57</f>
        <v>0.02</v>
      </c>
      <c r="L57" s="61">
        <f>K57</f>
        <v>0.02</v>
      </c>
      <c r="M57" s="61">
        <f>L57</f>
        <v>0.02</v>
      </c>
    </row>
    <row r="58" spans="2:13" s="1" customFormat="1" ht="12.75">
      <c r="B58" s="65" t="s">
        <v>73</v>
      </c>
      <c r="C58" s="66"/>
      <c r="D58" s="66"/>
      <c r="E58" s="66"/>
      <c r="F58" s="66"/>
      <c r="G58" s="66"/>
      <c r="H58" s="69">
        <f>H53+H54+H55+H56</f>
        <v>13650</v>
      </c>
      <c r="I58" s="69">
        <f>I53+I54+I55+I56</f>
        <v>10418.333333333334</v>
      </c>
      <c r="J58" s="69">
        <f>J53+J54+J55+J56</f>
        <v>8860.166666666668</v>
      </c>
      <c r="K58" s="69">
        <f>K53+K54+K55+K56</f>
        <v>7346.183333333335</v>
      </c>
      <c r="L58" s="69">
        <f>L53+L54+L55+L56</f>
        <v>5880.801666666669</v>
      </c>
      <c r="M58" s="69">
        <f>M53+M54+M55+M56</f>
        <v>6468.8818333333365</v>
      </c>
    </row>
    <row r="59" spans="2:13" ht="12.75">
      <c r="B59" s="3" t="s">
        <v>27</v>
      </c>
      <c r="C59" s="3"/>
      <c r="D59" s="3"/>
      <c r="E59" s="3"/>
      <c r="F59" s="3"/>
      <c r="G59" s="3"/>
      <c r="H59" s="17">
        <v>5250</v>
      </c>
      <c r="I59" s="51">
        <f>H59+I72+I88</f>
        <v>7352.913360323887</v>
      </c>
      <c r="J59" s="51">
        <f>I59+J72+J88</f>
        <v>9980.879892365609</v>
      </c>
      <c r="K59" s="51">
        <f>J59+K72+K88</f>
        <v>13075.568147468566</v>
      </c>
      <c r="L59" s="51">
        <f>K59+L72+L88</f>
        <v>19181.81208691151</v>
      </c>
      <c r="M59" s="51">
        <f>L59+M72+M88</f>
        <v>25795.687788884796</v>
      </c>
    </row>
    <row r="60" spans="2:13" ht="12.75">
      <c r="B60" s="3" t="s">
        <v>116</v>
      </c>
      <c r="C60" s="3"/>
      <c r="D60" s="3"/>
      <c r="E60" s="3"/>
      <c r="F60" s="3"/>
      <c r="G60" s="3"/>
      <c r="H60" s="17"/>
      <c r="I60" s="51">
        <f>I89</f>
        <v>150</v>
      </c>
      <c r="J60" s="51">
        <f>J89</f>
        <v>150</v>
      </c>
      <c r="K60" s="51">
        <f>K89</f>
        <v>150</v>
      </c>
      <c r="L60" s="51">
        <f>L89</f>
        <v>0</v>
      </c>
      <c r="M60" s="51">
        <f>M89</f>
        <v>0</v>
      </c>
    </row>
    <row r="61" spans="2:13" ht="12.75">
      <c r="B61" s="3"/>
      <c r="C61" s="3"/>
      <c r="D61" s="3"/>
      <c r="E61" s="3"/>
      <c r="F61" s="3"/>
      <c r="G61" s="3"/>
      <c r="H61" s="17"/>
      <c r="I61" s="51"/>
      <c r="J61" s="51"/>
      <c r="K61" s="51"/>
      <c r="L61" s="51"/>
      <c r="M61" s="51"/>
    </row>
    <row r="62" spans="2:13" s="68" customFormat="1" ht="12.75">
      <c r="B62" s="68" t="s">
        <v>74</v>
      </c>
      <c r="H62" s="68">
        <f>H59+H58</f>
        <v>18900</v>
      </c>
      <c r="I62" s="68">
        <f>I59+I58+I60</f>
        <v>17921.24669365722</v>
      </c>
      <c r="J62" s="68">
        <f>J59+J58+J60</f>
        <v>18991.04655903228</v>
      </c>
      <c r="K62" s="68">
        <f>K59+K58+K60</f>
        <v>20571.7514808019</v>
      </c>
      <c r="L62" s="68">
        <f>L59+L58+L60</f>
        <v>25062.613753578178</v>
      </c>
      <c r="M62" s="68">
        <f>M59+M58+M60</f>
        <v>32264.569622218132</v>
      </c>
    </row>
    <row r="64" spans="2:13" ht="12.75">
      <c r="B64" s="4" t="s">
        <v>75</v>
      </c>
      <c r="H64" s="70">
        <f aca="true" t="shared" si="0" ref="H64:M64">H44-H62</f>
        <v>0</v>
      </c>
      <c r="I64" s="70">
        <f t="shared" si="0"/>
        <v>0</v>
      </c>
      <c r="J64" s="70">
        <f t="shared" si="0"/>
        <v>149.99999999999272</v>
      </c>
      <c r="K64" s="70">
        <f t="shared" si="0"/>
        <v>300</v>
      </c>
      <c r="L64" s="70">
        <f t="shared" si="0"/>
        <v>450</v>
      </c>
      <c r="M64" s="70">
        <f t="shared" si="0"/>
        <v>450</v>
      </c>
    </row>
    <row r="65" spans="2:16" ht="3" customHeight="1" thickBo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6"/>
      <c r="I66" s="3"/>
      <c r="J66" s="3"/>
      <c r="K66" s="3"/>
      <c r="L66" s="3"/>
      <c r="M66" s="3"/>
      <c r="N66" s="3"/>
      <c r="O66" s="3"/>
      <c r="P66" s="3"/>
    </row>
    <row r="68" spans="2:16" ht="12.75">
      <c r="B68" s="1" t="s">
        <v>32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"/>
      <c r="E69" s="3"/>
      <c r="F69" s="3"/>
      <c r="G69" s="3"/>
      <c r="H69" s="7" t="str">
        <f>+$H$3</f>
        <v>For the period ending December 31,</v>
      </c>
      <c r="I69" s="7"/>
      <c r="J69" s="7"/>
      <c r="K69" s="7"/>
      <c r="L69" s="7"/>
      <c r="M69" s="7"/>
      <c r="N69" s="3"/>
      <c r="O69" s="3"/>
      <c r="P69" s="3"/>
    </row>
    <row r="70" spans="2:16" ht="12.75">
      <c r="B70" s="4" t="s">
        <v>28</v>
      </c>
      <c r="C70" s="3"/>
      <c r="D70" s="3"/>
      <c r="E70" s="3"/>
      <c r="F70" s="3"/>
      <c r="G70" s="3"/>
      <c r="H70" s="8">
        <f>+$H$4</f>
        <v>2017</v>
      </c>
      <c r="I70" s="9">
        <f>+I$4</f>
        <v>2018</v>
      </c>
      <c r="J70" s="9">
        <f>+J$4</f>
        <v>2019</v>
      </c>
      <c r="K70" s="9">
        <f>+K$4</f>
        <v>2020</v>
      </c>
      <c r="L70" s="9">
        <f>+L$4</f>
        <v>2021</v>
      </c>
      <c r="M70" s="9">
        <f>+M$4</f>
        <v>2022</v>
      </c>
      <c r="N70" s="3"/>
      <c r="O70" s="3"/>
      <c r="P70" s="3"/>
    </row>
    <row r="71" spans="2:16" ht="3" customHeight="1" thickBot="1">
      <c r="B71" s="5"/>
      <c r="C71" s="5"/>
      <c r="D71" s="5"/>
      <c r="E71" s="5"/>
      <c r="F71" s="5"/>
      <c r="G71" s="5"/>
      <c r="H71" s="2"/>
      <c r="I71" s="2"/>
      <c r="J71" s="2"/>
      <c r="K71" s="2"/>
      <c r="L71" s="2"/>
      <c r="M71" s="2"/>
      <c r="N71" s="3"/>
      <c r="O71" s="3"/>
      <c r="P71" s="3"/>
    </row>
    <row r="72" spans="2:13" ht="12.75">
      <c r="B72" s="3" t="s">
        <v>66</v>
      </c>
      <c r="I72" s="51">
        <f>I24</f>
        <v>2184.913360323887</v>
      </c>
      <c r="J72" s="51">
        <f>J24</f>
        <v>2711.966532041721</v>
      </c>
      <c r="K72" s="51">
        <f>K24</f>
        <v>3180.688255102958</v>
      </c>
      <c r="L72" s="51">
        <f>L24</f>
        <v>6192.24393944294</v>
      </c>
      <c r="M72" s="51">
        <f>M24</f>
        <v>6699.875701973287</v>
      </c>
    </row>
    <row r="73" spans="2:13" s="76" customFormat="1" ht="12.75">
      <c r="B73" s="75" t="s">
        <v>36</v>
      </c>
      <c r="I73" s="77">
        <f>I113</f>
        <v>4683.333333333333</v>
      </c>
      <c r="J73" s="77">
        <f>J113</f>
        <v>5133.333333333333</v>
      </c>
      <c r="K73" s="77">
        <f>K113</f>
        <v>5733.333333333333</v>
      </c>
      <c r="L73" s="77">
        <f>L113</f>
        <v>2200</v>
      </c>
      <c r="M73" s="77">
        <f>M113</f>
        <v>3000</v>
      </c>
    </row>
    <row r="74" spans="2:13" s="76" customFormat="1" ht="12.75">
      <c r="B74" s="75" t="s">
        <v>87</v>
      </c>
      <c r="I74" s="77">
        <f>I16</f>
        <v>13.2</v>
      </c>
      <c r="J74" s="77">
        <f>J16</f>
        <v>14.520000000000001</v>
      </c>
      <c r="K74" s="77">
        <f>K16</f>
        <v>15.972000000000003</v>
      </c>
      <c r="L74" s="77">
        <f>L16</f>
        <v>17.569200000000006</v>
      </c>
      <c r="M74" s="77">
        <f>M16</f>
        <v>19.326120000000007</v>
      </c>
    </row>
    <row r="75" spans="2:13" s="76" customFormat="1" ht="12.75">
      <c r="B75" s="75" t="s">
        <v>88</v>
      </c>
      <c r="I75" s="77">
        <f>H32-I32</f>
        <v>-280.00000000000045</v>
      </c>
      <c r="J75" s="77">
        <f>I32-J32</f>
        <v>-308.00000000000045</v>
      </c>
      <c r="K75" s="77">
        <f>J32-K32</f>
        <v>-338.80000000000064</v>
      </c>
      <c r="L75" s="77">
        <f>K32-L32</f>
        <v>-372.68000000000075</v>
      </c>
      <c r="M75" s="77">
        <f>L32-M32</f>
        <v>-409.9480000000003</v>
      </c>
    </row>
    <row r="76" spans="2:13" ht="12.75">
      <c r="B76" s="3" t="s">
        <v>89</v>
      </c>
      <c r="I76" s="51">
        <f>H34-I34</f>
        <v>-200</v>
      </c>
      <c r="J76" s="51">
        <f>I34-J34</f>
        <v>-206.55555555555566</v>
      </c>
      <c r="K76" s="51">
        <f>J34-K34</f>
        <v>-225.86666666666724</v>
      </c>
      <c r="L76" s="51">
        <f>K34-L34</f>
        <v>-246.974444444445</v>
      </c>
      <c r="M76" s="51">
        <f>L34-M34</f>
        <v>-270.04511111111105</v>
      </c>
    </row>
    <row r="77" spans="2:13" ht="12.75">
      <c r="B77" s="3" t="s">
        <v>90</v>
      </c>
      <c r="I77" s="51">
        <f>H36-I36</f>
        <v>-10</v>
      </c>
      <c r="J77" s="51">
        <f>I36-J36</f>
        <v>-11.000000000000014</v>
      </c>
      <c r="K77" s="51">
        <f>J36-K36</f>
        <v>-12.100000000000037</v>
      </c>
      <c r="L77" s="51">
        <f>K36-L36</f>
        <v>-13.310000000000002</v>
      </c>
      <c r="M77" s="51">
        <f>L36-M36</f>
        <v>-14.64100000000002</v>
      </c>
    </row>
    <row r="78" spans="2:13" ht="12.75">
      <c r="B78" s="3" t="s">
        <v>91</v>
      </c>
      <c r="I78" s="51">
        <f>I45-H45</f>
        <v>1733.3333333333335</v>
      </c>
      <c r="J78" s="51">
        <f>J45-I45</f>
        <v>293.3333333333335</v>
      </c>
      <c r="K78" s="51">
        <f>K45-J45</f>
        <v>322.6666666666674</v>
      </c>
      <c r="L78" s="51">
        <f>L45-K45</f>
        <v>354.93333333333385</v>
      </c>
      <c r="M78" s="51">
        <f>M45-L45</f>
        <v>390.4266666666672</v>
      </c>
    </row>
    <row r="79" spans="2:13" ht="12.75">
      <c r="B79" s="3" t="s">
        <v>92</v>
      </c>
      <c r="I79" s="51">
        <f>I47-H47</f>
        <v>40</v>
      </c>
      <c r="J79" s="51">
        <f>J47-I47</f>
        <v>44.00000000000006</v>
      </c>
      <c r="K79" s="51">
        <f>K47-J47</f>
        <v>48.40000000000015</v>
      </c>
      <c r="L79" s="51">
        <f>L47-K47</f>
        <v>53.24000000000001</v>
      </c>
      <c r="M79" s="51">
        <f>M47-L47</f>
        <v>58.56400000000008</v>
      </c>
    </row>
    <row r="80" spans="2:13" s="76" customFormat="1" ht="12.75">
      <c r="B80" s="75" t="s">
        <v>114</v>
      </c>
      <c r="I80" s="77">
        <f>H42-I42</f>
        <v>-50</v>
      </c>
      <c r="J80" s="77">
        <f>I42-J42</f>
        <v>-55.000000000000114</v>
      </c>
      <c r="K80" s="77">
        <f>J42-K42</f>
        <v>-60.500000000000114</v>
      </c>
      <c r="L80" s="77">
        <f>K42-L42</f>
        <v>-66.55000000000007</v>
      </c>
      <c r="M80" s="77">
        <f>L42-M42</f>
        <v>-73.20500000000015</v>
      </c>
    </row>
    <row r="81" spans="2:13" s="76" customFormat="1" ht="12.75">
      <c r="B81" s="75" t="s">
        <v>115</v>
      </c>
      <c r="I81" s="77">
        <f>I56-H56</f>
        <v>40</v>
      </c>
      <c r="J81" s="77">
        <f>J56-I56</f>
        <v>44.00000000000006</v>
      </c>
      <c r="K81" s="77">
        <f>K56-J56</f>
        <v>48.40000000000015</v>
      </c>
      <c r="L81" s="77">
        <f>L56-K56</f>
        <v>53.24000000000001</v>
      </c>
      <c r="M81" s="77">
        <f>M56-L56</f>
        <v>58.56400000000008</v>
      </c>
    </row>
    <row r="82" spans="2:13" ht="12.75">
      <c r="B82" s="3" t="s">
        <v>14</v>
      </c>
      <c r="I82" s="51">
        <f>I49-H49</f>
        <v>35.00000000000006</v>
      </c>
      <c r="J82" s="51">
        <f>J49-I49</f>
        <v>38.50000000000006</v>
      </c>
      <c r="K82" s="51">
        <f>K49-J49</f>
        <v>42.35000000000008</v>
      </c>
      <c r="L82" s="51">
        <f>L49-K49</f>
        <v>46.58500000000009</v>
      </c>
      <c r="M82" s="51">
        <f>M49-L49</f>
        <v>51.24350000000004</v>
      </c>
    </row>
    <row r="83" spans="2:13" ht="12.75">
      <c r="B83" s="3" t="s">
        <v>93</v>
      </c>
      <c r="I83" s="51">
        <f>I51-H51</f>
        <v>20</v>
      </c>
      <c r="J83" s="51">
        <f>J51-I51</f>
        <v>22.00000000000003</v>
      </c>
      <c r="K83" s="51">
        <f>K51-J51</f>
        <v>24.200000000000074</v>
      </c>
      <c r="L83" s="51">
        <f>L51-K51</f>
        <v>26.620000000000005</v>
      </c>
      <c r="M83" s="51">
        <f>M51-L51</f>
        <v>29.28200000000004</v>
      </c>
    </row>
    <row r="84" spans="2:13" s="1" customFormat="1" ht="12.75">
      <c r="B84" s="1" t="s">
        <v>94</v>
      </c>
      <c r="I84" s="83">
        <f>SUM(I72:I83)</f>
        <v>8209.780026990553</v>
      </c>
      <c r="J84" s="83">
        <f>SUM(J72:J83)</f>
        <v>7721.0976431528325</v>
      </c>
      <c r="K84" s="83">
        <f>SUM(K72:K83)</f>
        <v>8778.743588436291</v>
      </c>
      <c r="L84" s="83">
        <f>SUM(L72:L83)</f>
        <v>8244.917028331829</v>
      </c>
      <c r="M84" s="83">
        <f>SUM(M72:M83)</f>
        <v>9539.442877528845</v>
      </c>
    </row>
    <row r="85" spans="2:13" ht="12.75">
      <c r="B85" s="3" t="s">
        <v>113</v>
      </c>
      <c r="I85" s="73"/>
      <c r="J85" s="73"/>
      <c r="K85" s="73"/>
      <c r="L85" s="73"/>
      <c r="M85" s="73"/>
    </row>
    <row r="86" spans="2:13" s="84" customFormat="1" ht="12.75">
      <c r="B86" s="84" t="s">
        <v>95</v>
      </c>
      <c r="I86" s="85">
        <f>-I105</f>
        <v>-1750</v>
      </c>
      <c r="J86" s="85">
        <f>-J105</f>
        <v>-2250</v>
      </c>
      <c r="K86" s="85">
        <f>-K105</f>
        <v>-3000</v>
      </c>
      <c r="L86" s="85">
        <f>-L105</f>
        <v>-4000</v>
      </c>
      <c r="M86" s="85">
        <f>-M105</f>
        <v>-4000</v>
      </c>
    </row>
    <row r="87" ht="12.75">
      <c r="B87" s="3" t="s">
        <v>96</v>
      </c>
    </row>
    <row r="88" spans="2:13" ht="12.75">
      <c r="B88" s="3" t="s">
        <v>97</v>
      </c>
      <c r="I88" s="51">
        <f>(0.2*410000/1000)*-1</f>
        <v>-82</v>
      </c>
      <c r="J88" s="51">
        <f>(0.2*420000/1000)*-1</f>
        <v>-84</v>
      </c>
      <c r="K88" s="51">
        <f>(0.2*430000/1000)*-1</f>
        <v>-86</v>
      </c>
      <c r="L88" s="51">
        <f>(K88)</f>
        <v>-86</v>
      </c>
      <c r="M88" s="51">
        <f>L88</f>
        <v>-86</v>
      </c>
    </row>
    <row r="89" spans="2:13" ht="12.75">
      <c r="B89" s="3" t="s">
        <v>98</v>
      </c>
      <c r="I89" s="51">
        <v>150</v>
      </c>
      <c r="J89" s="51">
        <v>150</v>
      </c>
      <c r="K89" s="51">
        <v>150</v>
      </c>
      <c r="L89" s="51">
        <v>0</v>
      </c>
      <c r="M89" s="51">
        <v>0</v>
      </c>
    </row>
    <row r="90" spans="2:13" ht="12.75">
      <c r="B90" s="3" t="s">
        <v>99</v>
      </c>
      <c r="I90" s="51">
        <f>-I119</f>
        <v>-2000</v>
      </c>
      <c r="J90" s="51">
        <f>-J119</f>
        <v>-2000</v>
      </c>
      <c r="K90" s="51">
        <f>-K119</f>
        <v>-2000</v>
      </c>
      <c r="L90" s="51">
        <f>-L119</f>
        <v>-2000</v>
      </c>
      <c r="M90" s="51">
        <f>-M119</f>
        <v>0</v>
      </c>
    </row>
    <row r="91" spans="2:13" ht="12.75">
      <c r="B91" s="3" t="s">
        <v>100</v>
      </c>
      <c r="I91" s="51">
        <f>I125</f>
        <v>-3100</v>
      </c>
      <c r="J91" s="51">
        <f>J125</f>
        <v>0</v>
      </c>
      <c r="K91" s="51">
        <f>K125</f>
        <v>0</v>
      </c>
      <c r="L91" s="51">
        <f>L125</f>
        <v>0</v>
      </c>
      <c r="M91" s="51">
        <f>M125</f>
        <v>0</v>
      </c>
    </row>
    <row r="92" spans="2:13" s="1" customFormat="1" ht="12.75">
      <c r="B92" s="1" t="s">
        <v>112</v>
      </c>
      <c r="I92" s="83">
        <f>I84+I86+SUM(I88:I91)</f>
        <v>1427.7800269905529</v>
      </c>
      <c r="J92" s="83">
        <f>J84+J86+SUM(J88:J91)</f>
        <v>3537.0976431528325</v>
      </c>
      <c r="K92" s="83">
        <f>K84+K86+SUM(K88:K91)</f>
        <v>3842.7435884362912</v>
      </c>
      <c r="L92" s="83">
        <f>L84+L86+SUM(L88:L91)</f>
        <v>2158.917028331829</v>
      </c>
      <c r="M92" s="83">
        <f>M84+M86+SUM(M88:M91)</f>
        <v>5453.442877528845</v>
      </c>
    </row>
    <row r="96" spans="2:16" ht="3" customHeight="1" thickBo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3"/>
      <c r="O96" s="3"/>
      <c r="P96" s="3"/>
    </row>
    <row r="97" spans="2:16" ht="12.75">
      <c r="B97" s="3"/>
      <c r="C97" s="3"/>
      <c r="D97" s="3"/>
      <c r="E97" s="3"/>
      <c r="F97" s="3"/>
      <c r="G97" s="3"/>
      <c r="H97" s="6"/>
      <c r="I97" s="3"/>
      <c r="J97" s="3"/>
      <c r="K97" s="3"/>
      <c r="L97" s="3"/>
      <c r="M97" s="3"/>
      <c r="N97" s="3"/>
      <c r="O97" s="3"/>
      <c r="P97" s="3"/>
    </row>
    <row r="99" spans="2:16" ht="12.75">
      <c r="B99" s="1" t="s">
        <v>52</v>
      </c>
      <c r="C99" s="3"/>
      <c r="D99" s="3"/>
      <c r="E99" s="3"/>
      <c r="F99" s="3"/>
      <c r="G99" s="3"/>
      <c r="H99" s="1">
        <v>2017</v>
      </c>
      <c r="I99" s="1">
        <v>2018</v>
      </c>
      <c r="J99" s="1">
        <v>2019</v>
      </c>
      <c r="K99" s="1">
        <v>2020</v>
      </c>
      <c r="L99" s="1">
        <v>2021</v>
      </c>
      <c r="M99" s="1">
        <v>2022</v>
      </c>
      <c r="N99" s="3"/>
      <c r="O99" s="3"/>
      <c r="P99" s="3"/>
    </row>
    <row r="100" spans="2:16" ht="12.75">
      <c r="B100" s="13"/>
      <c r="C100" s="13"/>
      <c r="D100" s="13"/>
      <c r="E100" s="13"/>
      <c r="F100" s="13"/>
      <c r="G100" s="13"/>
      <c r="H100" s="10"/>
      <c r="I100" s="10"/>
      <c r="J100" s="10"/>
      <c r="K100" s="10"/>
      <c r="L100" s="10"/>
      <c r="M100" s="10"/>
      <c r="N100" s="3"/>
      <c r="O100" s="3"/>
      <c r="P100" s="3"/>
    </row>
    <row r="101" spans="2:16" ht="12.75">
      <c r="B101" s="13" t="s">
        <v>76</v>
      </c>
      <c r="C101" s="13"/>
      <c r="D101" s="13"/>
      <c r="E101" s="13"/>
      <c r="F101" s="13"/>
      <c r="G101" s="13"/>
      <c r="H101" s="71">
        <f>H39+H40</f>
        <v>13000</v>
      </c>
      <c r="I101" s="71"/>
      <c r="J101" s="71"/>
      <c r="K101" s="71"/>
      <c r="L101" s="71"/>
      <c r="M101" s="71"/>
      <c r="N101" s="3"/>
      <c r="O101" s="3"/>
      <c r="P101" s="3"/>
    </row>
    <row r="102" spans="2:16" ht="12.75">
      <c r="B102" s="13" t="s">
        <v>77</v>
      </c>
      <c r="C102" s="13"/>
      <c r="D102" s="13"/>
      <c r="E102" s="13"/>
      <c r="F102" s="13"/>
      <c r="G102" s="13"/>
      <c r="H102" s="71">
        <v>3</v>
      </c>
      <c r="I102" s="71"/>
      <c r="J102" s="71"/>
      <c r="K102" s="71"/>
      <c r="L102" s="71"/>
      <c r="M102" s="71"/>
      <c r="N102" s="3"/>
      <c r="O102" s="3"/>
      <c r="P102" s="3"/>
    </row>
    <row r="103" spans="2:16" ht="12.75">
      <c r="B103" s="58" t="s">
        <v>80</v>
      </c>
      <c r="C103" s="13"/>
      <c r="D103" s="13"/>
      <c r="E103" s="13"/>
      <c r="F103" s="13"/>
      <c r="G103" s="13"/>
      <c r="H103" s="71"/>
      <c r="I103" s="71">
        <f>$H$101/$H$102</f>
        <v>4333.333333333333</v>
      </c>
      <c r="J103" s="71">
        <f>$H$101/$H$102</f>
        <v>4333.333333333333</v>
      </c>
      <c r="K103" s="71">
        <f>$H$101/$H$102</f>
        <v>4333.333333333333</v>
      </c>
      <c r="L103" s="71"/>
      <c r="M103" s="71"/>
      <c r="N103" s="3"/>
      <c r="O103" s="3"/>
      <c r="P103" s="3"/>
    </row>
    <row r="104" spans="2:16" ht="12.75">
      <c r="B104" s="58"/>
      <c r="C104" s="13"/>
      <c r="D104" s="13"/>
      <c r="E104" s="13"/>
      <c r="F104" s="13"/>
      <c r="G104" s="13"/>
      <c r="H104" s="71"/>
      <c r="I104" s="71"/>
      <c r="J104" s="71"/>
      <c r="K104" s="71"/>
      <c r="L104" s="71"/>
      <c r="M104" s="71"/>
      <c r="N104" s="3"/>
      <c r="O104" s="3"/>
      <c r="P104" s="3"/>
    </row>
    <row r="105" spans="2:13" ht="12.75">
      <c r="B105" s="13" t="s">
        <v>78</v>
      </c>
      <c r="C105" s="14"/>
      <c r="D105" s="14"/>
      <c r="E105" s="14"/>
      <c r="F105" s="14"/>
      <c r="G105" s="14"/>
      <c r="H105" s="72"/>
      <c r="I105" s="72">
        <f aca="true" t="array" ref="I105:M105">TRANSPOSE('Operating Assumptions'!H34:H38)</f>
        <v>1750</v>
      </c>
      <c r="J105" s="72">
        <v>2250</v>
      </c>
      <c r="K105" s="72">
        <v>3000</v>
      </c>
      <c r="L105" s="72">
        <v>4000</v>
      </c>
      <c r="M105" s="72">
        <v>4000</v>
      </c>
    </row>
    <row r="106" spans="2:13" ht="12.75">
      <c r="B106" s="58" t="s">
        <v>77</v>
      </c>
      <c r="C106" s="14"/>
      <c r="D106" s="14"/>
      <c r="E106" s="14"/>
      <c r="F106" s="14"/>
      <c r="G106" s="14"/>
      <c r="H106" s="72">
        <v>5</v>
      </c>
      <c r="I106" s="72"/>
      <c r="J106" s="72"/>
      <c r="K106" s="72"/>
      <c r="L106" s="72"/>
      <c r="M106" s="72"/>
    </row>
    <row r="107" spans="2:13" ht="12.75">
      <c r="B107" s="58" t="s">
        <v>79</v>
      </c>
      <c r="H107" s="53"/>
      <c r="I107" s="53"/>
      <c r="J107" s="53"/>
      <c r="K107" s="53"/>
      <c r="L107" s="53"/>
      <c r="M107" s="53"/>
    </row>
    <row r="108" spans="2:13" ht="12.75">
      <c r="B108" s="58" t="s">
        <v>81</v>
      </c>
      <c r="H108" s="53"/>
      <c r="I108" s="53">
        <f>I105/H106</f>
        <v>350</v>
      </c>
      <c r="J108" s="53">
        <f aca="true" t="array" ref="J108:J109">TRANSPOSE(I105:J105)/H106</f>
        <v>350</v>
      </c>
      <c r="K108" s="53">
        <f aca="true" t="array" ref="K108:K110">TRANSPOSE(I105:K105)/H106</f>
        <v>350</v>
      </c>
      <c r="L108" s="53">
        <f aca="true" t="array" ref="L108:L111">TRANSPOSE(I105:L105)/H106</f>
        <v>350</v>
      </c>
      <c r="M108" s="53">
        <f aca="true" t="array" ref="M108:M112">TRANSPOSE(I105:M105)/H106</f>
        <v>350</v>
      </c>
    </row>
    <row r="109" spans="2:13" ht="12.75">
      <c r="B109" s="3" t="s">
        <v>82</v>
      </c>
      <c r="H109" s="53"/>
      <c r="I109" s="53"/>
      <c r="J109" s="53">
        <v>450</v>
      </c>
      <c r="K109" s="53">
        <v>450</v>
      </c>
      <c r="L109" s="53">
        <v>450</v>
      </c>
      <c r="M109" s="53">
        <v>450</v>
      </c>
    </row>
    <row r="110" spans="2:13" ht="12.75">
      <c r="B110" s="3" t="s">
        <v>83</v>
      </c>
      <c r="H110" s="53"/>
      <c r="I110" s="53"/>
      <c r="J110" s="53"/>
      <c r="K110" s="53">
        <v>600</v>
      </c>
      <c r="L110" s="53">
        <v>600</v>
      </c>
      <c r="M110" s="53">
        <v>600</v>
      </c>
    </row>
    <row r="111" spans="2:13" ht="12.75">
      <c r="B111" s="3" t="s">
        <v>84</v>
      </c>
      <c r="H111" s="53"/>
      <c r="I111" s="53"/>
      <c r="J111" s="53"/>
      <c r="K111" s="53"/>
      <c r="L111" s="53">
        <v>800</v>
      </c>
      <c r="M111" s="53">
        <v>800</v>
      </c>
    </row>
    <row r="112" spans="2:13" ht="12.75">
      <c r="B112" s="3" t="s">
        <v>85</v>
      </c>
      <c r="H112" s="53"/>
      <c r="I112" s="53"/>
      <c r="J112" s="53"/>
      <c r="K112" s="53"/>
      <c r="L112" s="53"/>
      <c r="M112" s="53">
        <v>800</v>
      </c>
    </row>
    <row r="113" spans="2:13" ht="12.75">
      <c r="B113" s="3" t="s">
        <v>86</v>
      </c>
      <c r="H113" s="53"/>
      <c r="I113" s="53">
        <f>I103+SUM(I108:I112)</f>
        <v>4683.333333333333</v>
      </c>
      <c r="J113" s="53">
        <f>J103+SUM(J108:J112)</f>
        <v>5133.333333333333</v>
      </c>
      <c r="K113" s="53">
        <f>K103+SUM(K108:K112)</f>
        <v>5733.333333333333</v>
      </c>
      <c r="L113" s="53">
        <f>L103+SUM(L108:L112)</f>
        <v>2200</v>
      </c>
      <c r="M113" s="53">
        <f>M103+SUM(M108:M112)</f>
        <v>3000</v>
      </c>
    </row>
    <row r="114" spans="2:16" ht="3" customHeight="1" thickBo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3"/>
      <c r="O114" s="3"/>
      <c r="P114" s="3"/>
    </row>
    <row r="115" spans="2:16" ht="12.75">
      <c r="B115" s="3"/>
      <c r="C115" s="3"/>
      <c r="D115" s="3"/>
      <c r="E115" s="3"/>
      <c r="F115" s="3"/>
      <c r="G115" s="3"/>
      <c r="H115" s="6"/>
      <c r="I115" s="3"/>
      <c r="J115" s="3"/>
      <c r="K115" s="3"/>
      <c r="L115" s="3"/>
      <c r="M115" s="3"/>
      <c r="N115" s="3"/>
      <c r="O115" s="3"/>
      <c r="P115" s="3"/>
    </row>
    <row r="117" spans="2:16" ht="12.75">
      <c r="B117" s="1" t="s">
        <v>53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3:16" ht="12.75">
      <c r="C118" s="13"/>
      <c r="D118" s="13"/>
      <c r="E118" s="13"/>
      <c r="F118" s="13"/>
      <c r="G118" s="13"/>
      <c r="H118" s="10"/>
      <c r="N118" s="3"/>
      <c r="O118" s="3"/>
      <c r="P118" s="3"/>
    </row>
    <row r="119" spans="2:16" ht="12.75">
      <c r="B119" s="13" t="s">
        <v>102</v>
      </c>
      <c r="C119" s="13"/>
      <c r="D119" s="13"/>
      <c r="E119" s="13"/>
      <c r="F119" s="13"/>
      <c r="G119" s="13"/>
      <c r="H119" s="11"/>
      <c r="I119" s="71">
        <v>2000</v>
      </c>
      <c r="J119" s="71">
        <v>2000</v>
      </c>
      <c r="K119" s="71">
        <v>2000</v>
      </c>
      <c r="L119" s="71">
        <v>2000</v>
      </c>
      <c r="M119" s="71">
        <v>0</v>
      </c>
      <c r="N119" s="3"/>
      <c r="O119" s="3"/>
      <c r="P119" s="3"/>
    </row>
    <row r="120" spans="2:13" ht="12.75">
      <c r="B120" s="14"/>
      <c r="C120" s="14"/>
      <c r="D120" s="14"/>
      <c r="E120" s="14"/>
      <c r="F120" s="14"/>
      <c r="G120" s="14"/>
      <c r="H120" s="14"/>
      <c r="I120" s="71"/>
      <c r="J120" s="71"/>
      <c r="K120" s="71"/>
      <c r="L120" s="71"/>
      <c r="M120" s="71"/>
    </row>
    <row r="121" spans="2:13" ht="12.75">
      <c r="B121" s="13" t="s">
        <v>101</v>
      </c>
      <c r="C121" s="14"/>
      <c r="D121" s="14"/>
      <c r="E121" s="14"/>
      <c r="F121" s="14"/>
      <c r="G121" s="14"/>
      <c r="H121" s="14"/>
      <c r="I121" s="71">
        <f>'Operating Assumptions'!H49</f>
        <v>300</v>
      </c>
      <c r="J121" s="71">
        <f>I121</f>
        <v>300</v>
      </c>
      <c r="K121" s="71">
        <f>J121</f>
        <v>300</v>
      </c>
      <c r="L121" s="71">
        <f>K121</f>
        <v>300</v>
      </c>
      <c r="M121" s="71">
        <f>L121</f>
        <v>300</v>
      </c>
    </row>
    <row r="122" spans="2:13" ht="12.75">
      <c r="B122" s="58" t="s">
        <v>103</v>
      </c>
      <c r="I122" s="71">
        <f>I84+I86+I89-I88-I119</f>
        <v>4691.780026990553</v>
      </c>
      <c r="J122" s="71">
        <f>J84+J86+J89-J88-J119</f>
        <v>3705.0976431528325</v>
      </c>
      <c r="K122" s="71">
        <f>K84+K86+K89-K88-K119</f>
        <v>4014.7435884362912</v>
      </c>
      <c r="L122" s="71">
        <f>L84+L86+L89-L88-L119</f>
        <v>2330.917028331829</v>
      </c>
      <c r="M122" s="71">
        <f>M84+M86+M89-M88-M119</f>
        <v>5625.442877528845</v>
      </c>
    </row>
    <row r="123" spans="9:13" ht="12.75">
      <c r="I123" s="71"/>
      <c r="J123" s="71"/>
      <c r="K123" s="71"/>
      <c r="L123" s="71"/>
      <c r="M123" s="71"/>
    </row>
    <row r="124" spans="2:13" ht="12.75">
      <c r="B124" s="3" t="s">
        <v>104</v>
      </c>
      <c r="I124" s="71">
        <v>3100</v>
      </c>
      <c r="J124" s="71">
        <f>I126</f>
        <v>0</v>
      </c>
      <c r="K124" s="71">
        <f>J126</f>
        <v>0</v>
      </c>
      <c r="L124" s="71">
        <f>K126</f>
        <v>0</v>
      </c>
      <c r="M124" s="71">
        <f>L126</f>
        <v>0</v>
      </c>
    </row>
    <row r="125" spans="2:13" ht="12.75">
      <c r="B125" s="3" t="s">
        <v>105</v>
      </c>
      <c r="I125" s="71">
        <f>-MIN(I124,I122)</f>
        <v>-3100</v>
      </c>
      <c r="J125" s="71">
        <f>-MIN(J124,J122)</f>
        <v>0</v>
      </c>
      <c r="K125" s="71">
        <f>-MIN(K124,K122)</f>
        <v>0</v>
      </c>
      <c r="L125" s="71">
        <f>-MIN(L124,L122)</f>
        <v>0</v>
      </c>
      <c r="M125" s="71">
        <f>-MIN(M124,M122)</f>
        <v>0</v>
      </c>
    </row>
    <row r="126" spans="2:13" ht="12.75">
      <c r="B126" s="3" t="s">
        <v>106</v>
      </c>
      <c r="I126" s="71">
        <f>SUM(I124:I125)</f>
        <v>0</v>
      </c>
      <c r="J126" s="71">
        <f>SUM(J124:J125)</f>
        <v>0</v>
      </c>
      <c r="K126" s="71">
        <f>SUM(K124:K125)</f>
        <v>0</v>
      </c>
      <c r="L126" s="71">
        <f>SUM(L124:L125)</f>
        <v>0</v>
      </c>
      <c r="M126" s="71">
        <f>SUM(M124:M125)</f>
        <v>0</v>
      </c>
    </row>
    <row r="127" spans="2:13" ht="12.75">
      <c r="B127" s="3" t="s">
        <v>111</v>
      </c>
      <c r="I127" s="71">
        <f>AVERAGE(I126,I124)*0.05</f>
        <v>77.5</v>
      </c>
      <c r="J127" s="71">
        <f>AVERAGE(J126,J124)*0.05</f>
        <v>0</v>
      </c>
      <c r="K127" s="71">
        <f>AVERAGE(K126,K124)*0.05</f>
        <v>0</v>
      </c>
      <c r="L127" s="71">
        <f>AVERAGE(L126,L124)*0.05</f>
        <v>0</v>
      </c>
      <c r="M127" s="71">
        <f>AVERAGE(M126,M124)*0.05</f>
        <v>0</v>
      </c>
    </row>
    <row r="128" spans="2:13" ht="12.75">
      <c r="B128" s="3" t="s">
        <v>107</v>
      </c>
      <c r="I128" s="71">
        <v>8000</v>
      </c>
      <c r="J128" s="71">
        <f>I130</f>
        <v>6000</v>
      </c>
      <c r="K128" s="71">
        <f>J130</f>
        <v>4000</v>
      </c>
      <c r="L128" s="71">
        <f>K130</f>
        <v>2000</v>
      </c>
      <c r="M128" s="71">
        <f>L130</f>
        <v>0</v>
      </c>
    </row>
    <row r="129" spans="2:13" ht="12.75">
      <c r="B129" s="3" t="s">
        <v>108</v>
      </c>
      <c r="I129" s="71">
        <f>I119</f>
        <v>2000</v>
      </c>
      <c r="J129" s="71">
        <f>J119</f>
        <v>2000</v>
      </c>
      <c r="K129" s="71">
        <f>K119</f>
        <v>2000</v>
      </c>
      <c r="L129" s="71">
        <f>L119</f>
        <v>2000</v>
      </c>
      <c r="M129" s="71">
        <f>M119</f>
        <v>0</v>
      </c>
    </row>
    <row r="130" spans="2:13" ht="12.75">
      <c r="B130" s="3" t="s">
        <v>109</v>
      </c>
      <c r="I130" s="71">
        <f>I128-I129</f>
        <v>6000</v>
      </c>
      <c r="J130" s="71">
        <f>J128-J129</f>
        <v>4000</v>
      </c>
      <c r="K130" s="71">
        <f>K128-K129</f>
        <v>2000</v>
      </c>
      <c r="L130" s="71">
        <f>L128-L129</f>
        <v>0</v>
      </c>
      <c r="M130" s="71">
        <f>M128-M129</f>
        <v>0</v>
      </c>
    </row>
    <row r="131" spans="2:13" ht="12.75">
      <c r="B131" s="3" t="s">
        <v>110</v>
      </c>
      <c r="I131" s="71">
        <f>AVERAGE(I130,I128)*0.06</f>
        <v>420</v>
      </c>
      <c r="J131" s="71">
        <f>AVERAGE(J130,J128)*0.06</f>
        <v>300</v>
      </c>
      <c r="K131" s="71">
        <f>AVERAGE(K130,K128)*0.06</f>
        <v>180</v>
      </c>
      <c r="L131" s="71">
        <f>AVERAGE(L130,L128)*0.06</f>
        <v>60</v>
      </c>
      <c r="M131" s="71">
        <f>AVERAGE(M130,M128)*0.06</f>
        <v>0</v>
      </c>
    </row>
    <row r="132" spans="2:13" ht="12.75">
      <c r="B132" s="3"/>
      <c r="I132" s="71"/>
      <c r="J132" s="71"/>
      <c r="K132" s="71"/>
      <c r="L132" s="71"/>
      <c r="M132" s="71"/>
    </row>
    <row r="133" spans="2:13" ht="12.75">
      <c r="B133" s="3"/>
      <c r="I133" s="74"/>
      <c r="J133" s="74"/>
      <c r="K133" s="74"/>
      <c r="L133" s="74"/>
      <c r="M133" s="74"/>
    </row>
    <row r="134" spans="2:13" ht="12.75">
      <c r="B134" s="3"/>
      <c r="I134" s="74"/>
      <c r="J134" s="74"/>
      <c r="K134" s="74"/>
      <c r="L134" s="74"/>
      <c r="M134" s="74"/>
    </row>
    <row r="135" spans="9:13" ht="12.75">
      <c r="I135" s="12"/>
      <c r="J135" s="12"/>
      <c r="K135" s="12"/>
      <c r="L135" s="12"/>
      <c r="M135" s="12"/>
    </row>
    <row r="136" spans="2:16" ht="3" customHeight="1" thickBo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3"/>
      <c r="O136" s="3"/>
      <c r="P136" s="3"/>
    </row>
    <row r="137" spans="2:16" ht="12.75">
      <c r="B137" s="3"/>
      <c r="C137" s="3"/>
      <c r="D137" s="3"/>
      <c r="E137" s="3"/>
      <c r="F137" s="3"/>
      <c r="G137" s="3"/>
      <c r="H137" s="6"/>
      <c r="I137" s="3"/>
      <c r="J137" s="3"/>
      <c r="K137" s="3"/>
      <c r="L137" s="3"/>
      <c r="M137" s="3"/>
      <c r="N137" s="3"/>
      <c r="O137" s="3"/>
      <c r="P137" s="3"/>
    </row>
    <row r="139" spans="2:16" ht="12.75">
      <c r="B139" s="1" t="s">
        <v>33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53" spans="2:16" ht="3" customHeight="1" thickBo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3"/>
      <c r="O153" s="3"/>
      <c r="P153" s="3"/>
    </row>
    <row r="154" spans="2:16" ht="12.75">
      <c r="B154" s="3"/>
      <c r="C154" s="3"/>
      <c r="D154" s="3"/>
      <c r="E154" s="3"/>
      <c r="F154" s="3"/>
      <c r="G154" s="3"/>
      <c r="H154" s="6"/>
      <c r="I154" s="3"/>
      <c r="J154" s="3"/>
      <c r="K154" s="3"/>
      <c r="L154" s="3"/>
      <c r="M154" s="3"/>
      <c r="N154" s="3"/>
      <c r="O154" s="3"/>
      <c r="P154" s="3"/>
    </row>
    <row r="179" spans="2:16" ht="3" customHeight="1" thickBot="1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3"/>
      <c r="O179" s="3"/>
      <c r="P179" s="3"/>
    </row>
    <row r="180" spans="2:16" ht="12.75">
      <c r="B180" s="3"/>
      <c r="C180" s="3"/>
      <c r="D180" s="3"/>
      <c r="E180" s="3"/>
      <c r="F180" s="3"/>
      <c r="G180" s="3"/>
      <c r="H180" s="6"/>
      <c r="I180" s="3"/>
      <c r="J180" s="3"/>
      <c r="K180" s="3"/>
      <c r="L180" s="3"/>
      <c r="M180" s="3"/>
      <c r="N180" s="3"/>
      <c r="O180" s="3"/>
      <c r="P180" s="3"/>
    </row>
    <row r="224" spans="2:16" ht="3" customHeight="1" thickBot="1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3"/>
      <c r="O224" s="3"/>
      <c r="P224" s="3"/>
    </row>
    <row r="225" spans="2:16" ht="12.75">
      <c r="B225" s="3"/>
      <c r="C225" s="3"/>
      <c r="D225" s="3"/>
      <c r="E225" s="3"/>
      <c r="F225" s="3"/>
      <c r="G225" s="3"/>
      <c r="H225" s="6"/>
      <c r="I225" s="3"/>
      <c r="J225" s="3"/>
      <c r="K225" s="3"/>
      <c r="L225" s="3"/>
      <c r="M225" s="3"/>
      <c r="N225" s="3"/>
      <c r="O225" s="3"/>
      <c r="P22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</cp:lastModifiedBy>
  <cp:lastPrinted>2010-04-30T05:01:16Z</cp:lastPrinted>
  <dcterms:created xsi:type="dcterms:W3CDTF">2004-01-31T05:32:10Z</dcterms:created>
  <dcterms:modified xsi:type="dcterms:W3CDTF">2018-08-11T01:16:16Z</dcterms:modified>
  <cp:category/>
  <cp:version/>
  <cp:contentType/>
  <cp:contentStatus/>
</cp:coreProperties>
</file>