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/Users/jiatongzhang/Desktop/WSO/templates/"/>
    </mc:Choice>
  </mc:AlternateContent>
  <xr:revisionPtr revIDLastSave="0" documentId="13_ncr:1_{EB3C8879-1AC4-2A43-A18D-6D7C3AD4B47F}" xr6:coauthVersionLast="45" xr6:coauthVersionMax="45" xr10:uidLastSave="{00000000-0000-0000-0000-000000000000}"/>
  <bookViews>
    <workbookView xWindow="1460" yWindow="640" windowWidth="25600" windowHeight="12440" xr2:uid="{00000000-000D-0000-FFFF-FFFF00000000}"/>
  </bookViews>
  <sheets>
    <sheet name="WSO Cover Page" sheetId="6" r:id="rId1"/>
    <sheet name="Summary" sheetId="1" r:id="rId2"/>
    <sheet name="Operational" sheetId="2" r:id="rId3"/>
    <sheet name="Cash Flows" sheetId="3" r:id="rId4"/>
    <sheet name="Cash Flows Yearly" sheetId="5" r:id="rId5"/>
    <sheet name="Debt" sheetId="4" r:id="rId6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6" i="1" l="1"/>
  <c r="D6" i="5"/>
  <c r="E6" i="5" s="1"/>
  <c r="F6" i="5" s="1"/>
  <c r="G6" i="5" s="1"/>
  <c r="H6" i="5" s="1"/>
  <c r="I6" i="5" s="1"/>
  <c r="I17" i="1"/>
  <c r="J17" i="1" s="1"/>
  <c r="K17" i="1"/>
  <c r="H17" i="1"/>
  <c r="F13" i="1"/>
  <c r="F14" i="1"/>
  <c r="F15" i="1"/>
  <c r="F12" i="1"/>
  <c r="C6" i="4"/>
  <c r="C17" i="4" s="1"/>
  <c r="C35" i="3" s="1"/>
  <c r="C7" i="4"/>
  <c r="C8" i="4"/>
  <c r="C9" i="4"/>
  <c r="C10" i="4"/>
  <c r="B6" i="4"/>
  <c r="B7" i="4"/>
  <c r="B8" i="4"/>
  <c r="B9" i="4"/>
  <c r="B10" i="4"/>
  <c r="B5" i="4"/>
  <c r="C24" i="3"/>
  <c r="F7" i="1"/>
  <c r="F8" i="1"/>
  <c r="F9" i="1"/>
  <c r="F6" i="1"/>
  <c r="C17" i="3"/>
  <c r="C19" i="3" s="1"/>
  <c r="C21" i="3"/>
  <c r="C27" i="3" s="1"/>
  <c r="C28" i="3" s="1"/>
  <c r="C18" i="2"/>
  <c r="D18" i="2" s="1"/>
  <c r="C6" i="3"/>
  <c r="O5" i="2"/>
  <c r="F7" i="2"/>
  <c r="F12" i="2"/>
  <c r="G12" i="2"/>
  <c r="E12" i="2"/>
  <c r="E14" i="2"/>
  <c r="F6" i="2"/>
  <c r="N5" i="2"/>
  <c r="N6" i="2" s="1"/>
  <c r="N7" i="2" s="1"/>
  <c r="N8" i="2" s="1"/>
  <c r="C7" i="2"/>
  <c r="C12" i="4"/>
  <c r="D6" i="3"/>
  <c r="D12" i="4" s="1"/>
  <c r="D18" i="4"/>
  <c r="D38" i="3" s="1"/>
  <c r="F13" i="2"/>
  <c r="F14" i="2"/>
  <c r="D7" i="2" s="1"/>
  <c r="Q5" i="2"/>
  <c r="E13" i="2"/>
  <c r="E18" i="2"/>
  <c r="F18" i="2" s="1"/>
  <c r="D25" i="3"/>
  <c r="F30" i="2" l="1"/>
  <c r="F18" i="3" s="1"/>
  <c r="F19" i="3" s="1"/>
  <c r="F20" i="2"/>
  <c r="F6" i="3"/>
  <c r="F25" i="2"/>
  <c r="F8" i="3" s="1"/>
  <c r="G18" i="2"/>
  <c r="N9" i="2"/>
  <c r="N10" i="2" s="1"/>
  <c r="O8" i="2"/>
  <c r="O9" i="2"/>
  <c r="O10" i="2"/>
  <c r="O6" i="2"/>
  <c r="G13" i="2"/>
  <c r="H12" i="2"/>
  <c r="G14" i="2"/>
  <c r="O7" i="2"/>
  <c r="C21" i="4"/>
  <c r="C39" i="3" s="1"/>
  <c r="C41" i="3" s="1"/>
  <c r="E25" i="2"/>
  <c r="E8" i="3" s="1"/>
  <c r="E6" i="3"/>
  <c r="E20" i="2"/>
  <c r="E30" i="2"/>
  <c r="E18" i="3" s="1"/>
  <c r="E19" i="3" s="1"/>
  <c r="P5" i="2"/>
  <c r="P6" i="2" s="1"/>
  <c r="H7" i="2"/>
  <c r="D25" i="2"/>
  <c r="D8" i="3" s="1"/>
  <c r="D30" i="2"/>
  <c r="D18" i="3" s="1"/>
  <c r="D20" i="2"/>
  <c r="C19" i="4"/>
  <c r="D13" i="4" s="1"/>
  <c r="C42" i="3" l="1"/>
  <c r="D19" i="3"/>
  <c r="P7" i="2"/>
  <c r="Q6" i="2"/>
  <c r="H13" i="2"/>
  <c r="H14" i="2"/>
  <c r="I12" i="2"/>
  <c r="G20" i="2"/>
  <c r="H18" i="2"/>
  <c r="G30" i="2"/>
  <c r="G18" i="3" s="1"/>
  <c r="G19" i="3" s="1"/>
  <c r="G6" i="3"/>
  <c r="G25" i="2"/>
  <c r="G8" i="3" s="1"/>
  <c r="D14" i="4"/>
  <c r="D15" i="4" s="1"/>
  <c r="D36" i="3" s="1"/>
  <c r="E25" i="3"/>
  <c r="E12" i="4"/>
  <c r="E18" i="4" s="1"/>
  <c r="E38" i="3" s="1"/>
  <c r="F12" i="4"/>
  <c r="F18" i="4" s="1"/>
  <c r="F38" i="3" s="1"/>
  <c r="F25" i="3"/>
  <c r="G12" i="4" l="1"/>
  <c r="G18" i="4" s="1"/>
  <c r="G38" i="3" s="1"/>
  <c r="G25" i="3"/>
  <c r="J12" i="2"/>
  <c r="I13" i="2"/>
  <c r="I14" i="2"/>
  <c r="Q7" i="2"/>
  <c r="P8" i="2"/>
  <c r="D16" i="4"/>
  <c r="H20" i="2"/>
  <c r="H6" i="3"/>
  <c r="H25" i="2"/>
  <c r="H8" i="3" s="1"/>
  <c r="I18" i="2"/>
  <c r="H30" i="2"/>
  <c r="H18" i="3" s="1"/>
  <c r="H19" i="3" s="1"/>
  <c r="D37" i="3" l="1"/>
  <c r="D19" i="4"/>
  <c r="E13" i="4" s="1"/>
  <c r="P9" i="2"/>
  <c r="Q8" i="2"/>
  <c r="J14" i="2"/>
  <c r="J13" i="2"/>
  <c r="I33" i="2"/>
  <c r="I12" i="3" s="1"/>
  <c r="I25" i="2"/>
  <c r="I8" i="3" s="1"/>
  <c r="I6" i="3"/>
  <c r="J18" i="2"/>
  <c r="I30" i="2"/>
  <c r="I18" i="3" s="1"/>
  <c r="I19" i="3" s="1"/>
  <c r="I20" i="2"/>
  <c r="H25" i="3"/>
  <c r="H12" i="4"/>
  <c r="H18" i="4" s="1"/>
  <c r="H38" i="3" s="1"/>
  <c r="I25" i="3" l="1"/>
  <c r="I12" i="4"/>
  <c r="I18" i="4" s="1"/>
  <c r="I38" i="3" s="1"/>
  <c r="E16" i="4"/>
  <c r="E37" i="3" s="1"/>
  <c r="E14" i="4"/>
  <c r="E15" i="4" s="1"/>
  <c r="E36" i="3" s="1"/>
  <c r="G33" i="2"/>
  <c r="G12" i="3" s="1"/>
  <c r="E33" i="2"/>
  <c r="E12" i="3" s="1"/>
  <c r="H33" i="2"/>
  <c r="H12" i="3" s="1"/>
  <c r="F33" i="2"/>
  <c r="F12" i="3" s="1"/>
  <c r="D33" i="2"/>
  <c r="D12" i="3" s="1"/>
  <c r="J33" i="2"/>
  <c r="J12" i="3" s="1"/>
  <c r="J6" i="3"/>
  <c r="J30" i="2"/>
  <c r="J18" i="3" s="1"/>
  <c r="J19" i="3" s="1"/>
  <c r="K18" i="2"/>
  <c r="J25" i="2"/>
  <c r="J8" i="3" s="1"/>
  <c r="J20" i="2"/>
  <c r="P10" i="2"/>
  <c r="Q9" i="2"/>
  <c r="K33" i="2" l="1"/>
  <c r="K12" i="3" s="1"/>
  <c r="K20" i="2"/>
  <c r="K30" i="2"/>
  <c r="K18" i="3" s="1"/>
  <c r="K19" i="3" s="1"/>
  <c r="K21" i="2"/>
  <c r="K25" i="2"/>
  <c r="K8" i="3" s="1"/>
  <c r="K6" i="3"/>
  <c r="L18" i="2"/>
  <c r="J12" i="4"/>
  <c r="J18" i="4" s="1"/>
  <c r="J38" i="3" s="1"/>
  <c r="J25" i="3"/>
  <c r="E19" i="4"/>
  <c r="F13" i="4" s="1"/>
  <c r="P11" i="2"/>
  <c r="E21" i="2"/>
  <c r="E22" i="2" s="1"/>
  <c r="Q10" i="2"/>
  <c r="F21" i="2"/>
  <c r="F22" i="2" s="1"/>
  <c r="G21" i="2"/>
  <c r="G22" i="2" s="1"/>
  <c r="D21" i="2"/>
  <c r="D22" i="2" s="1"/>
  <c r="H21" i="2"/>
  <c r="H22" i="2" s="1"/>
  <c r="I21" i="2"/>
  <c r="I22" i="2" s="1"/>
  <c r="J21" i="2"/>
  <c r="J22" i="2" s="1"/>
  <c r="J7" i="3" l="1"/>
  <c r="J27" i="2"/>
  <c r="J9" i="3" s="1"/>
  <c r="I7" i="3"/>
  <c r="I10" i="3" s="1"/>
  <c r="I14" i="3" s="1"/>
  <c r="I21" i="3" s="1"/>
  <c r="I27" i="3" s="1"/>
  <c r="I27" i="2"/>
  <c r="I9" i="3" s="1"/>
  <c r="F27" i="2"/>
  <c r="F9" i="3" s="1"/>
  <c r="F7" i="3"/>
  <c r="F10" i="3" s="1"/>
  <c r="F14" i="3" s="1"/>
  <c r="F21" i="3" s="1"/>
  <c r="F27" i="3" s="1"/>
  <c r="L33" i="2"/>
  <c r="L12" i="3" s="1"/>
  <c r="M18" i="2"/>
  <c r="L25" i="2"/>
  <c r="L8" i="3" s="1"/>
  <c r="L30" i="2"/>
  <c r="L18" i="3" s="1"/>
  <c r="L19" i="3" s="1"/>
  <c r="L21" i="2"/>
  <c r="L20" i="2"/>
  <c r="L6" i="3"/>
  <c r="H27" i="2"/>
  <c r="H9" i="3" s="1"/>
  <c r="H7" i="3"/>
  <c r="K12" i="4"/>
  <c r="K18" i="4" s="1"/>
  <c r="K38" i="3" s="1"/>
  <c r="K25" i="3"/>
  <c r="K22" i="2"/>
  <c r="D7" i="3"/>
  <c r="D27" i="2"/>
  <c r="D9" i="3" s="1"/>
  <c r="E27" i="2"/>
  <c r="E9" i="3" s="1"/>
  <c r="E7" i="3"/>
  <c r="E10" i="3" s="1"/>
  <c r="E14" i="3" s="1"/>
  <c r="E21" i="3" s="1"/>
  <c r="E27" i="3" s="1"/>
  <c r="G7" i="3"/>
  <c r="G10" i="3" s="1"/>
  <c r="G14" i="3" s="1"/>
  <c r="G21" i="3" s="1"/>
  <c r="G27" i="3" s="1"/>
  <c r="G27" i="2"/>
  <c r="G9" i="3" s="1"/>
  <c r="P12" i="2"/>
  <c r="Q11" i="2"/>
  <c r="F14" i="4"/>
  <c r="F15" i="4" s="1"/>
  <c r="F36" i="3" s="1"/>
  <c r="F16" i="4"/>
  <c r="F37" i="3" s="1"/>
  <c r="L12" i="4" l="1"/>
  <c r="L18" i="4" s="1"/>
  <c r="L38" i="3" s="1"/>
  <c r="L25" i="3"/>
  <c r="F41" i="3"/>
  <c r="D10" i="3"/>
  <c r="P13" i="2"/>
  <c r="Q12" i="2"/>
  <c r="K27" i="2"/>
  <c r="K9" i="3" s="1"/>
  <c r="K7" i="3"/>
  <c r="L22" i="2"/>
  <c r="M33" i="2"/>
  <c r="M12" i="3" s="1"/>
  <c r="M20" i="2"/>
  <c r="M25" i="2"/>
  <c r="M8" i="3" s="1"/>
  <c r="M6" i="3"/>
  <c r="N18" i="2"/>
  <c r="M30" i="2"/>
  <c r="M18" i="3" s="1"/>
  <c r="M19" i="3" s="1"/>
  <c r="M21" i="2"/>
  <c r="E41" i="3"/>
  <c r="F19" i="4"/>
  <c r="G13" i="4" s="1"/>
  <c r="H10" i="3"/>
  <c r="H14" i="3" s="1"/>
  <c r="H21" i="3" s="1"/>
  <c r="H27" i="3" s="1"/>
  <c r="J10" i="3"/>
  <c r="J14" i="3" s="1"/>
  <c r="J21" i="3" s="1"/>
  <c r="J27" i="3" s="1"/>
  <c r="G14" i="4" l="1"/>
  <c r="G15" i="4" s="1"/>
  <c r="G36" i="3" s="1"/>
  <c r="N20" i="2"/>
  <c r="N6" i="3"/>
  <c r="O18" i="2"/>
  <c r="N25" i="2"/>
  <c r="N8" i="3" s="1"/>
  <c r="N30" i="2"/>
  <c r="N18" i="3" s="1"/>
  <c r="N19" i="3" s="1"/>
  <c r="N33" i="2"/>
  <c r="N12" i="3" s="1"/>
  <c r="N21" i="2"/>
  <c r="P14" i="2"/>
  <c r="Q13" i="2"/>
  <c r="M25" i="3"/>
  <c r="M12" i="4"/>
  <c r="M18" i="4" s="1"/>
  <c r="M38" i="3" s="1"/>
  <c r="L7" i="3"/>
  <c r="L27" i="2"/>
  <c r="L9" i="3" s="1"/>
  <c r="K10" i="3"/>
  <c r="K14" i="3" s="1"/>
  <c r="K21" i="3" s="1"/>
  <c r="K27" i="3" s="1"/>
  <c r="M22" i="2"/>
  <c r="D14" i="3"/>
  <c r="D21" i="3" l="1"/>
  <c r="O6" i="3"/>
  <c r="O30" i="2"/>
  <c r="O18" i="3" s="1"/>
  <c r="O19" i="3" s="1"/>
  <c r="O33" i="2"/>
  <c r="O12" i="3" s="1"/>
  <c r="O21" i="2"/>
  <c r="O20" i="2"/>
  <c r="O22" i="2" s="1"/>
  <c r="P18" i="2"/>
  <c r="O25" i="2"/>
  <c r="O8" i="3" s="1"/>
  <c r="G16" i="4"/>
  <c r="M27" i="2"/>
  <c r="M9" i="3" s="1"/>
  <c r="M7" i="3"/>
  <c r="L10" i="3"/>
  <c r="N12" i="4"/>
  <c r="N18" i="4" s="1"/>
  <c r="N38" i="3" s="1"/>
  <c r="N25" i="3"/>
  <c r="N22" i="2"/>
  <c r="P15" i="2"/>
  <c r="Q15" i="2" s="1"/>
  <c r="Q14" i="2"/>
  <c r="N27" i="2" l="1"/>
  <c r="N9" i="3" s="1"/>
  <c r="N7" i="3"/>
  <c r="L14" i="3"/>
  <c r="M10" i="3"/>
  <c r="M14" i="3" s="1"/>
  <c r="M21" i="3" s="1"/>
  <c r="M27" i="3" s="1"/>
  <c r="P21" i="2"/>
  <c r="P6" i="3"/>
  <c r="P20" i="2"/>
  <c r="P22" i="2" s="1"/>
  <c r="Q18" i="2"/>
  <c r="P25" i="2"/>
  <c r="P8" i="3" s="1"/>
  <c r="P33" i="2"/>
  <c r="P12" i="3" s="1"/>
  <c r="P30" i="2"/>
  <c r="P18" i="3" s="1"/>
  <c r="P19" i="3" s="1"/>
  <c r="O7" i="3"/>
  <c r="O10" i="3" s="1"/>
  <c r="O14" i="3" s="1"/>
  <c r="O21" i="3" s="1"/>
  <c r="O27" i="2"/>
  <c r="O9" i="3" s="1"/>
  <c r="O12" i="4"/>
  <c r="O18" i="4" s="1"/>
  <c r="O38" i="3" s="1"/>
  <c r="O25" i="3"/>
  <c r="G37" i="3"/>
  <c r="G19" i="4"/>
  <c r="H13" i="4" s="1"/>
  <c r="D27" i="3"/>
  <c r="G41" i="3" l="1"/>
  <c r="P25" i="3"/>
  <c r="P12" i="4"/>
  <c r="P18" i="4" s="1"/>
  <c r="P38" i="3" s="1"/>
  <c r="L21" i="3"/>
  <c r="D41" i="3"/>
  <c r="D28" i="3"/>
  <c r="O27" i="3"/>
  <c r="N10" i="3"/>
  <c r="N14" i="3" s="1"/>
  <c r="N21" i="3" s="1"/>
  <c r="N27" i="3" s="1"/>
  <c r="R18" i="2"/>
  <c r="Q25" i="2"/>
  <c r="Q8" i="3" s="1"/>
  <c r="Q6" i="3"/>
  <c r="Q30" i="2"/>
  <c r="Q18" i="3" s="1"/>
  <c r="Q19" i="3" s="1"/>
  <c r="Q33" i="2"/>
  <c r="Q12" i="3" s="1"/>
  <c r="Q21" i="2"/>
  <c r="Q20" i="2"/>
  <c r="Q22" i="2" s="1"/>
  <c r="H14" i="4"/>
  <c r="H15" i="4" s="1"/>
  <c r="H36" i="3" s="1"/>
  <c r="P7" i="3"/>
  <c r="P27" i="2"/>
  <c r="P9" i="3" s="1"/>
  <c r="Q7" i="3" l="1"/>
  <c r="Q27" i="2"/>
  <c r="Q9" i="3" s="1"/>
  <c r="Q25" i="3"/>
  <c r="Q12" i="4"/>
  <c r="Q18" i="4" s="1"/>
  <c r="Q38" i="3" s="1"/>
  <c r="P10" i="3"/>
  <c r="E28" i="3"/>
  <c r="F28" i="3" s="1"/>
  <c r="G28" i="3" s="1"/>
  <c r="H28" i="3" s="1"/>
  <c r="I28" i="3" s="1"/>
  <c r="J28" i="3" s="1"/>
  <c r="K28" i="3" s="1"/>
  <c r="L27" i="3"/>
  <c r="R33" i="2"/>
  <c r="R12" i="3" s="1"/>
  <c r="S18" i="2"/>
  <c r="R6" i="3"/>
  <c r="R25" i="2"/>
  <c r="R8" i="3" s="1"/>
  <c r="R20" i="2"/>
  <c r="R21" i="2"/>
  <c r="R30" i="2"/>
  <c r="R18" i="3" s="1"/>
  <c r="R19" i="3" s="1"/>
  <c r="D42" i="3"/>
  <c r="H16" i="4"/>
  <c r="H37" i="3" l="1"/>
  <c r="H19" i="4"/>
  <c r="I13" i="4" s="1"/>
  <c r="E42" i="3"/>
  <c r="F42" i="3" s="1"/>
  <c r="G42" i="3" s="1"/>
  <c r="R12" i="4"/>
  <c r="R18" i="4" s="1"/>
  <c r="R38" i="3" s="1"/>
  <c r="R25" i="3"/>
  <c r="S6" i="3"/>
  <c r="S30" i="2"/>
  <c r="S18" i="3" s="1"/>
  <c r="S19" i="3" s="1"/>
  <c r="S33" i="2"/>
  <c r="S12" i="3" s="1"/>
  <c r="S25" i="2"/>
  <c r="S8" i="3" s="1"/>
  <c r="S21" i="2"/>
  <c r="S20" i="2"/>
  <c r="S22" i="2" s="1"/>
  <c r="T18" i="2"/>
  <c r="R22" i="2"/>
  <c r="L28" i="3"/>
  <c r="P14" i="3"/>
  <c r="Q10" i="3"/>
  <c r="Q14" i="3" l="1"/>
  <c r="Q21" i="3" s="1"/>
  <c r="Q27" i="3" s="1"/>
  <c r="T33" i="2"/>
  <c r="T12" i="3" s="1"/>
  <c r="T20" i="2"/>
  <c r="U18" i="2"/>
  <c r="T25" i="2"/>
  <c r="T8" i="3" s="1"/>
  <c r="T30" i="2"/>
  <c r="T18" i="3" s="1"/>
  <c r="T19" i="3" s="1"/>
  <c r="T21" i="2"/>
  <c r="T6" i="3"/>
  <c r="P21" i="3"/>
  <c r="M28" i="3"/>
  <c r="S7" i="3"/>
  <c r="S10" i="3" s="1"/>
  <c r="S14" i="3" s="1"/>
  <c r="S21" i="3" s="1"/>
  <c r="S27" i="2"/>
  <c r="S9" i="3" s="1"/>
  <c r="I14" i="4"/>
  <c r="I15" i="4" s="1"/>
  <c r="I36" i="3" s="1"/>
  <c r="R7" i="3"/>
  <c r="R27" i="2"/>
  <c r="R9" i="3" s="1"/>
  <c r="S12" i="4"/>
  <c r="S18" i="4" s="1"/>
  <c r="S38" i="3" s="1"/>
  <c r="S25" i="3"/>
  <c r="H41" i="3"/>
  <c r="H42" i="3" s="1"/>
  <c r="R10" i="3" l="1"/>
  <c r="I16" i="4"/>
  <c r="I37" i="3" s="1"/>
  <c r="S27" i="3"/>
  <c r="N28" i="3"/>
  <c r="T25" i="3"/>
  <c r="T12" i="4"/>
  <c r="T18" i="4" s="1"/>
  <c r="T38" i="3" s="1"/>
  <c r="U33" i="2"/>
  <c r="U12" i="3" s="1"/>
  <c r="U20" i="2"/>
  <c r="V18" i="2"/>
  <c r="U25" i="2"/>
  <c r="U8" i="3" s="1"/>
  <c r="U30" i="2"/>
  <c r="U18" i="3" s="1"/>
  <c r="U19" i="3" s="1"/>
  <c r="U6" i="3"/>
  <c r="U21" i="2"/>
  <c r="I41" i="3"/>
  <c r="I42" i="3" s="1"/>
  <c r="I19" i="4"/>
  <c r="J13" i="4" s="1"/>
  <c r="P27" i="3"/>
  <c r="T22" i="2"/>
  <c r="V21" i="2" l="1"/>
  <c r="V6" i="3"/>
  <c r="V20" i="2"/>
  <c r="V22" i="2" s="1"/>
  <c r="W18" i="2"/>
  <c r="V33" i="2"/>
  <c r="V12" i="3" s="1"/>
  <c r="V30" i="2"/>
  <c r="V18" i="3" s="1"/>
  <c r="V19" i="3" s="1"/>
  <c r="V25" i="2"/>
  <c r="V8" i="3" s="1"/>
  <c r="J14" i="4"/>
  <c r="J15" i="4" s="1"/>
  <c r="J36" i="3" s="1"/>
  <c r="J16" i="4"/>
  <c r="J37" i="3" s="1"/>
  <c r="U12" i="4"/>
  <c r="U18" i="4" s="1"/>
  <c r="U38" i="3" s="1"/>
  <c r="U25" i="3"/>
  <c r="U22" i="2"/>
  <c r="O28" i="3"/>
  <c r="R14" i="3"/>
  <c r="T27" i="2"/>
  <c r="T9" i="3" s="1"/>
  <c r="T7" i="3"/>
  <c r="T10" i="3" s="1"/>
  <c r="T14" i="3" s="1"/>
  <c r="T21" i="3" s="1"/>
  <c r="T27" i="3" s="1"/>
  <c r="P28" i="3"/>
  <c r="Q28" i="3" s="1"/>
  <c r="V27" i="2" l="1"/>
  <c r="V9" i="3" s="1"/>
  <c r="V7" i="3"/>
  <c r="J19" i="4"/>
  <c r="K13" i="4" s="1"/>
  <c r="V12" i="4"/>
  <c r="V18" i="4" s="1"/>
  <c r="V38" i="3" s="1"/>
  <c r="V25" i="3"/>
  <c r="U7" i="3"/>
  <c r="U27" i="2"/>
  <c r="U9" i="3" s="1"/>
  <c r="R21" i="3"/>
  <c r="J41" i="3"/>
  <c r="W33" i="2"/>
  <c r="W12" i="3" s="1"/>
  <c r="W21" i="2"/>
  <c r="W20" i="2"/>
  <c r="W22" i="2" s="1"/>
  <c r="X18" i="2"/>
  <c r="W6" i="3"/>
  <c r="W30" i="2"/>
  <c r="W18" i="3" s="1"/>
  <c r="W19" i="3" s="1"/>
  <c r="W25" i="2"/>
  <c r="W8" i="3" s="1"/>
  <c r="V10" i="3" l="1"/>
  <c r="V14" i="3" s="1"/>
  <c r="V21" i="3" s="1"/>
  <c r="V27" i="3" s="1"/>
  <c r="W25" i="3"/>
  <c r="W12" i="4"/>
  <c r="W18" i="4" s="1"/>
  <c r="W38" i="3" s="1"/>
  <c r="W7" i="3"/>
  <c r="W10" i="3" s="1"/>
  <c r="W14" i="3" s="1"/>
  <c r="W21" i="3" s="1"/>
  <c r="W27" i="3" s="1"/>
  <c r="W27" i="2"/>
  <c r="W9" i="3" s="1"/>
  <c r="X6" i="3"/>
  <c r="X20" i="2"/>
  <c r="Y18" i="2"/>
  <c r="X25" i="2"/>
  <c r="X8" i="3" s="1"/>
  <c r="X33" i="2"/>
  <c r="X12" i="3" s="1"/>
  <c r="X30" i="2"/>
  <c r="X18" i="3" s="1"/>
  <c r="X19" i="3" s="1"/>
  <c r="X21" i="2"/>
  <c r="J42" i="3"/>
  <c r="R27" i="3"/>
  <c r="U10" i="3"/>
  <c r="U14" i="3" s="1"/>
  <c r="U21" i="3" s="1"/>
  <c r="U27" i="3" s="1"/>
  <c r="K14" i="4"/>
  <c r="K15" i="4" s="1"/>
  <c r="K36" i="3" s="1"/>
  <c r="Z18" i="2" l="1"/>
  <c r="Y25" i="2"/>
  <c r="Y8" i="3" s="1"/>
  <c r="Y6" i="3"/>
  <c r="Y30" i="2"/>
  <c r="Y18" i="3" s="1"/>
  <c r="Y19" i="3" s="1"/>
  <c r="Y21" i="2"/>
  <c r="Y20" i="2"/>
  <c r="Y33" i="2"/>
  <c r="Y12" i="3" s="1"/>
  <c r="K16" i="4"/>
  <c r="K37" i="3" s="1"/>
  <c r="K41" i="3" s="1"/>
  <c r="R28" i="3"/>
  <c r="X22" i="2"/>
  <c r="X25" i="3"/>
  <c r="X12" i="4"/>
  <c r="X18" i="4" s="1"/>
  <c r="X38" i="3" s="1"/>
  <c r="K42" i="3" l="1"/>
  <c r="Z6" i="3"/>
  <c r="Z21" i="2"/>
  <c r="Z20" i="2"/>
  <c r="AA18" i="2"/>
  <c r="Z30" i="2"/>
  <c r="Z18" i="3" s="1"/>
  <c r="Z19" i="3" s="1"/>
  <c r="Z33" i="2"/>
  <c r="Z12" i="3" s="1"/>
  <c r="Z25" i="2"/>
  <c r="Z8" i="3" s="1"/>
  <c r="S28" i="3"/>
  <c r="T28" i="3" s="1"/>
  <c r="U28" i="3" s="1"/>
  <c r="V28" i="3" s="1"/>
  <c r="W28" i="3" s="1"/>
  <c r="Y12" i="4"/>
  <c r="Y18" i="4" s="1"/>
  <c r="Y38" i="3" s="1"/>
  <c r="Y25" i="3"/>
  <c r="X7" i="3"/>
  <c r="X10" i="3" s="1"/>
  <c r="X14" i="3" s="1"/>
  <c r="X21" i="3" s="1"/>
  <c r="X27" i="2"/>
  <c r="X9" i="3" s="1"/>
  <c r="Y22" i="2"/>
  <c r="K19" i="4"/>
  <c r="L13" i="4" s="1"/>
  <c r="X27" i="3" l="1"/>
  <c r="Z25" i="3"/>
  <c r="Z12" i="4"/>
  <c r="Z18" i="4" s="1"/>
  <c r="Z38" i="3" s="1"/>
  <c r="Y7" i="3"/>
  <c r="Y27" i="2"/>
  <c r="Y9" i="3" s="1"/>
  <c r="AA30" i="2"/>
  <c r="AA18" i="3" s="1"/>
  <c r="AA19" i="3" s="1"/>
  <c r="AA21" i="2"/>
  <c r="AA25" i="2"/>
  <c r="AA8" i="3" s="1"/>
  <c r="AA6" i="3"/>
  <c r="AA20" i="2"/>
  <c r="AA33" i="2"/>
  <c r="AA12" i="3" s="1"/>
  <c r="AB18" i="2"/>
  <c r="L14" i="4"/>
  <c r="L15" i="4" s="1"/>
  <c r="L36" i="3" s="1"/>
  <c r="Z22" i="2"/>
  <c r="AB33" i="2" l="1"/>
  <c r="AB12" i="3" s="1"/>
  <c r="AC18" i="2"/>
  <c r="AB25" i="2"/>
  <c r="AB8" i="3" s="1"/>
  <c r="AB30" i="2"/>
  <c r="AB18" i="3" s="1"/>
  <c r="AB19" i="3" s="1"/>
  <c r="AB6" i="3"/>
  <c r="AB21" i="2"/>
  <c r="AB20" i="2"/>
  <c r="AB22" i="2" s="1"/>
  <c r="Z7" i="3"/>
  <c r="Z27" i="2"/>
  <c r="Z9" i="3" s="1"/>
  <c r="AA25" i="3"/>
  <c r="AA12" i="4"/>
  <c r="AA18" i="4" s="1"/>
  <c r="AA38" i="3" s="1"/>
  <c r="Y10" i="3"/>
  <c r="Y14" i="3" s="1"/>
  <c r="Y21" i="3" s="1"/>
  <c r="Y27" i="3" s="1"/>
  <c r="L16" i="4"/>
  <c r="L37" i="3" s="1"/>
  <c r="L41" i="3" s="1"/>
  <c r="L42" i="3" s="1"/>
  <c r="AA22" i="2"/>
  <c r="X28" i="3"/>
  <c r="AA27" i="2" l="1"/>
  <c r="AA9" i="3" s="1"/>
  <c r="AA7" i="3"/>
  <c r="AA10" i="3" s="1"/>
  <c r="AA14" i="3" s="1"/>
  <c r="AA21" i="3" s="1"/>
  <c r="AA27" i="3" s="1"/>
  <c r="AB7" i="3"/>
  <c r="AB10" i="3" s="1"/>
  <c r="AB14" i="3" s="1"/>
  <c r="AB21" i="3" s="1"/>
  <c r="AB27" i="3" s="1"/>
  <c r="AB27" i="2"/>
  <c r="AB9" i="3" s="1"/>
  <c r="L19" i="4"/>
  <c r="M13" i="4" s="1"/>
  <c r="AC20" i="2"/>
  <c r="AD18" i="2"/>
  <c r="AC25" i="2"/>
  <c r="AC8" i="3" s="1"/>
  <c r="AC30" i="2"/>
  <c r="AC18" i="3" s="1"/>
  <c r="AC19" i="3" s="1"/>
  <c r="AC21" i="2"/>
  <c r="AC6" i="3"/>
  <c r="AC33" i="2"/>
  <c r="AC12" i="3" s="1"/>
  <c r="AB25" i="3"/>
  <c r="AB12" i="4"/>
  <c r="AB18" i="4" s="1"/>
  <c r="AB38" i="3" s="1"/>
  <c r="Y28" i="3"/>
  <c r="Z10" i="3"/>
  <c r="Z14" i="3" s="1"/>
  <c r="Z21" i="3" s="1"/>
  <c r="Z27" i="3" s="1"/>
  <c r="AC12" i="4" l="1"/>
  <c r="AC18" i="4" s="1"/>
  <c r="AC38" i="3" s="1"/>
  <c r="AC25" i="3"/>
  <c r="AD30" i="2"/>
  <c r="AD18" i="3" s="1"/>
  <c r="AD19" i="3" s="1"/>
  <c r="AD25" i="2"/>
  <c r="AD8" i="3" s="1"/>
  <c r="AD33" i="2"/>
  <c r="AD12" i="3" s="1"/>
  <c r="AD21" i="2"/>
  <c r="AD20" i="2"/>
  <c r="AD22" i="2" s="1"/>
  <c r="AD6" i="3"/>
  <c r="AE18" i="2"/>
  <c r="AC22" i="2"/>
  <c r="Z28" i="3"/>
  <c r="AA28" i="3" s="1"/>
  <c r="AB28" i="3" s="1"/>
  <c r="M14" i="4"/>
  <c r="M15" i="4" s="1"/>
  <c r="M36" i="3" s="1"/>
  <c r="AC27" i="2" l="1"/>
  <c r="AC9" i="3" s="1"/>
  <c r="AC7" i="3"/>
  <c r="AC10" i="3" s="1"/>
  <c r="AC14" i="3" s="1"/>
  <c r="AC21" i="3" s="1"/>
  <c r="AC27" i="3" s="1"/>
  <c r="AD25" i="3"/>
  <c r="AD12" i="4"/>
  <c r="AD18" i="4" s="1"/>
  <c r="AD38" i="3" s="1"/>
  <c r="AD7" i="3"/>
  <c r="AD27" i="2"/>
  <c r="AD9" i="3" s="1"/>
  <c r="M16" i="4"/>
  <c r="M37" i="3" s="1"/>
  <c r="M41" i="3" s="1"/>
  <c r="M42" i="3" s="1"/>
  <c r="AF18" i="2"/>
  <c r="AE21" i="2"/>
  <c r="AE6" i="3"/>
  <c r="AE30" i="2"/>
  <c r="AE18" i="3" s="1"/>
  <c r="AE19" i="3" s="1"/>
  <c r="AE25" i="2"/>
  <c r="AE8" i="3" s="1"/>
  <c r="AE33" i="2"/>
  <c r="AE12" i="3" s="1"/>
  <c r="AE20" i="2"/>
  <c r="AE22" i="2" s="1"/>
  <c r="AE27" i="2" l="1"/>
  <c r="AE9" i="3" s="1"/>
  <c r="AE7" i="3"/>
  <c r="AE10" i="3" s="1"/>
  <c r="AE14" i="3" s="1"/>
  <c r="AE21" i="3" s="1"/>
  <c r="AE25" i="3"/>
  <c r="AE12" i="4"/>
  <c r="AE18" i="4" s="1"/>
  <c r="AE38" i="3" s="1"/>
  <c r="AC28" i="3"/>
  <c r="AF30" i="2"/>
  <c r="AF18" i="3" s="1"/>
  <c r="AF19" i="3" s="1"/>
  <c r="AF33" i="2"/>
  <c r="AF12" i="3" s="1"/>
  <c r="AF6" i="3"/>
  <c r="AF21" i="2"/>
  <c r="AF25" i="2" s="1"/>
  <c r="AF8" i="3" s="1"/>
  <c r="AG18" i="2"/>
  <c r="AF20" i="2"/>
  <c r="AF22" i="2" s="1"/>
  <c r="M19" i="4"/>
  <c r="N13" i="4" s="1"/>
  <c r="AD10" i="3"/>
  <c r="AD14" i="3" s="1"/>
  <c r="AD21" i="3" s="1"/>
  <c r="AD27" i="3" s="1"/>
  <c r="AD28" i="3" l="1"/>
  <c r="N14" i="4"/>
  <c r="N15" i="4" s="1"/>
  <c r="N36" i="3" s="1"/>
  <c r="N16" i="4"/>
  <c r="N37" i="3" s="1"/>
  <c r="AF12" i="4"/>
  <c r="AF18" i="4" s="1"/>
  <c r="AF38" i="3" s="1"/>
  <c r="AF25" i="3"/>
  <c r="AE27" i="3"/>
  <c r="AF27" i="2"/>
  <c r="AF9" i="3" s="1"/>
  <c r="AF7" i="3"/>
  <c r="AF10" i="3" s="1"/>
  <c r="AF14" i="3" s="1"/>
  <c r="AF21" i="3" s="1"/>
  <c r="AG6" i="3"/>
  <c r="AG30" i="2"/>
  <c r="AG18" i="3" s="1"/>
  <c r="AG19" i="3" s="1"/>
  <c r="AG33" i="2"/>
  <c r="AG12" i="3" s="1"/>
  <c r="AG21" i="2"/>
  <c r="AG25" i="2" s="1"/>
  <c r="AG8" i="3" s="1"/>
  <c r="AH18" i="2"/>
  <c r="AG20" i="2"/>
  <c r="AH33" i="2" l="1"/>
  <c r="AH12" i="3" s="1"/>
  <c r="AH21" i="2"/>
  <c r="AH25" i="2"/>
  <c r="AH8" i="3" s="1"/>
  <c r="AH20" i="2"/>
  <c r="AH22" i="2" s="1"/>
  <c r="AI18" i="2"/>
  <c r="AH30" i="2"/>
  <c r="AH18" i="3" s="1"/>
  <c r="AH19" i="3" s="1"/>
  <c r="AH6" i="3"/>
  <c r="AE28" i="3"/>
  <c r="AG25" i="3"/>
  <c r="AG12" i="4"/>
  <c r="AG18" i="4" s="1"/>
  <c r="AG38" i="3" s="1"/>
  <c r="N41" i="3"/>
  <c r="N42" i="3" s="1"/>
  <c r="AF27" i="3"/>
  <c r="AG22" i="2"/>
  <c r="N19" i="4"/>
  <c r="O13" i="4" s="1"/>
  <c r="AH27" i="2" l="1"/>
  <c r="AH9" i="3" s="1"/>
  <c r="AH7" i="3"/>
  <c r="AH10" i="3" s="1"/>
  <c r="AH14" i="3" s="1"/>
  <c r="AH21" i="3" s="1"/>
  <c r="O14" i="4"/>
  <c r="O15" i="4" s="1"/>
  <c r="O36" i="3" s="1"/>
  <c r="AH25" i="3"/>
  <c r="AH12" i="4"/>
  <c r="AH18" i="4" s="1"/>
  <c r="AH38" i="3" s="1"/>
  <c r="AG27" i="2"/>
  <c r="AG9" i="3" s="1"/>
  <c r="AG7" i="3"/>
  <c r="AG10" i="3" s="1"/>
  <c r="AG14" i="3" s="1"/>
  <c r="AG21" i="3" s="1"/>
  <c r="AG27" i="3" s="1"/>
  <c r="AF28" i="3"/>
  <c r="AI6" i="3"/>
  <c r="AI33" i="2"/>
  <c r="AI12" i="3" s="1"/>
  <c r="AI20" i="2"/>
  <c r="AI21" i="2"/>
  <c r="AI25" i="2" s="1"/>
  <c r="AI8" i="3" s="1"/>
  <c r="AJ18" i="2"/>
  <c r="AI30" i="2"/>
  <c r="AI18" i="3" s="1"/>
  <c r="AI19" i="3" s="1"/>
  <c r="AI22" i="2" l="1"/>
  <c r="AG28" i="3"/>
  <c r="AH27" i="3"/>
  <c r="AK18" i="2"/>
  <c r="AJ25" i="2"/>
  <c r="AJ8" i="3" s="1"/>
  <c r="AJ33" i="2"/>
  <c r="AJ12" i="3" s="1"/>
  <c r="AJ30" i="2"/>
  <c r="AJ18" i="3" s="1"/>
  <c r="AJ19" i="3" s="1"/>
  <c r="AJ6" i="3"/>
  <c r="AJ21" i="2"/>
  <c r="AJ20" i="2"/>
  <c r="AJ22" i="2" s="1"/>
  <c r="AI12" i="4"/>
  <c r="AI18" i="4" s="1"/>
  <c r="AI38" i="3" s="1"/>
  <c r="AI25" i="3"/>
  <c r="O16" i="4"/>
  <c r="O37" i="3" s="1"/>
  <c r="O41" i="3" s="1"/>
  <c r="O42" i="3" s="1"/>
  <c r="AK6" i="3" l="1"/>
  <c r="AK33" i="2"/>
  <c r="AK12" i="3" s="1"/>
  <c r="AK20" i="2"/>
  <c r="AL18" i="2"/>
  <c r="AK30" i="2"/>
  <c r="AK18" i="3" s="1"/>
  <c r="AK19" i="3" s="1"/>
  <c r="AK21" i="2"/>
  <c r="AK25" i="2"/>
  <c r="AK8" i="3" s="1"/>
  <c r="AJ25" i="3"/>
  <c r="AJ12" i="4"/>
  <c r="AJ18" i="4" s="1"/>
  <c r="AJ38" i="3" s="1"/>
  <c r="AH28" i="3"/>
  <c r="AI7" i="3"/>
  <c r="AI27" i="2"/>
  <c r="AI9" i="3" s="1"/>
  <c r="AJ7" i="3"/>
  <c r="AJ27" i="2"/>
  <c r="AJ9" i="3" s="1"/>
  <c r="O19" i="4"/>
  <c r="P13" i="4" s="1"/>
  <c r="AK22" i="2" l="1"/>
  <c r="AJ10" i="3"/>
  <c r="AJ14" i="3" s="1"/>
  <c r="AJ21" i="3" s="1"/>
  <c r="AJ27" i="3" s="1"/>
  <c r="AK25" i="3"/>
  <c r="AK12" i="4"/>
  <c r="AK18" i="4" s="1"/>
  <c r="AK38" i="3" s="1"/>
  <c r="P14" i="4"/>
  <c r="P15" i="4" s="1"/>
  <c r="P36" i="3" s="1"/>
  <c r="AI10" i="3"/>
  <c r="AI14" i="3" s="1"/>
  <c r="AI21" i="3" s="1"/>
  <c r="AI27" i="3" s="1"/>
  <c r="AL6" i="3"/>
  <c r="AL20" i="2"/>
  <c r="AM18" i="2"/>
  <c r="AL21" i="2"/>
  <c r="AL30" i="2"/>
  <c r="AL18" i="3" s="1"/>
  <c r="AL19" i="3" s="1"/>
  <c r="AL25" i="2"/>
  <c r="AL8" i="3" s="1"/>
  <c r="AL33" i="2"/>
  <c r="AL12" i="3" s="1"/>
  <c r="AI28" i="3" l="1"/>
  <c r="AM6" i="3"/>
  <c r="AM30" i="2"/>
  <c r="AM18" i="3" s="1"/>
  <c r="AM19" i="3" s="1"/>
  <c r="AM25" i="2"/>
  <c r="AM8" i="3" s="1"/>
  <c r="AM33" i="2"/>
  <c r="AM12" i="3" s="1"/>
  <c r="AM21" i="2"/>
  <c r="AM20" i="2"/>
  <c r="AM22" i="2" s="1"/>
  <c r="AN18" i="2"/>
  <c r="AL22" i="2"/>
  <c r="AJ28" i="3"/>
  <c r="AL25" i="3"/>
  <c r="AL12" i="4"/>
  <c r="AL18" i="4" s="1"/>
  <c r="AL38" i="3" s="1"/>
  <c r="P16" i="4"/>
  <c r="AK7" i="3"/>
  <c r="AK27" i="2"/>
  <c r="AK9" i="3" s="1"/>
  <c r="AM27" i="2" l="1"/>
  <c r="AM9" i="3" s="1"/>
  <c r="AM7" i="3"/>
  <c r="AM10" i="3" s="1"/>
  <c r="AM14" i="3" s="1"/>
  <c r="AM21" i="3" s="1"/>
  <c r="AM25" i="3"/>
  <c r="AM12" i="4"/>
  <c r="AM18" i="4" s="1"/>
  <c r="AM38" i="3" s="1"/>
  <c r="P37" i="3"/>
  <c r="P41" i="3" s="1"/>
  <c r="P42" i="3" s="1"/>
  <c r="P19" i="4"/>
  <c r="Q13" i="4" s="1"/>
  <c r="AL27" i="2"/>
  <c r="AL9" i="3" s="1"/>
  <c r="AL7" i="3"/>
  <c r="AL10" i="3" s="1"/>
  <c r="AL14" i="3" s="1"/>
  <c r="AL21" i="3" s="1"/>
  <c r="AL27" i="3" s="1"/>
  <c r="AK10" i="3"/>
  <c r="AK14" i="3" s="1"/>
  <c r="AK21" i="3" s="1"/>
  <c r="AK27" i="3" s="1"/>
  <c r="AN33" i="2"/>
  <c r="AN12" i="3" s="1"/>
  <c r="AN30" i="2"/>
  <c r="AN18" i="3" s="1"/>
  <c r="AN19" i="3" s="1"/>
  <c r="AN21" i="2"/>
  <c r="AN6" i="3"/>
  <c r="AN20" i="2"/>
  <c r="AO18" i="2"/>
  <c r="AN25" i="2"/>
  <c r="AN8" i="3" s="1"/>
  <c r="AO20" i="2" l="1"/>
  <c r="AP18" i="2"/>
  <c r="AO25" i="2"/>
  <c r="AO8" i="3" s="1"/>
  <c r="AO6" i="3"/>
  <c r="AO30" i="2"/>
  <c r="AO18" i="3" s="1"/>
  <c r="AO19" i="3" s="1"/>
  <c r="AO33" i="2"/>
  <c r="AO12" i="3" s="1"/>
  <c r="AO21" i="2"/>
  <c r="Q14" i="4"/>
  <c r="Q15" i="4" s="1"/>
  <c r="Q36" i="3" s="1"/>
  <c r="Q16" i="4"/>
  <c r="Q37" i="3" s="1"/>
  <c r="AM27" i="3"/>
  <c r="AN22" i="2"/>
  <c r="AN25" i="3"/>
  <c r="AN12" i="4"/>
  <c r="AN18" i="4" s="1"/>
  <c r="AN38" i="3" s="1"/>
  <c r="AK28" i="3"/>
  <c r="AL28" i="3" s="1"/>
  <c r="AQ18" i="2" l="1"/>
  <c r="AP30" i="2"/>
  <c r="AP18" i="3" s="1"/>
  <c r="AP19" i="3" s="1"/>
  <c r="AP6" i="3"/>
  <c r="AP25" i="2"/>
  <c r="AP8" i="3" s="1"/>
  <c r="AP21" i="2"/>
  <c r="AP33" i="2"/>
  <c r="AP12" i="3" s="1"/>
  <c r="AP20" i="2"/>
  <c r="AP22" i="2" s="1"/>
  <c r="Q19" i="4"/>
  <c r="R13" i="4" s="1"/>
  <c r="AO22" i="2"/>
  <c r="Q41" i="3"/>
  <c r="Q42" i="3" s="1"/>
  <c r="AO12" i="4"/>
  <c r="AO18" i="4" s="1"/>
  <c r="AO38" i="3" s="1"/>
  <c r="AO25" i="3"/>
  <c r="AN27" i="2"/>
  <c r="AN9" i="3" s="1"/>
  <c r="AN7" i="3"/>
  <c r="AN10" i="3" s="1"/>
  <c r="AN14" i="3" s="1"/>
  <c r="AN21" i="3" s="1"/>
  <c r="AN27" i="3" s="1"/>
  <c r="AM28" i="3"/>
  <c r="R14" i="4" l="1"/>
  <c r="R15" i="4" s="1"/>
  <c r="R36" i="3" s="1"/>
  <c r="AP27" i="2"/>
  <c r="AP9" i="3" s="1"/>
  <c r="AP7" i="3"/>
  <c r="AP25" i="3"/>
  <c r="AP12" i="4"/>
  <c r="AP18" i="4" s="1"/>
  <c r="AP38" i="3" s="1"/>
  <c r="AN28" i="3"/>
  <c r="AO7" i="3"/>
  <c r="AO10" i="3" s="1"/>
  <c r="AO14" i="3" s="1"/>
  <c r="AO21" i="3" s="1"/>
  <c r="AO27" i="3" s="1"/>
  <c r="AO27" i="2"/>
  <c r="AO9" i="3" s="1"/>
  <c r="AR18" i="2"/>
  <c r="AQ25" i="2"/>
  <c r="AQ8" i="3" s="1"/>
  <c r="AQ6" i="3"/>
  <c r="AQ21" i="2"/>
  <c r="AQ20" i="2"/>
  <c r="AQ33" i="2"/>
  <c r="AQ12" i="3" s="1"/>
  <c r="AQ30" i="2"/>
  <c r="AQ18" i="3" s="1"/>
  <c r="AQ19" i="3" s="1"/>
  <c r="AQ12" i="4" l="1"/>
  <c r="AQ18" i="4" s="1"/>
  <c r="AQ38" i="3" s="1"/>
  <c r="AQ25" i="3"/>
  <c r="AO28" i="3"/>
  <c r="AQ22" i="2"/>
  <c r="AR30" i="2"/>
  <c r="AR18" i="3" s="1"/>
  <c r="AR19" i="3" s="1"/>
  <c r="AR6" i="3"/>
  <c r="AR25" i="2"/>
  <c r="AR8" i="3" s="1"/>
  <c r="AS18" i="2"/>
  <c r="AR21" i="2"/>
  <c r="AR33" i="2"/>
  <c r="AR12" i="3" s="1"/>
  <c r="AR20" i="2"/>
  <c r="AP10" i="3"/>
  <c r="AP14" i="3" s="1"/>
  <c r="AP21" i="3" s="1"/>
  <c r="AP27" i="3" s="1"/>
  <c r="R16" i="4"/>
  <c r="AR25" i="3" l="1"/>
  <c r="AR12" i="4"/>
  <c r="AR18" i="4" s="1"/>
  <c r="AR38" i="3" s="1"/>
  <c r="R37" i="3"/>
  <c r="R41" i="3" s="1"/>
  <c r="R42" i="3" s="1"/>
  <c r="R19" i="4"/>
  <c r="S13" i="4" s="1"/>
  <c r="AP28" i="3"/>
  <c r="AS33" i="2"/>
  <c r="AS12" i="3" s="1"/>
  <c r="AS20" i="2"/>
  <c r="AS22" i="2" s="1"/>
  <c r="AS25" i="2"/>
  <c r="AS8" i="3" s="1"/>
  <c r="AT18" i="2"/>
  <c r="AS30" i="2"/>
  <c r="AS18" i="3" s="1"/>
  <c r="AS19" i="3" s="1"/>
  <c r="AS6" i="3"/>
  <c r="AS21" i="2"/>
  <c r="AQ7" i="3"/>
  <c r="AQ27" i="2"/>
  <c r="AQ9" i="3" s="1"/>
  <c r="AR22" i="2"/>
  <c r="AS7" i="3" l="1"/>
  <c r="AS27" i="2"/>
  <c r="AS9" i="3" s="1"/>
  <c r="S14" i="4"/>
  <c r="S15" i="4" s="1"/>
  <c r="S36" i="3" s="1"/>
  <c r="AS12" i="4"/>
  <c r="AS18" i="4" s="1"/>
  <c r="AS38" i="3" s="1"/>
  <c r="AS25" i="3"/>
  <c r="AQ10" i="3"/>
  <c r="AQ14" i="3" s="1"/>
  <c r="AQ21" i="3" s="1"/>
  <c r="AQ27" i="3" s="1"/>
  <c r="AT20" i="2"/>
  <c r="AT22" i="2" s="1"/>
  <c r="AT6" i="3"/>
  <c r="AT30" i="2"/>
  <c r="AT18" i="3" s="1"/>
  <c r="AT19" i="3" s="1"/>
  <c r="AT21" i="2"/>
  <c r="AT25" i="2"/>
  <c r="AT8" i="3" s="1"/>
  <c r="AT33" i="2"/>
  <c r="AT12" i="3" s="1"/>
  <c r="AU18" i="2"/>
  <c r="AR7" i="3"/>
  <c r="AR27" i="2"/>
  <c r="AR9" i="3" s="1"/>
  <c r="AU6" i="3" l="1"/>
  <c r="AU30" i="2"/>
  <c r="AU18" i="3" s="1"/>
  <c r="AU19" i="3" s="1"/>
  <c r="AU33" i="2"/>
  <c r="AU12" i="3" s="1"/>
  <c r="AU25" i="2"/>
  <c r="AU8" i="3" s="1"/>
  <c r="AU21" i="2"/>
  <c r="AU20" i="2"/>
  <c r="AU22" i="2" s="1"/>
  <c r="AV18" i="2"/>
  <c r="AT12" i="4"/>
  <c r="AT18" i="4" s="1"/>
  <c r="AT38" i="3" s="1"/>
  <c r="AT25" i="3"/>
  <c r="AT27" i="2"/>
  <c r="AT9" i="3" s="1"/>
  <c r="AT7" i="3"/>
  <c r="AR10" i="3"/>
  <c r="AR14" i="3" s="1"/>
  <c r="AR21" i="3" s="1"/>
  <c r="AR27" i="3" s="1"/>
  <c r="AQ28" i="3"/>
  <c r="S16" i="4"/>
  <c r="S37" i="3" s="1"/>
  <c r="S41" i="3" s="1"/>
  <c r="S42" i="3" s="1"/>
  <c r="AS10" i="3"/>
  <c r="AS14" i="3" s="1"/>
  <c r="AS21" i="3" s="1"/>
  <c r="AS27" i="3" s="1"/>
  <c r="S19" i="4" l="1"/>
  <c r="T13" i="4" s="1"/>
  <c r="AV20" i="2"/>
  <c r="AV25" i="2"/>
  <c r="AV8" i="3" s="1"/>
  <c r="AV33" i="2"/>
  <c r="AV12" i="3" s="1"/>
  <c r="AW18" i="2"/>
  <c r="AV30" i="2"/>
  <c r="AV18" i="3" s="1"/>
  <c r="AV19" i="3" s="1"/>
  <c r="AV6" i="3"/>
  <c r="AV21" i="2"/>
  <c r="AR28" i="3"/>
  <c r="AS28" i="3" s="1"/>
  <c r="AU7" i="3"/>
  <c r="AU10" i="3" s="1"/>
  <c r="AU14" i="3" s="1"/>
  <c r="AU21" i="3" s="1"/>
  <c r="AU27" i="3" s="1"/>
  <c r="AU27" i="2"/>
  <c r="AU9" i="3" s="1"/>
  <c r="AT10" i="3"/>
  <c r="AT14" i="3" s="1"/>
  <c r="AT21" i="3" s="1"/>
  <c r="AT27" i="3" s="1"/>
  <c r="AU25" i="3"/>
  <c r="AU12" i="4"/>
  <c r="AU18" i="4" s="1"/>
  <c r="AU38" i="3" s="1"/>
  <c r="AT28" i="3" l="1"/>
  <c r="AV25" i="3"/>
  <c r="AV12" i="4"/>
  <c r="AV18" i="4" s="1"/>
  <c r="AV38" i="3" s="1"/>
  <c r="AV22" i="2"/>
  <c r="AU28" i="3"/>
  <c r="AW33" i="2"/>
  <c r="AW12" i="3" s="1"/>
  <c r="AW20" i="2"/>
  <c r="AX18" i="2"/>
  <c r="AW25" i="2"/>
  <c r="AW8" i="3" s="1"/>
  <c r="AW30" i="2"/>
  <c r="AW18" i="3" s="1"/>
  <c r="AW19" i="3" s="1"/>
  <c r="AW6" i="3"/>
  <c r="AW21" i="2"/>
  <c r="T14" i="4"/>
  <c r="T15" i="4" s="1"/>
  <c r="T36" i="3" s="1"/>
  <c r="AY18" i="2" l="1"/>
  <c r="AX30" i="2"/>
  <c r="AX18" i="3" s="1"/>
  <c r="AX19" i="3" s="1"/>
  <c r="AX33" i="2"/>
  <c r="AX12" i="3" s="1"/>
  <c r="AX25" i="2"/>
  <c r="AX8" i="3" s="1"/>
  <c r="AX20" i="2"/>
  <c r="AX6" i="3"/>
  <c r="AX21" i="2"/>
  <c r="T16" i="4"/>
  <c r="T37" i="3" s="1"/>
  <c r="T41" i="3" s="1"/>
  <c r="T42" i="3" s="1"/>
  <c r="AW25" i="3"/>
  <c r="AW12" i="4"/>
  <c r="AW18" i="4" s="1"/>
  <c r="AW38" i="3" s="1"/>
  <c r="AW22" i="2"/>
  <c r="AV27" i="2"/>
  <c r="AV9" i="3" s="1"/>
  <c r="AV7" i="3"/>
  <c r="AV10" i="3" l="1"/>
  <c r="AV14" i="3" s="1"/>
  <c r="AV21" i="3" s="1"/>
  <c r="AV27" i="3" s="1"/>
  <c r="AX12" i="4"/>
  <c r="AX18" i="4" s="1"/>
  <c r="AX38" i="3" s="1"/>
  <c r="AX25" i="3"/>
  <c r="AY30" i="2"/>
  <c r="AY18" i="3" s="1"/>
  <c r="AY19" i="3" s="1"/>
  <c r="AY6" i="3"/>
  <c r="AY21" i="2"/>
  <c r="AY33" i="2"/>
  <c r="AY12" i="3" s="1"/>
  <c r="AY25" i="2"/>
  <c r="AY8" i="3" s="1"/>
  <c r="AY20" i="2"/>
  <c r="AZ18" i="2"/>
  <c r="AX22" i="2"/>
  <c r="AW7" i="3"/>
  <c r="AW27" i="2"/>
  <c r="AW9" i="3" s="1"/>
  <c r="T19" i="4"/>
  <c r="U13" i="4" s="1"/>
  <c r="AX27" i="2" l="1"/>
  <c r="AX9" i="3" s="1"/>
  <c r="AX7" i="3"/>
  <c r="AX10" i="3" s="1"/>
  <c r="AX14" i="3" s="1"/>
  <c r="AX21" i="3" s="1"/>
  <c r="AX27" i="3" s="1"/>
  <c r="AY22" i="2"/>
  <c r="AY25" i="3"/>
  <c r="AY12" i="4"/>
  <c r="AY18" i="4" s="1"/>
  <c r="AY38" i="3" s="1"/>
  <c r="AV28" i="3"/>
  <c r="U14" i="4"/>
  <c r="U15" i="4" s="1"/>
  <c r="U36" i="3" s="1"/>
  <c r="AZ20" i="2"/>
  <c r="AZ22" i="2" s="1"/>
  <c r="AZ33" i="2"/>
  <c r="AZ12" i="3" s="1"/>
  <c r="BA18" i="2"/>
  <c r="AZ25" i="2"/>
  <c r="AZ8" i="3" s="1"/>
  <c r="AZ30" i="2"/>
  <c r="AZ18" i="3" s="1"/>
  <c r="AZ19" i="3" s="1"/>
  <c r="AZ6" i="3"/>
  <c r="AZ21" i="2"/>
  <c r="AW10" i="3"/>
  <c r="AW14" i="3" s="1"/>
  <c r="AW21" i="3" s="1"/>
  <c r="AW27" i="3" s="1"/>
  <c r="AZ25" i="3" l="1"/>
  <c r="AZ12" i="4"/>
  <c r="AZ18" i="4" s="1"/>
  <c r="AZ38" i="3" s="1"/>
  <c r="AZ7" i="3"/>
  <c r="AZ10" i="3" s="1"/>
  <c r="AZ14" i="3" s="1"/>
  <c r="AZ21" i="3" s="1"/>
  <c r="AZ27" i="3" s="1"/>
  <c r="AZ27" i="2"/>
  <c r="AZ9" i="3" s="1"/>
  <c r="AY7" i="3"/>
  <c r="AY27" i="2"/>
  <c r="AY9" i="3" s="1"/>
  <c r="AW28" i="3"/>
  <c r="AX28" i="3" s="1"/>
  <c r="U16" i="4"/>
  <c r="U37" i="3" s="1"/>
  <c r="U41" i="3" s="1"/>
  <c r="U42" i="3" s="1"/>
  <c r="BB18" i="2"/>
  <c r="BA25" i="2"/>
  <c r="BA8" i="3" s="1"/>
  <c r="BA6" i="3"/>
  <c r="BA30" i="2"/>
  <c r="BA18" i="3" s="1"/>
  <c r="BA19" i="3" s="1"/>
  <c r="BA33" i="2"/>
  <c r="BA12" i="3" s="1"/>
  <c r="BA21" i="2"/>
  <c r="BA20" i="2"/>
  <c r="U19" i="4"/>
  <c r="V13" i="4" s="1"/>
  <c r="V14" i="4" l="1"/>
  <c r="V15" i="4" s="1"/>
  <c r="V36" i="3" s="1"/>
  <c r="BA22" i="2"/>
  <c r="BA25" i="3"/>
  <c r="BA12" i="4"/>
  <c r="BA18" i="4" s="1"/>
  <c r="BA38" i="3" s="1"/>
  <c r="AY10" i="3"/>
  <c r="AY14" i="3" s="1"/>
  <c r="AY21" i="3" s="1"/>
  <c r="AY27" i="3" s="1"/>
  <c r="BC18" i="2"/>
  <c r="BB25" i="2"/>
  <c r="BB8" i="3" s="1"/>
  <c r="BB33" i="2"/>
  <c r="BB12" i="3" s="1"/>
  <c r="BB30" i="2"/>
  <c r="BB18" i="3" s="1"/>
  <c r="BB19" i="3" s="1"/>
  <c r="BB21" i="2"/>
  <c r="BB6" i="3"/>
  <c r="BB20" i="2"/>
  <c r="BB22" i="2" s="1"/>
  <c r="BB25" i="3" l="1"/>
  <c r="BB12" i="4"/>
  <c r="BB18" i="4" s="1"/>
  <c r="BB38" i="3" s="1"/>
  <c r="BC33" i="2"/>
  <c r="BC12" i="3" s="1"/>
  <c r="BC30" i="2"/>
  <c r="BC18" i="3" s="1"/>
  <c r="BC19" i="3" s="1"/>
  <c r="BC21" i="2"/>
  <c r="BC20" i="2"/>
  <c r="BC22" i="2" s="1"/>
  <c r="BD18" i="2"/>
  <c r="BC6" i="3"/>
  <c r="BC25" i="2"/>
  <c r="BC8" i="3" s="1"/>
  <c r="BA7" i="3"/>
  <c r="BA10" i="3" s="1"/>
  <c r="BA14" i="3" s="1"/>
  <c r="BA21" i="3" s="1"/>
  <c r="BA27" i="3" s="1"/>
  <c r="BA27" i="2"/>
  <c r="BA9" i="3" s="1"/>
  <c r="AY28" i="3"/>
  <c r="AZ28" i="3" s="1"/>
  <c r="V16" i="4"/>
  <c r="V37" i="3" s="1"/>
  <c r="V41" i="3" s="1"/>
  <c r="V42" i="3" s="1"/>
  <c r="BB7" i="3"/>
  <c r="BB27" i="2"/>
  <c r="BB9" i="3" s="1"/>
  <c r="BC7" i="3" l="1"/>
  <c r="BC27" i="2"/>
  <c r="BC9" i="3" s="1"/>
  <c r="BE18" i="2"/>
  <c r="BD25" i="2"/>
  <c r="BD8" i="3" s="1"/>
  <c r="BD33" i="2"/>
  <c r="BD12" i="3" s="1"/>
  <c r="BD30" i="2"/>
  <c r="BD18" i="3" s="1"/>
  <c r="BD19" i="3" s="1"/>
  <c r="BD21" i="2"/>
  <c r="BD20" i="2"/>
  <c r="BD6" i="3"/>
  <c r="BA28" i="3"/>
  <c r="BB10" i="3"/>
  <c r="BB14" i="3" s="1"/>
  <c r="BB21" i="3" s="1"/>
  <c r="BB27" i="3" s="1"/>
  <c r="BC25" i="3"/>
  <c r="BC12" i="4"/>
  <c r="BC18" i="4" s="1"/>
  <c r="BC38" i="3" s="1"/>
  <c r="V19" i="4"/>
  <c r="W13" i="4" s="1"/>
  <c r="W14" i="4" l="1"/>
  <c r="W15" i="4" s="1"/>
  <c r="W36" i="3" s="1"/>
  <c r="W16" i="4"/>
  <c r="W37" i="3" s="1"/>
  <c r="BE21" i="2"/>
  <c r="BE20" i="2"/>
  <c r="BF18" i="2"/>
  <c r="BE30" i="2"/>
  <c r="BE18" i="3" s="1"/>
  <c r="BE19" i="3" s="1"/>
  <c r="BE6" i="3"/>
  <c r="BE25" i="2"/>
  <c r="BE8" i="3" s="1"/>
  <c r="BE33" i="2"/>
  <c r="BE12" i="3" s="1"/>
  <c r="BD25" i="3"/>
  <c r="BD12" i="4"/>
  <c r="BD18" i="4" s="1"/>
  <c r="BD38" i="3" s="1"/>
  <c r="BC10" i="3"/>
  <c r="BC14" i="3" s="1"/>
  <c r="BC21" i="3" s="1"/>
  <c r="BC27" i="3" s="1"/>
  <c r="BB28" i="3"/>
  <c r="BD22" i="2"/>
  <c r="BC28" i="3" l="1"/>
  <c r="BD27" i="2"/>
  <c r="BD9" i="3" s="1"/>
  <c r="BD7" i="3"/>
  <c r="BD10" i="3" s="1"/>
  <c r="BD14" i="3" s="1"/>
  <c r="BD21" i="3" s="1"/>
  <c r="BD27" i="3" s="1"/>
  <c r="BE12" i="4"/>
  <c r="BE18" i="4" s="1"/>
  <c r="BE38" i="3" s="1"/>
  <c r="BE25" i="3"/>
  <c r="W19" i="4"/>
  <c r="X13" i="4" s="1"/>
  <c r="BF33" i="2"/>
  <c r="BF12" i="3" s="1"/>
  <c r="BF21" i="2"/>
  <c r="BF20" i="2"/>
  <c r="BF22" i="2" s="1"/>
  <c r="BF6" i="3"/>
  <c r="BF30" i="2"/>
  <c r="BF18" i="3" s="1"/>
  <c r="BF19" i="3" s="1"/>
  <c r="BG18" i="2"/>
  <c r="BF25" i="2"/>
  <c r="BF8" i="3" s="1"/>
  <c r="BE22" i="2"/>
  <c r="W41" i="3"/>
  <c r="W42" i="3" s="1"/>
  <c r="BD28" i="3" l="1"/>
  <c r="BE27" i="2"/>
  <c r="BE9" i="3" s="1"/>
  <c r="BE7" i="3"/>
  <c r="BF12" i="4"/>
  <c r="BF18" i="4" s="1"/>
  <c r="BF38" i="3" s="1"/>
  <c r="BF25" i="3"/>
  <c r="X16" i="4"/>
  <c r="X37" i="3" s="1"/>
  <c r="X14" i="4"/>
  <c r="X15" i="4" s="1"/>
  <c r="X36" i="3" s="1"/>
  <c r="BF7" i="3"/>
  <c r="BF27" i="2"/>
  <c r="BF9" i="3" s="1"/>
  <c r="BH18" i="2"/>
  <c r="BG25" i="2"/>
  <c r="BG8" i="3" s="1"/>
  <c r="BG6" i="3"/>
  <c r="BG30" i="2"/>
  <c r="BG18" i="3" s="1"/>
  <c r="BG19" i="3" s="1"/>
  <c r="BG21" i="2"/>
  <c r="BG33" i="2"/>
  <c r="BG12" i="3" s="1"/>
  <c r="BG20" i="2"/>
  <c r="BG22" i="2" s="1"/>
  <c r="X19" i="4" l="1"/>
  <c r="Y13" i="4" s="1"/>
  <c r="BE10" i="3"/>
  <c r="BE14" i="3" s="1"/>
  <c r="BE21" i="3" s="1"/>
  <c r="BE27" i="3" s="1"/>
  <c r="BF10" i="3"/>
  <c r="BF14" i="3" s="1"/>
  <c r="BF21" i="3" s="1"/>
  <c r="BF27" i="3" s="1"/>
  <c r="BG7" i="3"/>
  <c r="BG10" i="3" s="1"/>
  <c r="BG14" i="3" s="1"/>
  <c r="BG21" i="3" s="1"/>
  <c r="BG27" i="2"/>
  <c r="BG9" i="3" s="1"/>
  <c r="BG12" i="4"/>
  <c r="BG18" i="4" s="1"/>
  <c r="BG38" i="3" s="1"/>
  <c r="BG25" i="3"/>
  <c r="BH20" i="2"/>
  <c r="BH33" i="2"/>
  <c r="BH12" i="3" s="1"/>
  <c r="BI18" i="2"/>
  <c r="BH25" i="2"/>
  <c r="BH8" i="3" s="1"/>
  <c r="BH30" i="2"/>
  <c r="BH18" i="3" s="1"/>
  <c r="BH19" i="3" s="1"/>
  <c r="BH6" i="3"/>
  <c r="BH21" i="2"/>
  <c r="X41" i="3"/>
  <c r="X42" i="3" s="1"/>
  <c r="BH22" i="2" l="1"/>
  <c r="BG27" i="3"/>
  <c r="BI33" i="2"/>
  <c r="BI12" i="3" s="1"/>
  <c r="BI20" i="2"/>
  <c r="BJ18" i="2"/>
  <c r="BI25" i="2"/>
  <c r="BI8" i="3" s="1"/>
  <c r="BI6" i="3"/>
  <c r="BI21" i="2"/>
  <c r="BI30" i="2"/>
  <c r="BI18" i="3" s="1"/>
  <c r="BI19" i="3" s="1"/>
  <c r="BE28" i="3"/>
  <c r="BF28" i="3" s="1"/>
  <c r="BH25" i="3"/>
  <c r="BH12" i="4"/>
  <c r="BH18" i="4" s="1"/>
  <c r="BH38" i="3" s="1"/>
  <c r="Y14" i="4"/>
  <c r="Y15" i="4" s="1"/>
  <c r="Y36" i="3" s="1"/>
  <c r="Y16" i="4" l="1"/>
  <c r="BJ21" i="2"/>
  <c r="BJ33" i="2"/>
  <c r="BJ12" i="3" s="1"/>
  <c r="BJ20" i="2"/>
  <c r="BJ22" i="2" s="1"/>
  <c r="BJ6" i="3"/>
  <c r="BJ30" i="2"/>
  <c r="BJ18" i="3" s="1"/>
  <c r="BJ19" i="3" s="1"/>
  <c r="BJ25" i="2"/>
  <c r="BJ8" i="3" s="1"/>
  <c r="BK18" i="2"/>
  <c r="BI22" i="2"/>
  <c r="BG28" i="3"/>
  <c r="BI12" i="4"/>
  <c r="BI18" i="4" s="1"/>
  <c r="BI38" i="3" s="1"/>
  <c r="BI25" i="3"/>
  <c r="BH7" i="3"/>
  <c r="BH27" i="2"/>
  <c r="BH9" i="3" s="1"/>
  <c r="BJ27" i="2" l="1"/>
  <c r="BJ9" i="3" s="1"/>
  <c r="BJ7" i="3"/>
  <c r="BJ10" i="3" s="1"/>
  <c r="BJ14" i="3" s="1"/>
  <c r="BJ21" i="3" s="1"/>
  <c r="BK33" i="2"/>
  <c r="BK12" i="3" s="1"/>
  <c r="BK21" i="2"/>
  <c r="BK20" i="2"/>
  <c r="BL18" i="2"/>
  <c r="BK30" i="2"/>
  <c r="BK18" i="3" s="1"/>
  <c r="BK19" i="3" s="1"/>
  <c r="BK6" i="3"/>
  <c r="BK25" i="2"/>
  <c r="BK8" i="3" s="1"/>
  <c r="BH10" i="3"/>
  <c r="BH14" i="3" s="1"/>
  <c r="BH21" i="3" s="1"/>
  <c r="BH27" i="3" s="1"/>
  <c r="BI7" i="3"/>
  <c r="BI27" i="2"/>
  <c r="BI9" i="3" s="1"/>
  <c r="BJ25" i="3"/>
  <c r="BJ12" i="4"/>
  <c r="BJ18" i="4" s="1"/>
  <c r="BJ38" i="3" s="1"/>
  <c r="Y37" i="3"/>
  <c r="Y41" i="3" s="1"/>
  <c r="Y42" i="3" s="1"/>
  <c r="Y19" i="4"/>
  <c r="Z13" i="4" s="1"/>
  <c r="BH28" i="3" l="1"/>
  <c r="BL33" i="2"/>
  <c r="BL12" i="3" s="1"/>
  <c r="BL21" i="2"/>
  <c r="BL20" i="2"/>
  <c r="BL30" i="2"/>
  <c r="BL18" i="3" s="1"/>
  <c r="BL19" i="3" s="1"/>
  <c r="BL6" i="3"/>
  <c r="BL25" i="2"/>
  <c r="BL8" i="3" s="1"/>
  <c r="BM18" i="2"/>
  <c r="BJ27" i="3"/>
  <c r="Z14" i="4"/>
  <c r="Z15" i="4" s="1"/>
  <c r="Z36" i="3" s="1"/>
  <c r="Z16" i="4"/>
  <c r="Z37" i="3" s="1"/>
  <c r="BK12" i="4"/>
  <c r="BI10" i="3"/>
  <c r="BI14" i="3" s="1"/>
  <c r="BI21" i="3" s="1"/>
  <c r="BI27" i="3" s="1"/>
  <c r="BK22" i="2"/>
  <c r="Z41" i="3" l="1"/>
  <c r="Z42" i="3" s="1"/>
  <c r="BL12" i="4"/>
  <c r="BL18" i="4" s="1"/>
  <c r="BL38" i="3" s="1"/>
  <c r="BL25" i="3"/>
  <c r="BK7" i="3"/>
  <c r="BK10" i="3" s="1"/>
  <c r="BK14" i="3" s="1"/>
  <c r="BK21" i="3" s="1"/>
  <c r="BK27" i="2"/>
  <c r="BK9" i="3" s="1"/>
  <c r="BI28" i="3"/>
  <c r="BJ28" i="3" s="1"/>
  <c r="Z19" i="4"/>
  <c r="AA13" i="4" s="1"/>
  <c r="BM6" i="3"/>
  <c r="BM33" i="2"/>
  <c r="BM12" i="3" s="1"/>
  <c r="BM20" i="2"/>
  <c r="BN18" i="2"/>
  <c r="BM25" i="2"/>
  <c r="BM8" i="3" s="1"/>
  <c r="BM30" i="2"/>
  <c r="BM18" i="3" s="1"/>
  <c r="BM19" i="3" s="1"/>
  <c r="BM21" i="2"/>
  <c r="BL22" i="2"/>
  <c r="BM25" i="3" l="1"/>
  <c r="BM12" i="4"/>
  <c r="BM18" i="4" s="1"/>
  <c r="BM38" i="3" s="1"/>
  <c r="BL7" i="3"/>
  <c r="BL10" i="3" s="1"/>
  <c r="BL14" i="3" s="1"/>
  <c r="BL27" i="2"/>
  <c r="BL9" i="3" s="1"/>
  <c r="BN21" i="2"/>
  <c r="BN20" i="2"/>
  <c r="BN22" i="2" s="1"/>
  <c r="BN6" i="3"/>
  <c r="BO18" i="2"/>
  <c r="BN30" i="2"/>
  <c r="BN18" i="3" s="1"/>
  <c r="BN19" i="3" s="1"/>
  <c r="BN25" i="2"/>
  <c r="BN8" i="3" s="1"/>
  <c r="BN33" i="2"/>
  <c r="BN12" i="3" s="1"/>
  <c r="AA14" i="4"/>
  <c r="AA15" i="4" s="1"/>
  <c r="AA36" i="3" s="1"/>
  <c r="BM22" i="2"/>
  <c r="BN25" i="3" l="1"/>
  <c r="BN12" i="4"/>
  <c r="BN18" i="4" s="1"/>
  <c r="BN38" i="3" s="1"/>
  <c r="BL21" i="3"/>
  <c r="BL27" i="3" s="1"/>
  <c r="BN7" i="3"/>
  <c r="BN27" i="2"/>
  <c r="BN9" i="3" s="1"/>
  <c r="BM7" i="3"/>
  <c r="BM27" i="2"/>
  <c r="BM9" i="3" s="1"/>
  <c r="AA16" i="4"/>
  <c r="AA37" i="3" s="1"/>
  <c r="AA41" i="3" s="1"/>
  <c r="AA42" i="3" s="1"/>
  <c r="BO33" i="2"/>
  <c r="BO12" i="3" s="1"/>
  <c r="BO20" i="2"/>
  <c r="BP18" i="2"/>
  <c r="BO25" i="2"/>
  <c r="BO8" i="3" s="1"/>
  <c r="BO30" i="2"/>
  <c r="BO18" i="3" s="1"/>
  <c r="BO19" i="3" s="1"/>
  <c r="BO6" i="3"/>
  <c r="BO21" i="2"/>
  <c r="AA19" i="4" l="1"/>
  <c r="AB13" i="4" s="1"/>
  <c r="BP20" i="2"/>
  <c r="BP33" i="2"/>
  <c r="BP12" i="3" s="1"/>
  <c r="BQ18" i="2"/>
  <c r="BP25" i="2"/>
  <c r="BP8" i="3" s="1"/>
  <c r="BP30" i="2"/>
  <c r="BP18" i="3" s="1"/>
  <c r="BP19" i="3" s="1"/>
  <c r="BP6" i="3"/>
  <c r="BP21" i="2"/>
  <c r="BN10" i="3"/>
  <c r="BN14" i="3" s="1"/>
  <c r="BN21" i="3" s="1"/>
  <c r="BN27" i="3" s="1"/>
  <c r="BO25" i="3"/>
  <c r="BO12" i="4"/>
  <c r="BO18" i="4" s="1"/>
  <c r="BO38" i="3" s="1"/>
  <c r="BO22" i="2"/>
  <c r="BM10" i="3"/>
  <c r="BM14" i="3" s="1"/>
  <c r="BQ33" i="2" l="1"/>
  <c r="BQ12" i="3" s="1"/>
  <c r="BQ21" i="2"/>
  <c r="BQ20" i="2"/>
  <c r="BR18" i="2"/>
  <c r="BQ25" i="2"/>
  <c r="BQ8" i="3" s="1"/>
  <c r="BQ6" i="3"/>
  <c r="BQ30" i="2"/>
  <c r="BQ18" i="3" s="1"/>
  <c r="BQ19" i="3" s="1"/>
  <c r="AB14" i="4"/>
  <c r="AB15" i="4" s="1"/>
  <c r="AB36" i="3" s="1"/>
  <c r="BM21" i="3"/>
  <c r="BM27" i="3" s="1"/>
  <c r="BO27" i="2"/>
  <c r="BO9" i="3" s="1"/>
  <c r="BO7" i="3"/>
  <c r="BO10" i="3" s="1"/>
  <c r="BO14" i="3" s="1"/>
  <c r="BO21" i="3" s="1"/>
  <c r="BO27" i="3" s="1"/>
  <c r="BP25" i="3"/>
  <c r="BP12" i="4"/>
  <c r="BP18" i="4" s="1"/>
  <c r="BP38" i="3" s="1"/>
  <c r="BP22" i="2"/>
  <c r="BQ12" i="4" l="1"/>
  <c r="BQ18" i="4" s="1"/>
  <c r="BQ38" i="3" s="1"/>
  <c r="BQ25" i="3"/>
  <c r="BP7" i="3"/>
  <c r="BP27" i="2"/>
  <c r="BP9" i="3" s="1"/>
  <c r="AB16" i="4"/>
  <c r="AB37" i="3" s="1"/>
  <c r="BR33" i="2"/>
  <c r="BR12" i="3" s="1"/>
  <c r="BR30" i="2"/>
  <c r="BR18" i="3" s="1"/>
  <c r="BR19" i="3" s="1"/>
  <c r="BR21" i="2"/>
  <c r="BR6" i="3"/>
  <c r="BR20" i="2"/>
  <c r="BS18" i="2"/>
  <c r="BR25" i="2"/>
  <c r="BR8" i="3" s="1"/>
  <c r="AB41" i="3"/>
  <c r="AB42" i="3" s="1"/>
  <c r="BQ22" i="2"/>
  <c r="BS33" i="2" l="1"/>
  <c r="BS12" i="3" s="1"/>
  <c r="BT18" i="2"/>
  <c r="BS25" i="2"/>
  <c r="BS8" i="3" s="1"/>
  <c r="BS30" i="2"/>
  <c r="BS18" i="3" s="1"/>
  <c r="BS19" i="3" s="1"/>
  <c r="BS21" i="2"/>
  <c r="BS6" i="3"/>
  <c r="BS20" i="2"/>
  <c r="BS22" i="2" s="1"/>
  <c r="AB19" i="4"/>
  <c r="AC13" i="4" s="1"/>
  <c r="BP10" i="3"/>
  <c r="BP14" i="3" s="1"/>
  <c r="BQ27" i="2"/>
  <c r="BQ9" i="3" s="1"/>
  <c r="BQ7" i="3"/>
  <c r="BQ10" i="3" s="1"/>
  <c r="BQ14" i="3" s="1"/>
  <c r="BQ21" i="3" s="1"/>
  <c r="BQ27" i="3" s="1"/>
  <c r="BR22" i="2"/>
  <c r="BR25" i="3"/>
  <c r="BR12" i="4"/>
  <c r="BR18" i="4" s="1"/>
  <c r="BR38" i="3" s="1"/>
  <c r="BP21" i="3" l="1"/>
  <c r="BP27" i="3" s="1"/>
  <c r="BR7" i="3"/>
  <c r="BR27" i="2"/>
  <c r="BR9" i="3" s="1"/>
  <c r="AC14" i="4"/>
  <c r="AC15" i="4" s="1"/>
  <c r="AC36" i="3" s="1"/>
  <c r="AC16" i="4"/>
  <c r="AC37" i="3" s="1"/>
  <c r="BS7" i="3"/>
  <c r="BS10" i="3" s="1"/>
  <c r="BS14" i="3" s="1"/>
  <c r="BS21" i="3" s="1"/>
  <c r="BS27" i="3" s="1"/>
  <c r="BS27" i="2"/>
  <c r="BS9" i="3" s="1"/>
  <c r="BS12" i="4"/>
  <c r="BS18" i="4" s="1"/>
  <c r="BS38" i="3" s="1"/>
  <c r="BS25" i="3"/>
  <c r="BT6" i="3"/>
  <c r="BT20" i="2"/>
  <c r="BU18" i="2"/>
  <c r="BT25" i="2"/>
  <c r="BT8" i="3" s="1"/>
  <c r="BT33" i="2"/>
  <c r="BT12" i="3" s="1"/>
  <c r="BT30" i="2"/>
  <c r="BT18" i="3" s="1"/>
  <c r="BT19" i="3" s="1"/>
  <c r="BT21" i="2"/>
  <c r="BU6" i="3" l="1"/>
  <c r="BU21" i="2"/>
  <c r="BU33" i="2"/>
  <c r="BU12" i="3" s="1"/>
  <c r="BU20" i="2"/>
  <c r="BV18" i="2"/>
  <c r="BU25" i="2"/>
  <c r="BU8" i="3" s="1"/>
  <c r="BU30" i="2"/>
  <c r="BU18" i="3" s="1"/>
  <c r="BU19" i="3" s="1"/>
  <c r="BT22" i="2"/>
  <c r="AC19" i="4"/>
  <c r="AD13" i="4" s="1"/>
  <c r="BR10" i="3"/>
  <c r="BR14" i="3" s="1"/>
  <c r="BR21" i="3" s="1"/>
  <c r="BR27" i="3" s="1"/>
  <c r="BT25" i="3"/>
  <c r="BT12" i="4"/>
  <c r="BT18" i="4" s="1"/>
  <c r="BT38" i="3" s="1"/>
  <c r="AC41" i="3"/>
  <c r="AC42" i="3" s="1"/>
  <c r="BT27" i="2" l="1"/>
  <c r="BT9" i="3" s="1"/>
  <c r="BT7" i="3"/>
  <c r="BT10" i="3" s="1"/>
  <c r="BT14" i="3" s="1"/>
  <c r="BT21" i="3" s="1"/>
  <c r="BT27" i="3" s="1"/>
  <c r="BU22" i="2"/>
  <c r="AD14" i="4"/>
  <c r="AD15" i="4" s="1"/>
  <c r="AD36" i="3" s="1"/>
  <c r="BV33" i="2"/>
  <c r="BV12" i="3" s="1"/>
  <c r="BV25" i="2"/>
  <c r="BV8" i="3" s="1"/>
  <c r="BV21" i="2"/>
  <c r="BV6" i="3"/>
  <c r="BV30" i="2"/>
  <c r="BV18" i="3" s="1"/>
  <c r="BV19" i="3" s="1"/>
  <c r="BV20" i="2"/>
  <c r="BV22" i="2" s="1"/>
  <c r="BW18" i="2"/>
  <c r="BU12" i="4"/>
  <c r="BU18" i="4" s="1"/>
  <c r="BU38" i="3" s="1"/>
  <c r="BU25" i="3"/>
  <c r="AD16" i="4" l="1"/>
  <c r="AD37" i="3" s="1"/>
  <c r="BU27" i="2"/>
  <c r="BU9" i="3" s="1"/>
  <c r="BU7" i="3"/>
  <c r="BU10" i="3" s="1"/>
  <c r="BU14" i="3" s="1"/>
  <c r="BU21" i="3" s="1"/>
  <c r="BU27" i="3" s="1"/>
  <c r="BV7" i="3"/>
  <c r="BV10" i="3" s="1"/>
  <c r="BV14" i="3" s="1"/>
  <c r="BV21" i="3" s="1"/>
  <c r="BV27" i="2"/>
  <c r="BV9" i="3" s="1"/>
  <c r="AD41" i="3"/>
  <c r="AD42" i="3" s="1"/>
  <c r="BW33" i="2"/>
  <c r="BW12" i="3" s="1"/>
  <c r="BW20" i="2"/>
  <c r="BW25" i="2"/>
  <c r="BW8" i="3" s="1"/>
  <c r="BW30" i="2"/>
  <c r="BW18" i="3" s="1"/>
  <c r="BW19" i="3" s="1"/>
  <c r="BW6" i="3"/>
  <c r="BW21" i="2"/>
  <c r="BV25" i="3"/>
  <c r="BV12" i="4"/>
  <c r="BV18" i="4" s="1"/>
  <c r="BV38" i="3" s="1"/>
  <c r="AD19" i="4"/>
  <c r="AE13" i="4" s="1"/>
  <c r="AE14" i="4" l="1"/>
  <c r="AE15" i="4" s="1"/>
  <c r="AE36" i="3" s="1"/>
  <c r="BV27" i="3"/>
  <c r="BW22" i="2"/>
  <c r="BW12" i="4"/>
  <c r="BW18" i="4" s="1"/>
  <c r="BW38" i="3" s="1"/>
  <c r="BW25" i="3"/>
  <c r="I39" i="5"/>
  <c r="F39" i="5"/>
  <c r="G8" i="5"/>
  <c r="C18" i="5"/>
  <c r="C39" i="5"/>
  <c r="E39" i="5"/>
  <c r="D18" i="5"/>
  <c r="H18" i="5"/>
  <c r="G18" i="5"/>
  <c r="F8" i="5"/>
  <c r="I8" i="5"/>
  <c r="H8" i="5"/>
  <c r="D39" i="5"/>
  <c r="E18" i="5"/>
  <c r="F18" i="5"/>
  <c r="D17" i="5"/>
  <c r="E19" i="5"/>
  <c r="I18" i="5"/>
  <c r="H39" i="5"/>
  <c r="I19" i="5"/>
  <c r="G19" i="5"/>
  <c r="C24" i="5"/>
  <c r="E8" i="5"/>
  <c r="G39" i="5"/>
  <c r="E35" i="5"/>
  <c r="D8" i="5"/>
  <c r="H17" i="5"/>
  <c r="E17" i="5"/>
  <c r="I35" i="5"/>
  <c r="E24" i="5"/>
  <c r="I17" i="5"/>
  <c r="C35" i="5"/>
  <c r="C19" i="5"/>
  <c r="H19" i="5"/>
  <c r="G17" i="5"/>
  <c r="C17" i="5"/>
  <c r="F24" i="5"/>
  <c r="I24" i="5"/>
  <c r="F17" i="5"/>
  <c r="G24" i="5"/>
  <c r="H35" i="5"/>
  <c r="G35" i="5"/>
  <c r="D35" i="5"/>
  <c r="D19" i="5"/>
  <c r="F19" i="5"/>
  <c r="F35" i="5"/>
  <c r="H12" i="5"/>
  <c r="H24" i="5"/>
  <c r="D24" i="5"/>
  <c r="G12" i="5"/>
  <c r="I12" i="5"/>
  <c r="E12" i="5"/>
  <c r="F12" i="5"/>
  <c r="D12" i="5"/>
  <c r="BW27" i="2" l="1"/>
  <c r="BW9" i="3" s="1"/>
  <c r="BW7" i="3"/>
  <c r="AE16" i="4"/>
  <c r="AE37" i="3" s="1"/>
  <c r="AE41" i="3" s="1"/>
  <c r="AE42" i="3" s="1"/>
  <c r="BW10" i="3" l="1"/>
  <c r="H7" i="5"/>
  <c r="D7" i="5"/>
  <c r="G7" i="5"/>
  <c r="F7" i="5"/>
  <c r="I7" i="5"/>
  <c r="E7" i="5"/>
  <c r="AE19" i="4"/>
  <c r="AF13" i="4" s="1"/>
  <c r="H9" i="5"/>
  <c r="E9" i="5"/>
  <c r="D9" i="5"/>
  <c r="F9" i="5"/>
  <c r="I9" i="5"/>
  <c r="G9" i="5"/>
  <c r="BW14" i="3" l="1"/>
  <c r="I10" i="5"/>
  <c r="H10" i="5"/>
  <c r="F10" i="5"/>
  <c r="D10" i="5"/>
  <c r="G10" i="5"/>
  <c r="E10" i="5"/>
  <c r="AF14" i="4"/>
  <c r="AF15" i="4" s="1"/>
  <c r="AF36" i="3" s="1"/>
  <c r="AF16" i="4" l="1"/>
  <c r="AF37" i="3" s="1"/>
  <c r="AF41" i="3" s="1"/>
  <c r="AF42" i="3" s="1"/>
  <c r="AF19" i="4"/>
  <c r="AG13" i="4" s="1"/>
  <c r="BW21" i="3"/>
  <c r="G14" i="5"/>
  <c r="D14" i="5"/>
  <c r="H14" i="5"/>
  <c r="I14" i="5"/>
  <c r="F14" i="5"/>
  <c r="E14" i="5"/>
  <c r="BK25" i="3"/>
  <c r="BK27" i="3" l="1"/>
  <c r="G25" i="5"/>
  <c r="F25" i="5"/>
  <c r="C25" i="5"/>
  <c r="I25" i="5"/>
  <c r="H25" i="5"/>
  <c r="D25" i="5"/>
  <c r="E25" i="5"/>
  <c r="BW27" i="3"/>
  <c r="G21" i="5"/>
  <c r="D21" i="5"/>
  <c r="E21" i="5"/>
  <c r="H21" i="5"/>
  <c r="C21" i="5"/>
  <c r="F21" i="5"/>
  <c r="I21" i="5"/>
  <c r="K18" i="1"/>
  <c r="AG16" i="4"/>
  <c r="AG37" i="3" s="1"/>
  <c r="AG14" i="4"/>
  <c r="AG15" i="4" s="1"/>
  <c r="AG36" i="3" s="1"/>
  <c r="H18" i="1"/>
  <c r="G18" i="1"/>
  <c r="I18" i="1"/>
  <c r="J18" i="1"/>
  <c r="AG19" i="4" l="1"/>
  <c r="AH13" i="4" s="1"/>
  <c r="AG41" i="3"/>
  <c r="AG42" i="3" s="1"/>
  <c r="I27" i="5"/>
  <c r="G27" i="5"/>
  <c r="C30" i="3"/>
  <c r="H27" i="5"/>
  <c r="D27" i="5"/>
  <c r="E27" i="5"/>
  <c r="C29" i="3"/>
  <c r="G6" i="1" s="1"/>
  <c r="F27" i="5"/>
  <c r="C27" i="5"/>
  <c r="BK28" i="3"/>
  <c r="BL28" i="3" s="1"/>
  <c r="BM28" i="3" s="1"/>
  <c r="BN28" i="3" s="1"/>
  <c r="BO28" i="3" s="1"/>
  <c r="BP28" i="3" s="1"/>
  <c r="BQ28" i="3" s="1"/>
  <c r="BR28" i="3" s="1"/>
  <c r="BS28" i="3" s="1"/>
  <c r="BT28" i="3" s="1"/>
  <c r="BU28" i="3" s="1"/>
  <c r="BV28" i="3" s="1"/>
  <c r="BW28" i="3" s="1"/>
  <c r="C31" i="3" l="1"/>
  <c r="I28" i="5"/>
  <c r="D28" i="5"/>
  <c r="E28" i="5"/>
  <c r="C28" i="5"/>
  <c r="H28" i="5"/>
  <c r="G28" i="5"/>
  <c r="F28" i="5"/>
  <c r="G7" i="1"/>
  <c r="C32" i="3"/>
  <c r="G9" i="1" s="1"/>
  <c r="C30" i="5"/>
  <c r="C29" i="5"/>
  <c r="AH14" i="4"/>
  <c r="AH15" i="4" s="1"/>
  <c r="AH36" i="3" s="1"/>
  <c r="AH16" i="4"/>
  <c r="AH37" i="3" s="1"/>
  <c r="AH19" i="4" l="1"/>
  <c r="AI13" i="4" s="1"/>
  <c r="AH41" i="3"/>
  <c r="AH42" i="3" s="1"/>
  <c r="C31" i="5"/>
  <c r="C32" i="5" s="1"/>
  <c r="G8" i="1"/>
  <c r="AI14" i="4" l="1"/>
  <c r="AI15" i="4" s="1"/>
  <c r="AI36" i="3" s="1"/>
  <c r="AI16" i="4" l="1"/>
  <c r="AI37" i="3" s="1"/>
  <c r="AI41" i="3" s="1"/>
  <c r="AI42" i="3" s="1"/>
  <c r="AI19" i="4" l="1"/>
  <c r="AJ13" i="4" s="1"/>
  <c r="AJ14" i="4" l="1"/>
  <c r="AJ15" i="4" s="1"/>
  <c r="AJ36" i="3" s="1"/>
  <c r="AJ16" i="4"/>
  <c r="AJ37" i="3" s="1"/>
  <c r="AJ19" i="4" l="1"/>
  <c r="AK13" i="4" s="1"/>
  <c r="AJ41" i="3"/>
  <c r="AJ42" i="3" s="1"/>
  <c r="AK14" i="4" l="1"/>
  <c r="AK15" i="4" s="1"/>
  <c r="AK36" i="3" s="1"/>
  <c r="AK16" i="4" l="1"/>
  <c r="AK37" i="3" s="1"/>
  <c r="AK41" i="3" s="1"/>
  <c r="AK42" i="3" s="1"/>
  <c r="AK19" i="4" l="1"/>
  <c r="AL13" i="4" s="1"/>
  <c r="AL14" i="4" l="1"/>
  <c r="AL15" i="4" s="1"/>
  <c r="AL36" i="3" s="1"/>
  <c r="AL16" i="4"/>
  <c r="AL37" i="3" s="1"/>
  <c r="AL19" i="4" l="1"/>
  <c r="AM13" i="4" s="1"/>
  <c r="AL41" i="3"/>
  <c r="AL42" i="3" s="1"/>
  <c r="AM14" i="4" l="1"/>
  <c r="AM15" i="4" s="1"/>
  <c r="AM36" i="3" s="1"/>
  <c r="AM16" i="4" l="1"/>
  <c r="AM37" i="3" s="1"/>
  <c r="AM41" i="3" s="1"/>
  <c r="AM42" i="3" s="1"/>
  <c r="AM19" i="4" l="1"/>
  <c r="AN13" i="4" s="1"/>
  <c r="AN14" i="4" l="1"/>
  <c r="AN15" i="4" s="1"/>
  <c r="AN36" i="3" s="1"/>
  <c r="AN16" i="4" l="1"/>
  <c r="AN37" i="3" s="1"/>
  <c r="AN41" i="3" s="1"/>
  <c r="AN42" i="3" s="1"/>
  <c r="AN19" i="4"/>
  <c r="AO13" i="4" s="1"/>
  <c r="AO14" i="4" l="1"/>
  <c r="AO15" i="4" s="1"/>
  <c r="AO36" i="3" s="1"/>
  <c r="AO16" i="4" l="1"/>
  <c r="AO37" i="3" l="1"/>
  <c r="AO41" i="3" s="1"/>
  <c r="AO42" i="3" s="1"/>
  <c r="AO19" i="4"/>
  <c r="AP13" i="4" s="1"/>
  <c r="AP14" i="4" l="1"/>
  <c r="AP15" i="4" s="1"/>
  <c r="AP36" i="3" s="1"/>
  <c r="AP16" i="4"/>
  <c r="AP37" i="3" s="1"/>
  <c r="AP19" i="4" l="1"/>
  <c r="AQ13" i="4" s="1"/>
  <c r="AP41" i="3"/>
  <c r="AP42" i="3" s="1"/>
  <c r="AQ14" i="4" l="1"/>
  <c r="AQ15" i="4" s="1"/>
  <c r="AQ36" i="3" s="1"/>
  <c r="AQ16" i="4" l="1"/>
  <c r="AQ37" i="3" s="1"/>
  <c r="AQ41" i="3" s="1"/>
  <c r="AQ42" i="3" s="1"/>
  <c r="AQ19" i="4" l="1"/>
  <c r="AR13" i="4" s="1"/>
  <c r="AR14" i="4" l="1"/>
  <c r="AR15" i="4" s="1"/>
  <c r="AR36" i="3" s="1"/>
  <c r="AR16" i="4" l="1"/>
  <c r="AR37" i="3" l="1"/>
  <c r="AR41" i="3" s="1"/>
  <c r="AR42" i="3" s="1"/>
  <c r="AR19" i="4"/>
  <c r="AS13" i="4" s="1"/>
  <c r="AS14" i="4" l="1"/>
  <c r="AS15" i="4" s="1"/>
  <c r="AS36" i="3" s="1"/>
  <c r="AS16" i="4"/>
  <c r="AS37" i="3" s="1"/>
  <c r="AS19" i="4" l="1"/>
  <c r="AT13" i="4" s="1"/>
  <c r="AS41" i="3"/>
  <c r="AS42" i="3" s="1"/>
  <c r="AT14" i="4" l="1"/>
  <c r="AT15" i="4" s="1"/>
  <c r="AT36" i="3" s="1"/>
  <c r="AT16" i="4"/>
  <c r="AT37" i="3" s="1"/>
  <c r="AT19" i="4" l="1"/>
  <c r="AU13" i="4" s="1"/>
  <c r="AT41" i="3"/>
  <c r="AT42" i="3" s="1"/>
  <c r="AU14" i="4" l="1"/>
  <c r="AU15" i="4" s="1"/>
  <c r="AU36" i="3" s="1"/>
  <c r="AU16" i="4" l="1"/>
  <c r="AU37" i="3" s="1"/>
  <c r="AU41" i="3" s="1"/>
  <c r="AU42" i="3" s="1"/>
  <c r="AU19" i="4" l="1"/>
  <c r="AV13" i="4" s="1"/>
  <c r="AV14" i="4" l="1"/>
  <c r="AV15" i="4" s="1"/>
  <c r="AV36" i="3" s="1"/>
  <c r="AV16" i="4"/>
  <c r="AV37" i="3" s="1"/>
  <c r="AV41" i="3" l="1"/>
  <c r="AV42" i="3" s="1"/>
  <c r="AV19" i="4"/>
  <c r="AW13" i="4" s="1"/>
  <c r="AW14" i="4" l="1"/>
  <c r="AW15" i="4" s="1"/>
  <c r="AW36" i="3" s="1"/>
  <c r="AW16" i="4" l="1"/>
  <c r="AW37" i="3" s="1"/>
  <c r="AW41" i="3" s="1"/>
  <c r="AW42" i="3" s="1"/>
  <c r="AW19" i="4" l="1"/>
  <c r="AX13" i="4" s="1"/>
  <c r="AX14" i="4" l="1"/>
  <c r="AX15" i="4" s="1"/>
  <c r="AX36" i="3" s="1"/>
  <c r="AX16" i="4" l="1"/>
  <c r="AX37" i="3" s="1"/>
  <c r="AX41" i="3" s="1"/>
  <c r="AX42" i="3" s="1"/>
  <c r="AX19" i="4"/>
  <c r="AY13" i="4" s="1"/>
  <c r="AY14" i="4" l="1"/>
  <c r="AY15" i="4" s="1"/>
  <c r="AY36" i="3" s="1"/>
  <c r="AY16" i="4" l="1"/>
  <c r="AY37" i="3" s="1"/>
  <c r="AY41" i="3" s="1"/>
  <c r="AY42" i="3" s="1"/>
  <c r="AY19" i="4" l="1"/>
  <c r="AZ13" i="4" s="1"/>
  <c r="AZ14" i="4" l="1"/>
  <c r="AZ15" i="4" s="1"/>
  <c r="AZ36" i="3" s="1"/>
  <c r="AZ16" i="4"/>
  <c r="AZ37" i="3" s="1"/>
  <c r="AZ19" i="4" l="1"/>
  <c r="BA13" i="4" s="1"/>
  <c r="AZ41" i="3"/>
  <c r="AZ42" i="3" s="1"/>
  <c r="BA14" i="4" l="1"/>
  <c r="BA15" i="4" s="1"/>
  <c r="BA36" i="3" s="1"/>
  <c r="BA16" i="4" l="1"/>
  <c r="BA37" i="3" s="1"/>
  <c r="BA41" i="3" s="1"/>
  <c r="BA42" i="3" s="1"/>
  <c r="BA19" i="4" l="1"/>
  <c r="BB13" i="4" s="1"/>
  <c r="BB14" i="4" l="1"/>
  <c r="BB15" i="4" s="1"/>
  <c r="BB36" i="3" s="1"/>
  <c r="BB16" i="4" l="1"/>
  <c r="BB37" i="3" s="1"/>
  <c r="BB41" i="3" s="1"/>
  <c r="BB42" i="3" s="1"/>
  <c r="BB19" i="4" l="1"/>
  <c r="BC13" i="4" s="1"/>
  <c r="BC14" i="4" l="1"/>
  <c r="BC15" i="4" s="1"/>
  <c r="BC36" i="3" s="1"/>
  <c r="BC16" i="4"/>
  <c r="BC37" i="3" s="1"/>
  <c r="BC19" i="4" l="1"/>
  <c r="BD13" i="4" s="1"/>
  <c r="BC41" i="3"/>
  <c r="BC42" i="3" s="1"/>
  <c r="BD14" i="4" l="1"/>
  <c r="BD15" i="4" s="1"/>
  <c r="BD36" i="3" s="1"/>
  <c r="BD16" i="4" l="1"/>
  <c r="BD37" i="3" l="1"/>
  <c r="BD41" i="3" s="1"/>
  <c r="BD42" i="3" s="1"/>
  <c r="BD19" i="4"/>
  <c r="BE13" i="4" s="1"/>
  <c r="BE14" i="4" l="1"/>
  <c r="BE15" i="4" s="1"/>
  <c r="BE36" i="3" s="1"/>
  <c r="BE16" i="4" l="1"/>
  <c r="BE37" i="3" s="1"/>
  <c r="BE41" i="3" s="1"/>
  <c r="BE42" i="3" s="1"/>
  <c r="BE19" i="4" l="1"/>
  <c r="BF13" i="4" s="1"/>
  <c r="BF14" i="4" l="1"/>
  <c r="BF15" i="4" s="1"/>
  <c r="BF36" i="3" s="1"/>
  <c r="BF16" i="4" l="1"/>
  <c r="BF37" i="3" s="1"/>
  <c r="BF41" i="3" s="1"/>
  <c r="BF42" i="3" s="1"/>
  <c r="BF19" i="4" l="1"/>
  <c r="BG13" i="4" s="1"/>
  <c r="BG14" i="4" l="1"/>
  <c r="BG15" i="4" s="1"/>
  <c r="BG36" i="3" s="1"/>
  <c r="BG16" i="4"/>
  <c r="BG37" i="3" s="1"/>
  <c r="BG19" i="4" l="1"/>
  <c r="BH13" i="4" s="1"/>
  <c r="BG41" i="3"/>
  <c r="BG42" i="3" s="1"/>
  <c r="BH14" i="4" l="1"/>
  <c r="BH15" i="4" s="1"/>
  <c r="BH36" i="3" s="1"/>
  <c r="BH16" i="4" l="1"/>
  <c r="BH37" i="3" s="1"/>
  <c r="BH41" i="3"/>
  <c r="BH42" i="3" s="1"/>
  <c r="BH19" i="4"/>
  <c r="BI13" i="4" s="1"/>
  <c r="BI14" i="4" l="1"/>
  <c r="BI15" i="4" s="1"/>
  <c r="BI36" i="3" s="1"/>
  <c r="BI16" i="4"/>
  <c r="BI37" i="3" s="1"/>
  <c r="BI19" i="4" l="1"/>
  <c r="BJ13" i="4" s="1"/>
  <c r="BI41" i="3"/>
  <c r="BI42" i="3" s="1"/>
  <c r="BJ14" i="4" l="1"/>
  <c r="BJ15" i="4" s="1"/>
  <c r="BJ36" i="3" s="1"/>
  <c r="BJ16" i="4" l="1"/>
  <c r="BJ37" i="3" s="1"/>
  <c r="BJ41" i="3" s="1"/>
  <c r="BJ42" i="3" s="1"/>
  <c r="BJ19" i="4" l="1"/>
  <c r="BK13" i="4" s="1"/>
  <c r="BK14" i="4" l="1"/>
  <c r="BK15" i="4" s="1"/>
  <c r="BK36" i="3" s="1"/>
  <c r="BK16" i="4" l="1"/>
  <c r="BK37" i="3" l="1"/>
  <c r="BK18" i="4"/>
  <c r="BK38" i="3" s="1"/>
  <c r="BK19" i="4"/>
  <c r="BL13" i="4" s="1"/>
  <c r="BL14" i="4" l="1"/>
  <c r="BL15" i="4" s="1"/>
  <c r="BL36" i="3" s="1"/>
  <c r="E38" i="5"/>
  <c r="C38" i="5"/>
  <c r="H38" i="5"/>
  <c r="F38" i="5"/>
  <c r="D38" i="5"/>
  <c r="I38" i="5"/>
  <c r="G38" i="5"/>
  <c r="BK41" i="3"/>
  <c r="BK42" i="3" s="1"/>
  <c r="BL16" i="4" l="1"/>
  <c r="BL37" i="3" l="1"/>
  <c r="BL41" i="3" s="1"/>
  <c r="BL42" i="3" s="1"/>
  <c r="BL19" i="4"/>
  <c r="BM13" i="4" s="1"/>
  <c r="BM14" i="4" l="1"/>
  <c r="BM15" i="4" s="1"/>
  <c r="BM36" i="3" s="1"/>
  <c r="BM16" i="4" l="1"/>
  <c r="BM37" i="3" l="1"/>
  <c r="BM41" i="3" s="1"/>
  <c r="BM42" i="3" s="1"/>
  <c r="BM19" i="4"/>
  <c r="BN13" i="4" s="1"/>
  <c r="BN14" i="4" l="1"/>
  <c r="BN15" i="4" s="1"/>
  <c r="BN36" i="3" s="1"/>
  <c r="BN16" i="4" l="1"/>
  <c r="BN37" i="3" s="1"/>
  <c r="BN41" i="3" s="1"/>
  <c r="BN42" i="3" s="1"/>
  <c r="BN19" i="4" l="1"/>
  <c r="BO13" i="4" s="1"/>
  <c r="BO14" i="4" l="1"/>
  <c r="BO15" i="4" s="1"/>
  <c r="BO36" i="3" s="1"/>
  <c r="BO16" i="4"/>
  <c r="BO37" i="3" s="1"/>
  <c r="BO19" i="4" l="1"/>
  <c r="BP13" i="4" s="1"/>
  <c r="BO41" i="3"/>
  <c r="BO42" i="3" s="1"/>
  <c r="BP14" i="4" l="1"/>
  <c r="BP15" i="4" s="1"/>
  <c r="BP36" i="3" s="1"/>
  <c r="BP16" i="4" l="1"/>
  <c r="BP37" i="3" s="1"/>
  <c r="BP41" i="3" s="1"/>
  <c r="BP42" i="3" s="1"/>
  <c r="BP19" i="4" l="1"/>
  <c r="BQ13" i="4" s="1"/>
  <c r="BQ14" i="4" l="1"/>
  <c r="BQ15" i="4" s="1"/>
  <c r="BQ36" i="3" s="1"/>
  <c r="BQ16" i="4" l="1"/>
  <c r="BQ37" i="3" s="1"/>
  <c r="BQ41" i="3" s="1"/>
  <c r="BQ42" i="3" s="1"/>
  <c r="BQ19" i="4" l="1"/>
  <c r="BR13" i="4" s="1"/>
  <c r="BR14" i="4" l="1"/>
  <c r="BR15" i="4" s="1"/>
  <c r="BR36" i="3" s="1"/>
  <c r="BR16" i="4" l="1"/>
  <c r="BR37" i="3" s="1"/>
  <c r="BR41" i="3" s="1"/>
  <c r="BR42" i="3" s="1"/>
  <c r="BR19" i="4" l="1"/>
  <c r="BS13" i="4" s="1"/>
  <c r="BS14" i="4" l="1"/>
  <c r="BS15" i="4" s="1"/>
  <c r="BS36" i="3" s="1"/>
  <c r="BS16" i="4"/>
  <c r="BS37" i="3" s="1"/>
  <c r="BS19" i="4" l="1"/>
  <c r="BT13" i="4" s="1"/>
  <c r="BS41" i="3"/>
  <c r="BS42" i="3" s="1"/>
  <c r="BT14" i="4" l="1"/>
  <c r="BT15" i="4" s="1"/>
  <c r="BT36" i="3" s="1"/>
  <c r="BT16" i="4" l="1"/>
  <c r="BT37" i="3" s="1"/>
  <c r="BT41" i="3" s="1"/>
  <c r="BT42" i="3" s="1"/>
  <c r="BT19" i="4" l="1"/>
  <c r="BU13" i="4" s="1"/>
  <c r="BU14" i="4" l="1"/>
  <c r="BU15" i="4" s="1"/>
  <c r="BU36" i="3" s="1"/>
  <c r="BU16" i="4" l="1"/>
  <c r="BU37" i="3" s="1"/>
  <c r="BU41" i="3" s="1"/>
  <c r="BU42" i="3" s="1"/>
  <c r="BU19" i="4" l="1"/>
  <c r="BV13" i="4" s="1"/>
  <c r="BV14" i="4" l="1"/>
  <c r="BV15" i="4" s="1"/>
  <c r="BV36" i="3" s="1"/>
  <c r="BV16" i="4" l="1"/>
  <c r="BV37" i="3" s="1"/>
  <c r="BV41" i="3" s="1"/>
  <c r="BV42" i="3" s="1"/>
  <c r="BV19" i="4" l="1"/>
  <c r="BW13" i="4" s="1"/>
  <c r="BW14" i="4" l="1"/>
  <c r="BW15" i="4" s="1"/>
  <c r="BW36" i="3" s="1"/>
  <c r="BW16" i="4"/>
  <c r="BW37" i="3" s="1"/>
  <c r="BW19" i="4" l="1"/>
  <c r="E37" i="5"/>
  <c r="I37" i="5"/>
  <c r="H37" i="5"/>
  <c r="C37" i="5"/>
  <c r="D37" i="5"/>
  <c r="F37" i="5"/>
  <c r="G37" i="5"/>
  <c r="C36" i="5"/>
  <c r="D36" i="5"/>
  <c r="G19" i="1" s="1"/>
  <c r="E36" i="5"/>
  <c r="H19" i="1" s="1"/>
  <c r="G36" i="5"/>
  <c r="J19" i="1" s="1"/>
  <c r="I36" i="5"/>
  <c r="H36" i="5"/>
  <c r="K19" i="1" s="1"/>
  <c r="F36" i="5"/>
  <c r="I19" i="1" s="1"/>
  <c r="BW41" i="3"/>
  <c r="C41" i="5" l="1"/>
  <c r="I41" i="5"/>
  <c r="C44" i="3"/>
  <c r="C43" i="3"/>
  <c r="G12" i="1" s="1"/>
  <c r="G24" i="1" s="1"/>
  <c r="G41" i="5"/>
  <c r="F41" i="5"/>
  <c r="H41" i="5"/>
  <c r="D41" i="5"/>
  <c r="E41" i="5"/>
  <c r="BW42" i="3"/>
  <c r="C43" i="5" l="1"/>
  <c r="G13" i="1"/>
  <c r="D42" i="5"/>
  <c r="H42" i="5"/>
  <c r="C45" i="3"/>
  <c r="C42" i="5"/>
  <c r="E42" i="5"/>
  <c r="I42" i="5"/>
  <c r="G42" i="5"/>
  <c r="F42" i="5"/>
  <c r="C44" i="5"/>
  <c r="C45" i="5" l="1"/>
  <c r="G14" i="1"/>
  <c r="C46" i="3"/>
  <c r="G15" i="1" s="1"/>
  <c r="G20" i="1" l="1"/>
  <c r="K20" i="1"/>
  <c r="J20" i="1"/>
  <c r="I20" i="1"/>
  <c r="H20" i="1"/>
  <c r="C46" i="5"/>
</calcChain>
</file>

<file path=xl/sharedStrings.xml><?xml version="1.0" encoding="utf-8"?>
<sst xmlns="http://schemas.openxmlformats.org/spreadsheetml/2006/main" count="145" uniqueCount="87">
  <si>
    <t>Office Asset</t>
  </si>
  <si>
    <t>Summary</t>
  </si>
  <si>
    <t>Size</t>
  </si>
  <si>
    <t>Acquisition date</t>
  </si>
  <si>
    <t>Capital Expenditure</t>
  </si>
  <si>
    <t>Common areas</t>
  </si>
  <si>
    <t>Date</t>
  </si>
  <si>
    <t>Disposition date</t>
  </si>
  <si>
    <t>Cap rate on sale</t>
  </si>
  <si>
    <t>Operational</t>
  </si>
  <si>
    <t>Tenant A</t>
  </si>
  <si>
    <t>Tenant B</t>
  </si>
  <si>
    <t>Occupancy</t>
  </si>
  <si>
    <t>Start rent</t>
  </si>
  <si>
    <t>Annual inc.</t>
  </si>
  <si>
    <t>Start date</t>
  </si>
  <si>
    <t>End date</t>
  </si>
  <si>
    <t>Lease length</t>
  </si>
  <si>
    <t>TI/LCs</t>
  </si>
  <si>
    <t>Time to find new tenant</t>
  </si>
  <si>
    <t>Free Rent</t>
  </si>
  <si>
    <t>Vacancy factor</t>
  </si>
  <si>
    <t>Operating expense</t>
  </si>
  <si>
    <t>Market rent</t>
  </si>
  <si>
    <t>Rent Roll</t>
  </si>
  <si>
    <t>Rental Revenue</t>
  </si>
  <si>
    <t>Total Rental Revenue</t>
  </si>
  <si>
    <t>Vacancy</t>
  </si>
  <si>
    <t>Operating Expenses</t>
  </si>
  <si>
    <t>Operating Expense</t>
  </si>
  <si>
    <t>Cash Flows</t>
  </si>
  <si>
    <t>Gross Rental Revenue</t>
  </si>
  <si>
    <t>Vacancies</t>
  </si>
  <si>
    <t>Net Rental Revenue</t>
  </si>
  <si>
    <t>Net Operating Income</t>
  </si>
  <si>
    <t>Capex and TI/LCs</t>
  </si>
  <si>
    <t>Capex</t>
  </si>
  <si>
    <t>Total Capex and TI/LCs</t>
  </si>
  <si>
    <t>Operational Cash Flows</t>
  </si>
  <si>
    <t>Unlevered Returns</t>
  </si>
  <si>
    <t>Acquisition</t>
  </si>
  <si>
    <t>Disposition</t>
  </si>
  <si>
    <t>Total Unlevered Project CF</t>
  </si>
  <si>
    <t>IRR</t>
  </si>
  <si>
    <t>Profit</t>
  </si>
  <si>
    <t>Peak Equity</t>
  </si>
  <si>
    <t>EqM</t>
  </si>
  <si>
    <t>Returns (Unleveraged)</t>
  </si>
  <si>
    <t>Purchase Price</t>
  </si>
  <si>
    <t>Rent Schedule</t>
  </si>
  <si>
    <t>Hold asset years</t>
  </si>
  <si>
    <t>Debt</t>
  </si>
  <si>
    <t>LTV</t>
  </si>
  <si>
    <t>Fixed rate</t>
  </si>
  <si>
    <t>Term years</t>
  </si>
  <si>
    <t>Amortization</t>
  </si>
  <si>
    <t>Origination fee at closing</t>
  </si>
  <si>
    <t>Beginning Balance</t>
  </si>
  <si>
    <t>Interest Payable</t>
  </si>
  <si>
    <t>Interest Paid</t>
  </si>
  <si>
    <t>Loan Addition</t>
  </si>
  <si>
    <t>Baloon</t>
  </si>
  <si>
    <t>Ending Balance</t>
  </si>
  <si>
    <t>Levered Returns</t>
  </si>
  <si>
    <t>Total Levered Project CF</t>
  </si>
  <si>
    <t>Origination fees</t>
  </si>
  <si>
    <t>Returns (Levered)</t>
  </si>
  <si>
    <t>DSCR</t>
  </si>
  <si>
    <t>Cash on Cash</t>
  </si>
  <si>
    <t>Cash Flows Yearly</t>
  </si>
  <si>
    <t>NOI Yield on purchase</t>
  </si>
  <si>
    <t>Hold Period Years</t>
  </si>
  <si>
    <t>Cap Rate</t>
  </si>
  <si>
    <t>Welcome to WallStreetOasis' free financial model templates! Download more free templates, master your finance career, and get top interviewing/networking/modeling tips at WallStreetOasis.com. You can find other services and information at WSO below:</t>
  </si>
  <si>
    <t>FREE RESOURCES</t>
  </si>
  <si>
    <t>PREMIUM RESOURCES &amp; SERVICES</t>
  </si>
  <si>
    <t>Join the WSO Community! &gt;&gt;</t>
  </si>
  <si>
    <t>Interview &amp; Prep Courses (IB, PE, HF, Consulting) &gt;&gt;</t>
  </si>
  <si>
    <t>Top FAQs &amp; Resources &gt;&gt;</t>
  </si>
  <si>
    <t>Resume Review Service &gt;&gt;</t>
  </si>
  <si>
    <t>Industry Reports &amp; Company Database &gt;&gt;</t>
  </si>
  <si>
    <t>Find a Mentor &gt;&gt;</t>
  </si>
  <si>
    <t>WSO Templates (Resume, Networking, Models, etc) &gt;&gt;</t>
  </si>
  <si>
    <t>GMAT/Series 7 Exam Prep Courses &gt;&gt;</t>
  </si>
  <si>
    <t>The Talent Oasis - Land a Job! &gt;&gt;</t>
  </si>
  <si>
    <t>Elite Modeling Package &gt;&gt;</t>
  </si>
  <si>
    <t>Financial Modeling Courses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</si>
</sst>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£&quot;#,##0.00;[Red]\-&quot;£&quot;#,##0.00"/>
    <numFmt numFmtId="165" formatCode="_-* #,##0.00_-;\-* #,##0.00_-;_-* &quot;-&quot;??_-;_-@_-"/>
    <numFmt numFmtId="166" formatCode="&quot;£&quot;#,##0"/>
    <numFmt numFmtId="167" formatCode="_-[$£-809]* #,##0_-;\-[$£-809]* #,##0_-;_-[$£-809]* &quot;-&quot;??_-;_-@_-"/>
    <numFmt numFmtId="168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6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b/>
      <u/>
      <sz val="18"/>
      <color theme="10"/>
      <name val="Calibri"/>
      <family val="2"/>
      <scheme val="minor"/>
    </font>
    <font>
      <b/>
      <u/>
      <sz val="18"/>
      <color rgb="FF06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2" fillId="0" borderId="0" applyNumberFormat="0" applyFill="0" applyBorder="0" applyAlignment="0" applyProtection="0"/>
  </cellStyleXfs>
  <cellXfs count="67">
    <xf numFmtId="0" fontId="0" fillId="0" borderId="0" xfId="0"/>
    <xf numFmtId="14" fontId="0" fillId="0" borderId="0" xfId="0" applyNumberFormat="1"/>
    <xf numFmtId="0" fontId="3" fillId="0" borderId="0" xfId="0" applyFont="1"/>
    <xf numFmtId="0" fontId="3" fillId="0" borderId="1" xfId="0" applyFont="1" applyBorder="1"/>
    <xf numFmtId="14" fontId="3" fillId="0" borderId="1" xfId="0" applyNumberFormat="1" applyFont="1" applyBorder="1"/>
    <xf numFmtId="0" fontId="4" fillId="0" borderId="1" xfId="0" applyFont="1" applyBorder="1"/>
    <xf numFmtId="14" fontId="4" fillId="0" borderId="1" xfId="0" applyNumberFormat="1" applyFont="1" applyBorder="1"/>
    <xf numFmtId="9" fontId="0" fillId="0" borderId="0" xfId="0" applyNumberFormat="1"/>
    <xf numFmtId="0" fontId="0" fillId="0" borderId="0" xfId="0" applyNumberFormat="1"/>
    <xf numFmtId="9" fontId="5" fillId="0" borderId="0" xfId="0" applyNumberFormat="1" applyFont="1"/>
    <xf numFmtId="9" fontId="6" fillId="0" borderId="0" xfId="0" applyNumberFormat="1" applyFont="1"/>
    <xf numFmtId="0" fontId="6" fillId="0" borderId="0" xfId="0" applyFont="1"/>
    <xf numFmtId="0" fontId="6" fillId="0" borderId="0" xfId="0" applyNumberFormat="1" applyFont="1"/>
    <xf numFmtId="14" fontId="6" fillId="0" borderId="0" xfId="0" applyNumberFormat="1" applyFont="1"/>
    <xf numFmtId="14" fontId="8" fillId="0" borderId="0" xfId="0" applyNumberFormat="1" applyFont="1"/>
    <xf numFmtId="0" fontId="0" fillId="0" borderId="0" xfId="0" applyFont="1"/>
    <xf numFmtId="0" fontId="3" fillId="0" borderId="2" xfId="0" applyFont="1" applyBorder="1"/>
    <xf numFmtId="9" fontId="0" fillId="0" borderId="0" xfId="2" applyFont="1"/>
    <xf numFmtId="166" fontId="0" fillId="0" borderId="0" xfId="0" applyNumberFormat="1"/>
    <xf numFmtId="166" fontId="3" fillId="0" borderId="2" xfId="0" applyNumberFormat="1" applyFont="1" applyBorder="1"/>
    <xf numFmtId="0" fontId="7" fillId="0" borderId="0" xfId="0" applyFont="1"/>
    <xf numFmtId="166" fontId="3" fillId="0" borderId="0" xfId="0" applyNumberFormat="1" applyFont="1"/>
    <xf numFmtId="166" fontId="9" fillId="0" borderId="0" xfId="0" applyNumberFormat="1" applyFont="1"/>
    <xf numFmtId="167" fontId="0" fillId="0" borderId="0" xfId="0" applyNumberFormat="1"/>
    <xf numFmtId="2" fontId="0" fillId="0" borderId="0" xfId="0" applyNumberFormat="1"/>
    <xf numFmtId="165" fontId="0" fillId="0" borderId="0" xfId="1" applyFont="1"/>
    <xf numFmtId="167" fontId="6" fillId="0" borderId="0" xfId="0" applyNumberFormat="1" applyFont="1"/>
    <xf numFmtId="0" fontId="0" fillId="0" borderId="0" xfId="0" applyAlignment="1">
      <alignment horizontal="left" indent="1"/>
    </xf>
    <xf numFmtId="164" fontId="0" fillId="0" borderId="0" xfId="0" applyNumberFormat="1"/>
    <xf numFmtId="167" fontId="3" fillId="0" borderId="2" xfId="0" applyNumberFormat="1" applyFont="1" applyBorder="1"/>
    <xf numFmtId="9" fontId="8" fillId="0" borderId="0" xfId="2" applyFont="1"/>
    <xf numFmtId="0" fontId="8" fillId="0" borderId="0" xfId="0" applyFont="1"/>
    <xf numFmtId="0" fontId="0" fillId="0" borderId="0" xfId="0" applyAlignment="1">
      <alignment horizontal="left"/>
    </xf>
    <xf numFmtId="167" fontId="9" fillId="0" borderId="0" xfId="0" applyNumberFormat="1" applyFont="1"/>
    <xf numFmtId="10" fontId="6" fillId="0" borderId="0" xfId="0" applyNumberFormat="1" applyFont="1"/>
    <xf numFmtId="166" fontId="3" fillId="0" borderId="0" xfId="0" applyNumberFormat="1" applyFont="1" applyBorder="1"/>
    <xf numFmtId="9" fontId="0" fillId="0" borderId="2" xfId="2" applyFont="1" applyBorder="1"/>
    <xf numFmtId="9" fontId="0" fillId="0" borderId="0" xfId="2" applyFont="1" applyBorder="1"/>
    <xf numFmtId="9" fontId="0" fillId="0" borderId="3" xfId="2" applyFont="1" applyBorder="1"/>
    <xf numFmtId="9" fontId="0" fillId="0" borderId="4" xfId="2" applyFont="1" applyBorder="1"/>
    <xf numFmtId="165" fontId="0" fillId="0" borderId="4" xfId="1" applyFont="1" applyBorder="1"/>
    <xf numFmtId="165" fontId="0" fillId="0" borderId="0" xfId="1" applyFont="1" applyBorder="1"/>
    <xf numFmtId="168" fontId="6" fillId="0" borderId="0" xfId="1" applyNumberFormat="1" applyFont="1"/>
    <xf numFmtId="0" fontId="1" fillId="2" borderId="0" xfId="3" applyFill="1"/>
    <xf numFmtId="0" fontId="1" fillId="0" borderId="5" xfId="3" applyFill="1" applyBorder="1"/>
    <xf numFmtId="0" fontId="1" fillId="0" borderId="6" xfId="3" applyFill="1" applyBorder="1"/>
    <xf numFmtId="0" fontId="1" fillId="0" borderId="7" xfId="3" applyFill="1" applyBorder="1"/>
    <xf numFmtId="0" fontId="1" fillId="0" borderId="8" xfId="3" applyFill="1" applyBorder="1"/>
    <xf numFmtId="0" fontId="1" fillId="0" borderId="0" xfId="3" applyFill="1" applyBorder="1"/>
    <xf numFmtId="0" fontId="1" fillId="0" borderId="9" xfId="3" applyFill="1" applyBorder="1"/>
    <xf numFmtId="0" fontId="11" fillId="0" borderId="0" xfId="3" applyFont="1" applyFill="1" applyBorder="1" applyAlignment="1">
      <alignment horizontal="center" vertical="center" wrapText="1"/>
    </xf>
    <xf numFmtId="0" fontId="11" fillId="3" borderId="0" xfId="3" applyFont="1" applyFill="1" applyBorder="1" applyAlignment="1">
      <alignment horizontal="center"/>
    </xf>
    <xf numFmtId="0" fontId="11" fillId="0" borderId="0" xfId="3" applyFont="1" applyFill="1" applyBorder="1" applyAlignment="1">
      <alignment horizontal="center"/>
    </xf>
    <xf numFmtId="0" fontId="13" fillId="0" borderId="0" xfId="4" applyFont="1" applyFill="1" applyBorder="1" applyAlignment="1"/>
    <xf numFmtId="0" fontId="12" fillId="0" borderId="0" xfId="4" applyFill="1" applyBorder="1"/>
    <xf numFmtId="0" fontId="14" fillId="0" borderId="0" xfId="4" applyFont="1" applyFill="1" applyBorder="1"/>
    <xf numFmtId="0" fontId="14" fillId="0" borderId="0" xfId="4" applyFont="1" applyFill="1" applyBorder="1" applyAlignment="1"/>
    <xf numFmtId="0" fontId="10" fillId="0" borderId="8" xfId="3" applyFont="1" applyFill="1" applyBorder="1" applyAlignment="1">
      <alignment wrapText="1"/>
    </xf>
    <xf numFmtId="0" fontId="10" fillId="0" borderId="0" xfId="3" applyFont="1" applyFill="1" applyBorder="1" applyAlignment="1">
      <alignment wrapText="1"/>
    </xf>
    <xf numFmtId="0" fontId="12" fillId="0" borderId="0" xfId="4" applyFill="1" applyBorder="1" applyAlignment="1">
      <alignment wrapText="1"/>
    </xf>
    <xf numFmtId="0" fontId="1" fillId="0" borderId="10" xfId="3" applyFill="1" applyBorder="1"/>
    <xf numFmtId="0" fontId="1" fillId="0" borderId="11" xfId="3" applyFill="1" applyBorder="1"/>
    <xf numFmtId="0" fontId="1" fillId="0" borderId="12" xfId="3" applyFill="1" applyBorder="1"/>
    <xf numFmtId="0" fontId="11" fillId="0" borderId="0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5" fillId="0" borderId="0" xfId="4" applyFont="1" applyFill="1" applyBorder="1" applyAlignment="1"/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06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4229100</xdr:colOff>
      <xdr:row>1</xdr:row>
      <xdr:rowOff>177800</xdr:rowOff>
    </xdr:from>
    <xdr:to>
      <xdr:col>5</xdr:col>
      <xdr:colOff>1324234</xdr:colOff>
      <xdr:row>11</xdr:row>
      <xdr:rowOff>115356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D61BA7-95DD-2D4B-8A6E-67B488ACE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67300" y="393700"/>
          <a:ext cx="2670434" cy="1969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allstreetoasis.com/best-resume-review-service-finance-pros-help-your-cv" TargetMode="External"/><Relationship Id="rId3" Type="http://schemas.openxmlformats.org/officeDocument/2006/relationships/hyperlink" Target="https://www.wallstreetoasis.com/industry-reports-wall-street-oasis" TargetMode="External"/><Relationship Id="rId7" Type="http://schemas.openxmlformats.org/officeDocument/2006/relationships/hyperlink" Target="https://www.wallstreetoasis.com/wall-street-mentors-finance-mock-interviews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www.wallstreetoasis.com/top-frequently-asked-questions" TargetMode="External"/><Relationship Id="rId1" Type="http://schemas.openxmlformats.org/officeDocument/2006/relationships/hyperlink" Target="https://www.wallstreetoasis.com/user/register" TargetMode="External"/><Relationship Id="rId6" Type="http://schemas.openxmlformats.org/officeDocument/2006/relationships/hyperlink" Target="https://www.wallstreetoasis.com/gmat-pill-promo-code-333-off-gmat-prep-discount" TargetMode="External"/><Relationship Id="rId11" Type="http://schemas.openxmlformats.org/officeDocument/2006/relationships/hyperlink" Target="https://www.wallstreetoasis.com/wso-elite-modeling-package-overview" TargetMode="External"/><Relationship Id="rId5" Type="http://schemas.openxmlformats.org/officeDocument/2006/relationships/hyperlink" Target="https://www.wallstreetoasis.com/the-talent-oasis" TargetMode="External"/><Relationship Id="rId10" Type="http://schemas.openxmlformats.org/officeDocument/2006/relationships/hyperlink" Target="https://www.wallstreetoasis.com/courses" TargetMode="External"/><Relationship Id="rId4" Type="http://schemas.openxmlformats.org/officeDocument/2006/relationships/hyperlink" Target="https://www.wallstreetoasis.com/all-wso-templates" TargetMode="External"/><Relationship Id="rId9" Type="http://schemas.openxmlformats.org/officeDocument/2006/relationships/hyperlink" Target="https://www.wallstreetoasis.com/finance-interview-courses-wall-street-oasis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7"/>
  <sheetViews>
    <sheetView showGridLines="0" tabSelected="1" topLeftCell="A11" workbookViewId="0">
      <selection activeCell="J21" sqref="J21"/>
    </sheetView>
  </sheetViews>
  <sheetFormatPr baseColWidth="10" defaultRowHeight="16" x14ac:dyDescent="0.2"/>
  <cols>
    <col min="1" max="1" width="4.33203125" style="43" customWidth="1"/>
    <col min="2" max="3" width="3.33203125" style="43" customWidth="1"/>
    <col min="4" max="4" width="72" style="43" customWidth="1"/>
    <col min="5" max="5" width="1.1640625" style="43" customWidth="1"/>
    <col min="6" max="6" width="67.33203125" style="43" customWidth="1"/>
    <col min="7" max="8" width="3.1640625" style="43" customWidth="1"/>
    <col min="9" max="16384" width="10.83203125" style="43"/>
  </cols>
  <sheetData>
    <row r="1" spans="2:8" ht="17" thickBot="1" x14ac:dyDescent="0.25"/>
    <row r="2" spans="2:8" x14ac:dyDescent="0.2">
      <c r="B2" s="44"/>
      <c r="C2" s="45"/>
      <c r="D2" s="45"/>
      <c r="E2" s="45"/>
      <c r="F2" s="45"/>
      <c r="G2" s="45"/>
      <c r="H2" s="46"/>
    </row>
    <row r="3" spans="2:8" x14ac:dyDescent="0.2">
      <c r="B3" s="47"/>
      <c r="C3" s="48"/>
      <c r="D3" s="48"/>
      <c r="E3" s="48"/>
      <c r="F3" s="48"/>
      <c r="G3" s="48"/>
      <c r="H3" s="49"/>
    </row>
    <row r="4" spans="2:8" x14ac:dyDescent="0.2">
      <c r="B4" s="47"/>
      <c r="C4" s="48"/>
      <c r="D4" s="48"/>
      <c r="E4" s="48"/>
      <c r="F4" s="48"/>
      <c r="G4" s="48"/>
      <c r="H4" s="49"/>
    </row>
    <row r="5" spans="2:8" x14ac:dyDescent="0.2">
      <c r="B5" s="47"/>
      <c r="C5" s="48"/>
      <c r="D5" s="48"/>
      <c r="E5" s="48"/>
      <c r="F5" s="48"/>
      <c r="G5" s="48"/>
      <c r="H5" s="49"/>
    </row>
    <row r="6" spans="2:8" x14ac:dyDescent="0.2">
      <c r="B6" s="47"/>
      <c r="C6" s="48"/>
      <c r="D6" s="48"/>
      <c r="E6" s="48"/>
      <c r="F6" s="48"/>
      <c r="G6" s="48"/>
      <c r="H6" s="49"/>
    </row>
    <row r="7" spans="2:8" x14ac:dyDescent="0.2">
      <c r="B7" s="47"/>
      <c r="C7" s="48"/>
      <c r="D7" s="48"/>
      <c r="E7" s="48"/>
      <c r="F7" s="48"/>
      <c r="G7" s="48"/>
      <c r="H7" s="49"/>
    </row>
    <row r="8" spans="2:8" x14ac:dyDescent="0.2">
      <c r="B8" s="47"/>
      <c r="C8" s="48"/>
      <c r="D8" s="48"/>
      <c r="E8" s="48"/>
      <c r="F8" s="48"/>
      <c r="G8" s="48"/>
      <c r="H8" s="49"/>
    </row>
    <row r="9" spans="2:8" x14ac:dyDescent="0.2">
      <c r="B9" s="47"/>
      <c r="C9" s="48"/>
      <c r="D9" s="48"/>
      <c r="E9" s="48"/>
      <c r="F9" s="48"/>
      <c r="G9" s="48"/>
      <c r="H9" s="49"/>
    </row>
    <row r="10" spans="2:8" x14ac:dyDescent="0.2">
      <c r="B10" s="47"/>
      <c r="C10" s="48"/>
      <c r="D10" s="48"/>
      <c r="E10" s="48"/>
      <c r="F10" s="48"/>
      <c r="G10" s="48"/>
      <c r="H10" s="49"/>
    </row>
    <row r="11" spans="2:8" x14ac:dyDescent="0.2">
      <c r="B11" s="47"/>
      <c r="C11" s="48"/>
      <c r="D11" s="48"/>
      <c r="E11" s="48"/>
      <c r="F11" s="48"/>
      <c r="G11" s="48"/>
      <c r="H11" s="49"/>
    </row>
    <row r="12" spans="2:8" x14ac:dyDescent="0.2">
      <c r="B12" s="47"/>
      <c r="C12" s="48"/>
      <c r="D12" s="48"/>
      <c r="E12" s="48"/>
      <c r="F12" s="48"/>
      <c r="G12" s="48"/>
      <c r="H12" s="49"/>
    </row>
    <row r="13" spans="2:8" ht="71" customHeight="1" x14ac:dyDescent="0.2">
      <c r="B13" s="47"/>
      <c r="C13" s="48"/>
      <c r="D13" s="63" t="s">
        <v>73</v>
      </c>
      <c r="E13" s="63"/>
      <c r="F13" s="63"/>
      <c r="G13" s="48"/>
      <c r="H13" s="49"/>
    </row>
    <row r="14" spans="2:8" ht="24" x14ac:dyDescent="0.2">
      <c r="B14" s="47"/>
      <c r="C14" s="48"/>
      <c r="D14" s="50"/>
      <c r="E14" s="50"/>
      <c r="F14" s="50"/>
      <c r="G14" s="48"/>
      <c r="H14" s="49"/>
    </row>
    <row r="15" spans="2:8" ht="24" x14ac:dyDescent="0.3">
      <c r="B15" s="47"/>
      <c r="C15" s="48"/>
      <c r="D15" s="51" t="s">
        <v>74</v>
      </c>
      <c r="E15" s="52"/>
      <c r="F15" s="51" t="s">
        <v>75</v>
      </c>
      <c r="G15" s="48"/>
      <c r="H15" s="49"/>
    </row>
    <row r="16" spans="2:8" ht="5" customHeight="1" x14ac:dyDescent="0.2">
      <c r="B16" s="47"/>
      <c r="C16" s="48"/>
      <c r="D16" s="53"/>
      <c r="E16" s="53"/>
      <c r="F16" s="54"/>
      <c r="G16" s="48"/>
      <c r="H16" s="49"/>
    </row>
    <row r="17" spans="2:8" ht="24" x14ac:dyDescent="0.3">
      <c r="B17" s="47"/>
      <c r="C17" s="48"/>
      <c r="D17" s="55" t="s">
        <v>76</v>
      </c>
      <c r="E17" s="55"/>
      <c r="F17" s="56" t="s">
        <v>85</v>
      </c>
      <c r="G17" s="48"/>
      <c r="H17" s="49"/>
    </row>
    <row r="18" spans="2:8" ht="24" x14ac:dyDescent="0.3">
      <c r="B18" s="47"/>
      <c r="C18" s="48"/>
      <c r="D18" s="56" t="s">
        <v>78</v>
      </c>
      <c r="E18" s="56"/>
      <c r="F18" s="66" t="s">
        <v>77</v>
      </c>
      <c r="G18" s="48"/>
      <c r="H18" s="49"/>
    </row>
    <row r="19" spans="2:8" ht="24" x14ac:dyDescent="0.3">
      <c r="B19" s="47"/>
      <c r="C19" s="48"/>
      <c r="D19" s="56" t="s">
        <v>80</v>
      </c>
      <c r="E19" s="56"/>
      <c r="F19" s="56" t="s">
        <v>86</v>
      </c>
      <c r="G19" s="48"/>
      <c r="H19" s="49"/>
    </row>
    <row r="20" spans="2:8" ht="24" x14ac:dyDescent="0.3">
      <c r="B20" s="47"/>
      <c r="C20" s="48"/>
      <c r="D20" s="56" t="s">
        <v>82</v>
      </c>
      <c r="E20" s="56"/>
      <c r="F20" s="56" t="s">
        <v>79</v>
      </c>
      <c r="G20" s="48"/>
      <c r="H20" s="49"/>
    </row>
    <row r="21" spans="2:8" ht="24" x14ac:dyDescent="0.3">
      <c r="B21" s="47"/>
      <c r="C21" s="48"/>
      <c r="D21" s="56" t="s">
        <v>84</v>
      </c>
      <c r="E21" s="56"/>
      <c r="F21" s="56" t="s">
        <v>81</v>
      </c>
      <c r="G21" s="48"/>
      <c r="H21" s="49"/>
    </row>
    <row r="22" spans="2:8" ht="24" x14ac:dyDescent="0.3">
      <c r="B22" s="57"/>
      <c r="C22" s="58"/>
      <c r="D22" s="53"/>
      <c r="E22" s="53"/>
      <c r="F22" s="56" t="s">
        <v>83</v>
      </c>
      <c r="G22" s="48"/>
      <c r="H22" s="49"/>
    </row>
    <row r="23" spans="2:8" x14ac:dyDescent="0.2">
      <c r="B23" s="57"/>
      <c r="C23" s="58"/>
      <c r="D23" s="53"/>
      <c r="E23" s="53"/>
      <c r="F23" s="59"/>
      <c r="G23" s="48"/>
      <c r="H23" s="49"/>
    </row>
    <row r="24" spans="2:8" x14ac:dyDescent="0.2">
      <c r="B24" s="47"/>
      <c r="C24" s="48"/>
      <c r="D24" s="53"/>
      <c r="E24" s="53"/>
      <c r="F24" s="54"/>
      <c r="G24" s="48"/>
      <c r="H24" s="49"/>
    </row>
    <row r="25" spans="2:8" x14ac:dyDescent="0.2">
      <c r="B25" s="47"/>
      <c r="C25" s="48"/>
      <c r="D25" s="53"/>
      <c r="E25" s="53"/>
      <c r="F25" s="54"/>
      <c r="G25" s="48"/>
      <c r="H25" s="49"/>
    </row>
    <row r="26" spans="2:8" x14ac:dyDescent="0.2">
      <c r="B26" s="47"/>
      <c r="C26" s="48"/>
      <c r="D26" s="48"/>
      <c r="E26" s="48"/>
      <c r="F26" s="48"/>
      <c r="G26" s="48"/>
      <c r="H26" s="49"/>
    </row>
    <row r="27" spans="2:8" ht="17" thickBot="1" x14ac:dyDescent="0.25">
      <c r="B27" s="60"/>
      <c r="C27" s="61"/>
      <c r="D27" s="61"/>
      <c r="E27" s="61"/>
      <c r="F27" s="61"/>
      <c r="G27" s="61"/>
      <c r="H27" s="62"/>
    </row>
  </sheetData>
  <mergeCells count="1">
    <mergeCell ref="D13:F13"/>
  </mergeCells>
  <hyperlinks>
    <hyperlink ref="D17" r:id="rId1" xr:uid="{00000000-0004-0000-0000-000000000000}"/>
    <hyperlink ref="D18" r:id="rId2" xr:uid="{00000000-0004-0000-0000-000001000000}"/>
    <hyperlink ref="D19" r:id="rId3" xr:uid="{00000000-0004-0000-0000-000002000000}"/>
    <hyperlink ref="D20" r:id="rId4" display="WSO Templates (Resume, Networking, Models, etc)" xr:uid="{00000000-0004-0000-0000-000004000000}"/>
    <hyperlink ref="D21" r:id="rId5" display="The Talent Oasis - Land a Job!" xr:uid="{00000000-0004-0000-0000-000007000000}"/>
    <hyperlink ref="F22" r:id="rId6" display="GMAT/Series 7 Exam Prep Courses" xr:uid="{6A15C247-9F0B-7740-AB7E-EBC3B7EF1B72}"/>
    <hyperlink ref="F21" r:id="rId7" display="Find a Mentor" xr:uid="{4A011DE6-E3C0-924C-AAB8-6B343286786D}"/>
    <hyperlink ref="F20" r:id="rId8" display="Resume Review Service" xr:uid="{A06D6B8F-6D61-4D49-B0EA-E010F429F620}"/>
    <hyperlink ref="F18" r:id="rId9" display="Interview &amp; Prep Courses (IB, PE, HF, Consulting)" xr:uid="{B36258A9-45CF-9A4D-B555-2202FE2969F8}"/>
    <hyperlink ref="F19" r:id="rId10" xr:uid="{81C33AE0-3BBE-7246-9652-0D9CCD132E29}"/>
    <hyperlink ref="F17" r:id="rId11" xr:uid="{FAE3F68F-14A4-FE40-A211-DE21B2BFDDFF}"/>
  </hyperlinks>
  <pageMargins left="0.7" right="0.7" top="0.75" bottom="0.75" header="0.3" footer="0.3"/>
  <pageSetup orientation="portrait" horizontalDpi="0" verticalDpi="0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32"/>
  <sheetViews>
    <sheetView zoomScale="85" zoomScaleNormal="85" workbookViewId="0">
      <selection activeCell="I7" sqref="I7"/>
    </sheetView>
  </sheetViews>
  <sheetFormatPr baseColWidth="10" defaultColWidth="12.6640625" defaultRowHeight="15" x14ac:dyDescent="0.2"/>
  <cols>
    <col min="1" max="1" width="4.83203125" customWidth="1"/>
    <col min="2" max="2" width="25.33203125" customWidth="1"/>
    <col min="3" max="3" width="16.33203125" bestFit="1" customWidth="1"/>
    <col min="7" max="7" width="16.33203125" bestFit="1" customWidth="1"/>
  </cols>
  <sheetData>
    <row r="2" spans="2:11" x14ac:dyDescent="0.2">
      <c r="B2" s="5" t="s">
        <v>0</v>
      </c>
      <c r="C2" s="5"/>
      <c r="D2" s="5"/>
      <c r="E2" s="5"/>
      <c r="F2" s="5"/>
      <c r="G2" s="5"/>
      <c r="H2" s="5"/>
      <c r="I2" s="5"/>
      <c r="J2" s="5"/>
      <c r="K2" s="6">
        <v>42808</v>
      </c>
    </row>
    <row r="3" spans="2:11" x14ac:dyDescent="0.2">
      <c r="B3" t="s">
        <v>1</v>
      </c>
    </row>
    <row r="5" spans="2:11" x14ac:dyDescent="0.2">
      <c r="B5" s="2" t="s">
        <v>40</v>
      </c>
      <c r="F5" s="2" t="s">
        <v>47</v>
      </c>
    </row>
    <row r="6" spans="2:11" x14ac:dyDescent="0.2">
      <c r="B6" t="s">
        <v>48</v>
      </c>
      <c r="C6" s="26">
        <v>100000000</v>
      </c>
      <c r="F6" t="str">
        <f>'Cash Flows'!B29</f>
        <v>IRR</v>
      </c>
      <c r="G6" s="17">
        <f>'Cash Flows'!C29</f>
        <v>0.17661713957786562</v>
      </c>
    </row>
    <row r="7" spans="2:11" x14ac:dyDescent="0.2">
      <c r="B7" t="s">
        <v>2</v>
      </c>
      <c r="C7" s="42">
        <v>250000</v>
      </c>
      <c r="F7" t="str">
        <f>'Cash Flows'!B30</f>
        <v>Profit</v>
      </c>
      <c r="G7" s="23">
        <f>'Cash Flows'!C30</f>
        <v>124159429.1381375</v>
      </c>
    </row>
    <row r="8" spans="2:11" x14ac:dyDescent="0.2">
      <c r="B8" t="s">
        <v>3</v>
      </c>
      <c r="C8" s="13">
        <v>42855</v>
      </c>
      <c r="F8" t="str">
        <f>'Cash Flows'!B31</f>
        <v>Peak Equity</v>
      </c>
      <c r="G8" s="23">
        <f>'Cash Flows'!C31</f>
        <v>108188469.51080008</v>
      </c>
    </row>
    <row r="9" spans="2:11" x14ac:dyDescent="0.2">
      <c r="F9" t="str">
        <f>'Cash Flows'!B32</f>
        <v>EqM</v>
      </c>
      <c r="G9" s="25">
        <f>'Cash Flows'!C32</f>
        <v>2.1476216430415729</v>
      </c>
    </row>
    <row r="10" spans="2:11" x14ac:dyDescent="0.2">
      <c r="B10" s="2" t="s">
        <v>4</v>
      </c>
    </row>
    <row r="11" spans="2:11" x14ac:dyDescent="0.2">
      <c r="B11" t="s">
        <v>5</v>
      </c>
      <c r="C11" s="26">
        <v>5000000</v>
      </c>
      <c r="F11" s="2" t="s">
        <v>66</v>
      </c>
    </row>
    <row r="12" spans="2:11" x14ac:dyDescent="0.2">
      <c r="B12" t="s">
        <v>6</v>
      </c>
      <c r="C12" s="13">
        <v>42855</v>
      </c>
      <c r="F12" t="str">
        <f>'Cash Flows'!B43</f>
        <v>IRR</v>
      </c>
      <c r="G12" s="17">
        <f>'Cash Flows'!C43</f>
        <v>0.27509053349494939</v>
      </c>
    </row>
    <row r="13" spans="2:11" x14ac:dyDescent="0.2">
      <c r="F13" t="str">
        <f>'Cash Flows'!B44</f>
        <v>Profit</v>
      </c>
      <c r="G13" s="23">
        <f>'Cash Flows'!C44</f>
        <v>110839248.1347121</v>
      </c>
    </row>
    <row r="14" spans="2:11" x14ac:dyDescent="0.2">
      <c r="B14" s="2" t="s">
        <v>41</v>
      </c>
      <c r="F14" t="str">
        <f>'Cash Flows'!B45</f>
        <v>Peak Equity</v>
      </c>
      <c r="G14" s="23">
        <f>'Cash Flows'!C45</f>
        <v>58217098.930791102</v>
      </c>
    </row>
    <row r="15" spans="2:11" x14ac:dyDescent="0.2">
      <c r="B15" t="s">
        <v>50</v>
      </c>
      <c r="C15" s="11">
        <v>5</v>
      </c>
      <c r="F15" t="str">
        <f>'Cash Flows'!B46</f>
        <v>EqM</v>
      </c>
      <c r="G15" s="25">
        <f>'Cash Flows'!C46</f>
        <v>2.9038950784283943</v>
      </c>
    </row>
    <row r="16" spans="2:11" x14ac:dyDescent="0.2">
      <c r="B16" t="s">
        <v>7</v>
      </c>
      <c r="C16" s="1">
        <f>EOMONTH(C12,12*5)</f>
        <v>44681</v>
      </c>
    </row>
    <row r="17" spans="2:11" x14ac:dyDescent="0.2">
      <c r="B17" t="s">
        <v>8</v>
      </c>
      <c r="C17" s="10">
        <v>0.06</v>
      </c>
      <c r="G17">
        <v>2017</v>
      </c>
      <c r="H17">
        <f>G17+1</f>
        <v>2018</v>
      </c>
      <c r="I17">
        <f t="shared" ref="I17:K17" si="0">H17+1</f>
        <v>2019</v>
      </c>
      <c r="J17">
        <f t="shared" si="0"/>
        <v>2020</v>
      </c>
      <c r="K17">
        <f t="shared" si="0"/>
        <v>2021</v>
      </c>
    </row>
    <row r="18" spans="2:11" x14ac:dyDescent="0.2">
      <c r="F18" t="s">
        <v>70</v>
      </c>
      <c r="G18" s="38">
        <f>'Cash Flows Yearly'!D14/Summary!$C$6</f>
        <v>4.2377864599999988E-2</v>
      </c>
      <c r="H18" s="36">
        <f>'Cash Flows Yearly'!E14/Summary!$C$6</f>
        <v>6.4752440292000002E-2</v>
      </c>
      <c r="I18" s="36">
        <f>'Cash Flows Yearly'!F14/Summary!$C$6</f>
        <v>-3.9015000000000001E-2</v>
      </c>
      <c r="J18" s="36">
        <f>'Cash Flows Yearly'!G14/Summary!$C$6</f>
        <v>0.114028569375</v>
      </c>
      <c r="K18" s="36">
        <f>'Cash Flows Yearly'!H14/Summary!$C$6</f>
        <v>0.11784737945625001</v>
      </c>
    </row>
    <row r="19" spans="2:11" x14ac:dyDescent="0.2">
      <c r="B19" s="2" t="s">
        <v>51</v>
      </c>
      <c r="F19" t="s">
        <v>67</v>
      </c>
      <c r="G19" s="40">
        <f>'Cash Flows Yearly'!D14/-('Cash Flows Yearly'!D36+'Cash Flows Yearly'!D37)</f>
        <v>1.7692979261160482</v>
      </c>
      <c r="H19" s="41">
        <f>'Cash Flows Yearly'!E14/-('Cash Flows Yearly'!E36+'Cash Flows Yearly'!E37)</f>
        <v>1.8265914780826544</v>
      </c>
      <c r="I19" s="41">
        <f>'Cash Flows Yearly'!F14/-('Cash Flows Yearly'!F36+'Cash Flows Yearly'!F37)</f>
        <v>-1.1184011142666528</v>
      </c>
      <c r="J19" s="41">
        <f>'Cash Flows Yearly'!G14/-('Cash Flows Yearly'!G36+'Cash Flows Yearly'!G37)</f>
        <v>3.3216995545979451</v>
      </c>
      <c r="K19" s="41">
        <f>'Cash Flows Yearly'!H14/-('Cash Flows Yearly'!H36+'Cash Flows Yearly'!H37)</f>
        <v>3.4885688221633329</v>
      </c>
    </row>
    <row r="20" spans="2:11" x14ac:dyDescent="0.2">
      <c r="B20" t="s">
        <v>52</v>
      </c>
      <c r="C20" s="10">
        <v>0.6</v>
      </c>
      <c r="F20" t="s">
        <v>68</v>
      </c>
      <c r="G20" s="39">
        <f>'Cash Flows Yearly'!D41/'Cash Flows Yearly'!$C$45</f>
        <v>-0.75162442022473197</v>
      </c>
      <c r="H20" s="37">
        <f>'Cash Flows Yearly'!E41/'Cash Flows Yearly'!$C$45</f>
        <v>5.0333261940457397E-2</v>
      </c>
      <c r="I20" s="37">
        <f>'Cash Flows Yearly'!F41/'Cash Flows Yearly'!$C$45</f>
        <v>-0.29870884171572548</v>
      </c>
      <c r="J20" s="37">
        <f>'Cash Flows Yearly'!G41/'Cash Flows Yearly'!$C$45</f>
        <v>0.13690168247477524</v>
      </c>
      <c r="K20" s="37">
        <f>'Cash Flows Yearly'!H41/'Cash Flows Yearly'!$C$45</f>
        <v>0.14440150859345191</v>
      </c>
    </row>
    <row r="21" spans="2:11" x14ac:dyDescent="0.2">
      <c r="B21" t="s">
        <v>53</v>
      </c>
      <c r="C21" s="34">
        <v>4.4999999999999998E-2</v>
      </c>
      <c r="G21" s="17"/>
      <c r="H21" s="17"/>
      <c r="I21" s="17"/>
      <c r="J21" s="17"/>
      <c r="K21" s="17"/>
    </row>
    <row r="22" spans="2:11" x14ac:dyDescent="0.2">
      <c r="B22" t="s">
        <v>54</v>
      </c>
      <c r="C22" s="11">
        <v>10</v>
      </c>
    </row>
    <row r="23" spans="2:11" x14ac:dyDescent="0.2">
      <c r="B23" t="s">
        <v>55</v>
      </c>
      <c r="C23" s="11">
        <v>30</v>
      </c>
      <c r="H23" s="65" t="s">
        <v>71</v>
      </c>
      <c r="I23" s="65"/>
      <c r="J23" s="65"/>
      <c r="K23" s="65"/>
    </row>
    <row r="24" spans="2:11" x14ac:dyDescent="0.2">
      <c r="B24" t="s">
        <v>56</v>
      </c>
      <c r="C24" s="10">
        <v>0.01</v>
      </c>
      <c r="G24" s="9">
        <f>G12</f>
        <v>0.27509053349494939</v>
      </c>
      <c r="H24" s="8">
        <v>3</v>
      </c>
      <c r="I24" s="8">
        <v>4</v>
      </c>
      <c r="J24" s="8">
        <v>5</v>
      </c>
      <c r="K24" s="8">
        <v>6</v>
      </c>
    </row>
    <row r="25" spans="2:11" x14ac:dyDescent="0.2">
      <c r="F25" s="64" t="s">
        <v>72</v>
      </c>
      <c r="G25" s="7">
        <v>0.04</v>
      </c>
      <c r="H25" s="38">
        <f t="dataTable" ref="H25:K29" dt2D="1" dtr="1" r1="C15" r2="C17"/>
        <v>0.41091501116752638</v>
      </c>
      <c r="I25" s="36">
        <v>0.41091501116752638</v>
      </c>
      <c r="J25" s="36">
        <v>0.41091501116752638</v>
      </c>
      <c r="K25" s="36">
        <v>0.41091501116752638</v>
      </c>
    </row>
    <row r="26" spans="2:11" x14ac:dyDescent="0.2">
      <c r="F26" s="64"/>
      <c r="G26" s="7">
        <v>0.05</v>
      </c>
      <c r="H26" s="39">
        <v>0.33603071570396426</v>
      </c>
      <c r="I26" s="37">
        <v>0.33603071570396426</v>
      </c>
      <c r="J26" s="37">
        <v>0.33603071570396426</v>
      </c>
      <c r="K26" s="37">
        <v>0.33603071570396426</v>
      </c>
    </row>
    <row r="27" spans="2:11" x14ac:dyDescent="0.2">
      <c r="F27" s="64"/>
      <c r="G27" s="7">
        <v>0.06</v>
      </c>
      <c r="H27" s="39">
        <v>0.27509053349494939</v>
      </c>
      <c r="I27" s="37">
        <v>0.27509053349494939</v>
      </c>
      <c r="J27" s="37">
        <v>0.27509053349494939</v>
      </c>
      <c r="K27" s="37">
        <v>0.27509053349494939</v>
      </c>
    </row>
    <row r="28" spans="2:11" x14ac:dyDescent="0.2">
      <c r="F28" s="64"/>
      <c r="G28" s="7">
        <v>7.0000000000000007E-2</v>
      </c>
      <c r="H28" s="39">
        <v>0.2233270585536957</v>
      </c>
      <c r="I28" s="37">
        <v>0.2233270585536957</v>
      </c>
      <c r="J28" s="37">
        <v>0.2233270585536957</v>
      </c>
      <c r="K28" s="37">
        <v>0.2233270585536957</v>
      </c>
    </row>
    <row r="29" spans="2:11" x14ac:dyDescent="0.2">
      <c r="F29" s="64"/>
      <c r="G29" s="7">
        <v>0.08</v>
      </c>
      <c r="H29" s="39">
        <v>0.17796984314918526</v>
      </c>
      <c r="I29" s="37">
        <v>0.17796984314918526</v>
      </c>
      <c r="J29" s="37">
        <v>0.17796984314918526</v>
      </c>
      <c r="K29" s="37">
        <v>0.17796984314918526</v>
      </c>
    </row>
    <row r="32" spans="2:11" x14ac:dyDescent="0.2">
      <c r="B32" s="2"/>
    </row>
  </sheetData>
  <mergeCells count="2">
    <mergeCell ref="F25:F29"/>
    <mergeCell ref="H23:K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D33"/>
  <sheetViews>
    <sheetView zoomScale="85" zoomScaleNormal="85" workbookViewId="0">
      <selection activeCell="C15" sqref="C15"/>
    </sheetView>
  </sheetViews>
  <sheetFormatPr baseColWidth="10" defaultColWidth="12.6640625" defaultRowHeight="15" x14ac:dyDescent="0.2"/>
  <cols>
    <col min="1" max="1" width="4.83203125" customWidth="1"/>
    <col min="2" max="2" width="25.33203125" customWidth="1"/>
    <col min="4" max="32" width="12.83203125" bestFit="1" customWidth="1"/>
    <col min="33" max="33" width="14.5" bestFit="1" customWidth="1"/>
    <col min="34" max="39" width="13.5" bestFit="1" customWidth="1"/>
    <col min="40" max="75" width="12.83203125" bestFit="1" customWidth="1"/>
  </cols>
  <sheetData>
    <row r="2" spans="2:17" x14ac:dyDescent="0.2">
      <c r="B2" s="5" t="s">
        <v>0</v>
      </c>
      <c r="C2" s="5"/>
      <c r="D2" s="5"/>
      <c r="E2" s="5"/>
      <c r="F2" s="5"/>
      <c r="G2" s="5"/>
      <c r="H2" s="5"/>
      <c r="I2" s="5"/>
      <c r="J2" s="5"/>
      <c r="K2" s="6">
        <v>42808</v>
      </c>
    </row>
    <row r="3" spans="2:17" x14ac:dyDescent="0.2">
      <c r="B3" t="s">
        <v>9</v>
      </c>
    </row>
    <row r="4" spans="2:17" x14ac:dyDescent="0.2">
      <c r="M4" t="s">
        <v>49</v>
      </c>
      <c r="N4" t="s">
        <v>10</v>
      </c>
      <c r="P4" t="s">
        <v>11</v>
      </c>
    </row>
    <row r="5" spans="2:17" x14ac:dyDescent="0.2">
      <c r="B5" t="s">
        <v>24</v>
      </c>
      <c r="C5" t="s">
        <v>12</v>
      </c>
      <c r="D5" t="s">
        <v>13</v>
      </c>
      <c r="E5" t="s">
        <v>14</v>
      </c>
      <c r="F5" t="s">
        <v>15</v>
      </c>
      <c r="G5" t="s">
        <v>17</v>
      </c>
      <c r="H5" t="s">
        <v>16</v>
      </c>
      <c r="I5" t="s">
        <v>20</v>
      </c>
      <c r="J5" t="s">
        <v>18</v>
      </c>
      <c r="N5" s="1">
        <f>F6</f>
        <v>41639</v>
      </c>
      <c r="O5" s="20">
        <f>D6</f>
        <v>40</v>
      </c>
      <c r="P5" s="1">
        <f>F7</f>
        <v>43646</v>
      </c>
      <c r="Q5">
        <f>D7</f>
        <v>63.653999999999996</v>
      </c>
    </row>
    <row r="6" spans="2:17" x14ac:dyDescent="0.2">
      <c r="B6" t="s">
        <v>10</v>
      </c>
      <c r="C6" s="10">
        <v>1</v>
      </c>
      <c r="D6" s="11">
        <v>40</v>
      </c>
      <c r="E6" s="10">
        <v>0.02</v>
      </c>
      <c r="F6" s="1">
        <f>EOMONTH(H6,-G6*12)</f>
        <v>41639</v>
      </c>
      <c r="G6" s="12">
        <v>5</v>
      </c>
      <c r="H6" s="13">
        <v>43465</v>
      </c>
      <c r="I6" s="11">
        <v>0</v>
      </c>
      <c r="J6" s="11">
        <v>0</v>
      </c>
      <c r="N6" s="1">
        <f>EOMONTH(N5,12)</f>
        <v>42004</v>
      </c>
      <c r="O6">
        <f>$O$5*(1+$E$6)^(YEAR(N6)-YEAR($N$5))</f>
        <v>40.799999999999997</v>
      </c>
      <c r="P6" s="1">
        <f>EOMONTH(P5,12)</f>
        <v>44012</v>
      </c>
      <c r="Q6">
        <f>$Q$5*(1+$E$7)^(YEAR(P6)-YEAR($P$5))</f>
        <v>65.56362</v>
      </c>
    </row>
    <row r="7" spans="2:17" x14ac:dyDescent="0.2">
      <c r="B7" t="s">
        <v>11</v>
      </c>
      <c r="C7" s="10">
        <f>C6</f>
        <v>1</v>
      </c>
      <c r="D7">
        <f>F14</f>
        <v>63.653999999999996</v>
      </c>
      <c r="E7" s="10">
        <v>0.03</v>
      </c>
      <c r="F7" s="1">
        <f>EOMONTH(H6,C9)</f>
        <v>43646</v>
      </c>
      <c r="G7" s="11">
        <v>10</v>
      </c>
      <c r="H7" s="1">
        <f>EOMONTH(F7,G7*12)</f>
        <v>47299</v>
      </c>
      <c r="I7" s="11">
        <v>6</v>
      </c>
      <c r="J7" s="11">
        <v>40</v>
      </c>
      <c r="N7" s="1">
        <f t="shared" ref="N7:N10" si="0">EOMONTH(N6,12)</f>
        <v>42369</v>
      </c>
      <c r="O7">
        <f t="shared" ref="O7:O10" si="1">$O$5*(1+$E$6)^(YEAR(N7)-YEAR($N$5))</f>
        <v>41.616</v>
      </c>
      <c r="P7" s="1">
        <f t="shared" ref="P7:P15" si="2">EOMONTH(P6,12)</f>
        <v>44377</v>
      </c>
      <c r="Q7">
        <f t="shared" ref="Q7:Q15" si="3">$Q$5*(1+$E$7)^(YEAR(P7)-YEAR($P$5))</f>
        <v>67.530528599999997</v>
      </c>
    </row>
    <row r="8" spans="2:17" x14ac:dyDescent="0.2">
      <c r="N8" s="1">
        <f t="shared" si="0"/>
        <v>42735</v>
      </c>
      <c r="O8">
        <f t="shared" si="1"/>
        <v>42.448319999999995</v>
      </c>
      <c r="P8" s="1">
        <f t="shared" si="2"/>
        <v>44742</v>
      </c>
      <c r="Q8">
        <f t="shared" si="3"/>
        <v>69.556444458000001</v>
      </c>
    </row>
    <row r="9" spans="2:17" x14ac:dyDescent="0.2">
      <c r="B9" t="s">
        <v>19</v>
      </c>
      <c r="C9" s="11">
        <v>6</v>
      </c>
      <c r="N9" s="1">
        <f t="shared" si="0"/>
        <v>43100</v>
      </c>
      <c r="O9">
        <f t="shared" si="1"/>
        <v>43.297286399999997</v>
      </c>
      <c r="P9" s="1">
        <f t="shared" si="2"/>
        <v>45107</v>
      </c>
      <c r="Q9">
        <f t="shared" si="3"/>
        <v>71.643137791739989</v>
      </c>
    </row>
    <row r="10" spans="2:17" x14ac:dyDescent="0.2">
      <c r="B10" t="s">
        <v>21</v>
      </c>
      <c r="C10" s="10">
        <v>0.05</v>
      </c>
      <c r="N10" s="1">
        <f t="shared" si="0"/>
        <v>43465</v>
      </c>
      <c r="O10">
        <f t="shared" si="1"/>
        <v>44.163232128000004</v>
      </c>
      <c r="P10" s="1">
        <f t="shared" si="2"/>
        <v>45473</v>
      </c>
      <c r="Q10">
        <f t="shared" si="3"/>
        <v>73.792431925492181</v>
      </c>
    </row>
    <row r="11" spans="2:17" x14ac:dyDescent="0.2">
      <c r="N11" s="1"/>
      <c r="P11" s="1">
        <f t="shared" si="2"/>
        <v>45838</v>
      </c>
      <c r="Q11">
        <f t="shared" si="3"/>
        <v>76.006204883256956</v>
      </c>
    </row>
    <row r="12" spans="2:17" x14ac:dyDescent="0.2">
      <c r="C12" s="11"/>
      <c r="D12" s="11">
        <v>2017</v>
      </c>
      <c r="E12">
        <f>D12+1</f>
        <v>2018</v>
      </c>
      <c r="F12">
        <f t="shared" ref="F12:J12" si="4">E12+1</f>
        <v>2019</v>
      </c>
      <c r="G12">
        <f t="shared" si="4"/>
        <v>2020</v>
      </c>
      <c r="H12">
        <f t="shared" si="4"/>
        <v>2021</v>
      </c>
      <c r="I12">
        <f t="shared" si="4"/>
        <v>2022</v>
      </c>
      <c r="J12">
        <f t="shared" si="4"/>
        <v>2023</v>
      </c>
      <c r="N12" s="1"/>
      <c r="P12" s="1">
        <f t="shared" si="2"/>
        <v>46203</v>
      </c>
      <c r="Q12">
        <f t="shared" si="3"/>
        <v>78.286391029754668</v>
      </c>
    </row>
    <row r="13" spans="2:17" x14ac:dyDescent="0.2">
      <c r="B13" t="s">
        <v>22</v>
      </c>
      <c r="C13" s="10">
        <v>0.02</v>
      </c>
      <c r="D13" s="11">
        <v>15</v>
      </c>
      <c r="E13">
        <f>$D$13*(1+$C$13)^(E12-$D$12)</f>
        <v>15.3</v>
      </c>
      <c r="F13">
        <f t="shared" ref="F13:J13" si="5">$D$13*(1+$C$13)^(F12-$D$12)</f>
        <v>15.606</v>
      </c>
      <c r="G13">
        <f t="shared" si="5"/>
        <v>15.918119999999998</v>
      </c>
      <c r="H13">
        <f t="shared" si="5"/>
        <v>16.2364824</v>
      </c>
      <c r="I13">
        <f t="shared" si="5"/>
        <v>16.561212048000002</v>
      </c>
      <c r="J13">
        <f t="shared" si="5"/>
        <v>16.892436288960003</v>
      </c>
      <c r="N13" s="1"/>
      <c r="P13" s="1">
        <f t="shared" si="2"/>
        <v>46568</v>
      </c>
      <c r="Q13">
        <f t="shared" si="3"/>
        <v>80.634982760647304</v>
      </c>
    </row>
    <row r="14" spans="2:17" x14ac:dyDescent="0.2">
      <c r="B14" t="s">
        <v>23</v>
      </c>
      <c r="C14" s="10">
        <v>0.03</v>
      </c>
      <c r="D14" s="11">
        <v>60</v>
      </c>
      <c r="E14">
        <f>$D$14*(1+$C$14)^(E12-$D$12)</f>
        <v>61.800000000000004</v>
      </c>
      <c r="F14">
        <f t="shared" ref="F14:J14" si="6">$D$14*(1+$C$14)^(F12-$D$12)</f>
        <v>63.653999999999996</v>
      </c>
      <c r="G14">
        <f t="shared" si="6"/>
        <v>65.56362</v>
      </c>
      <c r="H14">
        <f t="shared" si="6"/>
        <v>67.530528599999997</v>
      </c>
      <c r="I14">
        <f t="shared" si="6"/>
        <v>69.556444457999987</v>
      </c>
      <c r="J14">
        <f t="shared" si="6"/>
        <v>71.643137791739989</v>
      </c>
      <c r="N14" s="1"/>
      <c r="P14" s="1">
        <f t="shared" si="2"/>
        <v>46934</v>
      </c>
      <c r="Q14">
        <f t="shared" si="3"/>
        <v>83.054032243466722</v>
      </c>
    </row>
    <row r="15" spans="2:17" x14ac:dyDescent="0.2">
      <c r="N15" s="1"/>
      <c r="P15" s="1">
        <f t="shared" si="2"/>
        <v>47299</v>
      </c>
      <c r="Q15">
        <f t="shared" si="3"/>
        <v>85.545653210770723</v>
      </c>
    </row>
    <row r="16" spans="2:17" x14ac:dyDescent="0.2">
      <c r="N16" s="1"/>
    </row>
    <row r="18" spans="2:82" x14ac:dyDescent="0.2">
      <c r="C18" s="14">
        <f>Summary!C8</f>
        <v>42855</v>
      </c>
      <c r="D18" s="1">
        <f>EOMONTH(C18,1)</f>
        <v>42886</v>
      </c>
      <c r="E18" s="1">
        <f t="shared" ref="E18:BP18" si="7">EOMONTH(D18,1)</f>
        <v>42916</v>
      </c>
      <c r="F18" s="1">
        <f t="shared" si="7"/>
        <v>42947</v>
      </c>
      <c r="G18" s="1">
        <f t="shared" si="7"/>
        <v>42978</v>
      </c>
      <c r="H18" s="1">
        <f t="shared" si="7"/>
        <v>43008</v>
      </c>
      <c r="I18" s="1">
        <f t="shared" si="7"/>
        <v>43039</v>
      </c>
      <c r="J18" s="1">
        <f t="shared" si="7"/>
        <v>43069</v>
      </c>
      <c r="K18" s="1">
        <f t="shared" si="7"/>
        <v>43100</v>
      </c>
      <c r="L18" s="1">
        <f t="shared" si="7"/>
        <v>43131</v>
      </c>
      <c r="M18" s="1">
        <f t="shared" si="7"/>
        <v>43159</v>
      </c>
      <c r="N18" s="1">
        <f t="shared" si="7"/>
        <v>43190</v>
      </c>
      <c r="O18" s="1">
        <f t="shared" si="7"/>
        <v>43220</v>
      </c>
      <c r="P18" s="1">
        <f t="shared" si="7"/>
        <v>43251</v>
      </c>
      <c r="Q18" s="1">
        <f t="shared" si="7"/>
        <v>43281</v>
      </c>
      <c r="R18" s="1">
        <f t="shared" si="7"/>
        <v>43312</v>
      </c>
      <c r="S18" s="1">
        <f t="shared" si="7"/>
        <v>43343</v>
      </c>
      <c r="T18" s="1">
        <f t="shared" si="7"/>
        <v>43373</v>
      </c>
      <c r="U18" s="1">
        <f t="shared" si="7"/>
        <v>43404</v>
      </c>
      <c r="V18" s="1">
        <f t="shared" si="7"/>
        <v>43434</v>
      </c>
      <c r="W18" s="1">
        <f t="shared" si="7"/>
        <v>43465</v>
      </c>
      <c r="X18" s="1">
        <f t="shared" si="7"/>
        <v>43496</v>
      </c>
      <c r="Y18" s="1">
        <f t="shared" si="7"/>
        <v>43524</v>
      </c>
      <c r="Z18" s="1">
        <f t="shared" si="7"/>
        <v>43555</v>
      </c>
      <c r="AA18" s="1">
        <f t="shared" si="7"/>
        <v>43585</v>
      </c>
      <c r="AB18" s="1">
        <f t="shared" si="7"/>
        <v>43616</v>
      </c>
      <c r="AC18" s="1">
        <f t="shared" si="7"/>
        <v>43646</v>
      </c>
      <c r="AD18" s="1">
        <f t="shared" si="7"/>
        <v>43677</v>
      </c>
      <c r="AE18" s="1">
        <f t="shared" si="7"/>
        <v>43708</v>
      </c>
      <c r="AF18" s="1">
        <f t="shared" si="7"/>
        <v>43738</v>
      </c>
      <c r="AG18" s="1">
        <f t="shared" si="7"/>
        <v>43769</v>
      </c>
      <c r="AH18" s="1">
        <f t="shared" si="7"/>
        <v>43799</v>
      </c>
      <c r="AI18" s="1">
        <f t="shared" si="7"/>
        <v>43830</v>
      </c>
      <c r="AJ18" s="1">
        <f t="shared" si="7"/>
        <v>43861</v>
      </c>
      <c r="AK18" s="1">
        <f t="shared" si="7"/>
        <v>43890</v>
      </c>
      <c r="AL18" s="1">
        <f t="shared" si="7"/>
        <v>43921</v>
      </c>
      <c r="AM18" s="1">
        <f t="shared" si="7"/>
        <v>43951</v>
      </c>
      <c r="AN18" s="1">
        <f t="shared" si="7"/>
        <v>43982</v>
      </c>
      <c r="AO18" s="1">
        <f t="shared" si="7"/>
        <v>44012</v>
      </c>
      <c r="AP18" s="1">
        <f t="shared" si="7"/>
        <v>44043</v>
      </c>
      <c r="AQ18" s="1">
        <f t="shared" si="7"/>
        <v>44074</v>
      </c>
      <c r="AR18" s="1">
        <f t="shared" si="7"/>
        <v>44104</v>
      </c>
      <c r="AS18" s="1">
        <f t="shared" si="7"/>
        <v>44135</v>
      </c>
      <c r="AT18" s="1">
        <f t="shared" si="7"/>
        <v>44165</v>
      </c>
      <c r="AU18" s="1">
        <f t="shared" si="7"/>
        <v>44196</v>
      </c>
      <c r="AV18" s="1">
        <f t="shared" si="7"/>
        <v>44227</v>
      </c>
      <c r="AW18" s="1">
        <f t="shared" si="7"/>
        <v>44255</v>
      </c>
      <c r="AX18" s="1">
        <f t="shared" si="7"/>
        <v>44286</v>
      </c>
      <c r="AY18" s="1">
        <f t="shared" si="7"/>
        <v>44316</v>
      </c>
      <c r="AZ18" s="1">
        <f t="shared" si="7"/>
        <v>44347</v>
      </c>
      <c r="BA18" s="1">
        <f t="shared" si="7"/>
        <v>44377</v>
      </c>
      <c r="BB18" s="1">
        <f t="shared" si="7"/>
        <v>44408</v>
      </c>
      <c r="BC18" s="1">
        <f t="shared" si="7"/>
        <v>44439</v>
      </c>
      <c r="BD18" s="1">
        <f t="shared" si="7"/>
        <v>44469</v>
      </c>
      <c r="BE18" s="1">
        <f t="shared" si="7"/>
        <v>44500</v>
      </c>
      <c r="BF18" s="1">
        <f t="shared" si="7"/>
        <v>44530</v>
      </c>
      <c r="BG18" s="1">
        <f t="shared" si="7"/>
        <v>44561</v>
      </c>
      <c r="BH18" s="1">
        <f t="shared" si="7"/>
        <v>44592</v>
      </c>
      <c r="BI18" s="1">
        <f t="shared" si="7"/>
        <v>44620</v>
      </c>
      <c r="BJ18" s="1">
        <f t="shared" si="7"/>
        <v>44651</v>
      </c>
      <c r="BK18" s="1">
        <f t="shared" si="7"/>
        <v>44681</v>
      </c>
      <c r="BL18" s="1">
        <f t="shared" si="7"/>
        <v>44712</v>
      </c>
      <c r="BM18" s="1">
        <f t="shared" si="7"/>
        <v>44742</v>
      </c>
      <c r="BN18" s="1">
        <f t="shared" si="7"/>
        <v>44773</v>
      </c>
      <c r="BO18" s="1">
        <f t="shared" si="7"/>
        <v>44804</v>
      </c>
      <c r="BP18" s="1">
        <f t="shared" si="7"/>
        <v>44834</v>
      </c>
      <c r="BQ18" s="1">
        <f t="shared" ref="BQ18:BW18" si="8">EOMONTH(BP18,1)</f>
        <v>44865</v>
      </c>
      <c r="BR18" s="1">
        <f t="shared" si="8"/>
        <v>44895</v>
      </c>
      <c r="BS18" s="1">
        <f t="shared" si="8"/>
        <v>44926</v>
      </c>
      <c r="BT18" s="1">
        <f t="shared" si="8"/>
        <v>44957</v>
      </c>
      <c r="BU18" s="1">
        <f t="shared" si="8"/>
        <v>44985</v>
      </c>
      <c r="BV18" s="1">
        <f t="shared" si="8"/>
        <v>45016</v>
      </c>
      <c r="BW18" s="1">
        <f t="shared" si="8"/>
        <v>45046</v>
      </c>
      <c r="BY18" s="1"/>
      <c r="BZ18" s="1"/>
      <c r="CA18" s="1"/>
      <c r="CB18" s="1"/>
      <c r="CC18" s="1"/>
      <c r="CD18" s="1"/>
    </row>
    <row r="19" spans="2:82" x14ac:dyDescent="0.2">
      <c r="B19" s="2" t="s">
        <v>25</v>
      </c>
      <c r="M19" s="1"/>
    </row>
    <row r="20" spans="2:82" x14ac:dyDescent="0.2">
      <c r="B20" s="15" t="s">
        <v>10</v>
      </c>
      <c r="C20" s="18"/>
      <c r="D20" s="18">
        <f>VLOOKUP(D18,$N$5:$O$10,2,1)*IF(AND(D18&gt;$F$6,D18&lt;=$H$6),1,0)*$C$6*Summary!$C$7/12</f>
        <v>884339.99999999988</v>
      </c>
      <c r="E20" s="18">
        <f>VLOOKUP(E18,$N$5:$O$10,2,1)*IF(AND(E18&gt;$F$6,E18&lt;=$H$6),1,0)*$C$6*Summary!$C$7/12</f>
        <v>884339.99999999988</v>
      </c>
      <c r="F20" s="18">
        <f>VLOOKUP(F18,$N$5:$O$10,2,1)*IF(AND(F18&gt;$F$6,F18&lt;=$H$6),1,0)*$C$6*Summary!$C$7/12</f>
        <v>884339.99999999988</v>
      </c>
      <c r="G20" s="18">
        <f>VLOOKUP(G18,$N$5:$O$10,2,1)*IF(AND(G18&gt;$F$6,G18&lt;=$H$6),1,0)*$C$6*Summary!$C$7/12</f>
        <v>884339.99999999988</v>
      </c>
      <c r="H20" s="18">
        <f>VLOOKUP(H18,$N$5:$O$10,2,1)*IF(AND(H18&gt;$F$6,H18&lt;=$H$6),1,0)*$C$6*Summary!$C$7/12</f>
        <v>884339.99999999988</v>
      </c>
      <c r="I20" s="18">
        <f>VLOOKUP(I18,$N$5:$O$10,2,1)*IF(AND(I18&gt;$F$6,I18&lt;=$H$6),1,0)*$C$6*Summary!$C$7/12</f>
        <v>884339.99999999988</v>
      </c>
      <c r="J20" s="18">
        <f>VLOOKUP(J18,$N$5:$O$10,2,1)*IF(AND(J18&gt;$F$6,J18&lt;=$H$6),1,0)*$C$6*Summary!$C$7/12</f>
        <v>884339.99999999988</v>
      </c>
      <c r="K20" s="18">
        <f>VLOOKUP(K18,$N$5:$O$10,2,1)*IF(AND(K18&gt;$F$6,K18&lt;=$H$6),1,0)*$C$6*Summary!$C$7/12</f>
        <v>902026.79999999993</v>
      </c>
      <c r="L20" s="18">
        <f>VLOOKUP(L18,$N$5:$O$10,2,1)*IF(AND(L18&gt;$F$6,L18&lt;=$H$6),1,0)*$C$6*Summary!$C$7/12</f>
        <v>902026.79999999993</v>
      </c>
      <c r="M20" s="18">
        <f>VLOOKUP(M18,$N$5:$O$10,2,1)*IF(AND(M18&gt;$F$6,M18&lt;=$H$6),1,0)*$C$6*Summary!$C$7/12</f>
        <v>902026.79999999993</v>
      </c>
      <c r="N20" s="18">
        <f>VLOOKUP(N18,$N$5:$O$10,2,1)*IF(AND(N18&gt;$F$6,N18&lt;=$H$6),1,0)*$C$6*Summary!$C$7/12</f>
        <v>902026.79999999993</v>
      </c>
      <c r="O20" s="18">
        <f>VLOOKUP(O18,$N$5:$O$10,2,1)*IF(AND(O18&gt;$F$6,O18&lt;=$H$6),1,0)*$C$6*Summary!$C$7/12</f>
        <v>902026.79999999993</v>
      </c>
      <c r="P20" s="18">
        <f>VLOOKUP(P18,$N$5:$O$10,2,1)*IF(AND(P18&gt;$F$6,P18&lt;=$H$6),1,0)*$C$6*Summary!$C$7/12</f>
        <v>902026.79999999993</v>
      </c>
      <c r="Q20" s="18">
        <f>VLOOKUP(Q18,$N$5:$O$10,2,1)*IF(AND(Q18&gt;$F$6,Q18&lt;=$H$6),1,0)*$C$6*Summary!$C$7/12</f>
        <v>902026.79999999993</v>
      </c>
      <c r="R20" s="18">
        <f>VLOOKUP(R18,$N$5:$O$10,2,1)*IF(AND(R18&gt;$F$6,R18&lt;=$H$6),1,0)*$C$6*Summary!$C$7/12</f>
        <v>902026.79999999993</v>
      </c>
      <c r="S20" s="18">
        <f>VLOOKUP(S18,$N$5:$O$10,2,1)*IF(AND(S18&gt;$F$6,S18&lt;=$H$6),1,0)*$C$6*Summary!$C$7/12</f>
        <v>902026.79999999993</v>
      </c>
      <c r="T20" s="18">
        <f>VLOOKUP(T18,$N$5:$O$10,2,1)*IF(AND(T18&gt;$F$6,T18&lt;=$H$6),1,0)*$C$6*Summary!$C$7/12</f>
        <v>902026.79999999993</v>
      </c>
      <c r="U20" s="18">
        <f>VLOOKUP(U18,$N$5:$O$10,2,1)*IF(AND(U18&gt;$F$6,U18&lt;=$H$6),1,0)*$C$6*Summary!$C$7/12</f>
        <v>902026.79999999993</v>
      </c>
      <c r="V20" s="18">
        <f>VLOOKUP(V18,$N$5:$O$10,2,1)*IF(AND(V18&gt;$F$6,V18&lt;=$H$6),1,0)*$C$6*Summary!$C$7/12</f>
        <v>902026.79999999993</v>
      </c>
      <c r="W20" s="18">
        <f>VLOOKUP(W18,$N$5:$O$10,2,1)*IF(AND(W18&gt;$F$6,W18&lt;=$H$6),1,0)*$C$6*Summary!$C$7/12</f>
        <v>920067.33600000013</v>
      </c>
      <c r="X20" s="18">
        <f>VLOOKUP(X18,$N$5:$O$10,2,1)*IF(AND(X18&gt;$F$6,X18&lt;=$H$6),1,0)*$C$6*Summary!$C$7/12</f>
        <v>0</v>
      </c>
      <c r="Y20" s="18">
        <f>VLOOKUP(Y18,$N$5:$O$10,2,1)*IF(AND(Y18&gt;$F$6,Y18&lt;=$H$6),1,0)*$C$6*Summary!$C$7/12</f>
        <v>0</v>
      </c>
      <c r="Z20" s="18">
        <f>VLOOKUP(Z18,$N$5:$O$10,2,1)*IF(AND(Z18&gt;$F$6,Z18&lt;=$H$6),1,0)*$C$6*Summary!$C$7/12</f>
        <v>0</v>
      </c>
      <c r="AA20" s="18">
        <f>VLOOKUP(AA18,$N$5:$O$10,2,1)*IF(AND(AA18&gt;$F$6,AA18&lt;=$H$6),1,0)*$C$6*Summary!$C$7/12</f>
        <v>0</v>
      </c>
      <c r="AB20" s="18">
        <f>VLOOKUP(AB18,$N$5:$O$10,2,1)*IF(AND(AB18&gt;$F$6,AB18&lt;=$H$6),1,0)*$C$6*Summary!$C$7/12</f>
        <v>0</v>
      </c>
      <c r="AC20" s="18">
        <f>VLOOKUP(AC18,$N$5:$O$10,2,1)*IF(AND(AC18&gt;$F$6,AC18&lt;=$H$6),1,0)*$C$6*Summary!$C$7/12</f>
        <v>0</v>
      </c>
      <c r="AD20" s="18">
        <f>VLOOKUP(AD18,$N$5:$O$10,2,1)*IF(AND(AD18&gt;$F$6,AD18&lt;=$H$6),1,0)*$C$6*Summary!$C$7/12</f>
        <v>0</v>
      </c>
      <c r="AE20" s="18">
        <f>VLOOKUP(AE18,$N$5:$O$10,2,1)*IF(AND(AE18&gt;$F$6,AE18&lt;=$H$6),1,0)*$C$6*Summary!$C$7/12</f>
        <v>0</v>
      </c>
      <c r="AF20" s="18">
        <f>VLOOKUP(AF18,$N$5:$O$10,2,1)*IF(AND(AF18&gt;$F$6,AF18&lt;=$H$6),1,0)*$C$6*Summary!$C$7/12</f>
        <v>0</v>
      </c>
      <c r="AG20" s="18">
        <f>VLOOKUP(AG18,$N$5:$O$10,2,1)*IF(AND(AG18&gt;$F$6,AG18&lt;=$H$6),1,0)*$C$6*Summary!$C$7/12</f>
        <v>0</v>
      </c>
      <c r="AH20" s="18">
        <f>VLOOKUP(AH18,$N$5:$O$10,2,1)*IF(AND(AH18&gt;$F$6,AH18&lt;=$H$6),1,0)*$C$6*Summary!$C$7/12</f>
        <v>0</v>
      </c>
      <c r="AI20" s="18">
        <f>VLOOKUP(AI18,$N$5:$O$10,2,1)*IF(AND(AI18&gt;$F$6,AI18&lt;=$H$6),1,0)*$C$6*Summary!$C$7/12</f>
        <v>0</v>
      </c>
      <c r="AJ20" s="18">
        <f>VLOOKUP(AJ18,$N$5:$O$10,2,1)*IF(AND(AJ18&gt;$F$6,AJ18&lt;=$H$6),1,0)*$C$6*Summary!$C$7/12</f>
        <v>0</v>
      </c>
      <c r="AK20" s="18">
        <f>VLOOKUP(AK18,$N$5:$O$10,2,1)*IF(AND(AK18&gt;$F$6,AK18&lt;=$H$6),1,0)*$C$6*Summary!$C$7/12</f>
        <v>0</v>
      </c>
      <c r="AL20" s="18">
        <f>VLOOKUP(AL18,$N$5:$O$10,2,1)*IF(AND(AL18&gt;$F$6,AL18&lt;=$H$6),1,0)*$C$6*Summary!$C$7/12</f>
        <v>0</v>
      </c>
      <c r="AM20" s="18">
        <f>VLOOKUP(AM18,$N$5:$O$10,2,1)*IF(AND(AM18&gt;$F$6,AM18&lt;=$H$6),1,0)*$C$6*Summary!$C$7/12</f>
        <v>0</v>
      </c>
      <c r="AN20" s="18">
        <f>VLOOKUP(AN18,$N$5:$O$10,2,1)*IF(AND(AN18&gt;$F$6,AN18&lt;=$H$6),1,0)*$C$6*Summary!$C$7/12</f>
        <v>0</v>
      </c>
      <c r="AO20" s="18">
        <f>VLOOKUP(AO18,$N$5:$O$10,2,1)*IF(AND(AO18&gt;$F$6,AO18&lt;=$H$6),1,0)*$C$6*Summary!$C$7/12</f>
        <v>0</v>
      </c>
      <c r="AP20" s="18">
        <f>VLOOKUP(AP18,$N$5:$O$10,2,1)*IF(AND(AP18&gt;$F$6,AP18&lt;=$H$6),1,0)*$C$6*Summary!$C$7/12</f>
        <v>0</v>
      </c>
      <c r="AQ20" s="18">
        <f>VLOOKUP(AQ18,$N$5:$O$10,2,1)*IF(AND(AQ18&gt;$F$6,AQ18&lt;=$H$6),1,0)*$C$6*Summary!$C$7/12</f>
        <v>0</v>
      </c>
      <c r="AR20" s="18">
        <f>VLOOKUP(AR18,$N$5:$O$10,2,1)*IF(AND(AR18&gt;$F$6,AR18&lt;=$H$6),1,0)*$C$6*Summary!$C$7/12</f>
        <v>0</v>
      </c>
      <c r="AS20" s="18">
        <f>VLOOKUP(AS18,$N$5:$O$10,2,1)*IF(AND(AS18&gt;$F$6,AS18&lt;=$H$6),1,0)*$C$6*Summary!$C$7/12</f>
        <v>0</v>
      </c>
      <c r="AT20" s="18">
        <f>VLOOKUP(AT18,$N$5:$O$10,2,1)*IF(AND(AT18&gt;$F$6,AT18&lt;=$H$6),1,0)*$C$6*Summary!$C$7/12</f>
        <v>0</v>
      </c>
      <c r="AU20" s="18">
        <f>VLOOKUP(AU18,$N$5:$O$10,2,1)*IF(AND(AU18&gt;$F$6,AU18&lt;=$H$6),1,0)*$C$6*Summary!$C$7/12</f>
        <v>0</v>
      </c>
      <c r="AV20" s="18">
        <f>VLOOKUP(AV18,$N$5:$O$10,2,1)*IF(AND(AV18&gt;$F$6,AV18&lt;=$H$6),1,0)*$C$6*Summary!$C$7/12</f>
        <v>0</v>
      </c>
      <c r="AW20" s="18">
        <f>VLOOKUP(AW18,$N$5:$O$10,2,1)*IF(AND(AW18&gt;$F$6,AW18&lt;=$H$6),1,0)*$C$6*Summary!$C$7/12</f>
        <v>0</v>
      </c>
      <c r="AX20" s="18">
        <f>VLOOKUP(AX18,$N$5:$O$10,2,1)*IF(AND(AX18&gt;$F$6,AX18&lt;=$H$6),1,0)*$C$6*Summary!$C$7/12</f>
        <v>0</v>
      </c>
      <c r="AY20" s="18">
        <f>VLOOKUP(AY18,$N$5:$O$10,2,1)*IF(AND(AY18&gt;$F$6,AY18&lt;=$H$6),1,0)*$C$6*Summary!$C$7/12</f>
        <v>0</v>
      </c>
      <c r="AZ20" s="18">
        <f>VLOOKUP(AZ18,$N$5:$O$10,2,1)*IF(AND(AZ18&gt;$F$6,AZ18&lt;=$H$6),1,0)*$C$6*Summary!$C$7/12</f>
        <v>0</v>
      </c>
      <c r="BA20" s="18">
        <f>VLOOKUP(BA18,$N$5:$O$10,2,1)*IF(AND(BA18&gt;$F$6,BA18&lt;=$H$6),1,0)*$C$6*Summary!$C$7/12</f>
        <v>0</v>
      </c>
      <c r="BB20" s="18">
        <f>VLOOKUP(BB18,$N$5:$O$10,2,1)*IF(AND(BB18&gt;$F$6,BB18&lt;=$H$6),1,0)*$C$6*Summary!$C$7/12</f>
        <v>0</v>
      </c>
      <c r="BC20" s="18">
        <f>VLOOKUP(BC18,$N$5:$O$10,2,1)*IF(AND(BC18&gt;$F$6,BC18&lt;=$H$6),1,0)*$C$6*Summary!$C$7/12</f>
        <v>0</v>
      </c>
      <c r="BD20" s="18">
        <f>VLOOKUP(BD18,$N$5:$O$10,2,1)*IF(AND(BD18&gt;$F$6,BD18&lt;=$H$6),1,0)*$C$6*Summary!$C$7/12</f>
        <v>0</v>
      </c>
      <c r="BE20" s="18">
        <f>VLOOKUP(BE18,$N$5:$O$10,2,1)*IF(AND(BE18&gt;$F$6,BE18&lt;=$H$6),1,0)*$C$6*Summary!$C$7/12</f>
        <v>0</v>
      </c>
      <c r="BF20" s="18">
        <f>VLOOKUP(BF18,$N$5:$O$10,2,1)*IF(AND(BF18&gt;$F$6,BF18&lt;=$H$6),1,0)*$C$6*Summary!$C$7/12</f>
        <v>0</v>
      </c>
      <c r="BG20" s="18">
        <f>VLOOKUP(BG18,$N$5:$O$10,2,1)*IF(AND(BG18&gt;$F$6,BG18&lt;=$H$6),1,0)*$C$6*Summary!$C$7/12</f>
        <v>0</v>
      </c>
      <c r="BH20" s="18">
        <f>VLOOKUP(BH18,$N$5:$O$10,2,1)*IF(AND(BH18&gt;$F$6,BH18&lt;=$H$6),1,0)*$C$6*Summary!$C$7/12</f>
        <v>0</v>
      </c>
      <c r="BI20" s="18">
        <f>VLOOKUP(BI18,$N$5:$O$10,2,1)*IF(AND(BI18&gt;$F$6,BI18&lt;=$H$6),1,0)*$C$6*Summary!$C$7/12</f>
        <v>0</v>
      </c>
      <c r="BJ20" s="18">
        <f>VLOOKUP(BJ18,$N$5:$O$10,2,1)*IF(AND(BJ18&gt;$F$6,BJ18&lt;=$H$6),1,0)*$C$6*Summary!$C$7/12</f>
        <v>0</v>
      </c>
      <c r="BK20" s="18">
        <f>VLOOKUP(BK18,$N$5:$O$10,2,1)*IF(AND(BK18&gt;$F$6,BK18&lt;=$H$6),1,0)*$C$6*Summary!$C$7/12</f>
        <v>0</v>
      </c>
      <c r="BL20" s="18">
        <f>VLOOKUP(BL18,$N$5:$O$10,2,1)*IF(AND(BL18&gt;$F$6,BL18&lt;=$H$6),1,0)*$C$6*Summary!$C$7/12</f>
        <v>0</v>
      </c>
      <c r="BM20" s="18">
        <f>VLOOKUP(BM18,$N$5:$O$10,2,1)*IF(AND(BM18&gt;$F$6,BM18&lt;=$H$6),1,0)*$C$6*Summary!$C$7/12</f>
        <v>0</v>
      </c>
      <c r="BN20" s="18">
        <f>VLOOKUP(BN18,$N$5:$O$10,2,1)*IF(AND(BN18&gt;$F$6,BN18&lt;=$H$6),1,0)*$C$6*Summary!$C$7/12</f>
        <v>0</v>
      </c>
      <c r="BO20" s="18">
        <f>VLOOKUP(BO18,$N$5:$O$10,2,1)*IF(AND(BO18&gt;$F$6,BO18&lt;=$H$6),1,0)*$C$6*Summary!$C$7/12</f>
        <v>0</v>
      </c>
      <c r="BP20" s="18">
        <f>VLOOKUP(BP18,$N$5:$O$10,2,1)*IF(AND(BP18&gt;$F$6,BP18&lt;=$H$6),1,0)*$C$6*Summary!$C$7/12</f>
        <v>0</v>
      </c>
      <c r="BQ20" s="18">
        <f>VLOOKUP(BQ18,$N$5:$O$10,2,1)*IF(AND(BQ18&gt;$F$6,BQ18&lt;=$H$6),1,0)*$C$6*Summary!$C$7/12</f>
        <v>0</v>
      </c>
      <c r="BR20" s="18">
        <f>VLOOKUP(BR18,$N$5:$O$10,2,1)*IF(AND(BR18&gt;$F$6,BR18&lt;=$H$6),1,0)*$C$6*Summary!$C$7/12</f>
        <v>0</v>
      </c>
      <c r="BS20" s="18">
        <f>VLOOKUP(BS18,$N$5:$O$10,2,1)*IF(AND(BS18&gt;$F$6,BS18&lt;=$H$6),1,0)*$C$6*Summary!$C$7/12</f>
        <v>0</v>
      </c>
      <c r="BT20" s="18">
        <f>VLOOKUP(BT18,$N$5:$O$10,2,1)*IF(AND(BT18&gt;$F$6,BT18&lt;=$H$6),1,0)*$C$6*Summary!$C$7/12</f>
        <v>0</v>
      </c>
      <c r="BU20" s="18">
        <f>VLOOKUP(BU18,$N$5:$O$10,2,1)*IF(AND(BU18&gt;$F$6,BU18&lt;=$H$6),1,0)*$C$6*Summary!$C$7/12</f>
        <v>0</v>
      </c>
      <c r="BV20" s="18">
        <f>VLOOKUP(BV18,$N$5:$O$10,2,1)*IF(AND(BV18&gt;$F$6,BV18&lt;=$H$6),1,0)*$C$6*Summary!$C$7/12</f>
        <v>0</v>
      </c>
      <c r="BW20" s="18">
        <f>VLOOKUP(BW18,$N$5:$O$10,2,1)*IF(AND(BW18&gt;$F$6,BW18&lt;=$H$6),1,0)*$C$6*Summary!$C$7/12</f>
        <v>0</v>
      </c>
    </row>
    <row r="21" spans="2:82" x14ac:dyDescent="0.2">
      <c r="B21" t="s">
        <v>11</v>
      </c>
      <c r="C21" s="18"/>
      <c r="D21" s="18">
        <f>IFERROR(VLOOKUP(D18,$P$5:$Q$15,2,1)*IF(AND(D18&gt;$F$7,D18&lt;=$H$7),1,0)*$C$7*Summary!$C$7/12,0)</f>
        <v>0</v>
      </c>
      <c r="E21" s="18">
        <f>IFERROR(VLOOKUP(E18,$P$5:$Q$15,2,1)*IF(AND(E18&gt;$F$7,E18&lt;=$H$7),1,0)*$C$7*Summary!$C$7/12,0)</f>
        <v>0</v>
      </c>
      <c r="F21" s="18">
        <f>IFERROR(VLOOKUP(F18,$P$5:$Q$15,2,1)*IF(AND(F18&gt;$F$7,F18&lt;=$H$7),1,0)*$C$7*Summary!$C$7/12,0)</f>
        <v>0</v>
      </c>
      <c r="G21" s="18">
        <f>IFERROR(VLOOKUP(G18,$P$5:$Q$15,2,1)*IF(AND(G18&gt;$F$7,G18&lt;=$H$7),1,0)*$C$7*Summary!$C$7/12,0)</f>
        <v>0</v>
      </c>
      <c r="H21" s="18">
        <f>IFERROR(VLOOKUP(H18,$P$5:$Q$15,2,1)*IF(AND(H18&gt;$F$7,H18&lt;=$H$7),1,0)*$C$7*Summary!$C$7/12,0)</f>
        <v>0</v>
      </c>
      <c r="I21" s="18">
        <f>IFERROR(VLOOKUP(I18,$P$5:$Q$15,2,1)*IF(AND(I18&gt;$F$7,I18&lt;=$H$7),1,0)*$C$7*Summary!$C$7/12,0)</f>
        <v>0</v>
      </c>
      <c r="J21" s="18">
        <f>IFERROR(VLOOKUP(J18,$P$5:$Q$15,2,1)*IF(AND(J18&gt;$F$7,J18&lt;=$H$7),1,0)*$C$7*Summary!$C$7/12,0)</f>
        <v>0</v>
      </c>
      <c r="K21" s="18">
        <f>IFERROR(VLOOKUP(K18,$P$5:$Q$15,2,1)*IF(AND(K18&gt;$F$7,K18&lt;=$H$7),1,0)*$C$7*Summary!$C$7/12,0)</f>
        <v>0</v>
      </c>
      <c r="L21" s="18">
        <f>IFERROR(VLOOKUP(L18,$P$5:$Q$15,2,1)*IF(AND(L18&gt;$F$7,L18&lt;=$H$7),1,0)*$C$7*Summary!$C$7/12,0)</f>
        <v>0</v>
      </c>
      <c r="M21" s="18">
        <f>IFERROR(VLOOKUP(M18,$P$5:$Q$15,2,1)*IF(AND(M18&gt;$F$7,M18&lt;=$H$7),1,0)*$C$7*Summary!$C$7/12,0)</f>
        <v>0</v>
      </c>
      <c r="N21" s="18">
        <f>IFERROR(VLOOKUP(N18,$P$5:$Q$15,2,1)*IF(AND(N18&gt;$F$7,N18&lt;=$H$7),1,0)*$C$7*Summary!$C$7/12,0)</f>
        <v>0</v>
      </c>
      <c r="O21" s="18">
        <f>IFERROR(VLOOKUP(O18,$P$5:$Q$15,2,1)*IF(AND(O18&gt;$F$7,O18&lt;=$H$7),1,0)*$C$7*Summary!$C$7/12,0)</f>
        <v>0</v>
      </c>
      <c r="P21" s="18">
        <f>IFERROR(VLOOKUP(P18,$P$5:$Q$15,2,1)*IF(AND(P18&gt;$F$7,P18&lt;=$H$7),1,0)*$C$7*Summary!$C$7/12,0)</f>
        <v>0</v>
      </c>
      <c r="Q21" s="18">
        <f>IFERROR(VLOOKUP(Q18,$P$5:$Q$15,2,1)*IF(AND(Q18&gt;$F$7,Q18&lt;=$H$7),1,0)*$C$7*Summary!$C$7/12,0)</f>
        <v>0</v>
      </c>
      <c r="R21" s="18">
        <f>IFERROR(VLOOKUP(R18,$P$5:$Q$15,2,1)*IF(AND(R18&gt;$F$7,R18&lt;=$H$7),1,0)*$C$7*Summary!$C$7/12,0)</f>
        <v>0</v>
      </c>
      <c r="S21" s="18">
        <f>IFERROR(VLOOKUP(S18,$P$5:$Q$15,2,1)*IF(AND(S18&gt;$F$7,S18&lt;=$H$7),1,0)*$C$7*Summary!$C$7/12,0)</f>
        <v>0</v>
      </c>
      <c r="T21" s="18">
        <f>IFERROR(VLOOKUP(T18,$P$5:$Q$15,2,1)*IF(AND(T18&gt;$F$7,T18&lt;=$H$7),1,0)*$C$7*Summary!$C$7/12,0)</f>
        <v>0</v>
      </c>
      <c r="U21" s="18">
        <f>IFERROR(VLOOKUP(U18,$P$5:$Q$15,2,1)*IF(AND(U18&gt;$F$7,U18&lt;=$H$7),1,0)*$C$7*Summary!$C$7/12,0)</f>
        <v>0</v>
      </c>
      <c r="V21" s="18">
        <f>IFERROR(VLOOKUP(V18,$P$5:$Q$15,2,1)*IF(AND(V18&gt;$F$7,V18&lt;=$H$7),1,0)*$C$7*Summary!$C$7/12,0)</f>
        <v>0</v>
      </c>
      <c r="W21" s="18">
        <f>IFERROR(VLOOKUP(W18,$P$5:$Q$15,2,1)*IF(AND(W18&gt;$F$7,W18&lt;=$H$7),1,0)*$C$7*Summary!$C$7/12,0)</f>
        <v>0</v>
      </c>
      <c r="X21" s="18">
        <f>IFERROR(VLOOKUP(X18,$P$5:$Q$15,2,1)*IF(AND(X18&gt;$F$7,X18&lt;=$H$7),1,0)*$C$7*Summary!$C$7/12,0)</f>
        <v>0</v>
      </c>
      <c r="Y21" s="18">
        <f>IFERROR(VLOOKUP(Y18,$P$5:$Q$15,2,1)*IF(AND(Y18&gt;$F$7,Y18&lt;=$H$7),1,0)*$C$7*Summary!$C$7/12,0)</f>
        <v>0</v>
      </c>
      <c r="Z21" s="18">
        <f>IFERROR(VLOOKUP(Z18,$P$5:$Q$15,2,1)*IF(AND(Z18&gt;$F$7,Z18&lt;=$H$7),1,0)*$C$7*Summary!$C$7/12,0)</f>
        <v>0</v>
      </c>
      <c r="AA21" s="18">
        <f>IFERROR(VLOOKUP(AA18,$P$5:$Q$15,2,1)*IF(AND(AA18&gt;$F$7,AA18&lt;=$H$7),1,0)*$C$7*Summary!$C$7/12,0)</f>
        <v>0</v>
      </c>
      <c r="AB21" s="18">
        <f>IFERROR(VLOOKUP(AB18,$P$5:$Q$15,2,1)*IF(AND(AB18&gt;$F$7,AB18&lt;=$H$7),1,0)*$C$7*Summary!$C$7/12,0)</f>
        <v>0</v>
      </c>
      <c r="AC21" s="18">
        <f>IFERROR(VLOOKUP(AC18,$P$5:$Q$15,2,1)*IF(AND(AC18&gt;$F$7,AC18&lt;=$H$7),1,0)*$C$7*Summary!$C$7/12,0)</f>
        <v>0</v>
      </c>
      <c r="AD21" s="18">
        <f>IFERROR(VLOOKUP(AD18,$P$5:$Q$15,2,1)*IF(AND(AD18&gt;$F$7,AD18&lt;=$H$7),1,0)*$C$7*Summary!$C$7/12,0)</f>
        <v>1326125</v>
      </c>
      <c r="AE21" s="18">
        <f>IFERROR(VLOOKUP(AE18,$P$5:$Q$15,2,1)*IF(AND(AE18&gt;$F$7,AE18&lt;=$H$7),1,0)*$C$7*Summary!$C$7/12,0)</f>
        <v>1326125</v>
      </c>
      <c r="AF21" s="18">
        <f>IFERROR(VLOOKUP(AF18,$P$5:$Q$15,2,1)*IF(AND(AF18&gt;$F$7,AF18&lt;=$H$7),1,0)*$C$7*Summary!$C$7/12,0)</f>
        <v>1326125</v>
      </c>
      <c r="AG21" s="18">
        <f>IFERROR(VLOOKUP(AG18,$P$5:$Q$15,2,1)*IF(AND(AG18&gt;$F$7,AG18&lt;=$H$7),1,0)*$C$7*Summary!$C$7/12,0)</f>
        <v>1326125</v>
      </c>
      <c r="AH21" s="18">
        <f>IFERROR(VLOOKUP(AH18,$P$5:$Q$15,2,1)*IF(AND(AH18&gt;$F$7,AH18&lt;=$H$7),1,0)*$C$7*Summary!$C$7/12,0)</f>
        <v>1326125</v>
      </c>
      <c r="AI21" s="18">
        <f>IFERROR(VLOOKUP(AI18,$P$5:$Q$15,2,1)*IF(AND(AI18&gt;$F$7,AI18&lt;=$H$7),1,0)*$C$7*Summary!$C$7/12,0)</f>
        <v>1326125</v>
      </c>
      <c r="AJ21" s="18">
        <f>IFERROR(VLOOKUP(AJ18,$P$5:$Q$15,2,1)*IF(AND(AJ18&gt;$F$7,AJ18&lt;=$H$7),1,0)*$C$7*Summary!$C$7/12,0)</f>
        <v>1326125</v>
      </c>
      <c r="AK21" s="18">
        <f>IFERROR(VLOOKUP(AK18,$P$5:$Q$15,2,1)*IF(AND(AK18&gt;$F$7,AK18&lt;=$H$7),1,0)*$C$7*Summary!$C$7/12,0)</f>
        <v>1326125</v>
      </c>
      <c r="AL21" s="18">
        <f>IFERROR(VLOOKUP(AL18,$P$5:$Q$15,2,1)*IF(AND(AL18&gt;$F$7,AL18&lt;=$H$7),1,0)*$C$7*Summary!$C$7/12,0)</f>
        <v>1326125</v>
      </c>
      <c r="AM21" s="18">
        <f>IFERROR(VLOOKUP(AM18,$P$5:$Q$15,2,1)*IF(AND(AM18&gt;$F$7,AM18&lt;=$H$7),1,0)*$C$7*Summary!$C$7/12,0)</f>
        <v>1326125</v>
      </c>
      <c r="AN21" s="18">
        <f>IFERROR(VLOOKUP(AN18,$P$5:$Q$15,2,1)*IF(AND(AN18&gt;$F$7,AN18&lt;=$H$7),1,0)*$C$7*Summary!$C$7/12,0)</f>
        <v>1326125</v>
      </c>
      <c r="AO21" s="18">
        <f>IFERROR(VLOOKUP(AO18,$P$5:$Q$15,2,1)*IF(AND(AO18&gt;$F$7,AO18&lt;=$H$7),1,0)*$C$7*Summary!$C$7/12,0)</f>
        <v>1365908.75</v>
      </c>
      <c r="AP21" s="18">
        <f>IFERROR(VLOOKUP(AP18,$P$5:$Q$15,2,1)*IF(AND(AP18&gt;$F$7,AP18&lt;=$H$7),1,0)*$C$7*Summary!$C$7/12,0)</f>
        <v>1365908.75</v>
      </c>
      <c r="AQ21" s="18">
        <f>IFERROR(VLOOKUP(AQ18,$P$5:$Q$15,2,1)*IF(AND(AQ18&gt;$F$7,AQ18&lt;=$H$7),1,0)*$C$7*Summary!$C$7/12,0)</f>
        <v>1365908.75</v>
      </c>
      <c r="AR21" s="18">
        <f>IFERROR(VLOOKUP(AR18,$P$5:$Q$15,2,1)*IF(AND(AR18&gt;$F$7,AR18&lt;=$H$7),1,0)*$C$7*Summary!$C$7/12,0)</f>
        <v>1365908.75</v>
      </c>
      <c r="AS21" s="18">
        <f>IFERROR(VLOOKUP(AS18,$P$5:$Q$15,2,1)*IF(AND(AS18&gt;$F$7,AS18&lt;=$H$7),1,0)*$C$7*Summary!$C$7/12,0)</f>
        <v>1365908.75</v>
      </c>
      <c r="AT21" s="18">
        <f>IFERROR(VLOOKUP(AT18,$P$5:$Q$15,2,1)*IF(AND(AT18&gt;$F$7,AT18&lt;=$H$7),1,0)*$C$7*Summary!$C$7/12,0)</f>
        <v>1365908.75</v>
      </c>
      <c r="AU21" s="18">
        <f>IFERROR(VLOOKUP(AU18,$P$5:$Q$15,2,1)*IF(AND(AU18&gt;$F$7,AU18&lt;=$H$7),1,0)*$C$7*Summary!$C$7/12,0)</f>
        <v>1365908.75</v>
      </c>
      <c r="AV21" s="18">
        <f>IFERROR(VLOOKUP(AV18,$P$5:$Q$15,2,1)*IF(AND(AV18&gt;$F$7,AV18&lt;=$H$7),1,0)*$C$7*Summary!$C$7/12,0)</f>
        <v>1365908.75</v>
      </c>
      <c r="AW21" s="18">
        <f>IFERROR(VLOOKUP(AW18,$P$5:$Q$15,2,1)*IF(AND(AW18&gt;$F$7,AW18&lt;=$H$7),1,0)*$C$7*Summary!$C$7/12,0)</f>
        <v>1365908.75</v>
      </c>
      <c r="AX21" s="18">
        <f>IFERROR(VLOOKUP(AX18,$P$5:$Q$15,2,1)*IF(AND(AX18&gt;$F$7,AX18&lt;=$H$7),1,0)*$C$7*Summary!$C$7/12,0)</f>
        <v>1365908.75</v>
      </c>
      <c r="AY21" s="18">
        <f>IFERROR(VLOOKUP(AY18,$P$5:$Q$15,2,1)*IF(AND(AY18&gt;$F$7,AY18&lt;=$H$7),1,0)*$C$7*Summary!$C$7/12,0)</f>
        <v>1365908.75</v>
      </c>
      <c r="AZ21" s="18">
        <f>IFERROR(VLOOKUP(AZ18,$P$5:$Q$15,2,1)*IF(AND(AZ18&gt;$F$7,AZ18&lt;=$H$7),1,0)*$C$7*Summary!$C$7/12,0)</f>
        <v>1365908.75</v>
      </c>
      <c r="BA21" s="18">
        <f>IFERROR(VLOOKUP(BA18,$P$5:$Q$15,2,1)*IF(AND(BA18&gt;$F$7,BA18&lt;=$H$7),1,0)*$C$7*Summary!$C$7/12,0)</f>
        <v>1406886.0125</v>
      </c>
      <c r="BB21" s="18">
        <f>IFERROR(VLOOKUP(BB18,$P$5:$Q$15,2,1)*IF(AND(BB18&gt;$F$7,BB18&lt;=$H$7),1,0)*$C$7*Summary!$C$7/12,0)</f>
        <v>1406886.0125</v>
      </c>
      <c r="BC21" s="18">
        <f>IFERROR(VLOOKUP(BC18,$P$5:$Q$15,2,1)*IF(AND(BC18&gt;$F$7,BC18&lt;=$H$7),1,0)*$C$7*Summary!$C$7/12,0)</f>
        <v>1406886.0125</v>
      </c>
      <c r="BD21" s="18">
        <f>IFERROR(VLOOKUP(BD18,$P$5:$Q$15,2,1)*IF(AND(BD18&gt;$F$7,BD18&lt;=$H$7),1,0)*$C$7*Summary!$C$7/12,0)</f>
        <v>1406886.0125</v>
      </c>
      <c r="BE21" s="18">
        <f>IFERROR(VLOOKUP(BE18,$P$5:$Q$15,2,1)*IF(AND(BE18&gt;$F$7,BE18&lt;=$H$7),1,0)*$C$7*Summary!$C$7/12,0)</f>
        <v>1406886.0125</v>
      </c>
      <c r="BF21" s="18">
        <f>IFERROR(VLOOKUP(BF18,$P$5:$Q$15,2,1)*IF(AND(BF18&gt;$F$7,BF18&lt;=$H$7),1,0)*$C$7*Summary!$C$7/12,0)</f>
        <v>1406886.0125</v>
      </c>
      <c r="BG21" s="18">
        <f>IFERROR(VLOOKUP(BG18,$P$5:$Q$15,2,1)*IF(AND(BG18&gt;$F$7,BG18&lt;=$H$7),1,0)*$C$7*Summary!$C$7/12,0)</f>
        <v>1406886.0125</v>
      </c>
      <c r="BH21" s="18">
        <f>IFERROR(VLOOKUP(BH18,$P$5:$Q$15,2,1)*IF(AND(BH18&gt;$F$7,BH18&lt;=$H$7),1,0)*$C$7*Summary!$C$7/12,0)</f>
        <v>1406886.0125</v>
      </c>
      <c r="BI21" s="18">
        <f>IFERROR(VLOOKUP(BI18,$P$5:$Q$15,2,1)*IF(AND(BI18&gt;$F$7,BI18&lt;=$H$7),1,0)*$C$7*Summary!$C$7/12,0)</f>
        <v>1406886.0125</v>
      </c>
      <c r="BJ21" s="18">
        <f>IFERROR(VLOOKUP(BJ18,$P$5:$Q$15,2,1)*IF(AND(BJ18&gt;$F$7,BJ18&lt;=$H$7),1,0)*$C$7*Summary!$C$7/12,0)</f>
        <v>1406886.0125</v>
      </c>
      <c r="BK21" s="18">
        <f>IFERROR(VLOOKUP(BK18,$P$5:$Q$15,2,1)*IF(AND(BK18&gt;$F$7,BK18&lt;=$H$7),1,0)*$C$7*Summary!$C$7/12,0)</f>
        <v>1406886.0125</v>
      </c>
      <c r="BL21" s="18">
        <f>IFERROR(VLOOKUP(BL18,$P$5:$Q$15,2,1)*IF(AND(BL18&gt;$F$7,BL18&lt;=$H$7),1,0)*$C$7*Summary!$C$7/12,0)</f>
        <v>1406886.0125</v>
      </c>
      <c r="BM21" s="18">
        <f>IFERROR(VLOOKUP(BM18,$P$5:$Q$15,2,1)*IF(AND(BM18&gt;$F$7,BM18&lt;=$H$7),1,0)*$C$7*Summary!$C$7/12,0)</f>
        <v>1449092.5928750001</v>
      </c>
      <c r="BN21" s="18">
        <f>IFERROR(VLOOKUP(BN18,$P$5:$Q$15,2,1)*IF(AND(BN18&gt;$F$7,BN18&lt;=$H$7),1,0)*$C$7*Summary!$C$7/12,0)</f>
        <v>1449092.5928750001</v>
      </c>
      <c r="BO21" s="18">
        <f>IFERROR(VLOOKUP(BO18,$P$5:$Q$15,2,1)*IF(AND(BO18&gt;$F$7,BO18&lt;=$H$7),1,0)*$C$7*Summary!$C$7/12,0)</f>
        <v>1449092.5928750001</v>
      </c>
      <c r="BP21" s="18">
        <f>IFERROR(VLOOKUP(BP18,$P$5:$Q$15,2,1)*IF(AND(BP18&gt;$F$7,BP18&lt;=$H$7),1,0)*$C$7*Summary!$C$7/12,0)</f>
        <v>1449092.5928750001</v>
      </c>
      <c r="BQ21" s="18">
        <f>IFERROR(VLOOKUP(BQ18,$P$5:$Q$15,2,1)*IF(AND(BQ18&gt;$F$7,BQ18&lt;=$H$7),1,0)*$C$7*Summary!$C$7/12,0)</f>
        <v>1449092.5928750001</v>
      </c>
      <c r="BR21" s="18">
        <f>IFERROR(VLOOKUP(BR18,$P$5:$Q$15,2,1)*IF(AND(BR18&gt;$F$7,BR18&lt;=$H$7),1,0)*$C$7*Summary!$C$7/12,0)</f>
        <v>1449092.5928750001</v>
      </c>
      <c r="BS21" s="18">
        <f>IFERROR(VLOOKUP(BS18,$P$5:$Q$15,2,1)*IF(AND(BS18&gt;$F$7,BS18&lt;=$H$7),1,0)*$C$7*Summary!$C$7/12,0)</f>
        <v>1449092.5928750001</v>
      </c>
      <c r="BT21" s="18">
        <f>IFERROR(VLOOKUP(BT18,$P$5:$Q$15,2,1)*IF(AND(BT18&gt;$F$7,BT18&lt;=$H$7),1,0)*$C$7*Summary!$C$7/12,0)</f>
        <v>1449092.5928750001</v>
      </c>
      <c r="BU21" s="18">
        <f>IFERROR(VLOOKUP(BU18,$P$5:$Q$15,2,1)*IF(AND(BU18&gt;$F$7,BU18&lt;=$H$7),1,0)*$C$7*Summary!$C$7/12,0)</f>
        <v>1449092.5928750001</v>
      </c>
      <c r="BV21" s="18">
        <f>IFERROR(VLOOKUP(BV18,$P$5:$Q$15,2,1)*IF(AND(BV18&gt;$F$7,BV18&lt;=$H$7),1,0)*$C$7*Summary!$C$7/12,0)</f>
        <v>1449092.5928750001</v>
      </c>
      <c r="BW21" s="18">
        <f>IFERROR(VLOOKUP(BW18,$P$5:$Q$15,2,1)*IF(AND(BW18&gt;$F$7,BW18&lt;=$H$7),1,0)*$C$7*Summary!$C$7/12,0)</f>
        <v>1449092.5928750001</v>
      </c>
    </row>
    <row r="22" spans="2:82" x14ac:dyDescent="0.2">
      <c r="B22" s="16" t="s">
        <v>26</v>
      </c>
      <c r="C22" s="19"/>
      <c r="D22" s="19">
        <f t="shared" ref="D22:BO22" si="9">SUM(D20:D21)</f>
        <v>884339.99999999988</v>
      </c>
      <c r="E22" s="19">
        <f t="shared" si="9"/>
        <v>884339.99999999988</v>
      </c>
      <c r="F22" s="19">
        <f t="shared" si="9"/>
        <v>884339.99999999988</v>
      </c>
      <c r="G22" s="19">
        <f t="shared" si="9"/>
        <v>884339.99999999988</v>
      </c>
      <c r="H22" s="19">
        <f t="shared" si="9"/>
        <v>884339.99999999988</v>
      </c>
      <c r="I22" s="19">
        <f t="shared" si="9"/>
        <v>884339.99999999988</v>
      </c>
      <c r="J22" s="19">
        <f t="shared" si="9"/>
        <v>884339.99999999988</v>
      </c>
      <c r="K22" s="19">
        <f t="shared" si="9"/>
        <v>902026.79999999993</v>
      </c>
      <c r="L22" s="19">
        <f t="shared" si="9"/>
        <v>902026.79999999993</v>
      </c>
      <c r="M22" s="19">
        <f t="shared" si="9"/>
        <v>902026.79999999993</v>
      </c>
      <c r="N22" s="19">
        <f t="shared" si="9"/>
        <v>902026.79999999993</v>
      </c>
      <c r="O22" s="19">
        <f t="shared" si="9"/>
        <v>902026.79999999993</v>
      </c>
      <c r="P22" s="19">
        <f t="shared" si="9"/>
        <v>902026.79999999993</v>
      </c>
      <c r="Q22" s="19">
        <f t="shared" si="9"/>
        <v>902026.79999999993</v>
      </c>
      <c r="R22" s="19">
        <f t="shared" si="9"/>
        <v>902026.79999999993</v>
      </c>
      <c r="S22" s="19">
        <f t="shared" si="9"/>
        <v>902026.79999999993</v>
      </c>
      <c r="T22" s="19">
        <f t="shared" si="9"/>
        <v>902026.79999999993</v>
      </c>
      <c r="U22" s="19">
        <f t="shared" si="9"/>
        <v>902026.79999999993</v>
      </c>
      <c r="V22" s="19">
        <f t="shared" si="9"/>
        <v>902026.79999999993</v>
      </c>
      <c r="W22" s="19">
        <f t="shared" si="9"/>
        <v>920067.33600000013</v>
      </c>
      <c r="X22" s="19">
        <f t="shared" si="9"/>
        <v>0</v>
      </c>
      <c r="Y22" s="19">
        <f t="shared" si="9"/>
        <v>0</v>
      </c>
      <c r="Z22" s="19">
        <f t="shared" si="9"/>
        <v>0</v>
      </c>
      <c r="AA22" s="19">
        <f t="shared" si="9"/>
        <v>0</v>
      </c>
      <c r="AB22" s="19">
        <f t="shared" si="9"/>
        <v>0</v>
      </c>
      <c r="AC22" s="19">
        <f t="shared" si="9"/>
        <v>0</v>
      </c>
      <c r="AD22" s="19">
        <f t="shared" si="9"/>
        <v>1326125</v>
      </c>
      <c r="AE22" s="19">
        <f t="shared" si="9"/>
        <v>1326125</v>
      </c>
      <c r="AF22" s="19">
        <f t="shared" si="9"/>
        <v>1326125</v>
      </c>
      <c r="AG22" s="19">
        <f t="shared" si="9"/>
        <v>1326125</v>
      </c>
      <c r="AH22" s="19">
        <f t="shared" si="9"/>
        <v>1326125</v>
      </c>
      <c r="AI22" s="19">
        <f t="shared" si="9"/>
        <v>1326125</v>
      </c>
      <c r="AJ22" s="19">
        <f t="shared" si="9"/>
        <v>1326125</v>
      </c>
      <c r="AK22" s="19">
        <f t="shared" si="9"/>
        <v>1326125</v>
      </c>
      <c r="AL22" s="19">
        <f t="shared" si="9"/>
        <v>1326125</v>
      </c>
      <c r="AM22" s="19">
        <f t="shared" si="9"/>
        <v>1326125</v>
      </c>
      <c r="AN22" s="19">
        <f t="shared" si="9"/>
        <v>1326125</v>
      </c>
      <c r="AO22" s="19">
        <f t="shared" si="9"/>
        <v>1365908.75</v>
      </c>
      <c r="AP22" s="19">
        <f t="shared" si="9"/>
        <v>1365908.75</v>
      </c>
      <c r="AQ22" s="19">
        <f t="shared" si="9"/>
        <v>1365908.75</v>
      </c>
      <c r="AR22" s="19">
        <f t="shared" si="9"/>
        <v>1365908.75</v>
      </c>
      <c r="AS22" s="19">
        <f t="shared" si="9"/>
        <v>1365908.75</v>
      </c>
      <c r="AT22" s="19">
        <f t="shared" si="9"/>
        <v>1365908.75</v>
      </c>
      <c r="AU22" s="19">
        <f t="shared" si="9"/>
        <v>1365908.75</v>
      </c>
      <c r="AV22" s="19">
        <f t="shared" si="9"/>
        <v>1365908.75</v>
      </c>
      <c r="AW22" s="19">
        <f t="shared" si="9"/>
        <v>1365908.75</v>
      </c>
      <c r="AX22" s="19">
        <f t="shared" si="9"/>
        <v>1365908.75</v>
      </c>
      <c r="AY22" s="19">
        <f t="shared" si="9"/>
        <v>1365908.75</v>
      </c>
      <c r="AZ22" s="19">
        <f t="shared" si="9"/>
        <v>1365908.75</v>
      </c>
      <c r="BA22" s="19">
        <f t="shared" si="9"/>
        <v>1406886.0125</v>
      </c>
      <c r="BB22" s="19">
        <f t="shared" si="9"/>
        <v>1406886.0125</v>
      </c>
      <c r="BC22" s="19">
        <f t="shared" si="9"/>
        <v>1406886.0125</v>
      </c>
      <c r="BD22" s="19">
        <f t="shared" si="9"/>
        <v>1406886.0125</v>
      </c>
      <c r="BE22" s="19">
        <f t="shared" si="9"/>
        <v>1406886.0125</v>
      </c>
      <c r="BF22" s="19">
        <f t="shared" si="9"/>
        <v>1406886.0125</v>
      </c>
      <c r="BG22" s="19">
        <f t="shared" si="9"/>
        <v>1406886.0125</v>
      </c>
      <c r="BH22" s="19">
        <f t="shared" si="9"/>
        <v>1406886.0125</v>
      </c>
      <c r="BI22" s="19">
        <f t="shared" si="9"/>
        <v>1406886.0125</v>
      </c>
      <c r="BJ22" s="19">
        <f t="shared" si="9"/>
        <v>1406886.0125</v>
      </c>
      <c r="BK22" s="19">
        <f t="shared" si="9"/>
        <v>1406886.0125</v>
      </c>
      <c r="BL22" s="19">
        <f t="shared" si="9"/>
        <v>1406886.0125</v>
      </c>
      <c r="BM22" s="19">
        <f t="shared" si="9"/>
        <v>1449092.5928750001</v>
      </c>
      <c r="BN22" s="19">
        <f t="shared" si="9"/>
        <v>1449092.5928750001</v>
      </c>
      <c r="BO22" s="19">
        <f t="shared" si="9"/>
        <v>1449092.5928750001</v>
      </c>
      <c r="BP22" s="19">
        <f t="shared" ref="BP22:BW22" si="10">SUM(BP20:BP21)</f>
        <v>1449092.5928750001</v>
      </c>
      <c r="BQ22" s="19">
        <f t="shared" si="10"/>
        <v>1449092.5928750001</v>
      </c>
      <c r="BR22" s="19">
        <f t="shared" si="10"/>
        <v>1449092.5928750001</v>
      </c>
      <c r="BS22" s="19">
        <f t="shared" si="10"/>
        <v>1449092.5928750001</v>
      </c>
      <c r="BT22" s="19">
        <f t="shared" si="10"/>
        <v>1449092.5928750001</v>
      </c>
      <c r="BU22" s="19">
        <f t="shared" si="10"/>
        <v>1449092.5928750001</v>
      </c>
      <c r="BV22" s="19">
        <f t="shared" si="10"/>
        <v>1449092.5928750001</v>
      </c>
      <c r="BW22" s="19">
        <f t="shared" si="10"/>
        <v>1449092.5928750001</v>
      </c>
    </row>
    <row r="23" spans="2:82" x14ac:dyDescent="0.2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</row>
    <row r="24" spans="2:82" x14ac:dyDescent="0.2">
      <c r="B24" s="2" t="s">
        <v>20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</row>
    <row r="25" spans="2:82" x14ac:dyDescent="0.2">
      <c r="B25" t="s">
        <v>11</v>
      </c>
      <c r="C25" s="18"/>
      <c r="D25" s="18">
        <f>IF(AND(D18&gt;$F$7,D18&lt;=(EOMONTH($F$7,$I$7))),-D21,0)</f>
        <v>0</v>
      </c>
      <c r="E25" s="18">
        <f t="shared" ref="E25:BO25" si="11">IF(AND(E18&gt;$F$7,E18&lt;=(EOMONTH($F$7,$I$7))),-E21,0)</f>
        <v>0</v>
      </c>
      <c r="F25" s="18">
        <f t="shared" si="11"/>
        <v>0</v>
      </c>
      <c r="G25" s="18">
        <f t="shared" si="11"/>
        <v>0</v>
      </c>
      <c r="H25" s="18">
        <f t="shared" si="11"/>
        <v>0</v>
      </c>
      <c r="I25" s="18">
        <f t="shared" si="11"/>
        <v>0</v>
      </c>
      <c r="J25" s="18">
        <f t="shared" si="11"/>
        <v>0</v>
      </c>
      <c r="K25" s="18">
        <f t="shared" si="11"/>
        <v>0</v>
      </c>
      <c r="L25" s="18">
        <f t="shared" si="11"/>
        <v>0</v>
      </c>
      <c r="M25" s="18">
        <f t="shared" si="11"/>
        <v>0</v>
      </c>
      <c r="N25" s="18">
        <f t="shared" si="11"/>
        <v>0</v>
      </c>
      <c r="O25" s="18">
        <f t="shared" si="11"/>
        <v>0</v>
      </c>
      <c r="P25" s="18">
        <f t="shared" si="11"/>
        <v>0</v>
      </c>
      <c r="Q25" s="18">
        <f t="shared" si="11"/>
        <v>0</v>
      </c>
      <c r="R25" s="18">
        <f t="shared" si="11"/>
        <v>0</v>
      </c>
      <c r="S25" s="18">
        <f t="shared" si="11"/>
        <v>0</v>
      </c>
      <c r="T25" s="18">
        <f t="shared" si="11"/>
        <v>0</v>
      </c>
      <c r="U25" s="18">
        <f t="shared" si="11"/>
        <v>0</v>
      </c>
      <c r="V25" s="18">
        <f t="shared" si="11"/>
        <v>0</v>
      </c>
      <c r="W25" s="18">
        <f t="shared" si="11"/>
        <v>0</v>
      </c>
      <c r="X25" s="18">
        <f t="shared" si="11"/>
        <v>0</v>
      </c>
      <c r="Y25" s="18">
        <f t="shared" si="11"/>
        <v>0</v>
      </c>
      <c r="Z25" s="18">
        <f t="shared" si="11"/>
        <v>0</v>
      </c>
      <c r="AA25" s="18">
        <f t="shared" si="11"/>
        <v>0</v>
      </c>
      <c r="AB25" s="18">
        <f t="shared" si="11"/>
        <v>0</v>
      </c>
      <c r="AC25" s="18">
        <f t="shared" si="11"/>
        <v>0</v>
      </c>
      <c r="AD25" s="18">
        <f t="shared" si="11"/>
        <v>-1326125</v>
      </c>
      <c r="AE25" s="18">
        <f t="shared" si="11"/>
        <v>-1326125</v>
      </c>
      <c r="AF25" s="18">
        <f t="shared" si="11"/>
        <v>-1326125</v>
      </c>
      <c r="AG25" s="18">
        <f t="shared" si="11"/>
        <v>-1326125</v>
      </c>
      <c r="AH25" s="18">
        <f t="shared" si="11"/>
        <v>-1326125</v>
      </c>
      <c r="AI25" s="18">
        <f t="shared" si="11"/>
        <v>-1326125</v>
      </c>
      <c r="AJ25" s="18">
        <f t="shared" si="11"/>
        <v>0</v>
      </c>
      <c r="AK25" s="18">
        <f t="shared" si="11"/>
        <v>0</v>
      </c>
      <c r="AL25" s="18">
        <f t="shared" si="11"/>
        <v>0</v>
      </c>
      <c r="AM25" s="18">
        <f t="shared" si="11"/>
        <v>0</v>
      </c>
      <c r="AN25" s="18">
        <f t="shared" si="11"/>
        <v>0</v>
      </c>
      <c r="AO25" s="18">
        <f t="shared" si="11"/>
        <v>0</v>
      </c>
      <c r="AP25" s="18">
        <f t="shared" si="11"/>
        <v>0</v>
      </c>
      <c r="AQ25" s="18">
        <f t="shared" si="11"/>
        <v>0</v>
      </c>
      <c r="AR25" s="18">
        <f t="shared" si="11"/>
        <v>0</v>
      </c>
      <c r="AS25" s="18">
        <f t="shared" si="11"/>
        <v>0</v>
      </c>
      <c r="AT25" s="18">
        <f t="shared" si="11"/>
        <v>0</v>
      </c>
      <c r="AU25" s="18">
        <f t="shared" si="11"/>
        <v>0</v>
      </c>
      <c r="AV25" s="18">
        <f t="shared" si="11"/>
        <v>0</v>
      </c>
      <c r="AW25" s="18">
        <f t="shared" si="11"/>
        <v>0</v>
      </c>
      <c r="AX25" s="18">
        <f t="shared" si="11"/>
        <v>0</v>
      </c>
      <c r="AY25" s="18">
        <f t="shared" si="11"/>
        <v>0</v>
      </c>
      <c r="AZ25" s="18">
        <f t="shared" si="11"/>
        <v>0</v>
      </c>
      <c r="BA25" s="18">
        <f t="shared" si="11"/>
        <v>0</v>
      </c>
      <c r="BB25" s="18">
        <f t="shared" si="11"/>
        <v>0</v>
      </c>
      <c r="BC25" s="18">
        <f t="shared" si="11"/>
        <v>0</v>
      </c>
      <c r="BD25" s="18">
        <f t="shared" si="11"/>
        <v>0</v>
      </c>
      <c r="BE25" s="18">
        <f t="shared" si="11"/>
        <v>0</v>
      </c>
      <c r="BF25" s="18">
        <f t="shared" si="11"/>
        <v>0</v>
      </c>
      <c r="BG25" s="18">
        <f t="shared" si="11"/>
        <v>0</v>
      </c>
      <c r="BH25" s="18">
        <f t="shared" si="11"/>
        <v>0</v>
      </c>
      <c r="BI25" s="18">
        <f t="shared" si="11"/>
        <v>0</v>
      </c>
      <c r="BJ25" s="18">
        <f t="shared" si="11"/>
        <v>0</v>
      </c>
      <c r="BK25" s="18">
        <f t="shared" si="11"/>
        <v>0</v>
      </c>
      <c r="BL25" s="18">
        <f t="shared" si="11"/>
        <v>0</v>
      </c>
      <c r="BM25" s="18">
        <f t="shared" si="11"/>
        <v>0</v>
      </c>
      <c r="BN25" s="18">
        <f t="shared" si="11"/>
        <v>0</v>
      </c>
      <c r="BO25" s="18">
        <f t="shared" si="11"/>
        <v>0</v>
      </c>
      <c r="BP25" s="18">
        <f t="shared" ref="BP25:BW25" si="12">IF(AND(BP18&gt;$F$7,BP18&lt;=(EOMONTH($F$7,$I$7))),-BP21,0)</f>
        <v>0</v>
      </c>
      <c r="BQ25" s="18">
        <f t="shared" si="12"/>
        <v>0</v>
      </c>
      <c r="BR25" s="18">
        <f t="shared" si="12"/>
        <v>0</v>
      </c>
      <c r="BS25" s="18">
        <f t="shared" si="12"/>
        <v>0</v>
      </c>
      <c r="BT25" s="18">
        <f t="shared" si="12"/>
        <v>0</v>
      </c>
      <c r="BU25" s="18">
        <f t="shared" si="12"/>
        <v>0</v>
      </c>
      <c r="BV25" s="18">
        <f t="shared" si="12"/>
        <v>0</v>
      </c>
      <c r="BW25" s="18">
        <f t="shared" si="12"/>
        <v>0</v>
      </c>
    </row>
    <row r="26" spans="2:82" x14ac:dyDescent="0.2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</row>
    <row r="27" spans="2:82" x14ac:dyDescent="0.2">
      <c r="B27" s="2" t="s">
        <v>27</v>
      </c>
      <c r="C27" s="18"/>
      <c r="D27" s="18">
        <f>-$C$10*(D22+D25)</f>
        <v>-44217</v>
      </c>
      <c r="E27" s="18">
        <f t="shared" ref="E27:BP27" si="13">-$C$10*(E22+E25)</f>
        <v>-44217</v>
      </c>
      <c r="F27" s="18">
        <f t="shared" si="13"/>
        <v>-44217</v>
      </c>
      <c r="G27" s="18">
        <f t="shared" si="13"/>
        <v>-44217</v>
      </c>
      <c r="H27" s="18">
        <f t="shared" si="13"/>
        <v>-44217</v>
      </c>
      <c r="I27" s="18">
        <f t="shared" si="13"/>
        <v>-44217</v>
      </c>
      <c r="J27" s="18">
        <f t="shared" si="13"/>
        <v>-44217</v>
      </c>
      <c r="K27" s="18">
        <f t="shared" si="13"/>
        <v>-45101.34</v>
      </c>
      <c r="L27" s="18">
        <f t="shared" si="13"/>
        <v>-45101.34</v>
      </c>
      <c r="M27" s="18">
        <f t="shared" si="13"/>
        <v>-45101.34</v>
      </c>
      <c r="N27" s="18">
        <f t="shared" si="13"/>
        <v>-45101.34</v>
      </c>
      <c r="O27" s="18">
        <f t="shared" si="13"/>
        <v>-45101.34</v>
      </c>
      <c r="P27" s="18">
        <f t="shared" si="13"/>
        <v>-45101.34</v>
      </c>
      <c r="Q27" s="18">
        <f t="shared" si="13"/>
        <v>-45101.34</v>
      </c>
      <c r="R27" s="18">
        <f t="shared" si="13"/>
        <v>-45101.34</v>
      </c>
      <c r="S27" s="18">
        <f t="shared" si="13"/>
        <v>-45101.34</v>
      </c>
      <c r="T27" s="18">
        <f t="shared" si="13"/>
        <v>-45101.34</v>
      </c>
      <c r="U27" s="18">
        <f t="shared" si="13"/>
        <v>-45101.34</v>
      </c>
      <c r="V27" s="18">
        <f t="shared" si="13"/>
        <v>-45101.34</v>
      </c>
      <c r="W27" s="18">
        <f t="shared" si="13"/>
        <v>-46003.366800000011</v>
      </c>
      <c r="X27" s="18">
        <f t="shared" si="13"/>
        <v>0</v>
      </c>
      <c r="Y27" s="18">
        <f t="shared" si="13"/>
        <v>0</v>
      </c>
      <c r="Z27" s="18">
        <f t="shared" si="13"/>
        <v>0</v>
      </c>
      <c r="AA27" s="18">
        <f t="shared" si="13"/>
        <v>0</v>
      </c>
      <c r="AB27" s="18">
        <f t="shared" si="13"/>
        <v>0</v>
      </c>
      <c r="AC27" s="18">
        <f t="shared" si="13"/>
        <v>0</v>
      </c>
      <c r="AD27" s="18">
        <f t="shared" si="13"/>
        <v>0</v>
      </c>
      <c r="AE27" s="18">
        <f t="shared" si="13"/>
        <v>0</v>
      </c>
      <c r="AF27" s="18">
        <f t="shared" si="13"/>
        <v>0</v>
      </c>
      <c r="AG27" s="18">
        <f t="shared" si="13"/>
        <v>0</v>
      </c>
      <c r="AH27" s="18">
        <f t="shared" si="13"/>
        <v>0</v>
      </c>
      <c r="AI27" s="18">
        <f t="shared" si="13"/>
        <v>0</v>
      </c>
      <c r="AJ27" s="18">
        <f t="shared" si="13"/>
        <v>-66306.25</v>
      </c>
      <c r="AK27" s="18">
        <f t="shared" si="13"/>
        <v>-66306.25</v>
      </c>
      <c r="AL27" s="18">
        <f t="shared" si="13"/>
        <v>-66306.25</v>
      </c>
      <c r="AM27" s="18">
        <f t="shared" si="13"/>
        <v>-66306.25</v>
      </c>
      <c r="AN27" s="18">
        <f t="shared" si="13"/>
        <v>-66306.25</v>
      </c>
      <c r="AO27" s="18">
        <f t="shared" si="13"/>
        <v>-68295.4375</v>
      </c>
      <c r="AP27" s="18">
        <f t="shared" si="13"/>
        <v>-68295.4375</v>
      </c>
      <c r="AQ27" s="18">
        <f t="shared" si="13"/>
        <v>-68295.4375</v>
      </c>
      <c r="AR27" s="18">
        <f t="shared" si="13"/>
        <v>-68295.4375</v>
      </c>
      <c r="AS27" s="18">
        <f t="shared" si="13"/>
        <v>-68295.4375</v>
      </c>
      <c r="AT27" s="18">
        <f t="shared" si="13"/>
        <v>-68295.4375</v>
      </c>
      <c r="AU27" s="18">
        <f t="shared" si="13"/>
        <v>-68295.4375</v>
      </c>
      <c r="AV27" s="18">
        <f t="shared" si="13"/>
        <v>-68295.4375</v>
      </c>
      <c r="AW27" s="18">
        <f t="shared" si="13"/>
        <v>-68295.4375</v>
      </c>
      <c r="AX27" s="18">
        <f t="shared" si="13"/>
        <v>-68295.4375</v>
      </c>
      <c r="AY27" s="18">
        <f t="shared" si="13"/>
        <v>-68295.4375</v>
      </c>
      <c r="AZ27" s="18">
        <f t="shared" si="13"/>
        <v>-68295.4375</v>
      </c>
      <c r="BA27" s="18">
        <f t="shared" si="13"/>
        <v>-70344.300625000003</v>
      </c>
      <c r="BB27" s="18">
        <f t="shared" si="13"/>
        <v>-70344.300625000003</v>
      </c>
      <c r="BC27" s="18">
        <f t="shared" si="13"/>
        <v>-70344.300625000003</v>
      </c>
      <c r="BD27" s="18">
        <f t="shared" si="13"/>
        <v>-70344.300625000003</v>
      </c>
      <c r="BE27" s="18">
        <f t="shared" si="13"/>
        <v>-70344.300625000003</v>
      </c>
      <c r="BF27" s="18">
        <f t="shared" si="13"/>
        <v>-70344.300625000003</v>
      </c>
      <c r="BG27" s="18">
        <f t="shared" si="13"/>
        <v>-70344.300625000003</v>
      </c>
      <c r="BH27" s="18">
        <f t="shared" si="13"/>
        <v>-70344.300625000003</v>
      </c>
      <c r="BI27" s="18">
        <f t="shared" si="13"/>
        <v>-70344.300625000003</v>
      </c>
      <c r="BJ27" s="18">
        <f t="shared" si="13"/>
        <v>-70344.300625000003</v>
      </c>
      <c r="BK27" s="18">
        <f t="shared" si="13"/>
        <v>-70344.300625000003</v>
      </c>
      <c r="BL27" s="18">
        <f t="shared" si="13"/>
        <v>-70344.300625000003</v>
      </c>
      <c r="BM27" s="18">
        <f t="shared" si="13"/>
        <v>-72454.629643750013</v>
      </c>
      <c r="BN27" s="18">
        <f t="shared" si="13"/>
        <v>-72454.629643750013</v>
      </c>
      <c r="BO27" s="18">
        <f t="shared" si="13"/>
        <v>-72454.629643750013</v>
      </c>
      <c r="BP27" s="18">
        <f t="shared" si="13"/>
        <v>-72454.629643750013</v>
      </c>
      <c r="BQ27" s="18">
        <f t="shared" ref="BQ27:BW27" si="14">-$C$10*(BQ22+BQ25)</f>
        <v>-72454.629643750013</v>
      </c>
      <c r="BR27" s="18">
        <f t="shared" si="14"/>
        <v>-72454.629643750013</v>
      </c>
      <c r="BS27" s="18">
        <f t="shared" si="14"/>
        <v>-72454.629643750013</v>
      </c>
      <c r="BT27" s="18">
        <f t="shared" si="14"/>
        <v>-72454.629643750013</v>
      </c>
      <c r="BU27" s="18">
        <f t="shared" si="14"/>
        <v>-72454.629643750013</v>
      </c>
      <c r="BV27" s="18">
        <f t="shared" si="14"/>
        <v>-72454.629643750013</v>
      </c>
      <c r="BW27" s="18">
        <f t="shared" si="14"/>
        <v>-72454.629643750013</v>
      </c>
    </row>
    <row r="28" spans="2:82" x14ac:dyDescent="0.2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</row>
    <row r="29" spans="2:82" x14ac:dyDescent="0.2">
      <c r="B29" s="2" t="s">
        <v>18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</row>
    <row r="30" spans="2:82" x14ac:dyDescent="0.2">
      <c r="B30" t="s">
        <v>11</v>
      </c>
      <c r="C30" s="18"/>
      <c r="D30" s="18">
        <f>IF(D18=$F$7,-$J$7*Summary!$C$7,0)</f>
        <v>0</v>
      </c>
      <c r="E30" s="18">
        <f>IF(E18=$F$7,-$J$7*Summary!$C$7,0)</f>
        <v>0</v>
      </c>
      <c r="F30" s="18">
        <f>IF(F18=$F$7,-$J$7*Summary!$C$7,0)</f>
        <v>0</v>
      </c>
      <c r="G30" s="18">
        <f>IF(G18=$F$7,-$J$7*Summary!$C$7,0)</f>
        <v>0</v>
      </c>
      <c r="H30" s="18">
        <f>IF(H18=$F$7,-$J$7*Summary!$C$7,0)</f>
        <v>0</v>
      </c>
      <c r="I30" s="18">
        <f>IF(I18=$F$7,-$J$7*Summary!$C$7,0)</f>
        <v>0</v>
      </c>
      <c r="J30" s="18">
        <f>IF(J18=$F$7,-$J$7*Summary!$C$7,0)</f>
        <v>0</v>
      </c>
      <c r="K30" s="18">
        <f>IF(K18=$F$7,-$J$7*Summary!$C$7,0)</f>
        <v>0</v>
      </c>
      <c r="L30" s="18">
        <f>IF(L18=$F$7,-$J$7*Summary!$C$7,0)</f>
        <v>0</v>
      </c>
      <c r="M30" s="18">
        <f>IF(M18=$F$7,-$J$7*Summary!$C$7,0)</f>
        <v>0</v>
      </c>
      <c r="N30" s="18">
        <f>IF(N18=$F$7,-$J$7*Summary!$C$7,0)</f>
        <v>0</v>
      </c>
      <c r="O30" s="18">
        <f>IF(O18=$F$7,-$J$7*Summary!$C$7,0)</f>
        <v>0</v>
      </c>
      <c r="P30" s="18">
        <f>IF(P18=$F$7,-$J$7*Summary!$C$7,0)</f>
        <v>0</v>
      </c>
      <c r="Q30" s="18">
        <f>IF(Q18=$F$7,-$J$7*Summary!$C$7,0)</f>
        <v>0</v>
      </c>
      <c r="R30" s="18">
        <f>IF(R18=$F$7,-$J$7*Summary!$C$7,0)</f>
        <v>0</v>
      </c>
      <c r="S30" s="18">
        <f>IF(S18=$F$7,-$J$7*Summary!$C$7,0)</f>
        <v>0</v>
      </c>
      <c r="T30" s="18">
        <f>IF(T18=$F$7,-$J$7*Summary!$C$7,0)</f>
        <v>0</v>
      </c>
      <c r="U30" s="18">
        <f>IF(U18=$F$7,-$J$7*Summary!$C$7,0)</f>
        <v>0</v>
      </c>
      <c r="V30" s="18">
        <f>IF(V18=$F$7,-$J$7*Summary!$C$7,0)</f>
        <v>0</v>
      </c>
      <c r="W30" s="18">
        <f>IF(W18=$F$7,-$J$7*Summary!$C$7,0)</f>
        <v>0</v>
      </c>
      <c r="X30" s="18">
        <f>IF(X18=$F$7,-$J$7*Summary!$C$7,0)</f>
        <v>0</v>
      </c>
      <c r="Y30" s="18">
        <f>IF(Y18=$F$7,-$J$7*Summary!$C$7,0)</f>
        <v>0</v>
      </c>
      <c r="Z30" s="18">
        <f>IF(Z18=$F$7,-$J$7*Summary!$C$7,0)</f>
        <v>0</v>
      </c>
      <c r="AA30" s="18">
        <f>IF(AA18=$F$7,-$J$7*Summary!$C$7,0)</f>
        <v>0</v>
      </c>
      <c r="AB30" s="18">
        <f>IF(AB18=$F$7,-$J$7*Summary!$C$7,0)</f>
        <v>0</v>
      </c>
      <c r="AC30" s="18">
        <f>IF(AC18=$F$7,-$J$7*Summary!$C$7,0)</f>
        <v>-10000000</v>
      </c>
      <c r="AD30" s="18">
        <f>IF(AD18=$F$7,-$J$7*Summary!$C$7,0)</f>
        <v>0</v>
      </c>
      <c r="AE30" s="18">
        <f>IF(AE18=$F$7,-$J$7*Summary!$C$7,0)</f>
        <v>0</v>
      </c>
      <c r="AF30" s="18">
        <f>IF(AF18=$F$7,-$J$7*Summary!$C$7,0)</f>
        <v>0</v>
      </c>
      <c r="AG30" s="18">
        <f>IF(AG18=$F$7,-$J$7*Summary!$C$7,0)</f>
        <v>0</v>
      </c>
      <c r="AH30" s="18">
        <f>IF(AH18=$F$7,-$J$7*Summary!$C$7,0)</f>
        <v>0</v>
      </c>
      <c r="AI30" s="18">
        <f>IF(AI18=$F$7,-$J$7*Summary!$C$7,0)</f>
        <v>0</v>
      </c>
      <c r="AJ30" s="18">
        <f>IF(AJ18=$F$7,-$J$7*Summary!$C$7,0)</f>
        <v>0</v>
      </c>
      <c r="AK30" s="18">
        <f>IF(AK18=$F$7,-$J$7*Summary!$C$7,0)</f>
        <v>0</v>
      </c>
      <c r="AL30" s="18">
        <f>IF(AL18=$F$7,-$J$7*Summary!$C$7,0)</f>
        <v>0</v>
      </c>
      <c r="AM30" s="18">
        <f>IF(AM18=$F$7,-$J$7*Summary!$C$7,0)</f>
        <v>0</v>
      </c>
      <c r="AN30" s="18">
        <f>IF(AN18=$F$7,-$J$7*Summary!$C$7,0)</f>
        <v>0</v>
      </c>
      <c r="AO30" s="18">
        <f>IF(AO18=$F$7,-$J$7*Summary!$C$7,0)</f>
        <v>0</v>
      </c>
      <c r="AP30" s="18">
        <f>IF(AP18=$F$7,-$J$7*Summary!$C$7,0)</f>
        <v>0</v>
      </c>
      <c r="AQ30" s="18">
        <f>IF(AQ18=$F$7,-$J$7*Summary!$C$7,0)</f>
        <v>0</v>
      </c>
      <c r="AR30" s="18">
        <f>IF(AR18=$F$7,-$J$7*Summary!$C$7,0)</f>
        <v>0</v>
      </c>
      <c r="AS30" s="18">
        <f>IF(AS18=$F$7,-$J$7*Summary!$C$7,0)</f>
        <v>0</v>
      </c>
      <c r="AT30" s="18">
        <f>IF(AT18=$F$7,-$J$7*Summary!$C$7,0)</f>
        <v>0</v>
      </c>
      <c r="AU30" s="18">
        <f>IF(AU18=$F$7,-$J$7*Summary!$C$7,0)</f>
        <v>0</v>
      </c>
      <c r="AV30" s="18">
        <f>IF(AV18=$F$7,-$J$7*Summary!$C$7,0)</f>
        <v>0</v>
      </c>
      <c r="AW30" s="18">
        <f>IF(AW18=$F$7,-$J$7*Summary!$C$7,0)</f>
        <v>0</v>
      </c>
      <c r="AX30" s="18">
        <f>IF(AX18=$F$7,-$J$7*Summary!$C$7,0)</f>
        <v>0</v>
      </c>
      <c r="AY30" s="18">
        <f>IF(AY18=$F$7,-$J$7*Summary!$C$7,0)</f>
        <v>0</v>
      </c>
      <c r="AZ30" s="18">
        <f>IF(AZ18=$F$7,-$J$7*Summary!$C$7,0)</f>
        <v>0</v>
      </c>
      <c r="BA30" s="18">
        <f>IF(BA18=$F$7,-$J$7*Summary!$C$7,0)</f>
        <v>0</v>
      </c>
      <c r="BB30" s="18">
        <f>IF(BB18=$F$7,-$J$7*Summary!$C$7,0)</f>
        <v>0</v>
      </c>
      <c r="BC30" s="18">
        <f>IF(BC18=$F$7,-$J$7*Summary!$C$7,0)</f>
        <v>0</v>
      </c>
      <c r="BD30" s="18">
        <f>IF(BD18=$F$7,-$J$7*Summary!$C$7,0)</f>
        <v>0</v>
      </c>
      <c r="BE30" s="18">
        <f>IF(BE18=$F$7,-$J$7*Summary!$C$7,0)</f>
        <v>0</v>
      </c>
      <c r="BF30" s="18">
        <f>IF(BF18=$F$7,-$J$7*Summary!$C$7,0)</f>
        <v>0</v>
      </c>
      <c r="BG30" s="18">
        <f>IF(BG18=$F$7,-$J$7*Summary!$C$7,0)</f>
        <v>0</v>
      </c>
      <c r="BH30" s="18">
        <f>IF(BH18=$F$7,-$J$7*Summary!$C$7,0)</f>
        <v>0</v>
      </c>
      <c r="BI30" s="18">
        <f>IF(BI18=$F$7,-$J$7*Summary!$C$7,0)</f>
        <v>0</v>
      </c>
      <c r="BJ30" s="18">
        <f>IF(BJ18=$F$7,-$J$7*Summary!$C$7,0)</f>
        <v>0</v>
      </c>
      <c r="BK30" s="18">
        <f>IF(BK18=$F$7,-$J$7*Summary!$C$7,0)</f>
        <v>0</v>
      </c>
      <c r="BL30" s="18">
        <f>IF(BL18=$F$7,-$J$7*Summary!$C$7,0)</f>
        <v>0</v>
      </c>
      <c r="BM30" s="18">
        <f>IF(BM18=$F$7,-$J$7*Summary!$C$7,0)</f>
        <v>0</v>
      </c>
      <c r="BN30" s="18">
        <f>IF(BN18=$F$7,-$J$7*Summary!$C$7,0)</f>
        <v>0</v>
      </c>
      <c r="BO30" s="18">
        <f>IF(BO18=$F$7,-$J$7*Summary!$C$7,0)</f>
        <v>0</v>
      </c>
      <c r="BP30" s="18">
        <f>IF(BP18=$F$7,-$J$7*Summary!$C$7,0)</f>
        <v>0</v>
      </c>
      <c r="BQ30" s="18">
        <f>IF(BQ18=$F$7,-$J$7*Summary!$C$7,0)</f>
        <v>0</v>
      </c>
      <c r="BR30" s="18">
        <f>IF(BR18=$F$7,-$J$7*Summary!$C$7,0)</f>
        <v>0</v>
      </c>
      <c r="BS30" s="18">
        <f>IF(BS18=$F$7,-$J$7*Summary!$C$7,0)</f>
        <v>0</v>
      </c>
      <c r="BT30" s="18">
        <f>IF(BT18=$F$7,-$J$7*Summary!$C$7,0)</f>
        <v>0</v>
      </c>
      <c r="BU30" s="18">
        <f>IF(BU18=$F$7,-$J$7*Summary!$C$7,0)</f>
        <v>0</v>
      </c>
      <c r="BV30" s="18">
        <f>IF(BV18=$F$7,-$J$7*Summary!$C$7,0)</f>
        <v>0</v>
      </c>
      <c r="BW30" s="18">
        <f>IF(BW18=$F$7,-$J$7*Summary!$C$7,0)</f>
        <v>0</v>
      </c>
    </row>
    <row r="31" spans="2:82" x14ac:dyDescent="0.2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</row>
    <row r="32" spans="2:82" x14ac:dyDescent="0.2">
      <c r="B32" s="2" t="s">
        <v>28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</row>
    <row r="33" spans="2:75" x14ac:dyDescent="0.2">
      <c r="B33" t="s">
        <v>29</v>
      </c>
      <c r="C33" s="18"/>
      <c r="D33" s="18">
        <f>-SUMPRODUCT(($D$12:$J$12=YEAR(D18))*$D$13:$J$13)*Summary!$C$7/12</f>
        <v>-312500</v>
      </c>
      <c r="E33" s="18">
        <f>-SUMPRODUCT(($D$12:$J$12=YEAR(E18))*$D$13:$J$13)*Summary!$C$7/12</f>
        <v>-312500</v>
      </c>
      <c r="F33" s="18">
        <f>-SUMPRODUCT(($D$12:$J$12=YEAR(F18))*$D$13:$J$13)*Summary!$C$7/12</f>
        <v>-312500</v>
      </c>
      <c r="G33" s="18">
        <f>-SUMPRODUCT(($D$12:$J$12=YEAR(G18))*$D$13:$J$13)*Summary!$C$7/12</f>
        <v>-312500</v>
      </c>
      <c r="H33" s="18">
        <f>-SUMPRODUCT(($D$12:$J$12=YEAR(H18))*$D$13:$J$13)*Summary!$C$7/12</f>
        <v>-312500</v>
      </c>
      <c r="I33" s="18">
        <f>-SUMPRODUCT(($D$12:$J$12=YEAR(I18))*$D$13:$J$13)*Summary!$C$7/12</f>
        <v>-312500</v>
      </c>
      <c r="J33" s="18">
        <f>-SUMPRODUCT(($D$12:$J$12=YEAR(J18))*$D$13:$J$13)*Summary!$C$7/12</f>
        <v>-312500</v>
      </c>
      <c r="K33" s="18">
        <f>-SUMPRODUCT(($D$12:$J$12=YEAR(K18))*$D$13:$J$13)*Summary!$C$7/12</f>
        <v>-312500</v>
      </c>
      <c r="L33" s="18">
        <f>-SUMPRODUCT(($D$12:$J$12=YEAR(L18))*$D$13:$J$13)*Summary!$C$7/12</f>
        <v>-318750</v>
      </c>
      <c r="M33" s="18">
        <f>-SUMPRODUCT(($D$12:$J$12=YEAR(M18))*$D$13:$J$13)*Summary!$C$7/12</f>
        <v>-318750</v>
      </c>
      <c r="N33" s="18">
        <f>-SUMPRODUCT(($D$12:$J$12=YEAR(N18))*$D$13:$J$13)*Summary!$C$7/12</f>
        <v>-318750</v>
      </c>
      <c r="O33" s="18">
        <f>-SUMPRODUCT(($D$12:$J$12=YEAR(O18))*$D$13:$J$13)*Summary!$C$7/12</f>
        <v>-318750</v>
      </c>
      <c r="P33" s="18">
        <f>-SUMPRODUCT(($D$12:$J$12=YEAR(P18))*$D$13:$J$13)*Summary!$C$7/12</f>
        <v>-318750</v>
      </c>
      <c r="Q33" s="18">
        <f>-SUMPRODUCT(($D$12:$J$12=YEAR(Q18))*$D$13:$J$13)*Summary!$C$7/12</f>
        <v>-318750</v>
      </c>
      <c r="R33" s="18">
        <f>-SUMPRODUCT(($D$12:$J$12=YEAR(R18))*$D$13:$J$13)*Summary!$C$7/12</f>
        <v>-318750</v>
      </c>
      <c r="S33" s="18">
        <f>-SUMPRODUCT(($D$12:$J$12=YEAR(S18))*$D$13:$J$13)*Summary!$C$7/12</f>
        <v>-318750</v>
      </c>
      <c r="T33" s="18">
        <f>-SUMPRODUCT(($D$12:$J$12=YEAR(T18))*$D$13:$J$13)*Summary!$C$7/12</f>
        <v>-318750</v>
      </c>
      <c r="U33" s="18">
        <f>-SUMPRODUCT(($D$12:$J$12=YEAR(U18))*$D$13:$J$13)*Summary!$C$7/12</f>
        <v>-318750</v>
      </c>
      <c r="V33" s="18">
        <f>-SUMPRODUCT(($D$12:$J$12=YEAR(V18))*$D$13:$J$13)*Summary!$C$7/12</f>
        <v>-318750</v>
      </c>
      <c r="W33" s="18">
        <f>-SUMPRODUCT(($D$12:$J$12=YEAR(W18))*$D$13:$J$13)*Summary!$C$7/12</f>
        <v>-318750</v>
      </c>
      <c r="X33" s="18">
        <f>-SUMPRODUCT(($D$12:$J$12=YEAR(X18))*$D$13:$J$13)*Summary!$C$7/12</f>
        <v>-325125</v>
      </c>
      <c r="Y33" s="18">
        <f>-SUMPRODUCT(($D$12:$J$12=YEAR(Y18))*$D$13:$J$13)*Summary!$C$7/12</f>
        <v>-325125</v>
      </c>
      <c r="Z33" s="18">
        <f>-SUMPRODUCT(($D$12:$J$12=YEAR(Z18))*$D$13:$J$13)*Summary!$C$7/12</f>
        <v>-325125</v>
      </c>
      <c r="AA33" s="18">
        <f>-SUMPRODUCT(($D$12:$J$12=YEAR(AA18))*$D$13:$J$13)*Summary!$C$7/12</f>
        <v>-325125</v>
      </c>
      <c r="AB33" s="18">
        <f>-SUMPRODUCT(($D$12:$J$12=YEAR(AB18))*$D$13:$J$13)*Summary!$C$7/12</f>
        <v>-325125</v>
      </c>
      <c r="AC33" s="18">
        <f>-SUMPRODUCT(($D$12:$J$12=YEAR(AC18))*$D$13:$J$13)*Summary!$C$7/12</f>
        <v>-325125</v>
      </c>
      <c r="AD33" s="18">
        <f>-SUMPRODUCT(($D$12:$J$12=YEAR(AD18))*$D$13:$J$13)*Summary!$C$7/12</f>
        <v>-325125</v>
      </c>
      <c r="AE33" s="18">
        <f>-SUMPRODUCT(($D$12:$J$12=YEAR(AE18))*$D$13:$J$13)*Summary!$C$7/12</f>
        <v>-325125</v>
      </c>
      <c r="AF33" s="18">
        <f>-SUMPRODUCT(($D$12:$J$12=YEAR(AF18))*$D$13:$J$13)*Summary!$C$7/12</f>
        <v>-325125</v>
      </c>
      <c r="AG33" s="18">
        <f>-SUMPRODUCT(($D$12:$J$12=YEAR(AG18))*$D$13:$J$13)*Summary!$C$7/12</f>
        <v>-325125</v>
      </c>
      <c r="AH33" s="18">
        <f>-SUMPRODUCT(($D$12:$J$12=YEAR(AH18))*$D$13:$J$13)*Summary!$C$7/12</f>
        <v>-325125</v>
      </c>
      <c r="AI33" s="18">
        <f>-SUMPRODUCT(($D$12:$J$12=YEAR(AI18))*$D$13:$J$13)*Summary!$C$7/12</f>
        <v>-325125</v>
      </c>
      <c r="AJ33" s="18">
        <f>-SUMPRODUCT(($D$12:$J$12=YEAR(AJ18))*$D$13:$J$13)*Summary!$C$7/12</f>
        <v>-331627.49999999994</v>
      </c>
      <c r="AK33" s="18">
        <f>-SUMPRODUCT(($D$12:$J$12=YEAR(AK18))*$D$13:$J$13)*Summary!$C$7/12</f>
        <v>-331627.49999999994</v>
      </c>
      <c r="AL33" s="18">
        <f>-SUMPRODUCT(($D$12:$J$12=YEAR(AL18))*$D$13:$J$13)*Summary!$C$7/12</f>
        <v>-331627.49999999994</v>
      </c>
      <c r="AM33" s="18">
        <f>-SUMPRODUCT(($D$12:$J$12=YEAR(AM18))*$D$13:$J$13)*Summary!$C$7/12</f>
        <v>-331627.49999999994</v>
      </c>
      <c r="AN33" s="18">
        <f>-SUMPRODUCT(($D$12:$J$12=YEAR(AN18))*$D$13:$J$13)*Summary!$C$7/12</f>
        <v>-331627.49999999994</v>
      </c>
      <c r="AO33" s="18">
        <f>-SUMPRODUCT(($D$12:$J$12=YEAR(AO18))*$D$13:$J$13)*Summary!$C$7/12</f>
        <v>-331627.49999999994</v>
      </c>
      <c r="AP33" s="18">
        <f>-SUMPRODUCT(($D$12:$J$12=YEAR(AP18))*$D$13:$J$13)*Summary!$C$7/12</f>
        <v>-331627.49999999994</v>
      </c>
      <c r="AQ33" s="18">
        <f>-SUMPRODUCT(($D$12:$J$12=YEAR(AQ18))*$D$13:$J$13)*Summary!$C$7/12</f>
        <v>-331627.49999999994</v>
      </c>
      <c r="AR33" s="18">
        <f>-SUMPRODUCT(($D$12:$J$12=YEAR(AR18))*$D$13:$J$13)*Summary!$C$7/12</f>
        <v>-331627.49999999994</v>
      </c>
      <c r="AS33" s="18">
        <f>-SUMPRODUCT(($D$12:$J$12=YEAR(AS18))*$D$13:$J$13)*Summary!$C$7/12</f>
        <v>-331627.49999999994</v>
      </c>
      <c r="AT33" s="18">
        <f>-SUMPRODUCT(($D$12:$J$12=YEAR(AT18))*$D$13:$J$13)*Summary!$C$7/12</f>
        <v>-331627.49999999994</v>
      </c>
      <c r="AU33" s="18">
        <f>-SUMPRODUCT(($D$12:$J$12=YEAR(AU18))*$D$13:$J$13)*Summary!$C$7/12</f>
        <v>-331627.49999999994</v>
      </c>
      <c r="AV33" s="18">
        <f>-SUMPRODUCT(($D$12:$J$12=YEAR(AV18))*$D$13:$J$13)*Summary!$C$7/12</f>
        <v>-338260.05</v>
      </c>
      <c r="AW33" s="18">
        <f>-SUMPRODUCT(($D$12:$J$12=YEAR(AW18))*$D$13:$J$13)*Summary!$C$7/12</f>
        <v>-338260.05</v>
      </c>
      <c r="AX33" s="18">
        <f>-SUMPRODUCT(($D$12:$J$12=YEAR(AX18))*$D$13:$J$13)*Summary!$C$7/12</f>
        <v>-338260.05</v>
      </c>
      <c r="AY33" s="18">
        <f>-SUMPRODUCT(($D$12:$J$12=YEAR(AY18))*$D$13:$J$13)*Summary!$C$7/12</f>
        <v>-338260.05</v>
      </c>
      <c r="AZ33" s="18">
        <f>-SUMPRODUCT(($D$12:$J$12=YEAR(AZ18))*$D$13:$J$13)*Summary!$C$7/12</f>
        <v>-338260.05</v>
      </c>
      <c r="BA33" s="18">
        <f>-SUMPRODUCT(($D$12:$J$12=YEAR(BA18))*$D$13:$J$13)*Summary!$C$7/12</f>
        <v>-338260.05</v>
      </c>
      <c r="BB33" s="18">
        <f>-SUMPRODUCT(($D$12:$J$12=YEAR(BB18))*$D$13:$J$13)*Summary!$C$7/12</f>
        <v>-338260.05</v>
      </c>
      <c r="BC33" s="18">
        <f>-SUMPRODUCT(($D$12:$J$12=YEAR(BC18))*$D$13:$J$13)*Summary!$C$7/12</f>
        <v>-338260.05</v>
      </c>
      <c r="BD33" s="18">
        <f>-SUMPRODUCT(($D$12:$J$12=YEAR(BD18))*$D$13:$J$13)*Summary!$C$7/12</f>
        <v>-338260.05</v>
      </c>
      <c r="BE33" s="18">
        <f>-SUMPRODUCT(($D$12:$J$12=YEAR(BE18))*$D$13:$J$13)*Summary!$C$7/12</f>
        <v>-338260.05</v>
      </c>
      <c r="BF33" s="18">
        <f>-SUMPRODUCT(($D$12:$J$12=YEAR(BF18))*$D$13:$J$13)*Summary!$C$7/12</f>
        <v>-338260.05</v>
      </c>
      <c r="BG33" s="18">
        <f>-SUMPRODUCT(($D$12:$J$12=YEAR(BG18))*$D$13:$J$13)*Summary!$C$7/12</f>
        <v>-338260.05</v>
      </c>
      <c r="BH33" s="18">
        <f>-SUMPRODUCT(($D$12:$J$12=YEAR(BH18))*$D$13:$J$13)*Summary!$C$7/12</f>
        <v>-345025.25100000005</v>
      </c>
      <c r="BI33" s="18">
        <f>-SUMPRODUCT(($D$12:$J$12=YEAR(BI18))*$D$13:$J$13)*Summary!$C$7/12</f>
        <v>-345025.25100000005</v>
      </c>
      <c r="BJ33" s="18">
        <f>-SUMPRODUCT(($D$12:$J$12=YEAR(BJ18))*$D$13:$J$13)*Summary!$C$7/12</f>
        <v>-345025.25100000005</v>
      </c>
      <c r="BK33" s="18">
        <f>-SUMPRODUCT(($D$12:$J$12=YEAR(BK18))*$D$13:$J$13)*Summary!$C$7/12</f>
        <v>-345025.25100000005</v>
      </c>
      <c r="BL33" s="18">
        <f>-SUMPRODUCT(($D$12:$J$12=YEAR(BL18))*$D$13:$J$13)*Summary!$C$7/12</f>
        <v>-345025.25100000005</v>
      </c>
      <c r="BM33" s="18">
        <f>-SUMPRODUCT(($D$12:$J$12=YEAR(BM18))*$D$13:$J$13)*Summary!$C$7/12</f>
        <v>-345025.25100000005</v>
      </c>
      <c r="BN33" s="18">
        <f>-SUMPRODUCT(($D$12:$J$12=YEAR(BN18))*$D$13:$J$13)*Summary!$C$7/12</f>
        <v>-345025.25100000005</v>
      </c>
      <c r="BO33" s="18">
        <f>-SUMPRODUCT(($D$12:$J$12=YEAR(BO18))*$D$13:$J$13)*Summary!$C$7/12</f>
        <v>-345025.25100000005</v>
      </c>
      <c r="BP33" s="18">
        <f>-SUMPRODUCT(($D$12:$J$12=YEAR(BP18))*$D$13:$J$13)*Summary!$C$7/12</f>
        <v>-345025.25100000005</v>
      </c>
      <c r="BQ33" s="18">
        <f>-SUMPRODUCT(($D$12:$J$12=YEAR(BQ18))*$D$13:$J$13)*Summary!$C$7/12</f>
        <v>-345025.25100000005</v>
      </c>
      <c r="BR33" s="18">
        <f>-SUMPRODUCT(($D$12:$J$12=YEAR(BR18))*$D$13:$J$13)*Summary!$C$7/12</f>
        <v>-345025.25100000005</v>
      </c>
      <c r="BS33" s="18">
        <f>-SUMPRODUCT(($D$12:$J$12=YEAR(BS18))*$D$13:$J$13)*Summary!$C$7/12</f>
        <v>-345025.25100000005</v>
      </c>
      <c r="BT33" s="18">
        <f>-SUMPRODUCT(($D$12:$J$12=YEAR(BT18))*$D$13:$J$13)*Summary!$C$7/12</f>
        <v>-351925.75602000003</v>
      </c>
      <c r="BU33" s="18">
        <f>-SUMPRODUCT(($D$12:$J$12=YEAR(BU18))*$D$13:$J$13)*Summary!$C$7/12</f>
        <v>-351925.75602000003</v>
      </c>
      <c r="BV33" s="18">
        <f>-SUMPRODUCT(($D$12:$J$12=YEAR(BV18))*$D$13:$J$13)*Summary!$C$7/12</f>
        <v>-351925.75602000003</v>
      </c>
      <c r="BW33" s="18">
        <f>-SUMPRODUCT(($D$12:$J$12=YEAR(BW18))*$D$13:$J$13)*Summary!$C$7/12</f>
        <v>-351925.75602000003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BW46"/>
  <sheetViews>
    <sheetView topLeftCell="A19" zoomScale="85" zoomScaleNormal="85" workbookViewId="0">
      <selection activeCell="C50" sqref="C50"/>
    </sheetView>
  </sheetViews>
  <sheetFormatPr baseColWidth="10" defaultColWidth="12.6640625" defaultRowHeight="15" x14ac:dyDescent="0.2"/>
  <cols>
    <col min="1" max="1" width="4.83203125" customWidth="1"/>
    <col min="2" max="2" width="25.33203125" customWidth="1"/>
    <col min="3" max="3" width="16.5" bestFit="1" customWidth="1"/>
    <col min="4" max="62" width="15.6640625" bestFit="1" customWidth="1"/>
    <col min="63" max="63" width="16.33203125" bestFit="1" customWidth="1"/>
    <col min="64" max="75" width="15.33203125" bestFit="1" customWidth="1"/>
  </cols>
  <sheetData>
    <row r="2" spans="2:75" x14ac:dyDescent="0.2">
      <c r="B2" s="5" t="s">
        <v>0</v>
      </c>
      <c r="C2" s="5"/>
      <c r="D2" s="5"/>
      <c r="E2" s="5"/>
      <c r="F2" s="5"/>
      <c r="G2" s="5"/>
      <c r="H2" s="5"/>
      <c r="I2" s="5"/>
      <c r="J2" s="5"/>
      <c r="K2" s="6">
        <v>42808</v>
      </c>
    </row>
    <row r="3" spans="2:75" x14ac:dyDescent="0.2">
      <c r="B3" t="s">
        <v>30</v>
      </c>
    </row>
    <row r="6" spans="2:75" x14ac:dyDescent="0.2">
      <c r="C6" s="1">
        <f>Operational!C18</f>
        <v>42855</v>
      </c>
      <c r="D6" s="1">
        <f>Operational!D18</f>
        <v>42886</v>
      </c>
      <c r="E6" s="1">
        <f>Operational!E18</f>
        <v>42916</v>
      </c>
      <c r="F6" s="1">
        <f>Operational!F18</f>
        <v>42947</v>
      </c>
      <c r="G6" s="1">
        <f>Operational!G18</f>
        <v>42978</v>
      </c>
      <c r="H6" s="1">
        <f>Operational!H18</f>
        <v>43008</v>
      </c>
      <c r="I6" s="1">
        <f>Operational!I18</f>
        <v>43039</v>
      </c>
      <c r="J6" s="1">
        <f>Operational!J18</f>
        <v>43069</v>
      </c>
      <c r="K6" s="1">
        <f>Operational!K18</f>
        <v>43100</v>
      </c>
      <c r="L6" s="1">
        <f>Operational!L18</f>
        <v>43131</v>
      </c>
      <c r="M6" s="1">
        <f>Operational!M18</f>
        <v>43159</v>
      </c>
      <c r="N6" s="1">
        <f>Operational!N18</f>
        <v>43190</v>
      </c>
      <c r="O6" s="1">
        <f>Operational!O18</f>
        <v>43220</v>
      </c>
      <c r="P6" s="1">
        <f>Operational!P18</f>
        <v>43251</v>
      </c>
      <c r="Q6" s="1">
        <f>Operational!Q18</f>
        <v>43281</v>
      </c>
      <c r="R6" s="1">
        <f>Operational!R18</f>
        <v>43312</v>
      </c>
      <c r="S6" s="1">
        <f>Operational!S18</f>
        <v>43343</v>
      </c>
      <c r="T6" s="1">
        <f>Operational!T18</f>
        <v>43373</v>
      </c>
      <c r="U6" s="1">
        <f>Operational!U18</f>
        <v>43404</v>
      </c>
      <c r="V6" s="1">
        <f>Operational!V18</f>
        <v>43434</v>
      </c>
      <c r="W6" s="1">
        <f>Operational!W18</f>
        <v>43465</v>
      </c>
      <c r="X6" s="1">
        <f>Operational!X18</f>
        <v>43496</v>
      </c>
      <c r="Y6" s="1">
        <f>Operational!Y18</f>
        <v>43524</v>
      </c>
      <c r="Z6" s="1">
        <f>Operational!Z18</f>
        <v>43555</v>
      </c>
      <c r="AA6" s="1">
        <f>Operational!AA18</f>
        <v>43585</v>
      </c>
      <c r="AB6" s="1">
        <f>Operational!AB18</f>
        <v>43616</v>
      </c>
      <c r="AC6" s="1">
        <f>Operational!AC18</f>
        <v>43646</v>
      </c>
      <c r="AD6" s="1">
        <f>Operational!AD18</f>
        <v>43677</v>
      </c>
      <c r="AE6" s="1">
        <f>Operational!AE18</f>
        <v>43708</v>
      </c>
      <c r="AF6" s="1">
        <f>Operational!AF18</f>
        <v>43738</v>
      </c>
      <c r="AG6" s="1">
        <f>Operational!AG18</f>
        <v>43769</v>
      </c>
      <c r="AH6" s="1">
        <f>Operational!AH18</f>
        <v>43799</v>
      </c>
      <c r="AI6" s="1">
        <f>Operational!AI18</f>
        <v>43830</v>
      </c>
      <c r="AJ6" s="1">
        <f>Operational!AJ18</f>
        <v>43861</v>
      </c>
      <c r="AK6" s="1">
        <f>Operational!AK18</f>
        <v>43890</v>
      </c>
      <c r="AL6" s="1">
        <f>Operational!AL18</f>
        <v>43921</v>
      </c>
      <c r="AM6" s="1">
        <f>Operational!AM18</f>
        <v>43951</v>
      </c>
      <c r="AN6" s="1">
        <f>Operational!AN18</f>
        <v>43982</v>
      </c>
      <c r="AO6" s="1">
        <f>Operational!AO18</f>
        <v>44012</v>
      </c>
      <c r="AP6" s="1">
        <f>Operational!AP18</f>
        <v>44043</v>
      </c>
      <c r="AQ6" s="1">
        <f>Operational!AQ18</f>
        <v>44074</v>
      </c>
      <c r="AR6" s="1">
        <f>Operational!AR18</f>
        <v>44104</v>
      </c>
      <c r="AS6" s="1">
        <f>Operational!AS18</f>
        <v>44135</v>
      </c>
      <c r="AT6" s="1">
        <f>Operational!AT18</f>
        <v>44165</v>
      </c>
      <c r="AU6" s="1">
        <f>Operational!AU18</f>
        <v>44196</v>
      </c>
      <c r="AV6" s="1">
        <f>Operational!AV18</f>
        <v>44227</v>
      </c>
      <c r="AW6" s="1">
        <f>Operational!AW18</f>
        <v>44255</v>
      </c>
      <c r="AX6" s="1">
        <f>Operational!AX18</f>
        <v>44286</v>
      </c>
      <c r="AY6" s="1">
        <f>Operational!AY18</f>
        <v>44316</v>
      </c>
      <c r="AZ6" s="1">
        <f>Operational!AZ18</f>
        <v>44347</v>
      </c>
      <c r="BA6" s="1">
        <f>Operational!BA18</f>
        <v>44377</v>
      </c>
      <c r="BB6" s="1">
        <f>Operational!BB18</f>
        <v>44408</v>
      </c>
      <c r="BC6" s="1">
        <f>Operational!BC18</f>
        <v>44439</v>
      </c>
      <c r="BD6" s="1">
        <f>Operational!BD18</f>
        <v>44469</v>
      </c>
      <c r="BE6" s="1">
        <f>Operational!BE18</f>
        <v>44500</v>
      </c>
      <c r="BF6" s="1">
        <f>Operational!BF18</f>
        <v>44530</v>
      </c>
      <c r="BG6" s="1">
        <f>Operational!BG18</f>
        <v>44561</v>
      </c>
      <c r="BH6" s="1">
        <f>Operational!BH18</f>
        <v>44592</v>
      </c>
      <c r="BI6" s="1">
        <f>Operational!BI18</f>
        <v>44620</v>
      </c>
      <c r="BJ6" s="1">
        <f>Operational!BJ18</f>
        <v>44651</v>
      </c>
      <c r="BK6" s="1">
        <f>Operational!BK18</f>
        <v>44681</v>
      </c>
      <c r="BL6" s="1">
        <f>Operational!BL18</f>
        <v>44712</v>
      </c>
      <c r="BM6" s="1">
        <f>Operational!BM18</f>
        <v>44742</v>
      </c>
      <c r="BN6" s="1">
        <f>Operational!BN18</f>
        <v>44773</v>
      </c>
      <c r="BO6" s="1">
        <f>Operational!BO18</f>
        <v>44804</v>
      </c>
      <c r="BP6" s="1">
        <f>Operational!BP18</f>
        <v>44834</v>
      </c>
      <c r="BQ6" s="1">
        <f>Operational!BQ18</f>
        <v>44865</v>
      </c>
      <c r="BR6" s="1">
        <f>Operational!BR18</f>
        <v>44895</v>
      </c>
      <c r="BS6" s="1">
        <f>Operational!BS18</f>
        <v>44926</v>
      </c>
      <c r="BT6" s="1">
        <f>Operational!BT18</f>
        <v>44957</v>
      </c>
      <c r="BU6" s="1">
        <f>Operational!BU18</f>
        <v>44985</v>
      </c>
      <c r="BV6" s="1">
        <f>Operational!BV18</f>
        <v>45016</v>
      </c>
      <c r="BW6" s="1">
        <f>Operational!BW18</f>
        <v>45046</v>
      </c>
    </row>
    <row r="7" spans="2:75" x14ac:dyDescent="0.2">
      <c r="B7" t="s">
        <v>31</v>
      </c>
      <c r="C7" s="18"/>
      <c r="D7" s="18">
        <f>Operational!D22</f>
        <v>884339.99999999988</v>
      </c>
      <c r="E7" s="18">
        <f>Operational!E22</f>
        <v>884339.99999999988</v>
      </c>
      <c r="F7" s="18">
        <f>Operational!F22</f>
        <v>884339.99999999988</v>
      </c>
      <c r="G7" s="18">
        <f>Operational!G22</f>
        <v>884339.99999999988</v>
      </c>
      <c r="H7" s="18">
        <f>Operational!H22</f>
        <v>884339.99999999988</v>
      </c>
      <c r="I7" s="18">
        <f>Operational!I22</f>
        <v>884339.99999999988</v>
      </c>
      <c r="J7" s="18">
        <f>Operational!J22</f>
        <v>884339.99999999988</v>
      </c>
      <c r="K7" s="18">
        <f>Operational!K22</f>
        <v>902026.79999999993</v>
      </c>
      <c r="L7" s="18">
        <f>Operational!L22</f>
        <v>902026.79999999993</v>
      </c>
      <c r="M7" s="18">
        <f>Operational!M22</f>
        <v>902026.79999999993</v>
      </c>
      <c r="N7" s="18">
        <f>Operational!N22</f>
        <v>902026.79999999993</v>
      </c>
      <c r="O7" s="18">
        <f>Operational!O22</f>
        <v>902026.79999999993</v>
      </c>
      <c r="P7" s="18">
        <f>Operational!P22</f>
        <v>902026.79999999993</v>
      </c>
      <c r="Q7" s="18">
        <f>Operational!Q22</f>
        <v>902026.79999999993</v>
      </c>
      <c r="R7" s="18">
        <f>Operational!R22</f>
        <v>902026.79999999993</v>
      </c>
      <c r="S7" s="18">
        <f>Operational!S22</f>
        <v>902026.79999999993</v>
      </c>
      <c r="T7" s="18">
        <f>Operational!T22</f>
        <v>902026.79999999993</v>
      </c>
      <c r="U7" s="18">
        <f>Operational!U22</f>
        <v>902026.79999999993</v>
      </c>
      <c r="V7" s="18">
        <f>Operational!V22</f>
        <v>902026.79999999993</v>
      </c>
      <c r="W7" s="18">
        <f>Operational!W22</f>
        <v>920067.33600000013</v>
      </c>
      <c r="X7" s="18">
        <f>Operational!X22</f>
        <v>0</v>
      </c>
      <c r="Y7" s="18">
        <f>Operational!Y22</f>
        <v>0</v>
      </c>
      <c r="Z7" s="18">
        <f>Operational!Z22</f>
        <v>0</v>
      </c>
      <c r="AA7" s="18">
        <f>Operational!AA22</f>
        <v>0</v>
      </c>
      <c r="AB7" s="18">
        <f>Operational!AB22</f>
        <v>0</v>
      </c>
      <c r="AC7" s="18">
        <f>Operational!AC22</f>
        <v>0</v>
      </c>
      <c r="AD7" s="18">
        <f>Operational!AD22</f>
        <v>1326125</v>
      </c>
      <c r="AE7" s="18">
        <f>Operational!AE22</f>
        <v>1326125</v>
      </c>
      <c r="AF7" s="18">
        <f>Operational!AF22</f>
        <v>1326125</v>
      </c>
      <c r="AG7" s="18">
        <f>Operational!AG22</f>
        <v>1326125</v>
      </c>
      <c r="AH7" s="18">
        <f>Operational!AH22</f>
        <v>1326125</v>
      </c>
      <c r="AI7" s="18">
        <f>Operational!AI22</f>
        <v>1326125</v>
      </c>
      <c r="AJ7" s="18">
        <f>Operational!AJ22</f>
        <v>1326125</v>
      </c>
      <c r="AK7" s="18">
        <f>Operational!AK22</f>
        <v>1326125</v>
      </c>
      <c r="AL7" s="18">
        <f>Operational!AL22</f>
        <v>1326125</v>
      </c>
      <c r="AM7" s="18">
        <f>Operational!AM22</f>
        <v>1326125</v>
      </c>
      <c r="AN7" s="18">
        <f>Operational!AN22</f>
        <v>1326125</v>
      </c>
      <c r="AO7" s="18">
        <f>Operational!AO22</f>
        <v>1365908.75</v>
      </c>
      <c r="AP7" s="18">
        <f>Operational!AP22</f>
        <v>1365908.75</v>
      </c>
      <c r="AQ7" s="18">
        <f>Operational!AQ22</f>
        <v>1365908.75</v>
      </c>
      <c r="AR7" s="18">
        <f>Operational!AR22</f>
        <v>1365908.75</v>
      </c>
      <c r="AS7" s="18">
        <f>Operational!AS22</f>
        <v>1365908.75</v>
      </c>
      <c r="AT7" s="18">
        <f>Operational!AT22</f>
        <v>1365908.75</v>
      </c>
      <c r="AU7" s="18">
        <f>Operational!AU22</f>
        <v>1365908.75</v>
      </c>
      <c r="AV7" s="18">
        <f>Operational!AV22</f>
        <v>1365908.75</v>
      </c>
      <c r="AW7" s="18">
        <f>Operational!AW22</f>
        <v>1365908.75</v>
      </c>
      <c r="AX7" s="18">
        <f>Operational!AX22</f>
        <v>1365908.75</v>
      </c>
      <c r="AY7" s="18">
        <f>Operational!AY22</f>
        <v>1365908.75</v>
      </c>
      <c r="AZ7" s="18">
        <f>Operational!AZ22</f>
        <v>1365908.75</v>
      </c>
      <c r="BA7" s="18">
        <f>Operational!BA22</f>
        <v>1406886.0125</v>
      </c>
      <c r="BB7" s="18">
        <f>Operational!BB22</f>
        <v>1406886.0125</v>
      </c>
      <c r="BC7" s="18">
        <f>Operational!BC22</f>
        <v>1406886.0125</v>
      </c>
      <c r="BD7" s="18">
        <f>Operational!BD22</f>
        <v>1406886.0125</v>
      </c>
      <c r="BE7" s="18">
        <f>Operational!BE22</f>
        <v>1406886.0125</v>
      </c>
      <c r="BF7" s="18">
        <f>Operational!BF22</f>
        <v>1406886.0125</v>
      </c>
      <c r="BG7" s="18">
        <f>Operational!BG22</f>
        <v>1406886.0125</v>
      </c>
      <c r="BH7" s="18">
        <f>Operational!BH22</f>
        <v>1406886.0125</v>
      </c>
      <c r="BI7" s="18">
        <f>Operational!BI22</f>
        <v>1406886.0125</v>
      </c>
      <c r="BJ7" s="18">
        <f>Operational!BJ22</f>
        <v>1406886.0125</v>
      </c>
      <c r="BK7" s="18">
        <f>Operational!BK22</f>
        <v>1406886.0125</v>
      </c>
      <c r="BL7" s="18">
        <f>Operational!BL22</f>
        <v>1406886.0125</v>
      </c>
      <c r="BM7" s="18">
        <f>Operational!BM22</f>
        <v>1449092.5928750001</v>
      </c>
      <c r="BN7" s="18">
        <f>Operational!BN22</f>
        <v>1449092.5928750001</v>
      </c>
      <c r="BO7" s="18">
        <f>Operational!BO22</f>
        <v>1449092.5928750001</v>
      </c>
      <c r="BP7" s="18">
        <f>Operational!BP22</f>
        <v>1449092.5928750001</v>
      </c>
      <c r="BQ7" s="18">
        <f>Operational!BQ22</f>
        <v>1449092.5928750001</v>
      </c>
      <c r="BR7" s="18">
        <f>Operational!BR22</f>
        <v>1449092.5928750001</v>
      </c>
      <c r="BS7" s="18">
        <f>Operational!BS22</f>
        <v>1449092.5928750001</v>
      </c>
      <c r="BT7" s="18">
        <f>Operational!BT22</f>
        <v>1449092.5928750001</v>
      </c>
      <c r="BU7" s="18">
        <f>Operational!BU22</f>
        <v>1449092.5928750001</v>
      </c>
      <c r="BV7" s="18">
        <f>Operational!BV22</f>
        <v>1449092.5928750001</v>
      </c>
      <c r="BW7" s="18">
        <f>Operational!BW22</f>
        <v>1449092.5928750001</v>
      </c>
    </row>
    <row r="8" spans="2:75" x14ac:dyDescent="0.2">
      <c r="B8" t="s">
        <v>20</v>
      </c>
      <c r="C8" s="18"/>
      <c r="D8" s="18">
        <f>Operational!D25</f>
        <v>0</v>
      </c>
      <c r="E8" s="18">
        <f>Operational!E25</f>
        <v>0</v>
      </c>
      <c r="F8" s="18">
        <f>Operational!F25</f>
        <v>0</v>
      </c>
      <c r="G8" s="18">
        <f>Operational!G25</f>
        <v>0</v>
      </c>
      <c r="H8" s="18">
        <f>Operational!H25</f>
        <v>0</v>
      </c>
      <c r="I8" s="18">
        <f>Operational!I25</f>
        <v>0</v>
      </c>
      <c r="J8" s="18">
        <f>Operational!J25</f>
        <v>0</v>
      </c>
      <c r="K8" s="18">
        <f>Operational!K25</f>
        <v>0</v>
      </c>
      <c r="L8" s="18">
        <f>Operational!L25</f>
        <v>0</v>
      </c>
      <c r="M8" s="18">
        <f>Operational!M25</f>
        <v>0</v>
      </c>
      <c r="N8" s="18">
        <f>Operational!N25</f>
        <v>0</v>
      </c>
      <c r="O8" s="18">
        <f>Operational!O25</f>
        <v>0</v>
      </c>
      <c r="P8" s="18">
        <f>Operational!P25</f>
        <v>0</v>
      </c>
      <c r="Q8" s="18">
        <f>Operational!Q25</f>
        <v>0</v>
      </c>
      <c r="R8" s="18">
        <f>Operational!R25</f>
        <v>0</v>
      </c>
      <c r="S8" s="18">
        <f>Operational!S25</f>
        <v>0</v>
      </c>
      <c r="T8" s="18">
        <f>Operational!T25</f>
        <v>0</v>
      </c>
      <c r="U8" s="18">
        <f>Operational!U25</f>
        <v>0</v>
      </c>
      <c r="V8" s="18">
        <f>Operational!V25</f>
        <v>0</v>
      </c>
      <c r="W8" s="18">
        <f>Operational!W25</f>
        <v>0</v>
      </c>
      <c r="X8" s="18">
        <f>Operational!X25</f>
        <v>0</v>
      </c>
      <c r="Y8" s="18">
        <f>Operational!Y25</f>
        <v>0</v>
      </c>
      <c r="Z8" s="18">
        <f>Operational!Z25</f>
        <v>0</v>
      </c>
      <c r="AA8" s="18">
        <f>Operational!AA25</f>
        <v>0</v>
      </c>
      <c r="AB8" s="18">
        <f>Operational!AB25</f>
        <v>0</v>
      </c>
      <c r="AC8" s="18">
        <f>Operational!AC25</f>
        <v>0</v>
      </c>
      <c r="AD8" s="18">
        <f>Operational!AD25</f>
        <v>-1326125</v>
      </c>
      <c r="AE8" s="18">
        <f>Operational!AE25</f>
        <v>-1326125</v>
      </c>
      <c r="AF8" s="18">
        <f>Operational!AF25</f>
        <v>-1326125</v>
      </c>
      <c r="AG8" s="18">
        <f>Operational!AG25</f>
        <v>-1326125</v>
      </c>
      <c r="AH8" s="18">
        <f>Operational!AH25</f>
        <v>-1326125</v>
      </c>
      <c r="AI8" s="18">
        <f>Operational!AI25</f>
        <v>-1326125</v>
      </c>
      <c r="AJ8" s="18">
        <f>Operational!AJ25</f>
        <v>0</v>
      </c>
      <c r="AK8" s="18">
        <f>Operational!AK25</f>
        <v>0</v>
      </c>
      <c r="AL8" s="18">
        <f>Operational!AL25</f>
        <v>0</v>
      </c>
      <c r="AM8" s="18">
        <f>Operational!AM25</f>
        <v>0</v>
      </c>
      <c r="AN8" s="18">
        <f>Operational!AN25</f>
        <v>0</v>
      </c>
      <c r="AO8" s="18">
        <f>Operational!AO25</f>
        <v>0</v>
      </c>
      <c r="AP8" s="18">
        <f>Operational!AP25</f>
        <v>0</v>
      </c>
      <c r="AQ8" s="18">
        <f>Operational!AQ25</f>
        <v>0</v>
      </c>
      <c r="AR8" s="18">
        <f>Operational!AR25</f>
        <v>0</v>
      </c>
      <c r="AS8" s="18">
        <f>Operational!AS25</f>
        <v>0</v>
      </c>
      <c r="AT8" s="18">
        <f>Operational!AT25</f>
        <v>0</v>
      </c>
      <c r="AU8" s="18">
        <f>Operational!AU25</f>
        <v>0</v>
      </c>
      <c r="AV8" s="18">
        <f>Operational!AV25</f>
        <v>0</v>
      </c>
      <c r="AW8" s="18">
        <f>Operational!AW25</f>
        <v>0</v>
      </c>
      <c r="AX8" s="18">
        <f>Operational!AX25</f>
        <v>0</v>
      </c>
      <c r="AY8" s="18">
        <f>Operational!AY25</f>
        <v>0</v>
      </c>
      <c r="AZ8" s="18">
        <f>Operational!AZ25</f>
        <v>0</v>
      </c>
      <c r="BA8" s="18">
        <f>Operational!BA25</f>
        <v>0</v>
      </c>
      <c r="BB8" s="18">
        <f>Operational!BB25</f>
        <v>0</v>
      </c>
      <c r="BC8" s="18">
        <f>Operational!BC25</f>
        <v>0</v>
      </c>
      <c r="BD8" s="18">
        <f>Operational!BD25</f>
        <v>0</v>
      </c>
      <c r="BE8" s="18">
        <f>Operational!BE25</f>
        <v>0</v>
      </c>
      <c r="BF8" s="18">
        <f>Operational!BF25</f>
        <v>0</v>
      </c>
      <c r="BG8" s="18">
        <f>Operational!BG25</f>
        <v>0</v>
      </c>
      <c r="BH8" s="18">
        <f>Operational!BH25</f>
        <v>0</v>
      </c>
      <c r="BI8" s="18">
        <f>Operational!BI25</f>
        <v>0</v>
      </c>
      <c r="BJ8" s="18">
        <f>Operational!BJ25</f>
        <v>0</v>
      </c>
      <c r="BK8" s="18">
        <f>Operational!BK25</f>
        <v>0</v>
      </c>
      <c r="BL8" s="18">
        <f>Operational!BL25</f>
        <v>0</v>
      </c>
      <c r="BM8" s="18">
        <f>Operational!BM25</f>
        <v>0</v>
      </c>
      <c r="BN8" s="18">
        <f>Operational!BN25</f>
        <v>0</v>
      </c>
      <c r="BO8" s="18">
        <f>Operational!BO25</f>
        <v>0</v>
      </c>
      <c r="BP8" s="18">
        <f>Operational!BP25</f>
        <v>0</v>
      </c>
      <c r="BQ8" s="18">
        <f>Operational!BQ25</f>
        <v>0</v>
      </c>
      <c r="BR8" s="18">
        <f>Operational!BR25</f>
        <v>0</v>
      </c>
      <c r="BS8" s="18">
        <f>Operational!BS25</f>
        <v>0</v>
      </c>
      <c r="BT8" s="18">
        <f>Operational!BT25</f>
        <v>0</v>
      </c>
      <c r="BU8" s="18">
        <f>Operational!BU25</f>
        <v>0</v>
      </c>
      <c r="BV8" s="18">
        <f>Operational!BV25</f>
        <v>0</v>
      </c>
      <c r="BW8" s="18">
        <f>Operational!BW25</f>
        <v>0</v>
      </c>
    </row>
    <row r="9" spans="2:75" x14ac:dyDescent="0.2">
      <c r="B9" t="s">
        <v>32</v>
      </c>
      <c r="C9" s="18"/>
      <c r="D9" s="18">
        <f>Operational!D27</f>
        <v>-44217</v>
      </c>
      <c r="E9" s="18">
        <f>Operational!E27</f>
        <v>-44217</v>
      </c>
      <c r="F9" s="18">
        <f>Operational!F27</f>
        <v>-44217</v>
      </c>
      <c r="G9" s="18">
        <f>Operational!G27</f>
        <v>-44217</v>
      </c>
      <c r="H9" s="18">
        <f>Operational!H27</f>
        <v>-44217</v>
      </c>
      <c r="I9" s="18">
        <f>Operational!I27</f>
        <v>-44217</v>
      </c>
      <c r="J9" s="18">
        <f>Operational!J27</f>
        <v>-44217</v>
      </c>
      <c r="K9" s="18">
        <f>Operational!K27</f>
        <v>-45101.34</v>
      </c>
      <c r="L9" s="18">
        <f>Operational!L27</f>
        <v>-45101.34</v>
      </c>
      <c r="M9" s="18">
        <f>Operational!M27</f>
        <v>-45101.34</v>
      </c>
      <c r="N9" s="18">
        <f>Operational!N27</f>
        <v>-45101.34</v>
      </c>
      <c r="O9" s="18">
        <f>Operational!O27</f>
        <v>-45101.34</v>
      </c>
      <c r="P9" s="18">
        <f>Operational!P27</f>
        <v>-45101.34</v>
      </c>
      <c r="Q9" s="18">
        <f>Operational!Q27</f>
        <v>-45101.34</v>
      </c>
      <c r="R9" s="18">
        <f>Operational!R27</f>
        <v>-45101.34</v>
      </c>
      <c r="S9" s="18">
        <f>Operational!S27</f>
        <v>-45101.34</v>
      </c>
      <c r="T9" s="18">
        <f>Operational!T27</f>
        <v>-45101.34</v>
      </c>
      <c r="U9" s="18">
        <f>Operational!U27</f>
        <v>-45101.34</v>
      </c>
      <c r="V9" s="18">
        <f>Operational!V27</f>
        <v>-45101.34</v>
      </c>
      <c r="W9" s="18">
        <f>Operational!W27</f>
        <v>-46003.366800000011</v>
      </c>
      <c r="X9" s="18">
        <f>Operational!X27</f>
        <v>0</v>
      </c>
      <c r="Y9" s="18">
        <f>Operational!Y27</f>
        <v>0</v>
      </c>
      <c r="Z9" s="18">
        <f>Operational!Z27</f>
        <v>0</v>
      </c>
      <c r="AA9" s="18">
        <f>Operational!AA27</f>
        <v>0</v>
      </c>
      <c r="AB9" s="18">
        <f>Operational!AB27</f>
        <v>0</v>
      </c>
      <c r="AC9" s="18">
        <f>Operational!AC27</f>
        <v>0</v>
      </c>
      <c r="AD9" s="18">
        <f>Operational!AD27</f>
        <v>0</v>
      </c>
      <c r="AE9" s="18">
        <f>Operational!AE27</f>
        <v>0</v>
      </c>
      <c r="AF9" s="18">
        <f>Operational!AF27</f>
        <v>0</v>
      </c>
      <c r="AG9" s="18">
        <f>Operational!AG27</f>
        <v>0</v>
      </c>
      <c r="AH9" s="18">
        <f>Operational!AH27</f>
        <v>0</v>
      </c>
      <c r="AI9" s="18">
        <f>Operational!AI27</f>
        <v>0</v>
      </c>
      <c r="AJ9" s="18">
        <f>Operational!AJ27</f>
        <v>-66306.25</v>
      </c>
      <c r="AK9" s="18">
        <f>Operational!AK27</f>
        <v>-66306.25</v>
      </c>
      <c r="AL9" s="18">
        <f>Operational!AL27</f>
        <v>-66306.25</v>
      </c>
      <c r="AM9" s="18">
        <f>Operational!AM27</f>
        <v>-66306.25</v>
      </c>
      <c r="AN9" s="18">
        <f>Operational!AN27</f>
        <v>-66306.25</v>
      </c>
      <c r="AO9" s="18">
        <f>Operational!AO27</f>
        <v>-68295.4375</v>
      </c>
      <c r="AP9" s="18">
        <f>Operational!AP27</f>
        <v>-68295.4375</v>
      </c>
      <c r="AQ9" s="18">
        <f>Operational!AQ27</f>
        <v>-68295.4375</v>
      </c>
      <c r="AR9" s="18">
        <f>Operational!AR27</f>
        <v>-68295.4375</v>
      </c>
      <c r="AS9" s="18">
        <f>Operational!AS27</f>
        <v>-68295.4375</v>
      </c>
      <c r="AT9" s="18">
        <f>Operational!AT27</f>
        <v>-68295.4375</v>
      </c>
      <c r="AU9" s="18">
        <f>Operational!AU27</f>
        <v>-68295.4375</v>
      </c>
      <c r="AV9" s="18">
        <f>Operational!AV27</f>
        <v>-68295.4375</v>
      </c>
      <c r="AW9" s="18">
        <f>Operational!AW27</f>
        <v>-68295.4375</v>
      </c>
      <c r="AX9" s="18">
        <f>Operational!AX27</f>
        <v>-68295.4375</v>
      </c>
      <c r="AY9" s="18">
        <f>Operational!AY27</f>
        <v>-68295.4375</v>
      </c>
      <c r="AZ9" s="18">
        <f>Operational!AZ27</f>
        <v>-68295.4375</v>
      </c>
      <c r="BA9" s="18">
        <f>Operational!BA27</f>
        <v>-70344.300625000003</v>
      </c>
      <c r="BB9" s="18">
        <f>Operational!BB27</f>
        <v>-70344.300625000003</v>
      </c>
      <c r="BC9" s="18">
        <f>Operational!BC27</f>
        <v>-70344.300625000003</v>
      </c>
      <c r="BD9" s="18">
        <f>Operational!BD27</f>
        <v>-70344.300625000003</v>
      </c>
      <c r="BE9" s="18">
        <f>Operational!BE27</f>
        <v>-70344.300625000003</v>
      </c>
      <c r="BF9" s="18">
        <f>Operational!BF27</f>
        <v>-70344.300625000003</v>
      </c>
      <c r="BG9" s="18">
        <f>Operational!BG27</f>
        <v>-70344.300625000003</v>
      </c>
      <c r="BH9" s="18">
        <f>Operational!BH27</f>
        <v>-70344.300625000003</v>
      </c>
      <c r="BI9" s="18">
        <f>Operational!BI27</f>
        <v>-70344.300625000003</v>
      </c>
      <c r="BJ9" s="18">
        <f>Operational!BJ27</f>
        <v>-70344.300625000003</v>
      </c>
      <c r="BK9" s="18">
        <f>Operational!BK27</f>
        <v>-70344.300625000003</v>
      </c>
      <c r="BL9" s="18">
        <f>Operational!BL27</f>
        <v>-70344.300625000003</v>
      </c>
      <c r="BM9" s="18">
        <f>Operational!BM27</f>
        <v>-72454.629643750013</v>
      </c>
      <c r="BN9" s="18">
        <f>Operational!BN27</f>
        <v>-72454.629643750013</v>
      </c>
      <c r="BO9" s="18">
        <f>Operational!BO27</f>
        <v>-72454.629643750013</v>
      </c>
      <c r="BP9" s="18">
        <f>Operational!BP27</f>
        <v>-72454.629643750013</v>
      </c>
      <c r="BQ9" s="18">
        <f>Operational!BQ27</f>
        <v>-72454.629643750013</v>
      </c>
      <c r="BR9" s="18">
        <f>Operational!BR27</f>
        <v>-72454.629643750013</v>
      </c>
      <c r="BS9" s="18">
        <f>Operational!BS27</f>
        <v>-72454.629643750013</v>
      </c>
      <c r="BT9" s="18">
        <f>Operational!BT27</f>
        <v>-72454.629643750013</v>
      </c>
      <c r="BU9" s="18">
        <f>Operational!BU27</f>
        <v>-72454.629643750013</v>
      </c>
      <c r="BV9" s="18">
        <f>Operational!BV27</f>
        <v>-72454.629643750013</v>
      </c>
      <c r="BW9" s="18">
        <f>Operational!BW27</f>
        <v>-72454.629643750013</v>
      </c>
    </row>
    <row r="10" spans="2:75" x14ac:dyDescent="0.2">
      <c r="B10" s="16" t="s">
        <v>33</v>
      </c>
      <c r="C10" s="19"/>
      <c r="D10" s="19">
        <f>SUM(D7:D9)</f>
        <v>840122.99999999988</v>
      </c>
      <c r="E10" s="19">
        <f t="shared" ref="E10:BP10" si="0">SUM(E7:E9)</f>
        <v>840122.99999999988</v>
      </c>
      <c r="F10" s="19">
        <f t="shared" si="0"/>
        <v>840122.99999999988</v>
      </c>
      <c r="G10" s="19">
        <f t="shared" si="0"/>
        <v>840122.99999999988</v>
      </c>
      <c r="H10" s="19">
        <f t="shared" si="0"/>
        <v>840122.99999999988</v>
      </c>
      <c r="I10" s="19">
        <f t="shared" si="0"/>
        <v>840122.99999999988</v>
      </c>
      <c r="J10" s="19">
        <f t="shared" si="0"/>
        <v>840122.99999999988</v>
      </c>
      <c r="K10" s="19">
        <f t="shared" si="0"/>
        <v>856925.46</v>
      </c>
      <c r="L10" s="19">
        <f t="shared" si="0"/>
        <v>856925.46</v>
      </c>
      <c r="M10" s="19">
        <f t="shared" si="0"/>
        <v>856925.46</v>
      </c>
      <c r="N10" s="19">
        <f t="shared" si="0"/>
        <v>856925.46</v>
      </c>
      <c r="O10" s="19">
        <f t="shared" si="0"/>
        <v>856925.46</v>
      </c>
      <c r="P10" s="19">
        <f t="shared" si="0"/>
        <v>856925.46</v>
      </c>
      <c r="Q10" s="19">
        <f t="shared" si="0"/>
        <v>856925.46</v>
      </c>
      <c r="R10" s="19">
        <f t="shared" si="0"/>
        <v>856925.46</v>
      </c>
      <c r="S10" s="19">
        <f t="shared" si="0"/>
        <v>856925.46</v>
      </c>
      <c r="T10" s="19">
        <f t="shared" si="0"/>
        <v>856925.46</v>
      </c>
      <c r="U10" s="19">
        <f t="shared" si="0"/>
        <v>856925.46</v>
      </c>
      <c r="V10" s="19">
        <f t="shared" si="0"/>
        <v>856925.46</v>
      </c>
      <c r="W10" s="19">
        <f t="shared" si="0"/>
        <v>874063.96920000017</v>
      </c>
      <c r="X10" s="19">
        <f t="shared" si="0"/>
        <v>0</v>
      </c>
      <c r="Y10" s="19">
        <f t="shared" si="0"/>
        <v>0</v>
      </c>
      <c r="Z10" s="19">
        <f t="shared" si="0"/>
        <v>0</v>
      </c>
      <c r="AA10" s="19">
        <f t="shared" si="0"/>
        <v>0</v>
      </c>
      <c r="AB10" s="19">
        <f t="shared" si="0"/>
        <v>0</v>
      </c>
      <c r="AC10" s="19">
        <f t="shared" si="0"/>
        <v>0</v>
      </c>
      <c r="AD10" s="19">
        <f t="shared" si="0"/>
        <v>0</v>
      </c>
      <c r="AE10" s="19">
        <f t="shared" si="0"/>
        <v>0</v>
      </c>
      <c r="AF10" s="19">
        <f t="shared" si="0"/>
        <v>0</v>
      </c>
      <c r="AG10" s="19">
        <f t="shared" si="0"/>
        <v>0</v>
      </c>
      <c r="AH10" s="19">
        <f t="shared" si="0"/>
        <v>0</v>
      </c>
      <c r="AI10" s="19">
        <f t="shared" si="0"/>
        <v>0</v>
      </c>
      <c r="AJ10" s="19">
        <f t="shared" si="0"/>
        <v>1259818.75</v>
      </c>
      <c r="AK10" s="19">
        <f t="shared" si="0"/>
        <v>1259818.75</v>
      </c>
      <c r="AL10" s="19">
        <f t="shared" si="0"/>
        <v>1259818.75</v>
      </c>
      <c r="AM10" s="19">
        <f t="shared" si="0"/>
        <v>1259818.75</v>
      </c>
      <c r="AN10" s="19">
        <f t="shared" si="0"/>
        <v>1259818.75</v>
      </c>
      <c r="AO10" s="19">
        <f t="shared" si="0"/>
        <v>1297613.3125</v>
      </c>
      <c r="AP10" s="19">
        <f t="shared" si="0"/>
        <v>1297613.3125</v>
      </c>
      <c r="AQ10" s="19">
        <f t="shared" si="0"/>
        <v>1297613.3125</v>
      </c>
      <c r="AR10" s="19">
        <f t="shared" si="0"/>
        <v>1297613.3125</v>
      </c>
      <c r="AS10" s="19">
        <f t="shared" si="0"/>
        <v>1297613.3125</v>
      </c>
      <c r="AT10" s="19">
        <f t="shared" si="0"/>
        <v>1297613.3125</v>
      </c>
      <c r="AU10" s="19">
        <f t="shared" si="0"/>
        <v>1297613.3125</v>
      </c>
      <c r="AV10" s="19">
        <f t="shared" si="0"/>
        <v>1297613.3125</v>
      </c>
      <c r="AW10" s="19">
        <f t="shared" si="0"/>
        <v>1297613.3125</v>
      </c>
      <c r="AX10" s="19">
        <f t="shared" si="0"/>
        <v>1297613.3125</v>
      </c>
      <c r="AY10" s="19">
        <f t="shared" si="0"/>
        <v>1297613.3125</v>
      </c>
      <c r="AZ10" s="19">
        <f t="shared" si="0"/>
        <v>1297613.3125</v>
      </c>
      <c r="BA10" s="19">
        <f t="shared" si="0"/>
        <v>1336541.711875</v>
      </c>
      <c r="BB10" s="19">
        <f t="shared" si="0"/>
        <v>1336541.711875</v>
      </c>
      <c r="BC10" s="19">
        <f t="shared" si="0"/>
        <v>1336541.711875</v>
      </c>
      <c r="BD10" s="19">
        <f t="shared" si="0"/>
        <v>1336541.711875</v>
      </c>
      <c r="BE10" s="19">
        <f t="shared" si="0"/>
        <v>1336541.711875</v>
      </c>
      <c r="BF10" s="19">
        <f t="shared" si="0"/>
        <v>1336541.711875</v>
      </c>
      <c r="BG10" s="19">
        <f t="shared" si="0"/>
        <v>1336541.711875</v>
      </c>
      <c r="BH10" s="19">
        <f t="shared" si="0"/>
        <v>1336541.711875</v>
      </c>
      <c r="BI10" s="19">
        <f t="shared" si="0"/>
        <v>1336541.711875</v>
      </c>
      <c r="BJ10" s="19">
        <f t="shared" si="0"/>
        <v>1336541.711875</v>
      </c>
      <c r="BK10" s="19">
        <f t="shared" si="0"/>
        <v>1336541.711875</v>
      </c>
      <c r="BL10" s="19">
        <f t="shared" si="0"/>
        <v>1336541.711875</v>
      </c>
      <c r="BM10" s="19">
        <f t="shared" si="0"/>
        <v>1376637.9632312502</v>
      </c>
      <c r="BN10" s="19">
        <f t="shared" si="0"/>
        <v>1376637.9632312502</v>
      </c>
      <c r="BO10" s="19">
        <f t="shared" si="0"/>
        <v>1376637.9632312502</v>
      </c>
      <c r="BP10" s="19">
        <f t="shared" si="0"/>
        <v>1376637.9632312502</v>
      </c>
      <c r="BQ10" s="19">
        <f t="shared" ref="BQ10:BW10" si="1">SUM(BQ7:BQ9)</f>
        <v>1376637.9632312502</v>
      </c>
      <c r="BR10" s="19">
        <f t="shared" si="1"/>
        <v>1376637.9632312502</v>
      </c>
      <c r="BS10" s="19">
        <f t="shared" si="1"/>
        <v>1376637.9632312502</v>
      </c>
      <c r="BT10" s="19">
        <f t="shared" si="1"/>
        <v>1376637.9632312502</v>
      </c>
      <c r="BU10" s="19">
        <f t="shared" si="1"/>
        <v>1376637.9632312502</v>
      </c>
      <c r="BV10" s="19">
        <f t="shared" si="1"/>
        <v>1376637.9632312502</v>
      </c>
      <c r="BW10" s="19">
        <f t="shared" si="1"/>
        <v>1376637.9632312502</v>
      </c>
    </row>
    <row r="11" spans="2:75" x14ac:dyDescent="0.2"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</row>
    <row r="12" spans="2:75" x14ac:dyDescent="0.2">
      <c r="B12" t="s">
        <v>28</v>
      </c>
      <c r="C12" s="18"/>
      <c r="D12" s="18">
        <f>Operational!D33</f>
        <v>-312500</v>
      </c>
      <c r="E12" s="18">
        <f>Operational!E33</f>
        <v>-312500</v>
      </c>
      <c r="F12" s="18">
        <f>Operational!F33</f>
        <v>-312500</v>
      </c>
      <c r="G12" s="18">
        <f>Operational!G33</f>
        <v>-312500</v>
      </c>
      <c r="H12" s="18">
        <f>Operational!H33</f>
        <v>-312500</v>
      </c>
      <c r="I12" s="18">
        <f>Operational!I33</f>
        <v>-312500</v>
      </c>
      <c r="J12" s="18">
        <f>Operational!J33</f>
        <v>-312500</v>
      </c>
      <c r="K12" s="18">
        <f>Operational!K33</f>
        <v>-312500</v>
      </c>
      <c r="L12" s="18">
        <f>Operational!L33</f>
        <v>-318750</v>
      </c>
      <c r="M12" s="18">
        <f>Operational!M33</f>
        <v>-318750</v>
      </c>
      <c r="N12" s="18">
        <f>Operational!N33</f>
        <v>-318750</v>
      </c>
      <c r="O12" s="18">
        <f>Operational!O33</f>
        <v>-318750</v>
      </c>
      <c r="P12" s="18">
        <f>Operational!P33</f>
        <v>-318750</v>
      </c>
      <c r="Q12" s="18">
        <f>Operational!Q33</f>
        <v>-318750</v>
      </c>
      <c r="R12" s="18">
        <f>Operational!R33</f>
        <v>-318750</v>
      </c>
      <c r="S12" s="18">
        <f>Operational!S33</f>
        <v>-318750</v>
      </c>
      <c r="T12" s="18">
        <f>Operational!T33</f>
        <v>-318750</v>
      </c>
      <c r="U12" s="18">
        <f>Operational!U33</f>
        <v>-318750</v>
      </c>
      <c r="V12" s="18">
        <f>Operational!V33</f>
        <v>-318750</v>
      </c>
      <c r="W12" s="18">
        <f>Operational!W33</f>
        <v>-318750</v>
      </c>
      <c r="X12" s="18">
        <f>Operational!X33</f>
        <v>-325125</v>
      </c>
      <c r="Y12" s="18">
        <f>Operational!Y33</f>
        <v>-325125</v>
      </c>
      <c r="Z12" s="18">
        <f>Operational!Z33</f>
        <v>-325125</v>
      </c>
      <c r="AA12" s="18">
        <f>Operational!AA33</f>
        <v>-325125</v>
      </c>
      <c r="AB12" s="18">
        <f>Operational!AB33</f>
        <v>-325125</v>
      </c>
      <c r="AC12" s="18">
        <f>Operational!AC33</f>
        <v>-325125</v>
      </c>
      <c r="AD12" s="18">
        <f>Operational!AD33</f>
        <v>-325125</v>
      </c>
      <c r="AE12" s="18">
        <f>Operational!AE33</f>
        <v>-325125</v>
      </c>
      <c r="AF12" s="18">
        <f>Operational!AF33</f>
        <v>-325125</v>
      </c>
      <c r="AG12" s="18">
        <f>Operational!AG33</f>
        <v>-325125</v>
      </c>
      <c r="AH12" s="18">
        <f>Operational!AH33</f>
        <v>-325125</v>
      </c>
      <c r="AI12" s="18">
        <f>Operational!AI33</f>
        <v>-325125</v>
      </c>
      <c r="AJ12" s="18">
        <f>Operational!AJ33</f>
        <v>-331627.49999999994</v>
      </c>
      <c r="AK12" s="18">
        <f>Operational!AK33</f>
        <v>-331627.49999999994</v>
      </c>
      <c r="AL12" s="18">
        <f>Operational!AL33</f>
        <v>-331627.49999999994</v>
      </c>
      <c r="AM12" s="18">
        <f>Operational!AM33</f>
        <v>-331627.49999999994</v>
      </c>
      <c r="AN12" s="18">
        <f>Operational!AN33</f>
        <v>-331627.49999999994</v>
      </c>
      <c r="AO12" s="18">
        <f>Operational!AO33</f>
        <v>-331627.49999999994</v>
      </c>
      <c r="AP12" s="18">
        <f>Operational!AP33</f>
        <v>-331627.49999999994</v>
      </c>
      <c r="AQ12" s="18">
        <f>Operational!AQ33</f>
        <v>-331627.49999999994</v>
      </c>
      <c r="AR12" s="18">
        <f>Operational!AR33</f>
        <v>-331627.49999999994</v>
      </c>
      <c r="AS12" s="18">
        <f>Operational!AS33</f>
        <v>-331627.49999999994</v>
      </c>
      <c r="AT12" s="18">
        <f>Operational!AT33</f>
        <v>-331627.49999999994</v>
      </c>
      <c r="AU12" s="18">
        <f>Operational!AU33</f>
        <v>-331627.49999999994</v>
      </c>
      <c r="AV12" s="18">
        <f>Operational!AV33</f>
        <v>-338260.05</v>
      </c>
      <c r="AW12" s="18">
        <f>Operational!AW33</f>
        <v>-338260.05</v>
      </c>
      <c r="AX12" s="18">
        <f>Operational!AX33</f>
        <v>-338260.05</v>
      </c>
      <c r="AY12" s="18">
        <f>Operational!AY33</f>
        <v>-338260.05</v>
      </c>
      <c r="AZ12" s="18">
        <f>Operational!AZ33</f>
        <v>-338260.05</v>
      </c>
      <c r="BA12" s="18">
        <f>Operational!BA33</f>
        <v>-338260.05</v>
      </c>
      <c r="BB12" s="18">
        <f>Operational!BB33</f>
        <v>-338260.05</v>
      </c>
      <c r="BC12" s="18">
        <f>Operational!BC33</f>
        <v>-338260.05</v>
      </c>
      <c r="BD12" s="18">
        <f>Operational!BD33</f>
        <v>-338260.05</v>
      </c>
      <c r="BE12" s="18">
        <f>Operational!BE33</f>
        <v>-338260.05</v>
      </c>
      <c r="BF12" s="18">
        <f>Operational!BF33</f>
        <v>-338260.05</v>
      </c>
      <c r="BG12" s="18">
        <f>Operational!BG33</f>
        <v>-338260.05</v>
      </c>
      <c r="BH12" s="18">
        <f>Operational!BH33</f>
        <v>-345025.25100000005</v>
      </c>
      <c r="BI12" s="18">
        <f>Operational!BI33</f>
        <v>-345025.25100000005</v>
      </c>
      <c r="BJ12" s="18">
        <f>Operational!BJ33</f>
        <v>-345025.25100000005</v>
      </c>
      <c r="BK12" s="18">
        <f>Operational!BK33</f>
        <v>-345025.25100000005</v>
      </c>
      <c r="BL12" s="18">
        <f>Operational!BL33</f>
        <v>-345025.25100000005</v>
      </c>
      <c r="BM12" s="18">
        <f>Operational!BM33</f>
        <v>-345025.25100000005</v>
      </c>
      <c r="BN12" s="18">
        <f>Operational!BN33</f>
        <v>-345025.25100000005</v>
      </c>
      <c r="BO12" s="18">
        <f>Operational!BO33</f>
        <v>-345025.25100000005</v>
      </c>
      <c r="BP12" s="18">
        <f>Operational!BP33</f>
        <v>-345025.25100000005</v>
      </c>
      <c r="BQ12" s="18">
        <f>Operational!BQ33</f>
        <v>-345025.25100000005</v>
      </c>
      <c r="BR12" s="18">
        <f>Operational!BR33</f>
        <v>-345025.25100000005</v>
      </c>
      <c r="BS12" s="18">
        <f>Operational!BS33</f>
        <v>-345025.25100000005</v>
      </c>
      <c r="BT12" s="18">
        <f>Operational!BT33</f>
        <v>-351925.75602000003</v>
      </c>
      <c r="BU12" s="18">
        <f>Operational!BU33</f>
        <v>-351925.75602000003</v>
      </c>
      <c r="BV12" s="18">
        <f>Operational!BV33</f>
        <v>-351925.75602000003</v>
      </c>
      <c r="BW12" s="18">
        <f>Operational!BW33</f>
        <v>-351925.75602000003</v>
      </c>
    </row>
    <row r="13" spans="2:75" x14ac:dyDescent="0.2"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</row>
    <row r="14" spans="2:75" x14ac:dyDescent="0.2">
      <c r="B14" t="s">
        <v>34</v>
      </c>
      <c r="C14" s="18"/>
      <c r="D14" s="18">
        <f>D10+D12</f>
        <v>527622.99999999988</v>
      </c>
      <c r="E14" s="18">
        <f t="shared" ref="E14:BP14" si="2">E10+E12</f>
        <v>527622.99999999988</v>
      </c>
      <c r="F14" s="18">
        <f t="shared" si="2"/>
        <v>527622.99999999988</v>
      </c>
      <c r="G14" s="18">
        <f t="shared" si="2"/>
        <v>527622.99999999988</v>
      </c>
      <c r="H14" s="18">
        <f t="shared" si="2"/>
        <v>527622.99999999988</v>
      </c>
      <c r="I14" s="18">
        <f t="shared" si="2"/>
        <v>527622.99999999988</v>
      </c>
      <c r="J14" s="18">
        <f t="shared" si="2"/>
        <v>527622.99999999988</v>
      </c>
      <c r="K14" s="18">
        <f t="shared" si="2"/>
        <v>544425.46</v>
      </c>
      <c r="L14" s="18">
        <f t="shared" si="2"/>
        <v>538175.46</v>
      </c>
      <c r="M14" s="18">
        <f t="shared" si="2"/>
        <v>538175.46</v>
      </c>
      <c r="N14" s="18">
        <f t="shared" si="2"/>
        <v>538175.46</v>
      </c>
      <c r="O14" s="18">
        <f t="shared" si="2"/>
        <v>538175.46</v>
      </c>
      <c r="P14" s="18">
        <f t="shared" si="2"/>
        <v>538175.46</v>
      </c>
      <c r="Q14" s="18">
        <f t="shared" si="2"/>
        <v>538175.46</v>
      </c>
      <c r="R14" s="18">
        <f t="shared" si="2"/>
        <v>538175.46</v>
      </c>
      <c r="S14" s="18">
        <f t="shared" si="2"/>
        <v>538175.46</v>
      </c>
      <c r="T14" s="18">
        <f t="shared" si="2"/>
        <v>538175.46</v>
      </c>
      <c r="U14" s="18">
        <f t="shared" si="2"/>
        <v>538175.46</v>
      </c>
      <c r="V14" s="18">
        <f t="shared" si="2"/>
        <v>538175.46</v>
      </c>
      <c r="W14" s="18">
        <f t="shared" si="2"/>
        <v>555313.96920000017</v>
      </c>
      <c r="X14" s="18">
        <f t="shared" si="2"/>
        <v>-325125</v>
      </c>
      <c r="Y14" s="18">
        <f t="shared" si="2"/>
        <v>-325125</v>
      </c>
      <c r="Z14" s="18">
        <f t="shared" si="2"/>
        <v>-325125</v>
      </c>
      <c r="AA14" s="18">
        <f t="shared" si="2"/>
        <v>-325125</v>
      </c>
      <c r="AB14" s="18">
        <f t="shared" si="2"/>
        <v>-325125</v>
      </c>
      <c r="AC14" s="18">
        <f t="shared" si="2"/>
        <v>-325125</v>
      </c>
      <c r="AD14" s="18">
        <f t="shared" si="2"/>
        <v>-325125</v>
      </c>
      <c r="AE14" s="18">
        <f t="shared" si="2"/>
        <v>-325125</v>
      </c>
      <c r="AF14" s="18">
        <f t="shared" si="2"/>
        <v>-325125</v>
      </c>
      <c r="AG14" s="18">
        <f t="shared" si="2"/>
        <v>-325125</v>
      </c>
      <c r="AH14" s="18">
        <f t="shared" si="2"/>
        <v>-325125</v>
      </c>
      <c r="AI14" s="18">
        <f t="shared" si="2"/>
        <v>-325125</v>
      </c>
      <c r="AJ14" s="18">
        <f t="shared" si="2"/>
        <v>928191.25</v>
      </c>
      <c r="AK14" s="18">
        <f t="shared" si="2"/>
        <v>928191.25</v>
      </c>
      <c r="AL14" s="18">
        <f t="shared" si="2"/>
        <v>928191.25</v>
      </c>
      <c r="AM14" s="18">
        <f t="shared" si="2"/>
        <v>928191.25</v>
      </c>
      <c r="AN14" s="18">
        <f t="shared" si="2"/>
        <v>928191.25</v>
      </c>
      <c r="AO14" s="18">
        <f t="shared" si="2"/>
        <v>965985.8125</v>
      </c>
      <c r="AP14" s="18">
        <f t="shared" si="2"/>
        <v>965985.8125</v>
      </c>
      <c r="AQ14" s="18">
        <f t="shared" si="2"/>
        <v>965985.8125</v>
      </c>
      <c r="AR14" s="18">
        <f t="shared" si="2"/>
        <v>965985.8125</v>
      </c>
      <c r="AS14" s="18">
        <f t="shared" si="2"/>
        <v>965985.8125</v>
      </c>
      <c r="AT14" s="18">
        <f t="shared" si="2"/>
        <v>965985.8125</v>
      </c>
      <c r="AU14" s="18">
        <f t="shared" si="2"/>
        <v>965985.8125</v>
      </c>
      <c r="AV14" s="18">
        <f t="shared" si="2"/>
        <v>959353.26249999995</v>
      </c>
      <c r="AW14" s="18">
        <f t="shared" si="2"/>
        <v>959353.26249999995</v>
      </c>
      <c r="AX14" s="18">
        <f t="shared" si="2"/>
        <v>959353.26249999995</v>
      </c>
      <c r="AY14" s="18">
        <f t="shared" si="2"/>
        <v>959353.26249999995</v>
      </c>
      <c r="AZ14" s="18">
        <f t="shared" si="2"/>
        <v>959353.26249999995</v>
      </c>
      <c r="BA14" s="18">
        <f t="shared" si="2"/>
        <v>998281.66187499999</v>
      </c>
      <c r="BB14" s="18">
        <f t="shared" si="2"/>
        <v>998281.66187499999</v>
      </c>
      <c r="BC14" s="18">
        <f t="shared" si="2"/>
        <v>998281.66187499999</v>
      </c>
      <c r="BD14" s="18">
        <f t="shared" si="2"/>
        <v>998281.66187499999</v>
      </c>
      <c r="BE14" s="18">
        <f t="shared" si="2"/>
        <v>998281.66187499999</v>
      </c>
      <c r="BF14" s="18">
        <f t="shared" si="2"/>
        <v>998281.66187499999</v>
      </c>
      <c r="BG14" s="18">
        <f t="shared" si="2"/>
        <v>998281.66187499999</v>
      </c>
      <c r="BH14" s="18">
        <f t="shared" si="2"/>
        <v>991516.46087499999</v>
      </c>
      <c r="BI14" s="18">
        <f t="shared" si="2"/>
        <v>991516.46087499999</v>
      </c>
      <c r="BJ14" s="18">
        <f t="shared" si="2"/>
        <v>991516.46087499999</v>
      </c>
      <c r="BK14" s="18">
        <f t="shared" si="2"/>
        <v>991516.46087499999</v>
      </c>
      <c r="BL14" s="18">
        <f t="shared" si="2"/>
        <v>991516.46087499999</v>
      </c>
      <c r="BM14" s="18">
        <f t="shared" si="2"/>
        <v>1031612.7122312501</v>
      </c>
      <c r="BN14" s="18">
        <f t="shared" si="2"/>
        <v>1031612.7122312501</v>
      </c>
      <c r="BO14" s="18">
        <f t="shared" si="2"/>
        <v>1031612.7122312501</v>
      </c>
      <c r="BP14" s="18">
        <f t="shared" si="2"/>
        <v>1031612.7122312501</v>
      </c>
      <c r="BQ14" s="18">
        <f t="shared" ref="BQ14:BW14" si="3">BQ10+BQ12</f>
        <v>1031612.7122312501</v>
      </c>
      <c r="BR14" s="18">
        <f t="shared" si="3"/>
        <v>1031612.7122312501</v>
      </c>
      <c r="BS14" s="18">
        <f t="shared" si="3"/>
        <v>1031612.7122312501</v>
      </c>
      <c r="BT14" s="18">
        <f t="shared" si="3"/>
        <v>1024712.2072112502</v>
      </c>
      <c r="BU14" s="18">
        <f t="shared" si="3"/>
        <v>1024712.2072112502</v>
      </c>
      <c r="BV14" s="18">
        <f t="shared" si="3"/>
        <v>1024712.2072112502</v>
      </c>
      <c r="BW14" s="18">
        <f t="shared" si="3"/>
        <v>1024712.2072112502</v>
      </c>
    </row>
    <row r="15" spans="2:75" x14ac:dyDescent="0.2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</row>
    <row r="16" spans="2:75" x14ac:dyDescent="0.2">
      <c r="B16" t="s">
        <v>35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</row>
    <row r="17" spans="2:75" x14ac:dyDescent="0.2">
      <c r="B17" t="s">
        <v>36</v>
      </c>
      <c r="C17" s="18">
        <f>-Summary!C11</f>
        <v>-5000000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</row>
    <row r="18" spans="2:75" x14ac:dyDescent="0.2">
      <c r="B18" t="s">
        <v>18</v>
      </c>
      <c r="C18" s="18"/>
      <c r="D18" s="18">
        <f>Operational!D30</f>
        <v>0</v>
      </c>
      <c r="E18" s="18">
        <f>Operational!E30</f>
        <v>0</v>
      </c>
      <c r="F18" s="18">
        <f>Operational!F30</f>
        <v>0</v>
      </c>
      <c r="G18" s="18">
        <f>Operational!G30</f>
        <v>0</v>
      </c>
      <c r="H18" s="18">
        <f>Operational!H30</f>
        <v>0</v>
      </c>
      <c r="I18" s="18">
        <f>Operational!I30</f>
        <v>0</v>
      </c>
      <c r="J18" s="18">
        <f>Operational!J30</f>
        <v>0</v>
      </c>
      <c r="K18" s="18">
        <f>Operational!K30</f>
        <v>0</v>
      </c>
      <c r="L18" s="18">
        <f>Operational!L30</f>
        <v>0</v>
      </c>
      <c r="M18" s="18">
        <f>Operational!M30</f>
        <v>0</v>
      </c>
      <c r="N18" s="18">
        <f>Operational!N30</f>
        <v>0</v>
      </c>
      <c r="O18" s="18">
        <f>Operational!O30</f>
        <v>0</v>
      </c>
      <c r="P18" s="18">
        <f>Operational!P30</f>
        <v>0</v>
      </c>
      <c r="Q18" s="18">
        <f>Operational!Q30</f>
        <v>0</v>
      </c>
      <c r="R18" s="18">
        <f>Operational!R30</f>
        <v>0</v>
      </c>
      <c r="S18" s="18">
        <f>Operational!S30</f>
        <v>0</v>
      </c>
      <c r="T18" s="18">
        <f>Operational!T30</f>
        <v>0</v>
      </c>
      <c r="U18" s="18">
        <f>Operational!U30</f>
        <v>0</v>
      </c>
      <c r="V18" s="18">
        <f>Operational!V30</f>
        <v>0</v>
      </c>
      <c r="W18" s="18">
        <f>Operational!W30</f>
        <v>0</v>
      </c>
      <c r="X18" s="18">
        <f>Operational!X30</f>
        <v>0</v>
      </c>
      <c r="Y18" s="18">
        <f>Operational!Y30</f>
        <v>0</v>
      </c>
      <c r="Z18" s="18">
        <f>Operational!Z30</f>
        <v>0</v>
      </c>
      <c r="AA18" s="18">
        <f>Operational!AA30</f>
        <v>0</v>
      </c>
      <c r="AB18" s="18">
        <f>Operational!AB30</f>
        <v>0</v>
      </c>
      <c r="AC18" s="18">
        <f>Operational!AC30</f>
        <v>-10000000</v>
      </c>
      <c r="AD18" s="18">
        <f>Operational!AD30</f>
        <v>0</v>
      </c>
      <c r="AE18" s="18">
        <f>Operational!AE30</f>
        <v>0</v>
      </c>
      <c r="AF18" s="18">
        <f>Operational!AF30</f>
        <v>0</v>
      </c>
      <c r="AG18" s="18">
        <f>Operational!AG30</f>
        <v>0</v>
      </c>
      <c r="AH18" s="18">
        <f>Operational!AH30</f>
        <v>0</v>
      </c>
      <c r="AI18" s="18">
        <f>Operational!AI30</f>
        <v>0</v>
      </c>
      <c r="AJ18" s="18">
        <f>Operational!AJ30</f>
        <v>0</v>
      </c>
      <c r="AK18" s="18">
        <f>Operational!AK30</f>
        <v>0</v>
      </c>
      <c r="AL18" s="18">
        <f>Operational!AL30</f>
        <v>0</v>
      </c>
      <c r="AM18" s="18">
        <f>Operational!AM30</f>
        <v>0</v>
      </c>
      <c r="AN18" s="18">
        <f>Operational!AN30</f>
        <v>0</v>
      </c>
      <c r="AO18" s="18">
        <f>Operational!AO30</f>
        <v>0</v>
      </c>
      <c r="AP18" s="18">
        <f>Operational!AP30</f>
        <v>0</v>
      </c>
      <c r="AQ18" s="18">
        <f>Operational!AQ30</f>
        <v>0</v>
      </c>
      <c r="AR18" s="18">
        <f>Operational!AR30</f>
        <v>0</v>
      </c>
      <c r="AS18" s="18">
        <f>Operational!AS30</f>
        <v>0</v>
      </c>
      <c r="AT18" s="18">
        <f>Operational!AT30</f>
        <v>0</v>
      </c>
      <c r="AU18" s="18">
        <f>Operational!AU30</f>
        <v>0</v>
      </c>
      <c r="AV18" s="18">
        <f>Operational!AV30</f>
        <v>0</v>
      </c>
      <c r="AW18" s="18">
        <f>Operational!AW30</f>
        <v>0</v>
      </c>
      <c r="AX18" s="18">
        <f>Operational!AX30</f>
        <v>0</v>
      </c>
      <c r="AY18" s="18">
        <f>Operational!AY30</f>
        <v>0</v>
      </c>
      <c r="AZ18" s="18">
        <f>Operational!AZ30</f>
        <v>0</v>
      </c>
      <c r="BA18" s="18">
        <f>Operational!BA30</f>
        <v>0</v>
      </c>
      <c r="BB18" s="18">
        <f>Operational!BB30</f>
        <v>0</v>
      </c>
      <c r="BC18" s="18">
        <f>Operational!BC30</f>
        <v>0</v>
      </c>
      <c r="BD18" s="18">
        <f>Operational!BD30</f>
        <v>0</v>
      </c>
      <c r="BE18" s="18">
        <f>Operational!BE30</f>
        <v>0</v>
      </c>
      <c r="BF18" s="18">
        <f>Operational!BF30</f>
        <v>0</v>
      </c>
      <c r="BG18" s="18">
        <f>Operational!BG30</f>
        <v>0</v>
      </c>
      <c r="BH18" s="18">
        <f>Operational!BH30</f>
        <v>0</v>
      </c>
      <c r="BI18" s="18">
        <f>Operational!BI30</f>
        <v>0</v>
      </c>
      <c r="BJ18" s="18">
        <f>Operational!BJ30</f>
        <v>0</v>
      </c>
      <c r="BK18" s="18">
        <f>Operational!BK30</f>
        <v>0</v>
      </c>
      <c r="BL18" s="18">
        <f>Operational!BL30</f>
        <v>0</v>
      </c>
      <c r="BM18" s="18">
        <f>Operational!BM30</f>
        <v>0</v>
      </c>
      <c r="BN18" s="18">
        <f>Operational!BN30</f>
        <v>0</v>
      </c>
      <c r="BO18" s="18">
        <f>Operational!BO30</f>
        <v>0</v>
      </c>
      <c r="BP18" s="18">
        <f>Operational!BP30</f>
        <v>0</v>
      </c>
      <c r="BQ18" s="18">
        <f>Operational!BQ30</f>
        <v>0</v>
      </c>
      <c r="BR18" s="18">
        <f>Operational!BR30</f>
        <v>0</v>
      </c>
      <c r="BS18" s="18">
        <f>Operational!BS30</f>
        <v>0</v>
      </c>
      <c r="BT18" s="18">
        <f>Operational!BT30</f>
        <v>0</v>
      </c>
      <c r="BU18" s="18">
        <f>Operational!BU30</f>
        <v>0</v>
      </c>
      <c r="BV18" s="18">
        <f>Operational!BV30</f>
        <v>0</v>
      </c>
      <c r="BW18" s="18">
        <f>Operational!BW30</f>
        <v>0</v>
      </c>
    </row>
    <row r="19" spans="2:75" x14ac:dyDescent="0.2">
      <c r="B19" s="16" t="s">
        <v>37</v>
      </c>
      <c r="C19" s="19">
        <f>SUM(C17:C18)</f>
        <v>-5000000</v>
      </c>
      <c r="D19" s="19">
        <f>SUM(D17:D18)</f>
        <v>0</v>
      </c>
      <c r="E19" s="19">
        <f t="shared" ref="E19:BP19" si="4">SUM(E17:E18)</f>
        <v>0</v>
      </c>
      <c r="F19" s="19">
        <f t="shared" si="4"/>
        <v>0</v>
      </c>
      <c r="G19" s="19">
        <f t="shared" si="4"/>
        <v>0</v>
      </c>
      <c r="H19" s="19">
        <f t="shared" si="4"/>
        <v>0</v>
      </c>
      <c r="I19" s="19">
        <f t="shared" si="4"/>
        <v>0</v>
      </c>
      <c r="J19" s="19">
        <f t="shared" si="4"/>
        <v>0</v>
      </c>
      <c r="K19" s="19">
        <f t="shared" si="4"/>
        <v>0</v>
      </c>
      <c r="L19" s="19">
        <f t="shared" si="4"/>
        <v>0</v>
      </c>
      <c r="M19" s="19">
        <f t="shared" si="4"/>
        <v>0</v>
      </c>
      <c r="N19" s="19">
        <f t="shared" si="4"/>
        <v>0</v>
      </c>
      <c r="O19" s="19">
        <f t="shared" si="4"/>
        <v>0</v>
      </c>
      <c r="P19" s="19">
        <f t="shared" si="4"/>
        <v>0</v>
      </c>
      <c r="Q19" s="19">
        <f t="shared" si="4"/>
        <v>0</v>
      </c>
      <c r="R19" s="19">
        <f t="shared" si="4"/>
        <v>0</v>
      </c>
      <c r="S19" s="19">
        <f t="shared" si="4"/>
        <v>0</v>
      </c>
      <c r="T19" s="19">
        <f t="shared" si="4"/>
        <v>0</v>
      </c>
      <c r="U19" s="19">
        <f t="shared" si="4"/>
        <v>0</v>
      </c>
      <c r="V19" s="19">
        <f t="shared" si="4"/>
        <v>0</v>
      </c>
      <c r="W19" s="19">
        <f t="shared" si="4"/>
        <v>0</v>
      </c>
      <c r="X19" s="19">
        <f t="shared" si="4"/>
        <v>0</v>
      </c>
      <c r="Y19" s="19">
        <f t="shared" si="4"/>
        <v>0</v>
      </c>
      <c r="Z19" s="19">
        <f t="shared" si="4"/>
        <v>0</v>
      </c>
      <c r="AA19" s="19">
        <f t="shared" si="4"/>
        <v>0</v>
      </c>
      <c r="AB19" s="19">
        <f t="shared" si="4"/>
        <v>0</v>
      </c>
      <c r="AC19" s="19">
        <f t="shared" si="4"/>
        <v>-10000000</v>
      </c>
      <c r="AD19" s="19">
        <f t="shared" si="4"/>
        <v>0</v>
      </c>
      <c r="AE19" s="19">
        <f t="shared" si="4"/>
        <v>0</v>
      </c>
      <c r="AF19" s="19">
        <f t="shared" si="4"/>
        <v>0</v>
      </c>
      <c r="AG19" s="19">
        <f t="shared" si="4"/>
        <v>0</v>
      </c>
      <c r="AH19" s="19">
        <f t="shared" si="4"/>
        <v>0</v>
      </c>
      <c r="AI19" s="19">
        <f t="shared" si="4"/>
        <v>0</v>
      </c>
      <c r="AJ19" s="19">
        <f t="shared" si="4"/>
        <v>0</v>
      </c>
      <c r="AK19" s="19">
        <f t="shared" si="4"/>
        <v>0</v>
      </c>
      <c r="AL19" s="19">
        <f t="shared" si="4"/>
        <v>0</v>
      </c>
      <c r="AM19" s="19">
        <f t="shared" si="4"/>
        <v>0</v>
      </c>
      <c r="AN19" s="19">
        <f t="shared" si="4"/>
        <v>0</v>
      </c>
      <c r="AO19" s="19">
        <f t="shared" si="4"/>
        <v>0</v>
      </c>
      <c r="AP19" s="19">
        <f t="shared" si="4"/>
        <v>0</v>
      </c>
      <c r="AQ19" s="19">
        <f t="shared" si="4"/>
        <v>0</v>
      </c>
      <c r="AR19" s="19">
        <f t="shared" si="4"/>
        <v>0</v>
      </c>
      <c r="AS19" s="19">
        <f t="shared" si="4"/>
        <v>0</v>
      </c>
      <c r="AT19" s="19">
        <f t="shared" si="4"/>
        <v>0</v>
      </c>
      <c r="AU19" s="19">
        <f t="shared" si="4"/>
        <v>0</v>
      </c>
      <c r="AV19" s="19">
        <f t="shared" si="4"/>
        <v>0</v>
      </c>
      <c r="AW19" s="19">
        <f t="shared" si="4"/>
        <v>0</v>
      </c>
      <c r="AX19" s="19">
        <f t="shared" si="4"/>
        <v>0</v>
      </c>
      <c r="AY19" s="19">
        <f t="shared" si="4"/>
        <v>0</v>
      </c>
      <c r="AZ19" s="19">
        <f t="shared" si="4"/>
        <v>0</v>
      </c>
      <c r="BA19" s="19">
        <f t="shared" si="4"/>
        <v>0</v>
      </c>
      <c r="BB19" s="19">
        <f t="shared" si="4"/>
        <v>0</v>
      </c>
      <c r="BC19" s="19">
        <f t="shared" si="4"/>
        <v>0</v>
      </c>
      <c r="BD19" s="19">
        <f t="shared" si="4"/>
        <v>0</v>
      </c>
      <c r="BE19" s="19">
        <f t="shared" si="4"/>
        <v>0</v>
      </c>
      <c r="BF19" s="19">
        <f t="shared" si="4"/>
        <v>0</v>
      </c>
      <c r="BG19" s="19">
        <f t="shared" si="4"/>
        <v>0</v>
      </c>
      <c r="BH19" s="19">
        <f t="shared" si="4"/>
        <v>0</v>
      </c>
      <c r="BI19" s="19">
        <f t="shared" si="4"/>
        <v>0</v>
      </c>
      <c r="BJ19" s="19">
        <f t="shared" si="4"/>
        <v>0</v>
      </c>
      <c r="BK19" s="19">
        <f t="shared" si="4"/>
        <v>0</v>
      </c>
      <c r="BL19" s="19">
        <f t="shared" si="4"/>
        <v>0</v>
      </c>
      <c r="BM19" s="19">
        <f t="shared" si="4"/>
        <v>0</v>
      </c>
      <c r="BN19" s="19">
        <f t="shared" si="4"/>
        <v>0</v>
      </c>
      <c r="BO19" s="19">
        <f t="shared" si="4"/>
        <v>0</v>
      </c>
      <c r="BP19" s="19">
        <f t="shared" si="4"/>
        <v>0</v>
      </c>
      <c r="BQ19" s="19">
        <f t="shared" ref="BQ19:BW19" si="5">SUM(BQ17:BQ18)</f>
        <v>0</v>
      </c>
      <c r="BR19" s="19">
        <f t="shared" si="5"/>
        <v>0</v>
      </c>
      <c r="BS19" s="19">
        <f t="shared" si="5"/>
        <v>0</v>
      </c>
      <c r="BT19" s="19">
        <f t="shared" si="5"/>
        <v>0</v>
      </c>
      <c r="BU19" s="19">
        <f t="shared" si="5"/>
        <v>0</v>
      </c>
      <c r="BV19" s="19">
        <f t="shared" si="5"/>
        <v>0</v>
      </c>
      <c r="BW19" s="19">
        <f t="shared" si="5"/>
        <v>0</v>
      </c>
    </row>
    <row r="20" spans="2:75" x14ac:dyDescent="0.2"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</row>
    <row r="21" spans="2:75" x14ac:dyDescent="0.2">
      <c r="B21" s="2" t="s">
        <v>38</v>
      </c>
      <c r="C21" s="21">
        <f>C14+C19</f>
        <v>-5000000</v>
      </c>
      <c r="D21" s="21">
        <f>D14+D19</f>
        <v>527622.99999999988</v>
      </c>
      <c r="E21" s="21">
        <f t="shared" ref="E21:BP21" si="6">E14+E19</f>
        <v>527622.99999999988</v>
      </c>
      <c r="F21" s="21">
        <f t="shared" si="6"/>
        <v>527622.99999999988</v>
      </c>
      <c r="G21" s="21">
        <f t="shared" si="6"/>
        <v>527622.99999999988</v>
      </c>
      <c r="H21" s="21">
        <f t="shared" si="6"/>
        <v>527622.99999999988</v>
      </c>
      <c r="I21" s="21">
        <f t="shared" si="6"/>
        <v>527622.99999999988</v>
      </c>
      <c r="J21" s="21">
        <f t="shared" si="6"/>
        <v>527622.99999999988</v>
      </c>
      <c r="K21" s="21">
        <f t="shared" si="6"/>
        <v>544425.46</v>
      </c>
      <c r="L21" s="21">
        <f t="shared" si="6"/>
        <v>538175.46</v>
      </c>
      <c r="M21" s="21">
        <f t="shared" si="6"/>
        <v>538175.46</v>
      </c>
      <c r="N21" s="21">
        <f t="shared" si="6"/>
        <v>538175.46</v>
      </c>
      <c r="O21" s="21">
        <f t="shared" si="6"/>
        <v>538175.46</v>
      </c>
      <c r="P21" s="21">
        <f t="shared" si="6"/>
        <v>538175.46</v>
      </c>
      <c r="Q21" s="21">
        <f t="shared" si="6"/>
        <v>538175.46</v>
      </c>
      <c r="R21" s="21">
        <f t="shared" si="6"/>
        <v>538175.46</v>
      </c>
      <c r="S21" s="21">
        <f t="shared" si="6"/>
        <v>538175.46</v>
      </c>
      <c r="T21" s="21">
        <f t="shared" si="6"/>
        <v>538175.46</v>
      </c>
      <c r="U21" s="21">
        <f t="shared" si="6"/>
        <v>538175.46</v>
      </c>
      <c r="V21" s="21">
        <f t="shared" si="6"/>
        <v>538175.46</v>
      </c>
      <c r="W21" s="21">
        <f t="shared" si="6"/>
        <v>555313.96920000017</v>
      </c>
      <c r="X21" s="21">
        <f t="shared" si="6"/>
        <v>-325125</v>
      </c>
      <c r="Y21" s="21">
        <f t="shared" si="6"/>
        <v>-325125</v>
      </c>
      <c r="Z21" s="21">
        <f t="shared" si="6"/>
        <v>-325125</v>
      </c>
      <c r="AA21" s="21">
        <f t="shared" si="6"/>
        <v>-325125</v>
      </c>
      <c r="AB21" s="21">
        <f t="shared" si="6"/>
        <v>-325125</v>
      </c>
      <c r="AC21" s="21">
        <f t="shared" si="6"/>
        <v>-10325125</v>
      </c>
      <c r="AD21" s="21">
        <f t="shared" si="6"/>
        <v>-325125</v>
      </c>
      <c r="AE21" s="21">
        <f t="shared" si="6"/>
        <v>-325125</v>
      </c>
      <c r="AF21" s="21">
        <f t="shared" si="6"/>
        <v>-325125</v>
      </c>
      <c r="AG21" s="21">
        <f t="shared" si="6"/>
        <v>-325125</v>
      </c>
      <c r="AH21" s="21">
        <f t="shared" si="6"/>
        <v>-325125</v>
      </c>
      <c r="AI21" s="21">
        <f t="shared" si="6"/>
        <v>-325125</v>
      </c>
      <c r="AJ21" s="21">
        <f t="shared" si="6"/>
        <v>928191.25</v>
      </c>
      <c r="AK21" s="21">
        <f t="shared" si="6"/>
        <v>928191.25</v>
      </c>
      <c r="AL21" s="21">
        <f t="shared" si="6"/>
        <v>928191.25</v>
      </c>
      <c r="AM21" s="21">
        <f t="shared" si="6"/>
        <v>928191.25</v>
      </c>
      <c r="AN21" s="21">
        <f t="shared" si="6"/>
        <v>928191.25</v>
      </c>
      <c r="AO21" s="21">
        <f t="shared" si="6"/>
        <v>965985.8125</v>
      </c>
      <c r="AP21" s="21">
        <f t="shared" si="6"/>
        <v>965985.8125</v>
      </c>
      <c r="AQ21" s="21">
        <f t="shared" si="6"/>
        <v>965985.8125</v>
      </c>
      <c r="AR21" s="21">
        <f t="shared" si="6"/>
        <v>965985.8125</v>
      </c>
      <c r="AS21" s="21">
        <f t="shared" si="6"/>
        <v>965985.8125</v>
      </c>
      <c r="AT21" s="21">
        <f t="shared" si="6"/>
        <v>965985.8125</v>
      </c>
      <c r="AU21" s="21">
        <f t="shared" si="6"/>
        <v>965985.8125</v>
      </c>
      <c r="AV21" s="21">
        <f t="shared" si="6"/>
        <v>959353.26249999995</v>
      </c>
      <c r="AW21" s="21">
        <f t="shared" si="6"/>
        <v>959353.26249999995</v>
      </c>
      <c r="AX21" s="21">
        <f t="shared" si="6"/>
        <v>959353.26249999995</v>
      </c>
      <c r="AY21" s="21">
        <f t="shared" si="6"/>
        <v>959353.26249999995</v>
      </c>
      <c r="AZ21" s="21">
        <f t="shared" si="6"/>
        <v>959353.26249999995</v>
      </c>
      <c r="BA21" s="21">
        <f t="shared" si="6"/>
        <v>998281.66187499999</v>
      </c>
      <c r="BB21" s="21">
        <f t="shared" si="6"/>
        <v>998281.66187499999</v>
      </c>
      <c r="BC21" s="21">
        <f t="shared" si="6"/>
        <v>998281.66187499999</v>
      </c>
      <c r="BD21" s="21">
        <f t="shared" si="6"/>
        <v>998281.66187499999</v>
      </c>
      <c r="BE21" s="21">
        <f t="shared" si="6"/>
        <v>998281.66187499999</v>
      </c>
      <c r="BF21" s="21">
        <f t="shared" si="6"/>
        <v>998281.66187499999</v>
      </c>
      <c r="BG21" s="21">
        <f t="shared" si="6"/>
        <v>998281.66187499999</v>
      </c>
      <c r="BH21" s="21">
        <f t="shared" si="6"/>
        <v>991516.46087499999</v>
      </c>
      <c r="BI21" s="21">
        <f t="shared" si="6"/>
        <v>991516.46087499999</v>
      </c>
      <c r="BJ21" s="21">
        <f t="shared" si="6"/>
        <v>991516.46087499999</v>
      </c>
      <c r="BK21" s="21">
        <f t="shared" si="6"/>
        <v>991516.46087499999</v>
      </c>
      <c r="BL21" s="21">
        <f t="shared" si="6"/>
        <v>991516.46087499999</v>
      </c>
      <c r="BM21" s="21">
        <f t="shared" si="6"/>
        <v>1031612.7122312501</v>
      </c>
      <c r="BN21" s="21">
        <f t="shared" si="6"/>
        <v>1031612.7122312501</v>
      </c>
      <c r="BO21" s="21">
        <f t="shared" si="6"/>
        <v>1031612.7122312501</v>
      </c>
      <c r="BP21" s="21">
        <f t="shared" si="6"/>
        <v>1031612.7122312501</v>
      </c>
      <c r="BQ21" s="21">
        <f t="shared" ref="BQ21:BW21" si="7">BQ14+BQ19</f>
        <v>1031612.7122312501</v>
      </c>
      <c r="BR21" s="21">
        <f t="shared" si="7"/>
        <v>1031612.7122312501</v>
      </c>
      <c r="BS21" s="21">
        <f t="shared" si="7"/>
        <v>1031612.7122312501</v>
      </c>
      <c r="BT21" s="21">
        <f t="shared" si="7"/>
        <v>1024712.2072112502</v>
      </c>
      <c r="BU21" s="21">
        <f t="shared" si="7"/>
        <v>1024712.2072112502</v>
      </c>
      <c r="BV21" s="21">
        <f t="shared" si="7"/>
        <v>1024712.2072112502</v>
      </c>
      <c r="BW21" s="21">
        <f t="shared" si="7"/>
        <v>1024712.2072112502</v>
      </c>
    </row>
    <row r="22" spans="2:75" x14ac:dyDescent="0.2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</row>
    <row r="23" spans="2:75" x14ac:dyDescent="0.2">
      <c r="B23" s="2" t="s">
        <v>39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</row>
    <row r="24" spans="2:75" x14ac:dyDescent="0.2">
      <c r="B24" t="s">
        <v>40</v>
      </c>
      <c r="C24" s="18">
        <f>-Summary!C6</f>
        <v>-100000000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</row>
    <row r="25" spans="2:75" x14ac:dyDescent="0.2">
      <c r="B25" s="15" t="s">
        <v>41</v>
      </c>
      <c r="C25" s="18"/>
      <c r="D25" s="18">
        <f>IF(D6=Summary!$C$16,SUM(E14:P14)/Summary!$C$17,0)</f>
        <v>0</v>
      </c>
      <c r="E25" s="18">
        <f>IF(E6=Summary!$C$16,SUM(F14:Q14)/Summary!$C$17,0)</f>
        <v>0</v>
      </c>
      <c r="F25" s="18">
        <f>IF(F6=Summary!$C$16,SUM(G14:R14)/Summary!$C$17,0)</f>
        <v>0</v>
      </c>
      <c r="G25" s="18">
        <f>IF(G6=Summary!$C$16,SUM(H14:S14)/Summary!$C$17,0)</f>
        <v>0</v>
      </c>
      <c r="H25" s="18">
        <f>IF(H6=Summary!$C$16,SUM(I14:T14)/Summary!$C$17,0)</f>
        <v>0</v>
      </c>
      <c r="I25" s="18">
        <f>IF(I6=Summary!$C$16,SUM(J14:U14)/Summary!$C$17,0)</f>
        <v>0</v>
      </c>
      <c r="J25" s="18">
        <f>IF(J6=Summary!$C$16,SUM(K14:V14)/Summary!$C$17,0)</f>
        <v>0</v>
      </c>
      <c r="K25" s="18">
        <f>IF(K6=Summary!$C$16,SUM(L14:W14)/Summary!$C$17,0)</f>
        <v>0</v>
      </c>
      <c r="L25" s="18">
        <f>IF(L6=Summary!$C$16,SUM(M14:X14)/Summary!$C$17,0)</f>
        <v>0</v>
      </c>
      <c r="M25" s="18">
        <f>IF(M6=Summary!$C$16,SUM(N14:Y14)/Summary!$C$17,0)</f>
        <v>0</v>
      </c>
      <c r="N25" s="18">
        <f>IF(N6=Summary!$C$16,SUM(O14:Z14)/Summary!$C$17,0)</f>
        <v>0</v>
      </c>
      <c r="O25" s="18">
        <f>IF(O6=Summary!$C$16,SUM(P14:AA14)/Summary!$C$17,0)</f>
        <v>0</v>
      </c>
      <c r="P25" s="18">
        <f>IF(P6=Summary!$C$16,SUM(Q14:AB14)/Summary!$C$17,0)</f>
        <v>0</v>
      </c>
      <c r="Q25" s="18">
        <f>IF(Q6=Summary!$C$16,SUM(R14:AC14)/Summary!$C$17,0)</f>
        <v>0</v>
      </c>
      <c r="R25" s="18">
        <f>IF(R6=Summary!$C$16,SUM(S14:AD14)/Summary!$C$17,0)</f>
        <v>0</v>
      </c>
      <c r="S25" s="18">
        <f>IF(S6=Summary!$C$16,SUM(T14:AE14)/Summary!$C$17,0)</f>
        <v>0</v>
      </c>
      <c r="T25" s="18">
        <f>IF(T6=Summary!$C$16,SUM(U14:AF14)/Summary!$C$17,0)</f>
        <v>0</v>
      </c>
      <c r="U25" s="18">
        <f>IF(U6=Summary!$C$16,SUM(V14:AG14)/Summary!$C$17,0)</f>
        <v>0</v>
      </c>
      <c r="V25" s="18">
        <f>IF(V6=Summary!$C$16,SUM(W14:AH14)/Summary!$C$17,0)</f>
        <v>0</v>
      </c>
      <c r="W25" s="18">
        <f>IF(W6=Summary!$C$16,SUM(X14:AI14)/Summary!$C$17,0)</f>
        <v>0</v>
      </c>
      <c r="X25" s="18">
        <f>IF(X6=Summary!$C$16,SUM(Y14:AJ14)/Summary!$C$17,0)</f>
        <v>0</v>
      </c>
      <c r="Y25" s="18">
        <f>IF(Y6=Summary!$C$16,SUM(Z14:AK14)/Summary!$C$17,0)</f>
        <v>0</v>
      </c>
      <c r="Z25" s="18">
        <f>IF(Z6=Summary!$C$16,SUM(AA14:AL14)/Summary!$C$17,0)</f>
        <v>0</v>
      </c>
      <c r="AA25" s="18">
        <f>IF(AA6=Summary!$C$16,SUM(AB14:AM14)/Summary!$C$17,0)</f>
        <v>0</v>
      </c>
      <c r="AB25" s="18">
        <f>IF(AB6=Summary!$C$16,SUM(AC14:AN14)/Summary!$C$17,0)</f>
        <v>0</v>
      </c>
      <c r="AC25" s="18">
        <f>IF(AC6=Summary!$C$16,SUM(AD14:AO14)/Summary!$C$17,0)</f>
        <v>0</v>
      </c>
      <c r="AD25" s="18">
        <f>IF(AD6=Summary!$C$16,SUM(AE14:AP14)/Summary!$C$17,0)</f>
        <v>0</v>
      </c>
      <c r="AE25" s="18">
        <f>IF(AE6=Summary!$C$16,SUM(AF14:AQ14)/Summary!$C$17,0)</f>
        <v>0</v>
      </c>
      <c r="AF25" s="18">
        <f>IF(AF6=Summary!$C$16,SUM(AG14:AR14)/Summary!$C$17,0)</f>
        <v>0</v>
      </c>
      <c r="AG25" s="18">
        <f>IF(AG6=Summary!$C$16,SUM(AH14:AS14)/Summary!$C$17,0)</f>
        <v>0</v>
      </c>
      <c r="AH25" s="18">
        <f>IF(AH6=Summary!$C$16,SUM(AI14:AT14)/Summary!$C$17,0)</f>
        <v>0</v>
      </c>
      <c r="AI25" s="18">
        <f>IF(AI6=Summary!$C$16,SUM(AJ14:AU14)/Summary!$C$17,0)</f>
        <v>0</v>
      </c>
      <c r="AJ25" s="18">
        <f>IF(AJ6=Summary!$C$16,SUM(AK14:AV14)/Summary!$C$17,0)</f>
        <v>0</v>
      </c>
      <c r="AK25" s="18">
        <f>IF(AK6=Summary!$C$16,SUM(AL14:AW14)/Summary!$C$17,0)</f>
        <v>0</v>
      </c>
      <c r="AL25" s="18">
        <f>IF(AL6=Summary!$C$16,SUM(AM14:AX14)/Summary!$C$17,0)</f>
        <v>0</v>
      </c>
      <c r="AM25" s="18">
        <f>IF(AM6=Summary!$C$16,SUM(AN14:AY14)/Summary!$C$17,0)</f>
        <v>0</v>
      </c>
      <c r="AN25" s="18">
        <f>IF(AN6=Summary!$C$16,SUM(AO14:AZ14)/Summary!$C$17,0)</f>
        <v>0</v>
      </c>
      <c r="AO25" s="18">
        <f>IF(AO6=Summary!$C$16,SUM(AP14:BA14)/Summary!$C$17,0)</f>
        <v>0</v>
      </c>
      <c r="AP25" s="18">
        <f>IF(AP6=Summary!$C$16,SUM(AQ14:BB14)/Summary!$C$17,0)</f>
        <v>0</v>
      </c>
      <c r="AQ25" s="18">
        <f>IF(AQ6=Summary!$C$16,SUM(AR14:BC14)/Summary!$C$17,0)</f>
        <v>0</v>
      </c>
      <c r="AR25" s="18">
        <f>IF(AR6=Summary!$C$16,SUM(AS14:BD14)/Summary!$C$17,0)</f>
        <v>0</v>
      </c>
      <c r="AS25" s="18">
        <f>IF(AS6=Summary!$C$16,SUM(AT14:BE14)/Summary!$C$17,0)</f>
        <v>0</v>
      </c>
      <c r="AT25" s="18">
        <f>IF(AT6=Summary!$C$16,SUM(AU14:BF14)/Summary!$C$17,0)</f>
        <v>0</v>
      </c>
      <c r="AU25" s="18">
        <f>IF(AU6=Summary!$C$16,SUM(AV14:BG14)/Summary!$C$17,0)</f>
        <v>0</v>
      </c>
      <c r="AV25" s="18">
        <f>IF(AV6=Summary!$C$16,SUM(AW14:BH14)/Summary!$C$17,0)</f>
        <v>0</v>
      </c>
      <c r="AW25" s="18">
        <f>IF(AW6=Summary!$C$16,SUM(AX14:BI14)/Summary!$C$17,0)</f>
        <v>0</v>
      </c>
      <c r="AX25" s="18">
        <f>IF(AX6=Summary!$C$16,SUM(AY14:BJ14)/Summary!$C$17,0)</f>
        <v>0</v>
      </c>
      <c r="AY25" s="18">
        <f>IF(AY6=Summary!$C$16,SUM(AZ14:BK14)/Summary!$C$17,0)</f>
        <v>0</v>
      </c>
      <c r="AZ25" s="18">
        <f>IF(AZ6=Summary!$C$16,SUM(BA14:BL14)/Summary!$C$17,0)</f>
        <v>0</v>
      </c>
      <c r="BA25" s="18">
        <f>IF(BA6=Summary!$C$16,SUM(BB14:BM14)/Summary!$C$17,0)</f>
        <v>0</v>
      </c>
      <c r="BB25" s="18">
        <f>IF(BB6=Summary!$C$16,SUM(BC14:BN14)/Summary!$C$17,0)</f>
        <v>0</v>
      </c>
      <c r="BC25" s="18">
        <f>IF(BC6=Summary!$C$16,SUM(BD14:BO14)/Summary!$C$17,0)</f>
        <v>0</v>
      </c>
      <c r="BD25" s="18">
        <f>IF(BD6=Summary!$C$16,SUM(BE14:BP14)/Summary!$C$17,0)</f>
        <v>0</v>
      </c>
      <c r="BE25" s="18">
        <f>IF(BE6=Summary!$C$16,SUM(BF14:BQ14)/Summary!$C$17,0)</f>
        <v>0</v>
      </c>
      <c r="BF25" s="18">
        <f>IF(BF6=Summary!$C$16,SUM(BG14:BR14)/Summary!$C$17,0)</f>
        <v>0</v>
      </c>
      <c r="BG25" s="18">
        <f>IF(BG6=Summary!$C$16,SUM(BH14:BS14)/Summary!$C$17,0)</f>
        <v>0</v>
      </c>
      <c r="BH25" s="18">
        <f>IF(BH6=Summary!$C$16,SUM(BI14:BT14)/Summary!$C$17,0)</f>
        <v>0</v>
      </c>
      <c r="BI25" s="18">
        <f>IF(BI6=Summary!$C$16,SUM(BJ14:BU14)/Summary!$C$17,0)</f>
        <v>0</v>
      </c>
      <c r="BJ25" s="18">
        <f>IF(BJ6=Summary!$C$16,SUM(BK14:BV14)/Summary!$C$17,0)</f>
        <v>0</v>
      </c>
      <c r="BK25" s="18">
        <f>IF(BK6=Summary!$C$16,SUM(BL14:BW14)/Summary!$C$17,0)</f>
        <v>205194237.92231259</v>
      </c>
      <c r="BL25" s="18">
        <f>IF(BL6=Summary!$C$16,SUM(BM14:BX14)/Summary!$C$17,0)</f>
        <v>0</v>
      </c>
      <c r="BM25" s="18">
        <f>IF(BM6=Summary!$C$16,SUM(BN14:BY14)/Summary!$C$17,0)</f>
        <v>0</v>
      </c>
      <c r="BN25" s="18">
        <f>IF(BN6=Summary!$C$16,SUM(BO14:BZ14)/Summary!$C$17,0)</f>
        <v>0</v>
      </c>
      <c r="BO25" s="18">
        <f>IF(BO6=Summary!$C$16,SUM(BP14:CA14)/Summary!$C$17,0)</f>
        <v>0</v>
      </c>
      <c r="BP25" s="18">
        <f>IF(BP6=Summary!$C$16,SUM(BQ14:CB14)/Summary!$C$17,0)</f>
        <v>0</v>
      </c>
      <c r="BQ25" s="18">
        <f>IF(BQ6=Summary!$C$16,SUM(BR14:CC14)/Summary!$C$17,0)</f>
        <v>0</v>
      </c>
      <c r="BR25" s="18">
        <f>IF(BR6=Summary!$C$16,SUM(BS14:CD14)/Summary!$C$17,0)</f>
        <v>0</v>
      </c>
      <c r="BS25" s="18">
        <f>IF(BS6=Summary!$C$16,SUM(BT14:CE14)/Summary!$C$17,0)</f>
        <v>0</v>
      </c>
      <c r="BT25" s="18">
        <f>IF(BT6=Summary!$C$16,SUM(BU14:CF14)/Summary!$C$17,0)</f>
        <v>0</v>
      </c>
      <c r="BU25" s="18">
        <f>IF(BU6=Summary!$C$16,SUM(BV14:CG14)/Summary!$C$17,0)</f>
        <v>0</v>
      </c>
      <c r="BV25" s="18">
        <f>IF(BV6=Summary!$C$16,SUM(BW14:CH14)/Summary!$C$17,0)</f>
        <v>0</v>
      </c>
      <c r="BW25" s="18">
        <f>IF(BW6=Summary!$C$16,SUM(BX14:CI14)/Summary!$C$17,0)</f>
        <v>0</v>
      </c>
    </row>
    <row r="26" spans="2:75" x14ac:dyDescent="0.2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</row>
    <row r="27" spans="2:75" x14ac:dyDescent="0.2">
      <c r="B27" s="2" t="s">
        <v>42</v>
      </c>
      <c r="C27" s="18">
        <f>(C21+C24+C25)*(C6&lt;=Summary!$C$16)</f>
        <v>-105000000</v>
      </c>
      <c r="D27" s="18">
        <f>(D21+D24+D25)*(D6&lt;=Summary!$C$16)</f>
        <v>527622.99999999988</v>
      </c>
      <c r="E27" s="18">
        <f>(E21+E24+E25)*(E6&lt;=Summary!$C$16)</f>
        <v>527622.99999999988</v>
      </c>
      <c r="F27" s="18">
        <f>(F21+F24+F25)*(F6&lt;=Summary!$C$16)</f>
        <v>527622.99999999988</v>
      </c>
      <c r="G27" s="18">
        <f>(G21+G24+G25)*(G6&lt;=Summary!$C$16)</f>
        <v>527622.99999999988</v>
      </c>
      <c r="H27" s="18">
        <f>(H21+H24+H25)*(H6&lt;=Summary!$C$16)</f>
        <v>527622.99999999988</v>
      </c>
      <c r="I27" s="18">
        <f>(I21+I24+I25)*(I6&lt;=Summary!$C$16)</f>
        <v>527622.99999999988</v>
      </c>
      <c r="J27" s="18">
        <f>(J21+J24+J25)*(J6&lt;=Summary!$C$16)</f>
        <v>527622.99999999988</v>
      </c>
      <c r="K27" s="18">
        <f>(K21+K24+K25)*(K6&lt;=Summary!$C$16)</f>
        <v>544425.46</v>
      </c>
      <c r="L27" s="18">
        <f>(L21+L24+L25)*(L6&lt;=Summary!$C$16)</f>
        <v>538175.46</v>
      </c>
      <c r="M27" s="18">
        <f>(M21+M24+M25)*(M6&lt;=Summary!$C$16)</f>
        <v>538175.46</v>
      </c>
      <c r="N27" s="18">
        <f>(N21+N24+N25)*(N6&lt;=Summary!$C$16)</f>
        <v>538175.46</v>
      </c>
      <c r="O27" s="18">
        <f>(O21+O24+O25)*(O6&lt;=Summary!$C$16)</f>
        <v>538175.46</v>
      </c>
      <c r="P27" s="18">
        <f>(P21+P24+P25)*(P6&lt;=Summary!$C$16)</f>
        <v>538175.46</v>
      </c>
      <c r="Q27" s="18">
        <f>(Q21+Q24+Q25)*(Q6&lt;=Summary!$C$16)</f>
        <v>538175.46</v>
      </c>
      <c r="R27" s="18">
        <f>(R21+R24+R25)*(R6&lt;=Summary!$C$16)</f>
        <v>538175.46</v>
      </c>
      <c r="S27" s="18">
        <f>(S21+S24+S25)*(S6&lt;=Summary!$C$16)</f>
        <v>538175.46</v>
      </c>
      <c r="T27" s="18">
        <f>(T21+T24+T25)*(T6&lt;=Summary!$C$16)</f>
        <v>538175.46</v>
      </c>
      <c r="U27" s="18">
        <f>(U21+U24+U25)*(U6&lt;=Summary!$C$16)</f>
        <v>538175.46</v>
      </c>
      <c r="V27" s="18">
        <f>(V21+V24+V25)*(V6&lt;=Summary!$C$16)</f>
        <v>538175.46</v>
      </c>
      <c r="W27" s="18">
        <f>(W21+W24+W25)*(W6&lt;=Summary!$C$16)</f>
        <v>555313.96920000017</v>
      </c>
      <c r="X27" s="18">
        <f>(X21+X24+X25)*(X6&lt;=Summary!$C$16)</f>
        <v>-325125</v>
      </c>
      <c r="Y27" s="18">
        <f>(Y21+Y24+Y25)*(Y6&lt;=Summary!$C$16)</f>
        <v>-325125</v>
      </c>
      <c r="Z27" s="18">
        <f>(Z21+Z24+Z25)*(Z6&lt;=Summary!$C$16)</f>
        <v>-325125</v>
      </c>
      <c r="AA27" s="18">
        <f>(AA21+AA24+AA25)*(AA6&lt;=Summary!$C$16)</f>
        <v>-325125</v>
      </c>
      <c r="AB27" s="18">
        <f>(AB21+AB24+AB25)*(AB6&lt;=Summary!$C$16)</f>
        <v>-325125</v>
      </c>
      <c r="AC27" s="18">
        <f>(AC21+AC24+AC25)*(AC6&lt;=Summary!$C$16)</f>
        <v>-10325125</v>
      </c>
      <c r="AD27" s="18">
        <f>(AD21+AD24+AD25)*(AD6&lt;=Summary!$C$16)</f>
        <v>-325125</v>
      </c>
      <c r="AE27" s="18">
        <f>(AE21+AE24+AE25)*(AE6&lt;=Summary!$C$16)</f>
        <v>-325125</v>
      </c>
      <c r="AF27" s="18">
        <f>(AF21+AF24+AF25)*(AF6&lt;=Summary!$C$16)</f>
        <v>-325125</v>
      </c>
      <c r="AG27" s="18">
        <f>(AG21+AG24+AG25)*(AG6&lt;=Summary!$C$16)</f>
        <v>-325125</v>
      </c>
      <c r="AH27" s="18">
        <f>(AH21+AH24+AH25)*(AH6&lt;=Summary!$C$16)</f>
        <v>-325125</v>
      </c>
      <c r="AI27" s="18">
        <f>(AI21+AI24+AI25)*(AI6&lt;=Summary!$C$16)</f>
        <v>-325125</v>
      </c>
      <c r="AJ27" s="18">
        <f>(AJ21+AJ24+AJ25)*(AJ6&lt;=Summary!$C$16)</f>
        <v>928191.25</v>
      </c>
      <c r="AK27" s="18">
        <f>(AK21+AK24+AK25)*(AK6&lt;=Summary!$C$16)</f>
        <v>928191.25</v>
      </c>
      <c r="AL27" s="18">
        <f>(AL21+AL24+AL25)*(AL6&lt;=Summary!$C$16)</f>
        <v>928191.25</v>
      </c>
      <c r="AM27" s="18">
        <f>(AM21+AM24+AM25)*(AM6&lt;=Summary!$C$16)</f>
        <v>928191.25</v>
      </c>
      <c r="AN27" s="18">
        <f>(AN21+AN24+AN25)*(AN6&lt;=Summary!$C$16)</f>
        <v>928191.25</v>
      </c>
      <c r="AO27" s="18">
        <f>(AO21+AO24+AO25)*(AO6&lt;=Summary!$C$16)</f>
        <v>965985.8125</v>
      </c>
      <c r="AP27" s="18">
        <f>(AP21+AP24+AP25)*(AP6&lt;=Summary!$C$16)</f>
        <v>965985.8125</v>
      </c>
      <c r="AQ27" s="18">
        <f>(AQ21+AQ24+AQ25)*(AQ6&lt;=Summary!$C$16)</f>
        <v>965985.8125</v>
      </c>
      <c r="AR27" s="18">
        <f>(AR21+AR24+AR25)*(AR6&lt;=Summary!$C$16)</f>
        <v>965985.8125</v>
      </c>
      <c r="AS27" s="18">
        <f>(AS21+AS24+AS25)*(AS6&lt;=Summary!$C$16)</f>
        <v>965985.8125</v>
      </c>
      <c r="AT27" s="18">
        <f>(AT21+AT24+AT25)*(AT6&lt;=Summary!$C$16)</f>
        <v>965985.8125</v>
      </c>
      <c r="AU27" s="18">
        <f>(AU21+AU24+AU25)*(AU6&lt;=Summary!$C$16)</f>
        <v>965985.8125</v>
      </c>
      <c r="AV27" s="18">
        <f>(AV21+AV24+AV25)*(AV6&lt;=Summary!$C$16)</f>
        <v>959353.26249999995</v>
      </c>
      <c r="AW27" s="18">
        <f>(AW21+AW24+AW25)*(AW6&lt;=Summary!$C$16)</f>
        <v>959353.26249999995</v>
      </c>
      <c r="AX27" s="18">
        <f>(AX21+AX24+AX25)*(AX6&lt;=Summary!$C$16)</f>
        <v>959353.26249999995</v>
      </c>
      <c r="AY27" s="18">
        <f>(AY21+AY24+AY25)*(AY6&lt;=Summary!$C$16)</f>
        <v>959353.26249999995</v>
      </c>
      <c r="AZ27" s="18">
        <f>(AZ21+AZ24+AZ25)*(AZ6&lt;=Summary!$C$16)</f>
        <v>959353.26249999995</v>
      </c>
      <c r="BA27" s="18">
        <f>(BA21+BA24+BA25)*(BA6&lt;=Summary!$C$16)</f>
        <v>998281.66187499999</v>
      </c>
      <c r="BB27" s="18">
        <f>(BB21+BB24+BB25)*(BB6&lt;=Summary!$C$16)</f>
        <v>998281.66187499999</v>
      </c>
      <c r="BC27" s="18">
        <f>(BC21+BC24+BC25)*(BC6&lt;=Summary!$C$16)</f>
        <v>998281.66187499999</v>
      </c>
      <c r="BD27" s="18">
        <f>(BD21+BD24+BD25)*(BD6&lt;=Summary!$C$16)</f>
        <v>998281.66187499999</v>
      </c>
      <c r="BE27" s="18">
        <f>(BE21+BE24+BE25)*(BE6&lt;=Summary!$C$16)</f>
        <v>998281.66187499999</v>
      </c>
      <c r="BF27" s="18">
        <f>(BF21+BF24+BF25)*(BF6&lt;=Summary!$C$16)</f>
        <v>998281.66187499999</v>
      </c>
      <c r="BG27" s="18">
        <f>(BG21+BG24+BG25)*(BG6&lt;=Summary!$C$16)</f>
        <v>998281.66187499999</v>
      </c>
      <c r="BH27" s="18">
        <f>(BH21+BH24+BH25)*(BH6&lt;=Summary!$C$16)</f>
        <v>991516.46087499999</v>
      </c>
      <c r="BI27" s="18">
        <f>(BI21+BI24+BI25)*(BI6&lt;=Summary!$C$16)</f>
        <v>991516.46087499999</v>
      </c>
      <c r="BJ27" s="18">
        <f>(BJ21+BJ24+BJ25)*(BJ6&lt;=Summary!$C$16)</f>
        <v>991516.46087499999</v>
      </c>
      <c r="BK27" s="18">
        <f>(BK21+BK24+BK25)*(BK6&lt;=Summary!$C$16)</f>
        <v>206185754.38318759</v>
      </c>
      <c r="BL27" s="18">
        <f>(BL21+BL24+BL25)*(BL6&lt;=Summary!$C$16)</f>
        <v>0</v>
      </c>
      <c r="BM27" s="18">
        <f>(BM21+BM24+BM25)*(BM6&lt;=Summary!$C$16)</f>
        <v>0</v>
      </c>
      <c r="BN27" s="18">
        <f>(BN21+BN24+BN25)*(BN6&lt;=Summary!$C$16)</f>
        <v>0</v>
      </c>
      <c r="BO27" s="18">
        <f>(BO21+BO24+BO25)*(BO6&lt;=Summary!$C$16)</f>
        <v>0</v>
      </c>
      <c r="BP27" s="18">
        <f>(BP21+BP24+BP25)*(BP6&lt;=Summary!$C$16)</f>
        <v>0</v>
      </c>
      <c r="BQ27" s="18">
        <f>(BQ21+BQ24+BQ25)*(BQ6&lt;=Summary!$C$16)</f>
        <v>0</v>
      </c>
      <c r="BR27" s="18">
        <f>(BR21+BR24+BR25)*(BR6&lt;=Summary!$C$16)</f>
        <v>0</v>
      </c>
      <c r="BS27" s="18">
        <f>(BS21+BS24+BS25)*(BS6&lt;=Summary!$C$16)</f>
        <v>0</v>
      </c>
      <c r="BT27" s="18">
        <f>(BT21+BT24+BT25)*(BT6&lt;=Summary!$C$16)</f>
        <v>0</v>
      </c>
      <c r="BU27" s="18">
        <f>(BU21+BU24+BU25)*(BU6&lt;=Summary!$C$16)</f>
        <v>0</v>
      </c>
      <c r="BV27" s="18">
        <f>(BV21+BV24+BV25)*(BV6&lt;=Summary!$C$16)</f>
        <v>0</v>
      </c>
      <c r="BW27" s="18">
        <f>(BW21+BW24+BW25)*(BW6&lt;=Summary!$C$16)</f>
        <v>0</v>
      </c>
    </row>
    <row r="28" spans="2:75" x14ac:dyDescent="0.2">
      <c r="C28" s="22">
        <f>C27</f>
        <v>-105000000</v>
      </c>
      <c r="D28" s="22">
        <f>D27+C28</f>
        <v>-104472377</v>
      </c>
      <c r="E28" s="22">
        <f t="shared" ref="E28:BP28" si="8">E27+D28</f>
        <v>-103944754</v>
      </c>
      <c r="F28" s="22">
        <f t="shared" si="8"/>
        <v>-103417131</v>
      </c>
      <c r="G28" s="22">
        <f t="shared" si="8"/>
        <v>-102889508</v>
      </c>
      <c r="H28" s="22">
        <f t="shared" si="8"/>
        <v>-102361885</v>
      </c>
      <c r="I28" s="22">
        <f t="shared" si="8"/>
        <v>-101834262</v>
      </c>
      <c r="J28" s="22">
        <f t="shared" si="8"/>
        <v>-101306639</v>
      </c>
      <c r="K28" s="22">
        <f t="shared" si="8"/>
        <v>-100762213.54000001</v>
      </c>
      <c r="L28" s="22">
        <f t="shared" si="8"/>
        <v>-100224038.08000001</v>
      </c>
      <c r="M28" s="22">
        <f t="shared" si="8"/>
        <v>-99685862.62000002</v>
      </c>
      <c r="N28" s="22">
        <f t="shared" si="8"/>
        <v>-99147687.160000026</v>
      </c>
      <c r="O28" s="22">
        <f t="shared" si="8"/>
        <v>-98609511.700000033</v>
      </c>
      <c r="P28" s="22">
        <f t="shared" si="8"/>
        <v>-98071336.240000039</v>
      </c>
      <c r="Q28" s="22">
        <f t="shared" si="8"/>
        <v>-97533160.780000046</v>
      </c>
      <c r="R28" s="22">
        <f t="shared" si="8"/>
        <v>-96994985.320000052</v>
      </c>
      <c r="S28" s="22">
        <f t="shared" si="8"/>
        <v>-96456809.860000059</v>
      </c>
      <c r="T28" s="22">
        <f t="shared" si="8"/>
        <v>-95918634.400000066</v>
      </c>
      <c r="U28" s="22">
        <f t="shared" si="8"/>
        <v>-95380458.940000072</v>
      </c>
      <c r="V28" s="22">
        <f t="shared" si="8"/>
        <v>-94842283.480000079</v>
      </c>
      <c r="W28" s="22">
        <f t="shared" si="8"/>
        <v>-94286969.510800079</v>
      </c>
      <c r="X28" s="22">
        <f t="shared" si="8"/>
        <v>-94612094.510800079</v>
      </c>
      <c r="Y28" s="22">
        <f t="shared" si="8"/>
        <v>-94937219.510800079</v>
      </c>
      <c r="Z28" s="22">
        <f t="shared" si="8"/>
        <v>-95262344.510800079</v>
      </c>
      <c r="AA28" s="22">
        <f t="shared" si="8"/>
        <v>-95587469.510800079</v>
      </c>
      <c r="AB28" s="22">
        <f t="shared" si="8"/>
        <v>-95912594.510800079</v>
      </c>
      <c r="AC28" s="22">
        <f t="shared" si="8"/>
        <v>-106237719.51080008</v>
      </c>
      <c r="AD28" s="22">
        <f t="shared" si="8"/>
        <v>-106562844.51080008</v>
      </c>
      <c r="AE28" s="22">
        <f t="shared" si="8"/>
        <v>-106887969.51080008</v>
      </c>
      <c r="AF28" s="22">
        <f t="shared" si="8"/>
        <v>-107213094.51080008</v>
      </c>
      <c r="AG28" s="22">
        <f t="shared" si="8"/>
        <v>-107538219.51080008</v>
      </c>
      <c r="AH28" s="22">
        <f t="shared" si="8"/>
        <v>-107863344.51080008</v>
      </c>
      <c r="AI28" s="22">
        <f t="shared" si="8"/>
        <v>-108188469.51080008</v>
      </c>
      <c r="AJ28" s="22">
        <f t="shared" si="8"/>
        <v>-107260278.26080008</v>
      </c>
      <c r="AK28" s="22">
        <f t="shared" si="8"/>
        <v>-106332087.01080008</v>
      </c>
      <c r="AL28" s="22">
        <f t="shared" si="8"/>
        <v>-105403895.76080008</v>
      </c>
      <c r="AM28" s="22">
        <f t="shared" si="8"/>
        <v>-104475704.51080008</v>
      </c>
      <c r="AN28" s="22">
        <f t="shared" si="8"/>
        <v>-103547513.26080008</v>
      </c>
      <c r="AO28" s="22">
        <f t="shared" si="8"/>
        <v>-102581527.44830008</v>
      </c>
      <c r="AP28" s="22">
        <f t="shared" si="8"/>
        <v>-101615541.63580008</v>
      </c>
      <c r="AQ28" s="22">
        <f t="shared" si="8"/>
        <v>-100649555.82330008</v>
      </c>
      <c r="AR28" s="22">
        <f t="shared" si="8"/>
        <v>-99683570.010800079</v>
      </c>
      <c r="AS28" s="22">
        <f t="shared" si="8"/>
        <v>-98717584.198300079</v>
      </c>
      <c r="AT28" s="22">
        <f t="shared" si="8"/>
        <v>-97751598.385800079</v>
      </c>
      <c r="AU28" s="22">
        <f t="shared" si="8"/>
        <v>-96785612.573300079</v>
      </c>
      <c r="AV28" s="22">
        <f t="shared" si="8"/>
        <v>-95826259.310800076</v>
      </c>
      <c r="AW28" s="22">
        <f t="shared" si="8"/>
        <v>-94866906.048300073</v>
      </c>
      <c r="AX28" s="22">
        <f t="shared" si="8"/>
        <v>-93907552.78580007</v>
      </c>
      <c r="AY28" s="22">
        <f t="shared" si="8"/>
        <v>-92948199.523300067</v>
      </c>
      <c r="AZ28" s="22">
        <f t="shared" si="8"/>
        <v>-91988846.260800064</v>
      </c>
      <c r="BA28" s="22">
        <f t="shared" si="8"/>
        <v>-90990564.598925069</v>
      </c>
      <c r="BB28" s="22">
        <f t="shared" si="8"/>
        <v>-89992282.937050074</v>
      </c>
      <c r="BC28" s="22">
        <f t="shared" si="8"/>
        <v>-88994001.27517508</v>
      </c>
      <c r="BD28" s="22">
        <f t="shared" si="8"/>
        <v>-87995719.613300085</v>
      </c>
      <c r="BE28" s="22">
        <f t="shared" si="8"/>
        <v>-86997437.95142509</v>
      </c>
      <c r="BF28" s="22">
        <f t="shared" si="8"/>
        <v>-85999156.289550096</v>
      </c>
      <c r="BG28" s="22">
        <f t="shared" si="8"/>
        <v>-85000874.627675101</v>
      </c>
      <c r="BH28" s="22">
        <f t="shared" si="8"/>
        <v>-84009358.166800097</v>
      </c>
      <c r="BI28" s="22">
        <f t="shared" si="8"/>
        <v>-83017841.705925092</v>
      </c>
      <c r="BJ28" s="22">
        <f t="shared" si="8"/>
        <v>-82026325.245050088</v>
      </c>
      <c r="BK28" s="22">
        <f t="shared" si="8"/>
        <v>124159429.1381375</v>
      </c>
      <c r="BL28" s="22">
        <f t="shared" si="8"/>
        <v>124159429.1381375</v>
      </c>
      <c r="BM28" s="22">
        <f t="shared" si="8"/>
        <v>124159429.1381375</v>
      </c>
      <c r="BN28" s="22">
        <f t="shared" si="8"/>
        <v>124159429.1381375</v>
      </c>
      <c r="BO28" s="22">
        <f t="shared" si="8"/>
        <v>124159429.1381375</v>
      </c>
      <c r="BP28" s="22">
        <f t="shared" si="8"/>
        <v>124159429.1381375</v>
      </c>
      <c r="BQ28" s="22">
        <f t="shared" ref="BQ28:BW28" si="9">BQ27+BP28</f>
        <v>124159429.1381375</v>
      </c>
      <c r="BR28" s="22">
        <f t="shared" si="9"/>
        <v>124159429.1381375</v>
      </c>
      <c r="BS28" s="22">
        <f t="shared" si="9"/>
        <v>124159429.1381375</v>
      </c>
      <c r="BT28" s="22">
        <f t="shared" si="9"/>
        <v>124159429.1381375</v>
      </c>
      <c r="BU28" s="22">
        <f t="shared" si="9"/>
        <v>124159429.1381375</v>
      </c>
      <c r="BV28" s="22">
        <f t="shared" si="9"/>
        <v>124159429.1381375</v>
      </c>
      <c r="BW28" s="22">
        <f t="shared" si="9"/>
        <v>124159429.1381375</v>
      </c>
    </row>
    <row r="29" spans="2:75" x14ac:dyDescent="0.2">
      <c r="B29" t="s">
        <v>43</v>
      </c>
      <c r="C29" s="17">
        <f>XIRR(C27:BW27,C6:BW6)</f>
        <v>0.17661713957786562</v>
      </c>
    </row>
    <row r="30" spans="2:75" x14ac:dyDescent="0.2">
      <c r="B30" t="s">
        <v>44</v>
      </c>
      <c r="C30" s="23">
        <f>SUM(C27:BW27)</f>
        <v>124159429.1381375</v>
      </c>
    </row>
    <row r="31" spans="2:75" x14ac:dyDescent="0.2">
      <c r="B31" t="s">
        <v>45</v>
      </c>
      <c r="C31" s="23">
        <f>-MIN(C28:BW28)</f>
        <v>108188469.51080008</v>
      </c>
    </row>
    <row r="32" spans="2:75" x14ac:dyDescent="0.2">
      <c r="B32" t="s">
        <v>46</v>
      </c>
      <c r="C32" s="24">
        <f>(C30+C31)/C31</f>
        <v>2.1476216430415729</v>
      </c>
    </row>
    <row r="34" spans="2:75" x14ac:dyDescent="0.2">
      <c r="B34" s="2" t="s">
        <v>63</v>
      </c>
    </row>
    <row r="35" spans="2:75" x14ac:dyDescent="0.2">
      <c r="B35" t="s">
        <v>60</v>
      </c>
      <c r="C35" s="23">
        <f>Debt!C17</f>
        <v>60000000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</row>
    <row r="36" spans="2:75" x14ac:dyDescent="0.2">
      <c r="B36" t="s">
        <v>59</v>
      </c>
      <c r="C36" s="23"/>
      <c r="D36" s="23">
        <f>Debt!D15</f>
        <v>-220488.5640262111</v>
      </c>
      <c r="E36" s="23">
        <f>Debt!E15</f>
        <v>-220193.42393385564</v>
      </c>
      <c r="F36" s="23">
        <f>Debt!F15</f>
        <v>-219898.67890813097</v>
      </c>
      <c r="G36" s="23">
        <f>Debt!G15</f>
        <v>-219604.32842021144</v>
      </c>
      <c r="H36" s="23">
        <f>Debt!H15</f>
        <v>-219310.37194197933</v>
      </c>
      <c r="I36" s="23">
        <f>Debt!I15</f>
        <v>-219016.80894602381</v>
      </c>
      <c r="J36" s="23">
        <f>Debt!J15</f>
        <v>-218723.63890564002</v>
      </c>
      <c r="K36" s="23">
        <f>Debt!K15</f>
        <v>-218430.86129482818</v>
      </c>
      <c r="L36" s="23">
        <f>Debt!L15</f>
        <v>-218138.47558829252</v>
      </c>
      <c r="M36" s="23">
        <f>Debt!M15</f>
        <v>-217846.48126144047</v>
      </c>
      <c r="N36" s="23">
        <f>Debt!N15</f>
        <v>-217554.87779038167</v>
      </c>
      <c r="O36" s="23">
        <f>Debt!O15</f>
        <v>-217263.66465192701</v>
      </c>
      <c r="P36" s="23">
        <f>Debt!P15</f>
        <v>-216972.84132358772</v>
      </c>
      <c r="Q36" s="23">
        <f>Debt!Q15</f>
        <v>-216682.4072835744</v>
      </c>
      <c r="R36" s="23">
        <f>Debt!R15</f>
        <v>-216392.36201079612</v>
      </c>
      <c r="S36" s="23">
        <f>Debt!S15</f>
        <v>-216102.70498485945</v>
      </c>
      <c r="T36" s="23">
        <f>Debt!T15</f>
        <v>-215813.43568606753</v>
      </c>
      <c r="U36" s="23">
        <f>Debt!U15</f>
        <v>-215524.55359541922</v>
      </c>
      <c r="V36" s="23">
        <f>Debt!V15</f>
        <v>-215236.05819460805</v>
      </c>
      <c r="W36" s="23">
        <f>Debt!W15</f>
        <v>-214947.94896602136</v>
      </c>
      <c r="X36" s="23">
        <f>Debt!X15</f>
        <v>-214660.22539273932</v>
      </c>
      <c r="Y36" s="23">
        <f>Debt!Y15</f>
        <v>-214372.8869585341</v>
      </c>
      <c r="Z36" s="23">
        <f>Debt!Z15</f>
        <v>-214085.93314786878</v>
      </c>
      <c r="AA36" s="23">
        <f>Debt!AA15</f>
        <v>-213799.3634458966</v>
      </c>
      <c r="AB36" s="23">
        <f>Debt!AB15</f>
        <v>-213513.17733845994</v>
      </c>
      <c r="AC36" s="23">
        <f>Debt!AC15</f>
        <v>-213227.37431208941</v>
      </c>
      <c r="AD36" s="23">
        <f>Debt!AD15</f>
        <v>-212941.95385400299</v>
      </c>
      <c r="AE36" s="23">
        <f>Debt!AE15</f>
        <v>-212656.91545210493</v>
      </c>
      <c r="AF36" s="23">
        <f>Debt!AF15</f>
        <v>-212372.25859498515</v>
      </c>
      <c r="AG36" s="23">
        <f>Debt!AG15</f>
        <v>-212087.98277191792</v>
      </c>
      <c r="AH36" s="23">
        <f>Debt!AH15</f>
        <v>-211804.08747286128</v>
      </c>
      <c r="AI36" s="23">
        <f>Debt!AI15</f>
        <v>-211520.57218845602</v>
      </c>
      <c r="AJ36" s="23">
        <f>Debt!AJ15</f>
        <v>-211237.43641002462</v>
      </c>
      <c r="AK36" s="23">
        <f>Debt!AK15</f>
        <v>-210954.6796295706</v>
      </c>
      <c r="AL36" s="23">
        <f>Debt!AL15</f>
        <v>-210672.30133977736</v>
      </c>
      <c r="AM36" s="23">
        <f>Debt!AM15</f>
        <v>-210390.30103400745</v>
      </c>
      <c r="AN36" s="23">
        <f>Debt!AN15</f>
        <v>-210108.67820630156</v>
      </c>
      <c r="AO36" s="23">
        <f>Debt!AO15</f>
        <v>-209827.43235137771</v>
      </c>
      <c r="AP36" s="23">
        <f>Debt!AP15</f>
        <v>-209546.56296463014</v>
      </c>
      <c r="AQ36" s="23">
        <f>Debt!AQ15</f>
        <v>-209266.06954212868</v>
      </c>
      <c r="AR36" s="23">
        <f>Debt!AR15</f>
        <v>-208985.95158061761</v>
      </c>
      <c r="AS36" s="23">
        <f>Debt!AS15</f>
        <v>-208706.20857751492</v>
      </c>
      <c r="AT36" s="23">
        <f>Debt!AT15</f>
        <v>-208426.84003091129</v>
      </c>
      <c r="AU36" s="23">
        <f>Debt!AU15</f>
        <v>-208147.84543956927</v>
      </c>
      <c r="AV36" s="23">
        <f>Debt!AV15</f>
        <v>-207869.22430292238</v>
      </c>
      <c r="AW36" s="23">
        <f>Debt!AW15</f>
        <v>-207590.97612107414</v>
      </c>
      <c r="AX36" s="23">
        <f>Debt!AX15</f>
        <v>-207313.10039479725</v>
      </c>
      <c r="AY36" s="23">
        <f>Debt!AY15</f>
        <v>-207035.59662553263</v>
      </c>
      <c r="AZ36" s="23">
        <f>Debt!AZ15</f>
        <v>-206758.46431538861</v>
      </c>
      <c r="BA36" s="23">
        <f>Debt!BA15</f>
        <v>-206481.70296713989</v>
      </c>
      <c r="BB36" s="23">
        <f>Debt!BB15</f>
        <v>-206205.31208422684</v>
      </c>
      <c r="BC36" s="23">
        <f>Debt!BC15</f>
        <v>-205929.2911707545</v>
      </c>
      <c r="BD36" s="23">
        <f>Debt!BD15</f>
        <v>-205653.63973149162</v>
      </c>
      <c r="BE36" s="23">
        <f>Debt!BE15</f>
        <v>-205378.35727186993</v>
      </c>
      <c r="BF36" s="23">
        <f>Debt!BF15</f>
        <v>-205103.44329798318</v>
      </c>
      <c r="BG36" s="23">
        <f>Debt!BG15</f>
        <v>-204828.89731658617</v>
      </c>
      <c r="BH36" s="23">
        <f>Debt!BH15</f>
        <v>-204554.71883509404</v>
      </c>
      <c r="BI36" s="23">
        <f>Debt!BI15</f>
        <v>-204280.90736158128</v>
      </c>
      <c r="BJ36" s="23">
        <f>Debt!BJ15</f>
        <v>-204007.46240478079</v>
      </c>
      <c r="BK36" s="23">
        <f>Debt!BK15</f>
        <v>-203734.38347408309</v>
      </c>
      <c r="BL36" s="23">
        <f>Debt!BL15</f>
        <v>0</v>
      </c>
      <c r="BM36" s="23">
        <f>Debt!BM15</f>
        <v>0</v>
      </c>
      <c r="BN36" s="23">
        <f>Debt!BN15</f>
        <v>0</v>
      </c>
      <c r="BO36" s="23">
        <f>Debt!BO15</f>
        <v>0</v>
      </c>
      <c r="BP36" s="23">
        <f>Debt!BP15</f>
        <v>0</v>
      </c>
      <c r="BQ36" s="23">
        <f>Debt!BQ15</f>
        <v>0</v>
      </c>
      <c r="BR36" s="23">
        <f>Debt!BR15</f>
        <v>0</v>
      </c>
      <c r="BS36" s="23">
        <f>Debt!BS15</f>
        <v>0</v>
      </c>
      <c r="BT36" s="23">
        <f>Debt!BT15</f>
        <v>0</v>
      </c>
      <c r="BU36" s="23">
        <f>Debt!BU15</f>
        <v>0</v>
      </c>
      <c r="BV36" s="23">
        <f>Debt!BV15</f>
        <v>0</v>
      </c>
      <c r="BW36" s="23">
        <f>Debt!BW15</f>
        <v>0</v>
      </c>
    </row>
    <row r="37" spans="2:75" x14ac:dyDescent="0.2">
      <c r="B37" t="s">
        <v>55</v>
      </c>
      <c r="C37" s="23"/>
      <c r="D37" s="23">
        <f>Debt!D16</f>
        <v>-80314.394624212873</v>
      </c>
      <c r="E37" s="23">
        <f>Debt!E16</f>
        <v>-80206.887924481969</v>
      </c>
      <c r="F37" s="23">
        <f>Debt!F16</f>
        <v>-80099.525130342809</v>
      </c>
      <c r="G37" s="23">
        <f>Debt!G16</f>
        <v>-79992.306049167353</v>
      </c>
      <c r="H37" s="23">
        <f>Debt!H16</f>
        <v>-79885.230488585075</v>
      </c>
      <c r="I37" s="23">
        <f>Debt!I16</f>
        <v>-79778.298256483336</v>
      </c>
      <c r="J37" s="23">
        <f>Debt!J16</f>
        <v>-79671.509161006339</v>
      </c>
      <c r="K37" s="23">
        <f>Debt!K16</f>
        <v>-79564.863010555273</v>
      </c>
      <c r="L37" s="23">
        <f>Debt!L16</f>
        <v>-79458.359613787732</v>
      </c>
      <c r="M37" s="23">
        <f>Debt!M16</f>
        <v>-79351.998779617512</v>
      </c>
      <c r="N37" s="23">
        <f>Debt!N16</f>
        <v>-79245.780317214085</v>
      </c>
      <c r="O37" s="23">
        <f>Debt!O16</f>
        <v>-79139.704036002397</v>
      </c>
      <c r="P37" s="23">
        <f>Debt!P16</f>
        <v>-79033.769745662546</v>
      </c>
      <c r="Q37" s="23">
        <f>Debt!Q16</f>
        <v>-78927.977256129321</v>
      </c>
      <c r="R37" s="23">
        <f>Debt!R16</f>
        <v>-78822.326377591962</v>
      </c>
      <c r="S37" s="23">
        <f>Debt!S16</f>
        <v>-78716.816920493846</v>
      </c>
      <c r="T37" s="23">
        <f>Debt!T16</f>
        <v>-78611.448695531959</v>
      </c>
      <c r="U37" s="23">
        <f>Debt!U16</f>
        <v>-78506.221513656725</v>
      </c>
      <c r="V37" s="23">
        <f>Debt!V16</f>
        <v>-78401.135186071653</v>
      </c>
      <c r="W37" s="23">
        <f>Debt!W16</f>
        <v>-78296.189524232992</v>
      </c>
      <c r="X37" s="23">
        <f>Debt!X16</f>
        <v>-78191.384339849261</v>
      </c>
      <c r="Y37" s="23">
        <f>Debt!Y16</f>
        <v>-78086.719444881222</v>
      </c>
      <c r="Z37" s="23">
        <f>Debt!Z16</f>
        <v>-77982.194651541125</v>
      </c>
      <c r="AA37" s="23">
        <f>Debt!AA16</f>
        <v>-77877.809772292676</v>
      </c>
      <c r="AB37" s="23">
        <f>Debt!AB16</f>
        <v>-77773.564619850717</v>
      </c>
      <c r="AC37" s="23">
        <f>Debt!AC16</f>
        <v>-77669.459007180529</v>
      </c>
      <c r="AD37" s="23">
        <f>Debt!AD16</f>
        <v>-77565.492747497978</v>
      </c>
      <c r="AE37" s="23">
        <f>Debt!AE16</f>
        <v>-77461.665654268931</v>
      </c>
      <c r="AF37" s="23">
        <f>Debt!AF16</f>
        <v>-77357.977541208762</v>
      </c>
      <c r="AG37" s="23">
        <f>Debt!AG16</f>
        <v>-77254.428222282528</v>
      </c>
      <c r="AH37" s="23">
        <f>Debt!AH16</f>
        <v>-77151.017511704005</v>
      </c>
      <c r="AI37" s="23">
        <f>Debt!AI16</f>
        <v>-77047.745223935752</v>
      </c>
      <c r="AJ37" s="23">
        <f>Debt!AJ16</f>
        <v>-76944.611173688696</v>
      </c>
      <c r="AK37" s="23">
        <f>Debt!AK16</f>
        <v>-76841.615175921906</v>
      </c>
      <c r="AL37" s="23">
        <f>Debt!AL16</f>
        <v>-76738.757045841892</v>
      </c>
      <c r="AM37" s="23">
        <f>Debt!AM16</f>
        <v>-76636.03659890272</v>
      </c>
      <c r="AN37" s="23">
        <f>Debt!AN16</f>
        <v>-76533.453650805313</v>
      </c>
      <c r="AO37" s="23">
        <f>Debt!AO16</f>
        <v>-76431.008017497574</v>
      </c>
      <c r="AP37" s="23">
        <f>Debt!AP16</f>
        <v>-76328.699515173561</v>
      </c>
      <c r="AQ37" s="23">
        <f>Debt!AQ16</f>
        <v>-76226.527960273292</v>
      </c>
      <c r="AR37" s="23">
        <f>Debt!AR16</f>
        <v>-76124.493169482768</v>
      </c>
      <c r="AS37" s="23">
        <f>Debt!AS16</f>
        <v>-76022.594959733018</v>
      </c>
      <c r="AT37" s="23">
        <f>Debt!AT16</f>
        <v>-75920.833148200443</v>
      </c>
      <c r="AU37" s="23">
        <f>Debt!AU16</f>
        <v>-75819.207552306063</v>
      </c>
      <c r="AV37" s="23">
        <f>Debt!AV16</f>
        <v>-75717.717989715224</v>
      </c>
      <c r="AW37" s="23">
        <f>Debt!AW16</f>
        <v>-75616.364278337365</v>
      </c>
      <c r="AX37" s="23">
        <f>Debt!AX16</f>
        <v>-75515.14623632576</v>
      </c>
      <c r="AY37" s="23">
        <f>Debt!AY16</f>
        <v>-75414.063682076958</v>
      </c>
      <c r="AZ37" s="23">
        <f>Debt!AZ16</f>
        <v>-75313.116434230615</v>
      </c>
      <c r="BA37" s="23">
        <f>Debt!BA16</f>
        <v>-75212.304311669315</v>
      </c>
      <c r="BB37" s="23">
        <f>Debt!BB16</f>
        <v>-75111.627133517904</v>
      </c>
      <c r="BC37" s="23">
        <f>Debt!BC16</f>
        <v>-75011.08471914343</v>
      </c>
      <c r="BD37" s="23">
        <f>Debt!BD16</f>
        <v>-74910.676888154703</v>
      </c>
      <c r="BE37" s="23">
        <f>Debt!BE16</f>
        <v>-74810.403460402071</v>
      </c>
      <c r="BF37" s="23">
        <f>Debt!BF16</f>
        <v>-74710.264255976741</v>
      </c>
      <c r="BG37" s="23">
        <f>Debt!BG16</f>
        <v>-74610.259095211222</v>
      </c>
      <c r="BH37" s="23">
        <f>Debt!BH16</f>
        <v>-74510.387798678101</v>
      </c>
      <c r="BI37" s="23">
        <f>Debt!BI16</f>
        <v>-74410.650187190331</v>
      </c>
      <c r="BJ37" s="23">
        <f>Debt!BJ16</f>
        <v>-74311.046081800712</v>
      </c>
      <c r="BK37" s="23">
        <f>Debt!BK16</f>
        <v>-74211.57530380151</v>
      </c>
      <c r="BL37" s="23">
        <f>Debt!BL16</f>
        <v>0</v>
      </c>
      <c r="BM37" s="23">
        <f>Debt!BM16</f>
        <v>0</v>
      </c>
      <c r="BN37" s="23">
        <f>Debt!BN16</f>
        <v>0</v>
      </c>
      <c r="BO37" s="23">
        <f>Debt!BO16</f>
        <v>0</v>
      </c>
      <c r="BP37" s="23">
        <f>Debt!BP16</f>
        <v>0</v>
      </c>
      <c r="BQ37" s="23">
        <f>Debt!BQ16</f>
        <v>0</v>
      </c>
      <c r="BR37" s="23">
        <f>Debt!BR16</f>
        <v>0</v>
      </c>
      <c r="BS37" s="23">
        <f>Debt!BS16</f>
        <v>0</v>
      </c>
      <c r="BT37" s="23">
        <f>Debt!BT16</f>
        <v>0</v>
      </c>
      <c r="BU37" s="23">
        <f>Debt!BU16</f>
        <v>0</v>
      </c>
      <c r="BV37" s="23">
        <f>Debt!BV16</f>
        <v>0</v>
      </c>
      <c r="BW37" s="23">
        <f>Debt!BW16</f>
        <v>0</v>
      </c>
    </row>
    <row r="38" spans="2:75" x14ac:dyDescent="0.2">
      <c r="B38" t="s">
        <v>61</v>
      </c>
      <c r="C38" s="23"/>
      <c r="D38" s="23">
        <f>Debt!D18</f>
        <v>0</v>
      </c>
      <c r="E38" s="23">
        <f>Debt!E18</f>
        <v>0</v>
      </c>
      <c r="F38" s="23">
        <f>Debt!F18</f>
        <v>0</v>
      </c>
      <c r="G38" s="23">
        <f>Debt!G18</f>
        <v>0</v>
      </c>
      <c r="H38" s="23">
        <f>Debt!H18</f>
        <v>0</v>
      </c>
      <c r="I38" s="23">
        <f>Debt!I18</f>
        <v>0</v>
      </c>
      <c r="J38" s="23">
        <f>Debt!J18</f>
        <v>0</v>
      </c>
      <c r="K38" s="23">
        <f>Debt!K18</f>
        <v>0</v>
      </c>
      <c r="L38" s="23">
        <f>Debt!L18</f>
        <v>0</v>
      </c>
      <c r="M38" s="23">
        <f>Debt!M18</f>
        <v>0</v>
      </c>
      <c r="N38" s="23">
        <f>Debt!N18</f>
        <v>0</v>
      </c>
      <c r="O38" s="23">
        <f>Debt!O18</f>
        <v>0</v>
      </c>
      <c r="P38" s="23">
        <f>Debt!P18</f>
        <v>0</v>
      </c>
      <c r="Q38" s="23">
        <f>Debt!Q18</f>
        <v>0</v>
      </c>
      <c r="R38" s="23">
        <f>Debt!R18</f>
        <v>0</v>
      </c>
      <c r="S38" s="23">
        <f>Debt!S18</f>
        <v>0</v>
      </c>
      <c r="T38" s="23">
        <f>Debt!T18</f>
        <v>0</v>
      </c>
      <c r="U38" s="23">
        <f>Debt!U18</f>
        <v>0</v>
      </c>
      <c r="V38" s="23">
        <f>Debt!V18</f>
        <v>0</v>
      </c>
      <c r="W38" s="23">
        <f>Debt!W18</f>
        <v>0</v>
      </c>
      <c r="X38" s="23">
        <f>Debt!X18</f>
        <v>0</v>
      </c>
      <c r="Y38" s="23">
        <f>Debt!Y18</f>
        <v>0</v>
      </c>
      <c r="Z38" s="23">
        <f>Debt!Z18</f>
        <v>0</v>
      </c>
      <c r="AA38" s="23">
        <f>Debt!AA18</f>
        <v>0</v>
      </c>
      <c r="AB38" s="23">
        <f>Debt!AB18</f>
        <v>0</v>
      </c>
      <c r="AC38" s="23">
        <f>Debt!AC18</f>
        <v>0</v>
      </c>
      <c r="AD38" s="23">
        <f>Debt!AD18</f>
        <v>0</v>
      </c>
      <c r="AE38" s="23">
        <f>Debt!AE18</f>
        <v>0</v>
      </c>
      <c r="AF38" s="23">
        <f>Debt!AF18</f>
        <v>0</v>
      </c>
      <c r="AG38" s="23">
        <f>Debt!AG18</f>
        <v>0</v>
      </c>
      <c r="AH38" s="23">
        <f>Debt!AH18</f>
        <v>0</v>
      </c>
      <c r="AI38" s="23">
        <f>Debt!AI18</f>
        <v>0</v>
      </c>
      <c r="AJ38" s="23">
        <f>Debt!AJ18</f>
        <v>0</v>
      </c>
      <c r="AK38" s="23">
        <f>Debt!AK18</f>
        <v>0</v>
      </c>
      <c r="AL38" s="23">
        <f>Debt!AL18</f>
        <v>0</v>
      </c>
      <c r="AM38" s="23">
        <f>Debt!AM18</f>
        <v>0</v>
      </c>
      <c r="AN38" s="23">
        <f>Debt!AN18</f>
        <v>0</v>
      </c>
      <c r="AO38" s="23">
        <f>Debt!AO18</f>
        <v>0</v>
      </c>
      <c r="AP38" s="23">
        <f>Debt!AP18</f>
        <v>0</v>
      </c>
      <c r="AQ38" s="23">
        <f>Debt!AQ18</f>
        <v>0</v>
      </c>
      <c r="AR38" s="23">
        <f>Debt!AR18</f>
        <v>0</v>
      </c>
      <c r="AS38" s="23">
        <f>Debt!AS18</f>
        <v>0</v>
      </c>
      <c r="AT38" s="23">
        <f>Debt!AT18</f>
        <v>0</v>
      </c>
      <c r="AU38" s="23">
        <f>Debt!AU18</f>
        <v>0</v>
      </c>
      <c r="AV38" s="23">
        <f>Debt!AV18</f>
        <v>0</v>
      </c>
      <c r="AW38" s="23">
        <f>Debt!AW18</f>
        <v>0</v>
      </c>
      <c r="AX38" s="23">
        <f>Debt!AX18</f>
        <v>0</v>
      </c>
      <c r="AY38" s="23">
        <f>Debt!AY18</f>
        <v>0</v>
      </c>
      <c r="AZ38" s="23">
        <f>Debt!AZ18</f>
        <v>0</v>
      </c>
      <c r="BA38" s="23">
        <f>Debt!BA18</f>
        <v>0</v>
      </c>
      <c r="BB38" s="23">
        <f>Debt!BB18</f>
        <v>0</v>
      </c>
      <c r="BC38" s="23">
        <f>Debt!BC18</f>
        <v>0</v>
      </c>
      <c r="BD38" s="23">
        <f>Debt!BD18</f>
        <v>0</v>
      </c>
      <c r="BE38" s="23">
        <f>Debt!BE18</f>
        <v>0</v>
      </c>
      <c r="BF38" s="23">
        <f>Debt!BF18</f>
        <v>0</v>
      </c>
      <c r="BG38" s="23">
        <f>Debt!BG18</f>
        <v>0</v>
      </c>
      <c r="BH38" s="23">
        <f>Debt!BH18</f>
        <v>0</v>
      </c>
      <c r="BI38" s="23">
        <f>Debt!BI18</f>
        <v>0</v>
      </c>
      <c r="BJ38" s="23">
        <f>Debt!BJ18</f>
        <v>0</v>
      </c>
      <c r="BK38" s="23">
        <f>Debt!BK18</f>
        <v>-55366591.272828594</v>
      </c>
      <c r="BL38" s="23">
        <f>Debt!BL18</f>
        <v>0</v>
      </c>
      <c r="BM38" s="23">
        <f>Debt!BM18</f>
        <v>0</v>
      </c>
      <c r="BN38" s="23">
        <f>Debt!BN18</f>
        <v>0</v>
      </c>
      <c r="BO38" s="23">
        <f>Debt!BO18</f>
        <v>0</v>
      </c>
      <c r="BP38" s="23">
        <f>Debt!BP18</f>
        <v>0</v>
      </c>
      <c r="BQ38" s="23">
        <f>Debt!BQ18</f>
        <v>0</v>
      </c>
      <c r="BR38" s="23">
        <f>Debt!BR18</f>
        <v>0</v>
      </c>
      <c r="BS38" s="23">
        <f>Debt!BS18</f>
        <v>0</v>
      </c>
      <c r="BT38" s="23">
        <f>Debt!BT18</f>
        <v>0</v>
      </c>
      <c r="BU38" s="23">
        <f>Debt!BU18</f>
        <v>0</v>
      </c>
      <c r="BV38" s="23">
        <f>Debt!BV18</f>
        <v>0</v>
      </c>
      <c r="BW38" s="23">
        <f>Debt!BW18</f>
        <v>0</v>
      </c>
    </row>
    <row r="39" spans="2:75" x14ac:dyDescent="0.2">
      <c r="B39" t="s">
        <v>65</v>
      </c>
      <c r="C39" s="23">
        <f>Debt!C21</f>
        <v>-600000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</row>
    <row r="40" spans="2:75" x14ac:dyDescent="0.2"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</row>
    <row r="41" spans="2:75" x14ac:dyDescent="0.2">
      <c r="B41" s="2" t="s">
        <v>64</v>
      </c>
      <c r="C41" s="23">
        <f>C27+SUM(C35:C39)</f>
        <v>-45600000</v>
      </c>
      <c r="D41" s="23">
        <f t="shared" ref="D41:BO41" si="10">D27+SUM(D35:D39)</f>
        <v>226820.04134957591</v>
      </c>
      <c r="E41" s="23">
        <f t="shared" si="10"/>
        <v>227222.68814166228</v>
      </c>
      <c r="F41" s="23">
        <f t="shared" si="10"/>
        <v>227624.79596152611</v>
      </c>
      <c r="G41" s="23">
        <f t="shared" si="10"/>
        <v>228026.36553062109</v>
      </c>
      <c r="H41" s="23">
        <f t="shared" si="10"/>
        <v>228427.39756943547</v>
      </c>
      <c r="I41" s="23">
        <f t="shared" si="10"/>
        <v>228827.89279749274</v>
      </c>
      <c r="J41" s="23">
        <f t="shared" si="10"/>
        <v>229227.85193335352</v>
      </c>
      <c r="K41" s="23">
        <f t="shared" si="10"/>
        <v>246429.73569461651</v>
      </c>
      <c r="L41" s="23">
        <f t="shared" si="10"/>
        <v>240578.62479791971</v>
      </c>
      <c r="M41" s="23">
        <f t="shared" si="10"/>
        <v>240976.97995894199</v>
      </c>
      <c r="N41" s="23">
        <f t="shared" si="10"/>
        <v>241374.80189240421</v>
      </c>
      <c r="O41" s="23">
        <f t="shared" si="10"/>
        <v>241772.09131207055</v>
      </c>
      <c r="P41" s="23">
        <f t="shared" si="10"/>
        <v>242168.84893074969</v>
      </c>
      <c r="Q41" s="23">
        <f t="shared" si="10"/>
        <v>242565.07546029624</v>
      </c>
      <c r="R41" s="23">
        <f t="shared" si="10"/>
        <v>242960.77161161188</v>
      </c>
      <c r="S41" s="23">
        <f t="shared" si="10"/>
        <v>243355.93809464667</v>
      </c>
      <c r="T41" s="23">
        <f t="shared" si="10"/>
        <v>243750.57561840047</v>
      </c>
      <c r="U41" s="23">
        <f t="shared" si="10"/>
        <v>244144.68489092402</v>
      </c>
      <c r="V41" s="23">
        <f t="shared" si="10"/>
        <v>244538.26661932026</v>
      </c>
      <c r="W41" s="23">
        <f t="shared" si="10"/>
        <v>262069.83070974582</v>
      </c>
      <c r="X41" s="23">
        <f t="shared" si="10"/>
        <v>-617976.60973258852</v>
      </c>
      <c r="Y41" s="23">
        <f t="shared" si="10"/>
        <v>-617584.60640341532</v>
      </c>
      <c r="Z41" s="23">
        <f t="shared" si="10"/>
        <v>-617193.12779940991</v>
      </c>
      <c r="AA41" s="23">
        <f t="shared" si="10"/>
        <v>-616802.17321818927</v>
      </c>
      <c r="AB41" s="23">
        <f t="shared" si="10"/>
        <v>-616411.74195831059</v>
      </c>
      <c r="AC41" s="23">
        <f t="shared" si="10"/>
        <v>-10616021.833319269</v>
      </c>
      <c r="AD41" s="23">
        <f t="shared" si="10"/>
        <v>-615632.44660150097</v>
      </c>
      <c r="AE41" s="23">
        <f t="shared" si="10"/>
        <v>-615243.58110637381</v>
      </c>
      <c r="AF41" s="23">
        <f t="shared" si="10"/>
        <v>-614855.23613619385</v>
      </c>
      <c r="AG41" s="23">
        <f t="shared" si="10"/>
        <v>-614467.4109942005</v>
      </c>
      <c r="AH41" s="23">
        <f t="shared" si="10"/>
        <v>-614080.10498456529</v>
      </c>
      <c r="AI41" s="23">
        <f t="shared" si="10"/>
        <v>-613693.31741239177</v>
      </c>
      <c r="AJ41" s="23">
        <f t="shared" si="10"/>
        <v>640009.20241628669</v>
      </c>
      <c r="AK41" s="23">
        <f t="shared" si="10"/>
        <v>640394.95519450749</v>
      </c>
      <c r="AL41" s="23">
        <f t="shared" si="10"/>
        <v>640780.1916143808</v>
      </c>
      <c r="AM41" s="23">
        <f t="shared" si="10"/>
        <v>641164.91236708988</v>
      </c>
      <c r="AN41" s="23">
        <f t="shared" si="10"/>
        <v>641549.11814289307</v>
      </c>
      <c r="AO41" s="23">
        <f t="shared" si="10"/>
        <v>679727.37213112472</v>
      </c>
      <c r="AP41" s="23">
        <f t="shared" si="10"/>
        <v>680110.55002019624</v>
      </c>
      <c r="AQ41" s="23">
        <f t="shared" si="10"/>
        <v>680493.21499759797</v>
      </c>
      <c r="AR41" s="23">
        <f t="shared" si="10"/>
        <v>680875.36774989963</v>
      </c>
      <c r="AS41" s="23">
        <f t="shared" si="10"/>
        <v>681257.00896275206</v>
      </c>
      <c r="AT41" s="23">
        <f t="shared" si="10"/>
        <v>681638.13932088832</v>
      </c>
      <c r="AU41" s="23">
        <f t="shared" si="10"/>
        <v>682018.75950812467</v>
      </c>
      <c r="AV41" s="23">
        <f t="shared" si="10"/>
        <v>675766.3202073623</v>
      </c>
      <c r="AW41" s="23">
        <f t="shared" si="10"/>
        <v>676145.92210058845</v>
      </c>
      <c r="AX41" s="23">
        <f t="shared" si="10"/>
        <v>676525.01586887694</v>
      </c>
      <c r="AY41" s="23">
        <f t="shared" si="10"/>
        <v>676903.60219239036</v>
      </c>
      <c r="AZ41" s="23">
        <f t="shared" si="10"/>
        <v>677281.68175038067</v>
      </c>
      <c r="BA41" s="23">
        <f t="shared" si="10"/>
        <v>716587.65459619078</v>
      </c>
      <c r="BB41" s="23">
        <f t="shared" si="10"/>
        <v>716964.72265725525</v>
      </c>
      <c r="BC41" s="23">
        <f t="shared" si="10"/>
        <v>717341.28598510206</v>
      </c>
      <c r="BD41" s="23">
        <f t="shared" si="10"/>
        <v>717717.34525535372</v>
      </c>
      <c r="BE41" s="23">
        <f t="shared" si="10"/>
        <v>718092.90114272805</v>
      </c>
      <c r="BF41" s="23">
        <f t="shared" si="10"/>
        <v>718467.95432104007</v>
      </c>
      <c r="BG41" s="23">
        <f t="shared" si="10"/>
        <v>718842.5054632026</v>
      </c>
      <c r="BH41" s="23">
        <f t="shared" si="10"/>
        <v>712451.35424122785</v>
      </c>
      <c r="BI41" s="23">
        <f t="shared" si="10"/>
        <v>712824.90332622838</v>
      </c>
      <c r="BJ41" s="23">
        <f t="shared" si="10"/>
        <v>713197.95238841849</v>
      </c>
      <c r="BK41" s="23">
        <f t="shared" si="10"/>
        <v>150541217.15158111</v>
      </c>
      <c r="BL41" s="23">
        <f t="shared" si="10"/>
        <v>0</v>
      </c>
      <c r="BM41" s="23">
        <f t="shared" si="10"/>
        <v>0</v>
      </c>
      <c r="BN41" s="23">
        <f t="shared" si="10"/>
        <v>0</v>
      </c>
      <c r="BO41" s="23">
        <f t="shared" si="10"/>
        <v>0</v>
      </c>
      <c r="BP41" s="23">
        <f t="shared" ref="BP41:BW41" si="11">BP27+SUM(BP35:BP39)</f>
        <v>0</v>
      </c>
      <c r="BQ41" s="23">
        <f t="shared" si="11"/>
        <v>0</v>
      </c>
      <c r="BR41" s="23">
        <f t="shared" si="11"/>
        <v>0</v>
      </c>
      <c r="BS41" s="23">
        <f t="shared" si="11"/>
        <v>0</v>
      </c>
      <c r="BT41" s="23">
        <f t="shared" si="11"/>
        <v>0</v>
      </c>
      <c r="BU41" s="23">
        <f t="shared" si="11"/>
        <v>0</v>
      </c>
      <c r="BV41" s="23">
        <f t="shared" si="11"/>
        <v>0</v>
      </c>
      <c r="BW41" s="23">
        <f t="shared" si="11"/>
        <v>0</v>
      </c>
    </row>
    <row r="42" spans="2:75" x14ac:dyDescent="0.2">
      <c r="C42" s="33">
        <f>C41</f>
        <v>-45600000</v>
      </c>
      <c r="D42" s="33">
        <f>C42+D41</f>
        <v>-45373179.958650425</v>
      </c>
      <c r="E42" s="33">
        <f t="shared" ref="E42:BP42" si="12">D42+E41</f>
        <v>-45145957.270508766</v>
      </c>
      <c r="F42" s="33">
        <f t="shared" si="12"/>
        <v>-44918332.474547237</v>
      </c>
      <c r="G42" s="33">
        <f t="shared" si="12"/>
        <v>-44690306.10901662</v>
      </c>
      <c r="H42" s="33">
        <f t="shared" si="12"/>
        <v>-44461878.711447187</v>
      </c>
      <c r="I42" s="33">
        <f t="shared" si="12"/>
        <v>-44233050.818649694</v>
      </c>
      <c r="J42" s="33">
        <f t="shared" si="12"/>
        <v>-44003822.966716342</v>
      </c>
      <c r="K42" s="33">
        <f t="shared" si="12"/>
        <v>-43757393.231021725</v>
      </c>
      <c r="L42" s="33">
        <f t="shared" si="12"/>
        <v>-43516814.606223807</v>
      </c>
      <c r="M42" s="33">
        <f t="shared" si="12"/>
        <v>-43275837.626264863</v>
      </c>
      <c r="N42" s="33">
        <f t="shared" si="12"/>
        <v>-43034462.824372455</v>
      </c>
      <c r="O42" s="33">
        <f t="shared" si="12"/>
        <v>-42792690.733060382</v>
      </c>
      <c r="P42" s="33">
        <f t="shared" si="12"/>
        <v>-42550521.884129636</v>
      </c>
      <c r="Q42" s="33">
        <f t="shared" si="12"/>
        <v>-42307956.808669336</v>
      </c>
      <c r="R42" s="33">
        <f t="shared" si="12"/>
        <v>-42064996.037057728</v>
      </c>
      <c r="S42" s="33">
        <f t="shared" si="12"/>
        <v>-41821640.098963082</v>
      </c>
      <c r="T42" s="33">
        <f t="shared" si="12"/>
        <v>-41577889.523344681</v>
      </c>
      <c r="U42" s="33">
        <f t="shared" si="12"/>
        <v>-41333744.838453755</v>
      </c>
      <c r="V42" s="33">
        <f t="shared" si="12"/>
        <v>-41089206.571834438</v>
      </c>
      <c r="W42" s="33">
        <f t="shared" si="12"/>
        <v>-40827136.74112469</v>
      </c>
      <c r="X42" s="33">
        <f t="shared" si="12"/>
        <v>-41445113.35085728</v>
      </c>
      <c r="Y42" s="33">
        <f t="shared" si="12"/>
        <v>-42062697.957260698</v>
      </c>
      <c r="Z42" s="33">
        <f t="shared" si="12"/>
        <v>-42679891.085060105</v>
      </c>
      <c r="AA42" s="33">
        <f t="shared" si="12"/>
        <v>-43296693.258278295</v>
      </c>
      <c r="AB42" s="33">
        <f t="shared" si="12"/>
        <v>-43913105.000236608</v>
      </c>
      <c r="AC42" s="33">
        <f t="shared" si="12"/>
        <v>-54529126.833555877</v>
      </c>
      <c r="AD42" s="33">
        <f t="shared" si="12"/>
        <v>-55144759.28015738</v>
      </c>
      <c r="AE42" s="33">
        <f t="shared" si="12"/>
        <v>-55760002.861263752</v>
      </c>
      <c r="AF42" s="33">
        <f t="shared" si="12"/>
        <v>-56374858.097399943</v>
      </c>
      <c r="AG42" s="33">
        <f t="shared" si="12"/>
        <v>-56989325.508394144</v>
      </c>
      <c r="AH42" s="33">
        <f t="shared" si="12"/>
        <v>-57603405.613378711</v>
      </c>
      <c r="AI42" s="33">
        <f t="shared" si="12"/>
        <v>-58217098.930791102</v>
      </c>
      <c r="AJ42" s="33">
        <f t="shared" si="12"/>
        <v>-57577089.728374816</v>
      </c>
      <c r="AK42" s="33">
        <f t="shared" si="12"/>
        <v>-56936694.773180306</v>
      </c>
      <c r="AL42" s="33">
        <f t="shared" si="12"/>
        <v>-56295914.581565924</v>
      </c>
      <c r="AM42" s="33">
        <f t="shared" si="12"/>
        <v>-55654749.669198833</v>
      </c>
      <c r="AN42" s="33">
        <f t="shared" si="12"/>
        <v>-55013200.551055938</v>
      </c>
      <c r="AO42" s="33">
        <f t="shared" si="12"/>
        <v>-54333473.178924814</v>
      </c>
      <c r="AP42" s="33">
        <f t="shared" si="12"/>
        <v>-53653362.628904618</v>
      </c>
      <c r="AQ42" s="33">
        <f t="shared" si="12"/>
        <v>-52972869.413907021</v>
      </c>
      <c r="AR42" s="33">
        <f t="shared" si="12"/>
        <v>-52291994.046157122</v>
      </c>
      <c r="AS42" s="33">
        <f t="shared" si="12"/>
        <v>-51610737.037194371</v>
      </c>
      <c r="AT42" s="33">
        <f t="shared" si="12"/>
        <v>-50929098.897873484</v>
      </c>
      <c r="AU42" s="33">
        <f t="shared" si="12"/>
        <v>-50247080.138365358</v>
      </c>
      <c r="AV42" s="33">
        <f t="shared" si="12"/>
        <v>-49571313.818157993</v>
      </c>
      <c r="AW42" s="33">
        <f t="shared" si="12"/>
        <v>-48895167.896057405</v>
      </c>
      <c r="AX42" s="33">
        <f t="shared" si="12"/>
        <v>-48218642.880188525</v>
      </c>
      <c r="AY42" s="33">
        <f t="shared" si="12"/>
        <v>-47541739.277996138</v>
      </c>
      <c r="AZ42" s="33">
        <f t="shared" si="12"/>
        <v>-46864457.596245758</v>
      </c>
      <c r="BA42" s="33">
        <f t="shared" si="12"/>
        <v>-46147869.941649571</v>
      </c>
      <c r="BB42" s="33">
        <f t="shared" si="12"/>
        <v>-45430905.218992315</v>
      </c>
      <c r="BC42" s="33">
        <f t="shared" si="12"/>
        <v>-44713563.93300721</v>
      </c>
      <c r="BD42" s="33">
        <f t="shared" si="12"/>
        <v>-43995846.587751858</v>
      </c>
      <c r="BE42" s="33">
        <f t="shared" si="12"/>
        <v>-43277753.686609127</v>
      </c>
      <c r="BF42" s="33">
        <f t="shared" si="12"/>
        <v>-42559285.732288085</v>
      </c>
      <c r="BG42" s="33">
        <f t="shared" si="12"/>
        <v>-41840443.22682488</v>
      </c>
      <c r="BH42" s="33">
        <f t="shared" si="12"/>
        <v>-41127991.87258365</v>
      </c>
      <c r="BI42" s="33">
        <f t="shared" si="12"/>
        <v>-40415166.969257422</v>
      </c>
      <c r="BJ42" s="33">
        <f t="shared" si="12"/>
        <v>-39701969.016869001</v>
      </c>
      <c r="BK42" s="33">
        <f t="shared" si="12"/>
        <v>110839248.1347121</v>
      </c>
      <c r="BL42" s="33">
        <f t="shared" si="12"/>
        <v>110839248.1347121</v>
      </c>
      <c r="BM42" s="33">
        <f t="shared" si="12"/>
        <v>110839248.1347121</v>
      </c>
      <c r="BN42" s="33">
        <f t="shared" si="12"/>
        <v>110839248.1347121</v>
      </c>
      <c r="BO42" s="33">
        <f t="shared" si="12"/>
        <v>110839248.1347121</v>
      </c>
      <c r="BP42" s="33">
        <f t="shared" si="12"/>
        <v>110839248.1347121</v>
      </c>
      <c r="BQ42" s="33">
        <f t="shared" ref="BQ42:BW42" si="13">BP42+BQ41</f>
        <v>110839248.1347121</v>
      </c>
      <c r="BR42" s="33">
        <f t="shared" si="13"/>
        <v>110839248.1347121</v>
      </c>
      <c r="BS42" s="33">
        <f t="shared" si="13"/>
        <v>110839248.1347121</v>
      </c>
      <c r="BT42" s="33">
        <f t="shared" si="13"/>
        <v>110839248.1347121</v>
      </c>
      <c r="BU42" s="33">
        <f t="shared" si="13"/>
        <v>110839248.1347121</v>
      </c>
      <c r="BV42" s="33">
        <f t="shared" si="13"/>
        <v>110839248.1347121</v>
      </c>
      <c r="BW42" s="33">
        <f t="shared" si="13"/>
        <v>110839248.1347121</v>
      </c>
    </row>
    <row r="43" spans="2:75" x14ac:dyDescent="0.2">
      <c r="B43" t="s">
        <v>43</v>
      </c>
      <c r="C43" s="17">
        <f>XIRR(C41:BW41,C6:BW6)</f>
        <v>0.27509053349494939</v>
      </c>
    </row>
    <row r="44" spans="2:75" x14ac:dyDescent="0.2">
      <c r="B44" t="s">
        <v>44</v>
      </c>
      <c r="C44" s="23">
        <f>SUM(C41:BW41)</f>
        <v>110839248.1347121</v>
      </c>
    </row>
    <row r="45" spans="2:75" x14ac:dyDescent="0.2">
      <c r="B45" t="s">
        <v>45</v>
      </c>
      <c r="C45" s="23">
        <f>-MIN(C42:BW42)</f>
        <v>58217098.930791102</v>
      </c>
    </row>
    <row r="46" spans="2:75" x14ac:dyDescent="0.2">
      <c r="B46" t="s">
        <v>46</v>
      </c>
      <c r="C46" s="25">
        <f>(C44+C45)/C45</f>
        <v>2.9038950784283943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K46"/>
  <sheetViews>
    <sheetView topLeftCell="A16" zoomScale="85" zoomScaleNormal="85" workbookViewId="0">
      <selection activeCell="C47" sqref="C47"/>
    </sheetView>
  </sheetViews>
  <sheetFormatPr baseColWidth="10" defaultColWidth="12.6640625" defaultRowHeight="15" x14ac:dyDescent="0.2"/>
  <cols>
    <col min="1" max="1" width="4.83203125" customWidth="1"/>
    <col min="2" max="2" width="25.33203125" customWidth="1"/>
    <col min="3" max="3" width="16.5" bestFit="1" customWidth="1"/>
    <col min="4" max="62" width="15.6640625" bestFit="1" customWidth="1"/>
    <col min="63" max="63" width="16.33203125" bestFit="1" customWidth="1"/>
    <col min="64" max="75" width="15.33203125" bestFit="1" customWidth="1"/>
  </cols>
  <sheetData>
    <row r="2" spans="2:11" x14ac:dyDescent="0.2">
      <c r="B2" s="5" t="s">
        <v>0</v>
      </c>
      <c r="C2" s="5"/>
      <c r="D2" s="5"/>
      <c r="E2" s="5"/>
      <c r="F2" s="5"/>
      <c r="G2" s="5"/>
      <c r="H2" s="5"/>
      <c r="I2" s="5"/>
      <c r="J2" s="5"/>
      <c r="K2" s="6">
        <v>42808</v>
      </c>
    </row>
    <row r="3" spans="2:11" x14ac:dyDescent="0.2">
      <c r="B3" t="s">
        <v>69</v>
      </c>
    </row>
    <row r="6" spans="2:11" x14ac:dyDescent="0.2">
      <c r="C6" s="8">
        <v>2016</v>
      </c>
      <c r="D6" s="8">
        <f>C6+1</f>
        <v>2017</v>
      </c>
      <c r="E6" s="8">
        <f t="shared" ref="E6:I6" si="0">D6+1</f>
        <v>2018</v>
      </c>
      <c r="F6" s="8">
        <f t="shared" si="0"/>
        <v>2019</v>
      </c>
      <c r="G6" s="8">
        <f t="shared" si="0"/>
        <v>2020</v>
      </c>
      <c r="H6" s="8">
        <f t="shared" si="0"/>
        <v>2021</v>
      </c>
      <c r="I6" s="8">
        <f t="shared" si="0"/>
        <v>2022</v>
      </c>
    </row>
    <row r="7" spans="2:11" x14ac:dyDescent="0.2">
      <c r="B7" t="s">
        <v>31</v>
      </c>
      <c r="C7" s="18"/>
      <c r="D7" s="18">
        <f>SUMPRODUCT((YEAR('Cash Flows'!$C$6:$BW$6)=$D$6)*'Cash Flows'!$C7:$BW7)</f>
        <v>7092406.7999999989</v>
      </c>
      <c r="E7" s="18">
        <f>SUMPRODUCT((YEAR('Cash Flows'!$C$6:$BW$6)=$E$6)*'Cash Flows'!$C7:$BW7)</f>
        <v>10842362.136</v>
      </c>
      <c r="F7" s="18">
        <f>SUMPRODUCT((YEAR('Cash Flows'!$C$6:$BW$6)=$F$6)*'Cash Flows'!$C7:$BW7)</f>
        <v>7956750</v>
      </c>
      <c r="G7" s="18">
        <f>SUMPRODUCT((YEAR('Cash Flows'!$C$6:$BW$6)=$G$6)*'Cash Flows'!$C7:$BW7)</f>
        <v>16191986.25</v>
      </c>
      <c r="H7" s="18">
        <f>SUMPRODUCT((YEAR('Cash Flows'!$C$6:$BW$6)=$H$6)*'Cash Flows'!$C7:$BW7)</f>
        <v>16677745.837499997</v>
      </c>
      <c r="I7" s="18">
        <f>SUMPRODUCT((YEAR('Cash Flows'!$C$6:$BW$6)=$I$6)*'Cash Flows'!$C7:$BW7)</f>
        <v>17178078.212625001</v>
      </c>
    </row>
    <row r="8" spans="2:11" x14ac:dyDescent="0.2">
      <c r="B8" t="s">
        <v>20</v>
      </c>
      <c r="C8" s="18"/>
      <c r="D8" s="18">
        <f>SUMPRODUCT((YEAR('Cash Flows'!$C$6:$BW$6)=$D$6)*'Cash Flows'!$C8:$BW8)</f>
        <v>0</v>
      </c>
      <c r="E8" s="18">
        <f>SUMPRODUCT((YEAR('Cash Flows'!$C$6:$BW$6)=$E$6)*'Cash Flows'!$C8:$BW8)</f>
        <v>0</v>
      </c>
      <c r="F8" s="18">
        <f>SUMPRODUCT((YEAR('Cash Flows'!$C$6:$BW$6)=$F$6)*'Cash Flows'!$C8:$BW8)</f>
        <v>-7956750</v>
      </c>
      <c r="G8" s="18">
        <f>SUMPRODUCT((YEAR('Cash Flows'!$C$6:$BW$6)=$G$6)*'Cash Flows'!$C8:$BW8)</f>
        <v>0</v>
      </c>
      <c r="H8" s="18">
        <f>SUMPRODUCT((YEAR('Cash Flows'!$C$6:$BW$6)=$H$6)*'Cash Flows'!$C8:$BW8)</f>
        <v>0</v>
      </c>
      <c r="I8" s="18">
        <f>SUMPRODUCT((YEAR('Cash Flows'!$C$6:$BW$6)=$I$6)*'Cash Flows'!$C8:$BW8)</f>
        <v>0</v>
      </c>
    </row>
    <row r="9" spans="2:11" x14ac:dyDescent="0.2">
      <c r="B9" t="s">
        <v>32</v>
      </c>
      <c r="C9" s="18"/>
      <c r="D9" s="18">
        <f>SUMPRODUCT((YEAR('Cash Flows'!$C$6:$BW$6)=$D$6)*'Cash Flows'!$C9:$BW9)</f>
        <v>-354620.33999999997</v>
      </c>
      <c r="E9" s="18">
        <f>SUMPRODUCT((YEAR('Cash Flows'!$C$6:$BW$6)=$E$6)*'Cash Flows'!$C9:$BW9)</f>
        <v>-542118.10679999983</v>
      </c>
      <c r="F9" s="18">
        <f>SUMPRODUCT((YEAR('Cash Flows'!$C$6:$BW$6)=$F$6)*'Cash Flows'!$C9:$BW9)</f>
        <v>0</v>
      </c>
      <c r="G9" s="18">
        <f>SUMPRODUCT((YEAR('Cash Flows'!$C$6:$BW$6)=$G$6)*'Cash Flows'!$C9:$BW9)</f>
        <v>-809599.3125</v>
      </c>
      <c r="H9" s="18">
        <f>SUMPRODUCT((YEAR('Cash Flows'!$C$6:$BW$6)=$H$6)*'Cash Flows'!$C9:$BW9)</f>
        <v>-833887.29187500023</v>
      </c>
      <c r="I9" s="18">
        <f>SUMPRODUCT((YEAR('Cash Flows'!$C$6:$BW$6)=$I$6)*'Cash Flows'!$C9:$BW9)</f>
        <v>-858903.91063125024</v>
      </c>
    </row>
    <row r="10" spans="2:11" x14ac:dyDescent="0.2">
      <c r="B10" s="16" t="s">
        <v>33</v>
      </c>
      <c r="C10" s="19"/>
      <c r="D10" s="19">
        <f>SUMPRODUCT((YEAR('Cash Flows'!$C$6:$BW$6)=$D$6)*'Cash Flows'!$C10:$BW10)</f>
        <v>6737786.459999999</v>
      </c>
      <c r="E10" s="19">
        <f>SUMPRODUCT((YEAR('Cash Flows'!$C$6:$BW$6)=$E$6)*'Cash Flows'!$C10:$BW10)</f>
        <v>10300244.029199999</v>
      </c>
      <c r="F10" s="19">
        <f>SUMPRODUCT((YEAR('Cash Flows'!$C$6:$BW$6)=$F$6)*'Cash Flows'!$C10:$BW10)</f>
        <v>0</v>
      </c>
      <c r="G10" s="19">
        <f>SUMPRODUCT((YEAR('Cash Flows'!$C$6:$BW$6)=$G$6)*'Cash Flows'!$C10:$BW10)</f>
        <v>15382386.9375</v>
      </c>
      <c r="H10" s="19">
        <f>SUMPRODUCT((YEAR('Cash Flows'!$C$6:$BW$6)=$H$6)*'Cash Flows'!$C10:$BW10)</f>
        <v>15843858.545624997</v>
      </c>
      <c r="I10" s="19">
        <f>SUMPRODUCT((YEAR('Cash Flows'!$C$6:$BW$6)=$I$6)*'Cash Flows'!$C10:$BW10)</f>
        <v>16319174.301993754</v>
      </c>
    </row>
    <row r="11" spans="2:11" x14ac:dyDescent="0.2">
      <c r="C11" s="18"/>
      <c r="D11" s="18"/>
      <c r="E11" s="18"/>
      <c r="F11" s="18"/>
      <c r="G11" s="18"/>
      <c r="H11" s="18"/>
      <c r="I11" s="18"/>
    </row>
    <row r="12" spans="2:11" x14ac:dyDescent="0.2">
      <c r="B12" t="s">
        <v>28</v>
      </c>
      <c r="C12" s="18"/>
      <c r="D12" s="18">
        <f>SUMPRODUCT((YEAR('Cash Flows'!$C$6:$BW$6)=$D$6)*'Cash Flows'!$C12:$BW12)</f>
        <v>-2500000</v>
      </c>
      <c r="E12" s="18">
        <f>SUMPRODUCT((YEAR('Cash Flows'!$C$6:$BW$6)=$E$6)*'Cash Flows'!$C12:$BW12)</f>
        <v>-3825000</v>
      </c>
      <c r="F12" s="18">
        <f>SUMPRODUCT((YEAR('Cash Flows'!$C$6:$BW$6)=$F$6)*'Cash Flows'!$C12:$BW12)</f>
        <v>-3901500</v>
      </c>
      <c r="G12" s="18">
        <f>SUMPRODUCT((YEAR('Cash Flows'!$C$6:$BW$6)=$G$6)*'Cash Flows'!$C12:$BW12)</f>
        <v>-3979529.9999999995</v>
      </c>
      <c r="H12" s="18">
        <f>SUMPRODUCT((YEAR('Cash Flows'!$C$6:$BW$6)=$H$6)*'Cash Flows'!$C12:$BW12)</f>
        <v>-4059120.5999999992</v>
      </c>
      <c r="I12" s="18">
        <f>SUMPRODUCT((YEAR('Cash Flows'!$C$6:$BW$6)=$I$6)*'Cash Flows'!$C12:$BW12)</f>
        <v>-4140303.0120000015</v>
      </c>
    </row>
    <row r="13" spans="2:11" x14ac:dyDescent="0.2">
      <c r="C13" s="18"/>
      <c r="D13" s="18"/>
      <c r="E13" s="18"/>
      <c r="F13" s="18"/>
      <c r="G13" s="18"/>
      <c r="H13" s="18"/>
      <c r="I13" s="18"/>
    </row>
    <row r="14" spans="2:11" x14ac:dyDescent="0.2">
      <c r="B14" t="s">
        <v>34</v>
      </c>
      <c r="C14" s="18"/>
      <c r="D14" s="18">
        <f>SUMPRODUCT((YEAR('Cash Flows'!$C$6:$BW$6)=$D$6)*'Cash Flows'!$C14:$BW14)</f>
        <v>4237786.459999999</v>
      </c>
      <c r="E14" s="18">
        <f>SUMPRODUCT((YEAR('Cash Flows'!$C$6:$BW$6)=$E$6)*'Cash Flows'!$C14:$BW14)</f>
        <v>6475244.0291999998</v>
      </c>
      <c r="F14" s="18">
        <f>SUMPRODUCT((YEAR('Cash Flows'!$C$6:$BW$6)=$F$6)*'Cash Flows'!$C14:$BW14)</f>
        <v>-3901500</v>
      </c>
      <c r="G14" s="18">
        <f>SUMPRODUCT((YEAR('Cash Flows'!$C$6:$BW$6)=$G$6)*'Cash Flows'!$C14:$BW14)</f>
        <v>11402856.9375</v>
      </c>
      <c r="H14" s="18">
        <f>SUMPRODUCT((YEAR('Cash Flows'!$C$6:$BW$6)=$H$6)*'Cash Flows'!$C14:$BW14)</f>
        <v>11784737.945625002</v>
      </c>
      <c r="I14" s="18">
        <f>SUMPRODUCT((YEAR('Cash Flows'!$C$6:$BW$6)=$I$6)*'Cash Flows'!$C14:$BW14)</f>
        <v>12178871.289993754</v>
      </c>
    </row>
    <row r="15" spans="2:11" x14ac:dyDescent="0.2">
      <c r="C15" s="18"/>
      <c r="D15" s="18"/>
      <c r="E15" s="18"/>
      <c r="F15" s="18"/>
      <c r="G15" s="18"/>
      <c r="H15" s="18"/>
      <c r="I15" s="18"/>
    </row>
    <row r="16" spans="2:11" x14ac:dyDescent="0.2">
      <c r="B16" t="s">
        <v>35</v>
      </c>
      <c r="C16" s="18"/>
      <c r="D16" s="18"/>
      <c r="E16" s="18"/>
      <c r="F16" s="18"/>
      <c r="G16" s="18"/>
      <c r="H16" s="18"/>
      <c r="I16" s="18"/>
    </row>
    <row r="17" spans="2:9" x14ac:dyDescent="0.2">
      <c r="B17" t="s">
        <v>36</v>
      </c>
      <c r="C17" s="18">
        <f>SUMPRODUCT((YEAR('Cash Flows'!$C$6:$BW$6)=$C$6)*'Cash Flows'!$C17:$BW17)</f>
        <v>0</v>
      </c>
      <c r="D17" s="18">
        <f>SUMPRODUCT((YEAR('Cash Flows'!$C$6:$BW$6)=$D$6)*'Cash Flows'!$C17:$BW17)</f>
        <v>-5000000</v>
      </c>
      <c r="E17" s="18">
        <f>SUMPRODUCT((YEAR('Cash Flows'!$C$6:$BW$6)=$E$6)*'Cash Flows'!$C17:$BW17)</f>
        <v>0</v>
      </c>
      <c r="F17" s="18">
        <f>SUMPRODUCT((YEAR('Cash Flows'!$C$6:$BW$6)=$F$6)*'Cash Flows'!$C17:$BW17)</f>
        <v>0</v>
      </c>
      <c r="G17" s="18">
        <f>SUMPRODUCT((YEAR('Cash Flows'!$C$6:$BW$6)=$G$6)*'Cash Flows'!$C17:$BW17)</f>
        <v>0</v>
      </c>
      <c r="H17" s="18">
        <f>SUMPRODUCT((YEAR('Cash Flows'!$C$6:$BW$6)=$H$6)*'Cash Flows'!$C17:$BW17)</f>
        <v>0</v>
      </c>
      <c r="I17" s="18">
        <f>SUMPRODUCT((YEAR('Cash Flows'!$C$6:$BW$6)=$I$6)*'Cash Flows'!$C17:$BW17)</f>
        <v>0</v>
      </c>
    </row>
    <row r="18" spans="2:9" x14ac:dyDescent="0.2">
      <c r="B18" t="s">
        <v>18</v>
      </c>
      <c r="C18" s="18">
        <f>SUMPRODUCT((YEAR('Cash Flows'!$C$6:$BW$6)=$C$6)*'Cash Flows'!$C18:$BW18)</f>
        <v>0</v>
      </c>
      <c r="D18" s="18">
        <f>SUMPRODUCT((YEAR('Cash Flows'!$C$6:$BW$6)=$D$6)*'Cash Flows'!$C18:$BW18)</f>
        <v>0</v>
      </c>
      <c r="E18" s="18">
        <f>SUMPRODUCT((YEAR('Cash Flows'!$C$6:$BW$6)=$E$6)*'Cash Flows'!$C18:$BW18)</f>
        <v>0</v>
      </c>
      <c r="F18" s="18">
        <f>SUMPRODUCT((YEAR('Cash Flows'!$C$6:$BW$6)=$F$6)*'Cash Flows'!$C18:$BW18)</f>
        <v>-10000000</v>
      </c>
      <c r="G18" s="18">
        <f>SUMPRODUCT((YEAR('Cash Flows'!$C$6:$BW$6)=$G$6)*'Cash Flows'!$C18:$BW18)</f>
        <v>0</v>
      </c>
      <c r="H18" s="18">
        <f>SUMPRODUCT((YEAR('Cash Flows'!$C$6:$BW$6)=$H$6)*'Cash Flows'!$C18:$BW18)</f>
        <v>0</v>
      </c>
      <c r="I18" s="18">
        <f>SUMPRODUCT((YEAR('Cash Flows'!$C$6:$BW$6)=$I$6)*'Cash Flows'!$C18:$BW18)</f>
        <v>0</v>
      </c>
    </row>
    <row r="19" spans="2:9" x14ac:dyDescent="0.2">
      <c r="B19" s="16" t="s">
        <v>37</v>
      </c>
      <c r="C19" s="19">
        <f>SUMPRODUCT((YEAR('Cash Flows'!$C$6:$BW$6)=$C$6)*'Cash Flows'!$C19:$BW19)</f>
        <v>0</v>
      </c>
      <c r="D19" s="19">
        <f>SUMPRODUCT((YEAR('Cash Flows'!$C$6:$BW$6)=$D$6)*'Cash Flows'!$C19:$BW19)</f>
        <v>-5000000</v>
      </c>
      <c r="E19" s="19">
        <f>SUMPRODUCT((YEAR('Cash Flows'!$C$6:$BW$6)=$E$6)*'Cash Flows'!$C19:$BW19)</f>
        <v>0</v>
      </c>
      <c r="F19" s="19">
        <f>SUMPRODUCT((YEAR('Cash Flows'!$C$6:$BW$6)=$F$6)*'Cash Flows'!$C19:$BW19)</f>
        <v>-10000000</v>
      </c>
      <c r="G19" s="19">
        <f>SUMPRODUCT((YEAR('Cash Flows'!$C$6:$BW$6)=$G$6)*'Cash Flows'!$C19:$BW19)</f>
        <v>0</v>
      </c>
      <c r="H19" s="19">
        <f>SUMPRODUCT((YEAR('Cash Flows'!$C$6:$BW$6)=$H$6)*'Cash Flows'!$C19:$BW19)</f>
        <v>0</v>
      </c>
      <c r="I19" s="19">
        <f>SUMPRODUCT((YEAR('Cash Flows'!$C$6:$BW$6)=$I$6)*'Cash Flows'!$C19:$BW19)</f>
        <v>0</v>
      </c>
    </row>
    <row r="20" spans="2:9" x14ac:dyDescent="0.2">
      <c r="C20" s="18"/>
      <c r="D20" s="18"/>
      <c r="E20" s="18"/>
      <c r="F20" s="18"/>
      <c r="G20" s="18"/>
      <c r="H20" s="18"/>
      <c r="I20" s="18"/>
    </row>
    <row r="21" spans="2:9" x14ac:dyDescent="0.2">
      <c r="B21" s="2" t="s">
        <v>38</v>
      </c>
      <c r="C21" s="35">
        <f>SUMPRODUCT((YEAR('Cash Flows'!$C$6:$BW$6)=$C$6)*'Cash Flows'!$C21:$BW21)</f>
        <v>0</v>
      </c>
      <c r="D21" s="35">
        <f>SUMPRODUCT((YEAR('Cash Flows'!$C$6:$BW$6)=$D$6)*'Cash Flows'!$C21:$BW21)</f>
        <v>-762213.54</v>
      </c>
      <c r="E21" s="35">
        <f>SUMPRODUCT((YEAR('Cash Flows'!$C$6:$BW$6)=$E$6)*'Cash Flows'!$C21:$BW21)</f>
        <v>6475244.0291999998</v>
      </c>
      <c r="F21" s="35">
        <f>SUMPRODUCT((YEAR('Cash Flows'!$C$6:$BW$6)=$F$6)*'Cash Flows'!$C21:$BW21)</f>
        <v>-13901500</v>
      </c>
      <c r="G21" s="35">
        <f>SUMPRODUCT((YEAR('Cash Flows'!$C$6:$BW$6)=$G$6)*'Cash Flows'!$C21:$BW21)</f>
        <v>11402856.9375</v>
      </c>
      <c r="H21" s="35">
        <f>SUMPRODUCT((YEAR('Cash Flows'!$C$6:$BW$6)=$H$6)*'Cash Flows'!$C21:$BW21)</f>
        <v>11784737.945625002</v>
      </c>
      <c r="I21" s="35">
        <f>SUMPRODUCT((YEAR('Cash Flows'!$C$6:$BW$6)=$I$6)*'Cash Flows'!$C21:$BW21)</f>
        <v>12178871.289993754</v>
      </c>
    </row>
    <row r="22" spans="2:9" x14ac:dyDescent="0.2">
      <c r="C22" s="18"/>
      <c r="D22" s="18"/>
      <c r="E22" s="18"/>
      <c r="F22" s="18"/>
      <c r="G22" s="18"/>
      <c r="H22" s="18"/>
      <c r="I22" s="18"/>
    </row>
    <row r="23" spans="2:9" x14ac:dyDescent="0.2">
      <c r="B23" s="2" t="s">
        <v>39</v>
      </c>
      <c r="C23" s="18"/>
      <c r="D23" s="18"/>
      <c r="E23" s="18"/>
      <c r="F23" s="18"/>
      <c r="G23" s="18"/>
      <c r="H23" s="18"/>
      <c r="I23" s="18"/>
    </row>
    <row r="24" spans="2:9" x14ac:dyDescent="0.2">
      <c r="B24" t="s">
        <v>40</v>
      </c>
      <c r="C24" s="18">
        <f>SUMPRODUCT((YEAR('Cash Flows'!$C$6:$BW$6)=$C$6)*'Cash Flows'!$C24:$BW24)</f>
        <v>0</v>
      </c>
      <c r="D24" s="18">
        <f>SUMPRODUCT((YEAR('Cash Flows'!$C$6:$BW$6)=$D$6)*'Cash Flows'!$C24:$BW24)</f>
        <v>-100000000</v>
      </c>
      <c r="E24" s="18">
        <f>SUMPRODUCT((YEAR('Cash Flows'!$C$6:$BW$6)=$E$6)*'Cash Flows'!$C24:$BW24)</f>
        <v>0</v>
      </c>
      <c r="F24" s="18">
        <f>SUMPRODUCT((YEAR('Cash Flows'!$C$6:$BW$6)=$F$6)*'Cash Flows'!$C24:$BW24)</f>
        <v>0</v>
      </c>
      <c r="G24" s="18">
        <f>SUMPRODUCT((YEAR('Cash Flows'!$C$6:$BW$6)=$G$6)*'Cash Flows'!$C24:$BW24)</f>
        <v>0</v>
      </c>
      <c r="H24" s="18">
        <f>SUMPRODUCT((YEAR('Cash Flows'!$C$6:$BW$6)=$H$6)*'Cash Flows'!$C24:$BW24)</f>
        <v>0</v>
      </c>
      <c r="I24" s="18">
        <f>SUMPRODUCT((YEAR('Cash Flows'!$C$6:$BW$6)=$I$6)*'Cash Flows'!$C24:$BW24)</f>
        <v>0</v>
      </c>
    </row>
    <row r="25" spans="2:9" x14ac:dyDescent="0.2">
      <c r="B25" s="15" t="s">
        <v>41</v>
      </c>
      <c r="C25" s="18">
        <f>SUMPRODUCT((YEAR('Cash Flows'!$C$6:$BW$6)=$C$6)*'Cash Flows'!$C25:$BW25)</f>
        <v>0</v>
      </c>
      <c r="D25" s="18">
        <f>SUMPRODUCT((YEAR('Cash Flows'!$C$6:$BW$6)=$D$6)*'Cash Flows'!$C25:$BW25)</f>
        <v>0</v>
      </c>
      <c r="E25" s="18">
        <f>SUMPRODUCT((YEAR('Cash Flows'!$C$6:$BW$6)=$E$6)*'Cash Flows'!$C25:$BW25)</f>
        <v>0</v>
      </c>
      <c r="F25" s="18">
        <f>SUMPRODUCT((YEAR('Cash Flows'!$C$6:$BW$6)=$F$6)*'Cash Flows'!$C25:$BW25)</f>
        <v>0</v>
      </c>
      <c r="G25" s="18">
        <f>SUMPRODUCT((YEAR('Cash Flows'!$C$6:$BW$6)=$G$6)*'Cash Flows'!$C25:$BW25)</f>
        <v>0</v>
      </c>
      <c r="H25" s="18">
        <f>SUMPRODUCT((YEAR('Cash Flows'!$C$6:$BW$6)=$H$6)*'Cash Flows'!$C25:$BW25)</f>
        <v>0</v>
      </c>
      <c r="I25" s="18">
        <f>SUMPRODUCT((YEAR('Cash Flows'!$C$6:$BW$6)=$I$6)*'Cash Flows'!$C25:$BW25)</f>
        <v>205194237.92231259</v>
      </c>
    </row>
    <row r="26" spans="2:9" x14ac:dyDescent="0.2">
      <c r="C26" s="18"/>
      <c r="D26" s="18"/>
      <c r="E26" s="18"/>
      <c r="F26" s="18"/>
      <c r="G26" s="18"/>
      <c r="H26" s="18"/>
      <c r="I26" s="18"/>
    </row>
    <row r="27" spans="2:9" x14ac:dyDescent="0.2">
      <c r="B27" s="2" t="s">
        <v>42</v>
      </c>
      <c r="C27" s="21">
        <f>SUMPRODUCT((YEAR('Cash Flows'!$C$6:$BW$6)=$C$6)*'Cash Flows'!$C27:$BW27)</f>
        <v>0</v>
      </c>
      <c r="D27" s="21">
        <f>SUMPRODUCT((YEAR('Cash Flows'!$C$6:$BW$6)=$D$6)*'Cash Flows'!$C27:$BW27)</f>
        <v>-100762213.54000001</v>
      </c>
      <c r="E27" s="21">
        <f>SUMPRODUCT((YEAR('Cash Flows'!$C$6:$BW$6)=$E$6)*'Cash Flows'!$C27:$BW27)</f>
        <v>6475244.0291999998</v>
      </c>
      <c r="F27" s="21">
        <f>SUMPRODUCT((YEAR('Cash Flows'!$C$6:$BW$6)=$F$6)*'Cash Flows'!$C27:$BW27)</f>
        <v>-13901500</v>
      </c>
      <c r="G27" s="21">
        <f>SUMPRODUCT((YEAR('Cash Flows'!$C$6:$BW$6)=$G$6)*'Cash Flows'!$C27:$BW27)</f>
        <v>11402856.9375</v>
      </c>
      <c r="H27" s="21">
        <f>SUMPRODUCT((YEAR('Cash Flows'!$C$6:$BW$6)=$H$6)*'Cash Flows'!$C27:$BW27)</f>
        <v>11784737.945625002</v>
      </c>
      <c r="I27" s="21">
        <f>SUMPRODUCT((YEAR('Cash Flows'!$C$6:$BW$6)=$I$6)*'Cash Flows'!$C27:$BW27)</f>
        <v>209160303.76581261</v>
      </c>
    </row>
    <row r="28" spans="2:9" x14ac:dyDescent="0.2">
      <c r="C28" s="18">
        <f>SUMPRODUCT((YEAR('Cash Flows'!$C$6:$BW$6)=$C$6)*'Cash Flows'!$C28:$BW28)</f>
        <v>0</v>
      </c>
      <c r="D28" s="18">
        <f>SUMPRODUCT((YEAR('Cash Flows'!$C$6:$BW$6)=$D$6)*'Cash Flows'!$C28:$BW28)</f>
        <v>-925988769.53999996</v>
      </c>
      <c r="E28" s="18">
        <f>SUMPRODUCT((YEAR('Cash Flows'!$C$6:$BW$6)=$E$6)*'Cash Flows'!$C28:$BW28)</f>
        <v>-1167151738.0908008</v>
      </c>
      <c r="F28" s="18">
        <f>SUMPRODUCT((YEAR('Cash Flows'!$C$6:$BW$6)=$F$6)*'Cash Flows'!$C28:$BW28)</f>
        <v>-1226803384.1296012</v>
      </c>
      <c r="G28" s="18">
        <f>SUMPRODUCT((YEAR('Cash Flows'!$C$6:$BW$6)=$G$6)*'Cash Flows'!$C28:$BW28)</f>
        <v>-1224804468.8796012</v>
      </c>
      <c r="H28" s="18">
        <f>SUMPRODUCT((YEAR('Cash Flows'!$C$6:$BW$6)=$H$6)*'Cash Flows'!$C28:$BW28)</f>
        <v>-1085507801.222101</v>
      </c>
      <c r="I28" s="18">
        <f>SUMPRODUCT((YEAR('Cash Flows'!$C$6:$BW$6)=$I$6)*'Cash Flows'!$C28:$BW28)</f>
        <v>868381337.12546217</v>
      </c>
    </row>
    <row r="29" spans="2:9" x14ac:dyDescent="0.2">
      <c r="B29" t="s">
        <v>43</v>
      </c>
      <c r="C29" s="17">
        <f>IRR(C27:I27)</f>
        <v>0.17804032384995194</v>
      </c>
      <c r="D29" s="18"/>
      <c r="E29" s="18"/>
      <c r="F29" s="18"/>
      <c r="G29" s="18"/>
      <c r="H29" s="18"/>
      <c r="I29" s="18"/>
    </row>
    <row r="30" spans="2:9" x14ac:dyDescent="0.2">
      <c r="B30" t="s">
        <v>44</v>
      </c>
      <c r="C30" s="18">
        <f>SUM(C27:I27)</f>
        <v>124159429.13813761</v>
      </c>
      <c r="D30" s="18"/>
      <c r="E30" s="18"/>
      <c r="F30" s="18"/>
      <c r="G30" s="18"/>
      <c r="H30" s="18"/>
      <c r="I30" s="18"/>
    </row>
    <row r="31" spans="2:9" x14ac:dyDescent="0.2">
      <c r="B31" t="s">
        <v>45</v>
      </c>
      <c r="C31" s="18">
        <f>'Cash Flows'!C31</f>
        <v>108188469.51080008</v>
      </c>
      <c r="D31" s="18"/>
      <c r="E31" s="18"/>
      <c r="F31" s="18"/>
      <c r="G31" s="18"/>
      <c r="H31" s="18"/>
      <c r="I31" s="18"/>
    </row>
    <row r="32" spans="2:9" x14ac:dyDescent="0.2">
      <c r="B32" t="s">
        <v>46</v>
      </c>
      <c r="C32" s="25">
        <f>(C30+C31)/C31</f>
        <v>2.1476216430415742</v>
      </c>
      <c r="D32" s="18"/>
      <c r="E32" s="18"/>
      <c r="F32" s="18"/>
      <c r="G32" s="18"/>
      <c r="H32" s="18"/>
      <c r="I32" s="18"/>
    </row>
    <row r="33" spans="2:9" x14ac:dyDescent="0.2">
      <c r="C33" s="18"/>
      <c r="D33" s="18"/>
      <c r="E33" s="18"/>
      <c r="F33" s="18"/>
      <c r="G33" s="18"/>
      <c r="H33" s="18"/>
      <c r="I33" s="18"/>
    </row>
    <row r="34" spans="2:9" x14ac:dyDescent="0.2">
      <c r="B34" s="2" t="s">
        <v>63</v>
      </c>
      <c r="C34" s="18"/>
      <c r="D34" s="18"/>
      <c r="E34" s="18"/>
      <c r="F34" s="18"/>
      <c r="G34" s="18"/>
      <c r="H34" s="18"/>
      <c r="I34" s="18"/>
    </row>
    <row r="35" spans="2:9" x14ac:dyDescent="0.2">
      <c r="B35" t="s">
        <v>60</v>
      </c>
      <c r="C35" s="18">
        <f>SUMPRODUCT((YEAR('Cash Flows'!$C$6:$BW$6)=$C$6)*'Cash Flows'!$C35:$BW35)</f>
        <v>0</v>
      </c>
      <c r="D35" s="18">
        <f>SUMPRODUCT((YEAR('Cash Flows'!$C$6:$BW$6)=$D$6)*'Cash Flows'!$C35:$BW35)</f>
        <v>60000000</v>
      </c>
      <c r="E35" s="18">
        <f>SUMPRODUCT((YEAR('Cash Flows'!$C$6:$BW$6)=$E$6)*'Cash Flows'!$C35:$BW35)</f>
        <v>0</v>
      </c>
      <c r="F35" s="18">
        <f>SUMPRODUCT((YEAR('Cash Flows'!$C$6:$BW$6)=$F$6)*'Cash Flows'!$C35:$BW35)</f>
        <v>0</v>
      </c>
      <c r="G35" s="18">
        <f>SUMPRODUCT((YEAR('Cash Flows'!$C$6:$BW$6)=$G$6)*'Cash Flows'!$C35:$BW35)</f>
        <v>0</v>
      </c>
      <c r="H35" s="18">
        <f>SUMPRODUCT((YEAR('Cash Flows'!$C$6:$BW$6)=$H$6)*'Cash Flows'!$C35:$BW35)</f>
        <v>0</v>
      </c>
      <c r="I35" s="18">
        <f>SUMPRODUCT((YEAR('Cash Flows'!$C$6:$BW$6)=$I$6)*'Cash Flows'!$C35:$BW35)</f>
        <v>0</v>
      </c>
    </row>
    <row r="36" spans="2:9" x14ac:dyDescent="0.2">
      <c r="B36" t="s">
        <v>59</v>
      </c>
      <c r="C36" s="18">
        <f>SUMPRODUCT((YEAR('Cash Flows'!$C$6:$BW$6)=$C$6)*'Cash Flows'!$C36:$BW36)</f>
        <v>0</v>
      </c>
      <c r="D36" s="18">
        <f>SUMPRODUCT((YEAR('Cash Flows'!$C$6:$BW$6)=$D$6)*'Cash Flows'!$C36:$BW36)</f>
        <v>-1755666.6763768806</v>
      </c>
      <c r="E36" s="18">
        <f>SUMPRODUCT((YEAR('Cash Flows'!$C$6:$BW$6)=$E$6)*'Cash Flows'!$C36:$BW36)</f>
        <v>-2598475.8113369751</v>
      </c>
      <c r="F36" s="18">
        <f>SUMPRODUCT((YEAR('Cash Flows'!$C$6:$BW$6)=$F$6)*'Cash Flows'!$C36:$BW36)</f>
        <v>-2557042.7309299163</v>
      </c>
      <c r="G36" s="18">
        <f>SUMPRODUCT((YEAR('Cash Flows'!$C$6:$BW$6)=$G$6)*'Cash Flows'!$C36:$BW36)</f>
        <v>-2516270.3071064311</v>
      </c>
      <c r="H36" s="18">
        <f>SUMPRODUCT((YEAR('Cash Flows'!$C$6:$BW$6)=$H$6)*'Cash Flows'!$C36:$BW36)</f>
        <v>-2476148.0055997674</v>
      </c>
      <c r="I36" s="18">
        <f>SUMPRODUCT((YEAR('Cash Flows'!$C$6:$BW$6)=$I$6)*'Cash Flows'!$C36:$BW36)</f>
        <v>-816577.47207553918</v>
      </c>
    </row>
    <row r="37" spans="2:9" x14ac:dyDescent="0.2">
      <c r="B37" t="s">
        <v>55</v>
      </c>
      <c r="C37" s="18">
        <f>SUMPRODUCT((YEAR('Cash Flows'!$C$6:$BW$6)=$C$6)*'Cash Flows'!$C37:$BW37)</f>
        <v>0</v>
      </c>
      <c r="D37" s="18">
        <f>SUMPRODUCT((YEAR('Cash Flows'!$C$6:$BW$6)=$D$6)*'Cash Flows'!$C37:$BW37)</f>
        <v>-639513.01464483503</v>
      </c>
      <c r="E37" s="18">
        <f>SUMPRODUCT((YEAR('Cash Flows'!$C$6:$BW$6)=$E$6)*'Cash Flows'!$C37:$BW37)</f>
        <v>-946511.72796599264</v>
      </c>
      <c r="F37" s="18">
        <f>SUMPRODUCT((YEAR('Cash Flows'!$C$6:$BW$6)=$F$6)*'Cash Flows'!$C37:$BW37)</f>
        <v>-931419.45873649349</v>
      </c>
      <c r="G37" s="18">
        <f>SUMPRODUCT((YEAR('Cash Flows'!$C$6:$BW$6)=$G$6)*'Cash Flows'!$C37:$BW37)</f>
        <v>-916567.83796782722</v>
      </c>
      <c r="H37" s="18">
        <f>SUMPRODUCT((YEAR('Cash Flows'!$C$6:$BW$6)=$H$6)*'Cash Flows'!$C37:$BW37)</f>
        <v>-901953.02848476125</v>
      </c>
      <c r="I37" s="18">
        <f>SUMPRODUCT((YEAR('Cash Flows'!$C$6:$BW$6)=$I$6)*'Cash Flows'!$C37:$BW37)</f>
        <v>-297443.65937147068</v>
      </c>
    </row>
    <row r="38" spans="2:9" x14ac:dyDescent="0.2">
      <c r="B38" t="s">
        <v>61</v>
      </c>
      <c r="C38" s="18">
        <f>SUMPRODUCT((YEAR('Cash Flows'!$C$6:$BW$6)=$C$6)*'Cash Flows'!$C38:$BW38)</f>
        <v>0</v>
      </c>
      <c r="D38" s="18">
        <f>SUMPRODUCT((YEAR('Cash Flows'!$C$6:$BW$6)=$D$6)*'Cash Flows'!$C38:$BW38)</f>
        <v>0</v>
      </c>
      <c r="E38" s="18">
        <f>SUMPRODUCT((YEAR('Cash Flows'!$C$6:$BW$6)=$E$6)*'Cash Flows'!$C38:$BW38)</f>
        <v>0</v>
      </c>
      <c r="F38" s="18">
        <f>SUMPRODUCT((YEAR('Cash Flows'!$C$6:$BW$6)=$F$6)*'Cash Flows'!$C38:$BW38)</f>
        <v>0</v>
      </c>
      <c r="G38" s="18">
        <f>SUMPRODUCT((YEAR('Cash Flows'!$C$6:$BW$6)=$G$6)*'Cash Flows'!$C38:$BW38)</f>
        <v>0</v>
      </c>
      <c r="H38" s="18">
        <f>SUMPRODUCT((YEAR('Cash Flows'!$C$6:$BW$6)=$H$6)*'Cash Flows'!$C38:$BW38)</f>
        <v>0</v>
      </c>
      <c r="I38" s="18">
        <f>SUMPRODUCT((YEAR('Cash Flows'!$C$6:$BW$6)=$I$6)*'Cash Flows'!$C38:$BW38)</f>
        <v>-55366591.272828594</v>
      </c>
    </row>
    <row r="39" spans="2:9" x14ac:dyDescent="0.2">
      <c r="B39" t="s">
        <v>65</v>
      </c>
      <c r="C39" s="18">
        <f>SUMPRODUCT((YEAR('Cash Flows'!$C$6:$BW$6)=$C$6)*'Cash Flows'!$C39:$BW39)</f>
        <v>0</v>
      </c>
      <c r="D39" s="18">
        <f>SUMPRODUCT((YEAR('Cash Flows'!$C$6:$BW$6)=$D$6)*'Cash Flows'!$C39:$BW39)</f>
        <v>-600000</v>
      </c>
      <c r="E39" s="18">
        <f>SUMPRODUCT((YEAR('Cash Flows'!$C$6:$BW$6)=$E$6)*'Cash Flows'!$C39:$BW39)</f>
        <v>0</v>
      </c>
      <c r="F39" s="18">
        <f>SUMPRODUCT((YEAR('Cash Flows'!$C$6:$BW$6)=$F$6)*'Cash Flows'!$C39:$BW39)</f>
        <v>0</v>
      </c>
      <c r="G39" s="18">
        <f>SUMPRODUCT((YEAR('Cash Flows'!$C$6:$BW$6)=$G$6)*'Cash Flows'!$C39:$BW39)</f>
        <v>0</v>
      </c>
      <c r="H39" s="18">
        <f>SUMPRODUCT((YEAR('Cash Flows'!$C$6:$BW$6)=$H$6)*'Cash Flows'!$C39:$BW39)</f>
        <v>0</v>
      </c>
      <c r="I39" s="18">
        <f>SUMPRODUCT((YEAR('Cash Flows'!$C$6:$BW$6)=$I$6)*'Cash Flows'!$C39:$BW39)</f>
        <v>0</v>
      </c>
    </row>
    <row r="40" spans="2:9" x14ac:dyDescent="0.2">
      <c r="C40" s="18"/>
      <c r="D40" s="18"/>
      <c r="E40" s="18"/>
      <c r="F40" s="18"/>
      <c r="G40" s="18"/>
      <c r="H40" s="18"/>
      <c r="I40" s="18"/>
    </row>
    <row r="41" spans="2:9" x14ac:dyDescent="0.2">
      <c r="B41" s="2" t="s">
        <v>64</v>
      </c>
      <c r="C41" s="21">
        <f>SUMPRODUCT((YEAR('Cash Flows'!$C$6:$BW$6)=$C$6)*'Cash Flows'!$C41:$BW41)</f>
        <v>0</v>
      </c>
      <c r="D41" s="21">
        <f>SUMPRODUCT((YEAR('Cash Flows'!$C$6:$BW$6)=$D$6)*'Cash Flows'!$C41:$BW41)</f>
        <v>-43757393.231021725</v>
      </c>
      <c r="E41" s="21">
        <f>SUMPRODUCT((YEAR('Cash Flows'!$C$6:$BW$6)=$E$6)*'Cash Flows'!$C41:$BW41)</f>
        <v>2930256.4898970309</v>
      </c>
      <c r="F41" s="21">
        <f>SUMPRODUCT((YEAR('Cash Flows'!$C$6:$BW$6)=$F$6)*'Cash Flows'!$C41:$BW41)</f>
        <v>-17389962.189666409</v>
      </c>
      <c r="G41" s="21">
        <f>SUMPRODUCT((YEAR('Cash Flows'!$C$6:$BW$6)=$G$6)*'Cash Flows'!$C41:$BW41)</f>
        <v>7970018.7924257414</v>
      </c>
      <c r="H41" s="21">
        <f>SUMPRODUCT((YEAR('Cash Flows'!$C$6:$BW$6)=$H$6)*'Cash Flows'!$C41:$BW41)</f>
        <v>8406636.911540471</v>
      </c>
      <c r="I41" s="21">
        <f>SUMPRODUCT((YEAR('Cash Flows'!$C$6:$BW$6)=$I$6)*'Cash Flows'!$C41:$BW41)</f>
        <v>152679691.36153698</v>
      </c>
    </row>
    <row r="42" spans="2:9" x14ac:dyDescent="0.2">
      <c r="C42" s="18">
        <f>SUMPRODUCT((YEAR('Cash Flows'!$C$6:$BW$6)=$C$6)*'Cash Flows'!$C42:$BW42)</f>
        <v>0</v>
      </c>
      <c r="D42" s="18">
        <f>SUMPRODUCT((YEAR('Cash Flows'!$C$6:$BW$6)=$D$6)*'Cash Flows'!$C42:$BW42)</f>
        <v>-402183921.54055798</v>
      </c>
      <c r="E42" s="18">
        <f>SUMPRODUCT((YEAR('Cash Flows'!$C$6:$BW$6)=$E$6)*'Cash Flows'!$C42:$BW42)</f>
        <v>-506192898.29349887</v>
      </c>
      <c r="F42" s="18">
        <f>SUMPRODUCT((YEAR('Cash Flows'!$C$6:$BW$6)=$F$6)*'Cash Flows'!$C42:$BW42)</f>
        <v>-608016077.77663398</v>
      </c>
      <c r="G42" s="18">
        <f>SUMPRODUCT((YEAR('Cash Flows'!$C$6:$BW$6)=$G$6)*'Cash Flows'!$C42:$BW42)</f>
        <v>-647516264.64470267</v>
      </c>
      <c r="H42" s="18">
        <f>SUMPRODUCT((YEAR('Cash Flows'!$C$6:$BW$6)=$H$6)*'Cash Flows'!$C42:$BW42)</f>
        <v>-549056989.79576874</v>
      </c>
      <c r="I42" s="18">
        <f>SUMPRODUCT((YEAR('Cash Flows'!$C$6:$BW$6)=$I$6)*'Cash Flows'!$C42:$BW42)</f>
        <v>876308105.35369885</v>
      </c>
    </row>
    <row r="43" spans="2:9" x14ac:dyDescent="0.2">
      <c r="B43" t="s">
        <v>43</v>
      </c>
      <c r="C43" s="17">
        <f>IRR(D41:I41)</f>
        <v>0.27601289358856373</v>
      </c>
    </row>
    <row r="44" spans="2:9" x14ac:dyDescent="0.2">
      <c r="B44" t="s">
        <v>44</v>
      </c>
      <c r="C44" s="18">
        <f>SUM(C41:I41)</f>
        <v>110839248.13471209</v>
      </c>
    </row>
    <row r="45" spans="2:9" x14ac:dyDescent="0.2">
      <c r="B45" t="s">
        <v>45</v>
      </c>
      <c r="C45" s="18">
        <f>'Cash Flows'!C45</f>
        <v>58217098.930791102</v>
      </c>
    </row>
    <row r="46" spans="2:9" x14ac:dyDescent="0.2">
      <c r="B46" t="s">
        <v>46</v>
      </c>
      <c r="C46" s="25">
        <f>(C44+C45)/C45</f>
        <v>2.9038950784283935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BW25"/>
  <sheetViews>
    <sheetView zoomScale="85" zoomScaleNormal="85" workbookViewId="0">
      <selection activeCell="D28" sqref="D28"/>
    </sheetView>
  </sheetViews>
  <sheetFormatPr baseColWidth="10" defaultColWidth="12.6640625" defaultRowHeight="15" x14ac:dyDescent="0.2"/>
  <cols>
    <col min="1" max="1" width="4.83203125" customWidth="1"/>
    <col min="2" max="2" width="25.33203125" customWidth="1"/>
    <col min="3" max="63" width="15.33203125" bestFit="1" customWidth="1"/>
    <col min="64" max="75" width="12.83203125" bestFit="1" customWidth="1"/>
  </cols>
  <sheetData>
    <row r="2" spans="2:75" x14ac:dyDescent="0.2">
      <c r="B2" s="3" t="s">
        <v>0</v>
      </c>
      <c r="C2" s="3"/>
      <c r="D2" s="3"/>
      <c r="E2" s="3"/>
      <c r="F2" s="3"/>
      <c r="G2" s="3"/>
      <c r="H2" s="3"/>
      <c r="I2" s="3"/>
      <c r="J2" s="3"/>
      <c r="K2" s="4">
        <v>42808</v>
      </c>
    </row>
    <row r="3" spans="2:75" x14ac:dyDescent="0.2">
      <c r="B3" t="s">
        <v>51</v>
      </c>
    </row>
    <row r="5" spans="2:75" x14ac:dyDescent="0.2">
      <c r="B5" t="str">
        <f>Summary!B19</f>
        <v>Debt</v>
      </c>
    </row>
    <row r="6" spans="2:75" x14ac:dyDescent="0.2">
      <c r="B6" t="str">
        <f>Summary!B20</f>
        <v>LTV</v>
      </c>
      <c r="C6" s="30">
        <f>Summary!C20</f>
        <v>0.6</v>
      </c>
    </row>
    <row r="7" spans="2:75" x14ac:dyDescent="0.2">
      <c r="B7" t="str">
        <f>Summary!B21</f>
        <v>Fixed rate</v>
      </c>
      <c r="C7" s="30">
        <f>Summary!C21</f>
        <v>4.4999999999999998E-2</v>
      </c>
    </row>
    <row r="8" spans="2:75" x14ac:dyDescent="0.2">
      <c r="B8" t="str">
        <f>Summary!B22</f>
        <v>Term years</v>
      </c>
      <c r="C8" s="31">
        <f>Summary!C22</f>
        <v>10</v>
      </c>
    </row>
    <row r="9" spans="2:75" x14ac:dyDescent="0.2">
      <c r="B9" t="str">
        <f>Summary!B23</f>
        <v>Amortization</v>
      </c>
      <c r="C9" s="31">
        <f>Summary!C23</f>
        <v>30</v>
      </c>
    </row>
    <row r="10" spans="2:75" x14ac:dyDescent="0.2">
      <c r="B10" t="str">
        <f>Summary!B24</f>
        <v>Origination fee at closing</v>
      </c>
      <c r="C10" s="30">
        <f>Summary!C24</f>
        <v>0.01</v>
      </c>
    </row>
    <row r="12" spans="2:75" x14ac:dyDescent="0.2">
      <c r="C12" s="14">
        <f>'Cash Flows'!C6</f>
        <v>42855</v>
      </c>
      <c r="D12" s="1">
        <f>'Cash Flows'!D6</f>
        <v>42886</v>
      </c>
      <c r="E12" s="1">
        <f>'Cash Flows'!E6</f>
        <v>42916</v>
      </c>
      <c r="F12" s="1">
        <f>'Cash Flows'!F6</f>
        <v>42947</v>
      </c>
      <c r="G12" s="1">
        <f>'Cash Flows'!G6</f>
        <v>42978</v>
      </c>
      <c r="H12" s="1">
        <f>'Cash Flows'!H6</f>
        <v>43008</v>
      </c>
      <c r="I12" s="1">
        <f>'Cash Flows'!I6</f>
        <v>43039</v>
      </c>
      <c r="J12" s="1">
        <f>'Cash Flows'!J6</f>
        <v>43069</v>
      </c>
      <c r="K12" s="1">
        <f>'Cash Flows'!K6</f>
        <v>43100</v>
      </c>
      <c r="L12" s="1">
        <f>'Cash Flows'!L6</f>
        <v>43131</v>
      </c>
      <c r="M12" s="1">
        <f>'Cash Flows'!M6</f>
        <v>43159</v>
      </c>
      <c r="N12" s="1">
        <f>'Cash Flows'!N6</f>
        <v>43190</v>
      </c>
      <c r="O12" s="1">
        <f>'Cash Flows'!O6</f>
        <v>43220</v>
      </c>
      <c r="P12" s="1">
        <f>'Cash Flows'!P6</f>
        <v>43251</v>
      </c>
      <c r="Q12" s="1">
        <f>'Cash Flows'!Q6</f>
        <v>43281</v>
      </c>
      <c r="R12" s="1">
        <f>'Cash Flows'!R6</f>
        <v>43312</v>
      </c>
      <c r="S12" s="1">
        <f>'Cash Flows'!S6</f>
        <v>43343</v>
      </c>
      <c r="T12" s="1">
        <f>'Cash Flows'!T6</f>
        <v>43373</v>
      </c>
      <c r="U12" s="1">
        <f>'Cash Flows'!U6</f>
        <v>43404</v>
      </c>
      <c r="V12" s="1">
        <f>'Cash Flows'!V6</f>
        <v>43434</v>
      </c>
      <c r="W12" s="1">
        <f>'Cash Flows'!W6</f>
        <v>43465</v>
      </c>
      <c r="X12" s="1">
        <f>'Cash Flows'!X6</f>
        <v>43496</v>
      </c>
      <c r="Y12" s="1">
        <f>'Cash Flows'!Y6</f>
        <v>43524</v>
      </c>
      <c r="Z12" s="1">
        <f>'Cash Flows'!Z6</f>
        <v>43555</v>
      </c>
      <c r="AA12" s="1">
        <f>'Cash Flows'!AA6</f>
        <v>43585</v>
      </c>
      <c r="AB12" s="1">
        <f>'Cash Flows'!AB6</f>
        <v>43616</v>
      </c>
      <c r="AC12" s="1">
        <f>'Cash Flows'!AC6</f>
        <v>43646</v>
      </c>
      <c r="AD12" s="1">
        <f>'Cash Flows'!AD6</f>
        <v>43677</v>
      </c>
      <c r="AE12" s="1">
        <f>'Cash Flows'!AE6</f>
        <v>43708</v>
      </c>
      <c r="AF12" s="1">
        <f>'Cash Flows'!AF6</f>
        <v>43738</v>
      </c>
      <c r="AG12" s="1">
        <f>'Cash Flows'!AG6</f>
        <v>43769</v>
      </c>
      <c r="AH12" s="1">
        <f>'Cash Flows'!AH6</f>
        <v>43799</v>
      </c>
      <c r="AI12" s="1">
        <f>'Cash Flows'!AI6</f>
        <v>43830</v>
      </c>
      <c r="AJ12" s="1">
        <f>'Cash Flows'!AJ6</f>
        <v>43861</v>
      </c>
      <c r="AK12" s="1">
        <f>'Cash Flows'!AK6</f>
        <v>43890</v>
      </c>
      <c r="AL12" s="1">
        <f>'Cash Flows'!AL6</f>
        <v>43921</v>
      </c>
      <c r="AM12" s="1">
        <f>'Cash Flows'!AM6</f>
        <v>43951</v>
      </c>
      <c r="AN12" s="1">
        <f>'Cash Flows'!AN6</f>
        <v>43982</v>
      </c>
      <c r="AO12" s="1">
        <f>'Cash Flows'!AO6</f>
        <v>44012</v>
      </c>
      <c r="AP12" s="1">
        <f>'Cash Flows'!AP6</f>
        <v>44043</v>
      </c>
      <c r="AQ12" s="1">
        <f>'Cash Flows'!AQ6</f>
        <v>44074</v>
      </c>
      <c r="AR12" s="1">
        <f>'Cash Flows'!AR6</f>
        <v>44104</v>
      </c>
      <c r="AS12" s="1">
        <f>'Cash Flows'!AS6</f>
        <v>44135</v>
      </c>
      <c r="AT12" s="1">
        <f>'Cash Flows'!AT6</f>
        <v>44165</v>
      </c>
      <c r="AU12" s="1">
        <f>'Cash Flows'!AU6</f>
        <v>44196</v>
      </c>
      <c r="AV12" s="1">
        <f>'Cash Flows'!AV6</f>
        <v>44227</v>
      </c>
      <c r="AW12" s="1">
        <f>'Cash Flows'!AW6</f>
        <v>44255</v>
      </c>
      <c r="AX12" s="1">
        <f>'Cash Flows'!AX6</f>
        <v>44286</v>
      </c>
      <c r="AY12" s="1">
        <f>'Cash Flows'!AY6</f>
        <v>44316</v>
      </c>
      <c r="AZ12" s="1">
        <f>'Cash Flows'!AZ6</f>
        <v>44347</v>
      </c>
      <c r="BA12" s="1">
        <f>'Cash Flows'!BA6</f>
        <v>44377</v>
      </c>
      <c r="BB12" s="1">
        <f>'Cash Flows'!BB6</f>
        <v>44408</v>
      </c>
      <c r="BC12" s="1">
        <f>'Cash Flows'!BC6</f>
        <v>44439</v>
      </c>
      <c r="BD12" s="1">
        <f>'Cash Flows'!BD6</f>
        <v>44469</v>
      </c>
      <c r="BE12" s="1">
        <f>'Cash Flows'!BE6</f>
        <v>44500</v>
      </c>
      <c r="BF12" s="1">
        <f>'Cash Flows'!BF6</f>
        <v>44530</v>
      </c>
      <c r="BG12" s="1">
        <f>'Cash Flows'!BG6</f>
        <v>44561</v>
      </c>
      <c r="BH12" s="1">
        <f>'Cash Flows'!BH6</f>
        <v>44592</v>
      </c>
      <c r="BI12" s="1">
        <f>'Cash Flows'!BI6</f>
        <v>44620</v>
      </c>
      <c r="BJ12" s="1">
        <f>'Cash Flows'!BJ6</f>
        <v>44651</v>
      </c>
      <c r="BK12" s="1">
        <f>'Cash Flows'!BK6</f>
        <v>44681</v>
      </c>
      <c r="BL12" s="1">
        <f>'Cash Flows'!BL6</f>
        <v>44712</v>
      </c>
      <c r="BM12" s="1">
        <f>'Cash Flows'!BM6</f>
        <v>44742</v>
      </c>
      <c r="BN12" s="1">
        <f>'Cash Flows'!BN6</f>
        <v>44773</v>
      </c>
      <c r="BO12" s="1">
        <f>'Cash Flows'!BO6</f>
        <v>44804</v>
      </c>
      <c r="BP12" s="1">
        <f>'Cash Flows'!BP6</f>
        <v>44834</v>
      </c>
      <c r="BQ12" s="1">
        <f>'Cash Flows'!BQ6</f>
        <v>44865</v>
      </c>
      <c r="BR12" s="1">
        <f>'Cash Flows'!BR6</f>
        <v>44895</v>
      </c>
      <c r="BS12" s="1">
        <f>'Cash Flows'!BS6</f>
        <v>44926</v>
      </c>
      <c r="BT12" s="1">
        <f>'Cash Flows'!BT6</f>
        <v>44957</v>
      </c>
      <c r="BU12" s="1">
        <f>'Cash Flows'!BU6</f>
        <v>44985</v>
      </c>
      <c r="BV12" s="1">
        <f>'Cash Flows'!BV6</f>
        <v>45016</v>
      </c>
      <c r="BW12" s="1">
        <f>'Cash Flows'!BW6</f>
        <v>45046</v>
      </c>
    </row>
    <row r="13" spans="2:75" x14ac:dyDescent="0.2">
      <c r="B13" t="s">
        <v>57</v>
      </c>
      <c r="C13" s="23"/>
      <c r="D13" s="23">
        <f>C19</f>
        <v>60000000</v>
      </c>
      <c r="E13" s="23">
        <f>D19</f>
        <v>59919685.605375789</v>
      </c>
      <c r="F13" s="23">
        <f t="shared" ref="F13:BP13" si="0">E19</f>
        <v>59839478.717451304</v>
      </c>
      <c r="G13" s="23">
        <f t="shared" si="0"/>
        <v>59759379.192320958</v>
      </c>
      <c r="H13" s="23">
        <f t="shared" si="0"/>
        <v>59679386.88627179</v>
      </c>
      <c r="I13" s="23">
        <f t="shared" si="0"/>
        <v>59599501.655783206</v>
      </c>
      <c r="J13" s="23">
        <f t="shared" si="0"/>
        <v>59519723.35752672</v>
      </c>
      <c r="K13" s="23">
        <f t="shared" si="0"/>
        <v>59440051.848365717</v>
      </c>
      <c r="L13" s="23">
        <f t="shared" si="0"/>
        <v>59360486.985355161</v>
      </c>
      <c r="M13" s="23">
        <f t="shared" si="0"/>
        <v>59281028.62574137</v>
      </c>
      <c r="N13" s="23">
        <f t="shared" si="0"/>
        <v>59201676.626961753</v>
      </c>
      <c r="O13" s="23">
        <f t="shared" si="0"/>
        <v>59122430.846644536</v>
      </c>
      <c r="P13" s="23">
        <f t="shared" si="0"/>
        <v>59043291.142608531</v>
      </c>
      <c r="Q13" s="23">
        <f t="shared" si="0"/>
        <v>58964257.372862868</v>
      </c>
      <c r="R13" s="23">
        <f t="shared" si="0"/>
        <v>58885329.395606741</v>
      </c>
      <c r="S13" s="23">
        <f t="shared" si="0"/>
        <v>58806507.069229148</v>
      </c>
      <c r="T13" s="23">
        <f t="shared" si="0"/>
        <v>58727790.252308652</v>
      </c>
      <c r="U13" s="23">
        <f t="shared" si="0"/>
        <v>58649178.803613119</v>
      </c>
      <c r="V13" s="23">
        <f t="shared" si="0"/>
        <v>58570672.58209946</v>
      </c>
      <c r="W13" s="23">
        <f t="shared" si="0"/>
        <v>58492271.446913391</v>
      </c>
      <c r="X13" s="23">
        <f t="shared" si="0"/>
        <v>58413975.257389158</v>
      </c>
      <c r="Y13" s="23">
        <f t="shared" si="0"/>
        <v>58335783.873049311</v>
      </c>
      <c r="Z13" s="23">
        <f t="shared" si="0"/>
        <v>58257697.153604433</v>
      </c>
      <c r="AA13" s="23">
        <f t="shared" si="0"/>
        <v>58179714.958952889</v>
      </c>
      <c r="AB13" s="23">
        <f t="shared" si="0"/>
        <v>58101837.149180599</v>
      </c>
      <c r="AC13" s="23">
        <f t="shared" si="0"/>
        <v>58024063.584560744</v>
      </c>
      <c r="AD13" s="23">
        <f t="shared" si="0"/>
        <v>57946394.125553563</v>
      </c>
      <c r="AE13" s="23">
        <f t="shared" si="0"/>
        <v>57868828.632806063</v>
      </c>
      <c r="AF13" s="23">
        <f t="shared" si="0"/>
        <v>57791366.967151791</v>
      </c>
      <c r="AG13" s="23">
        <f t="shared" si="0"/>
        <v>57714008.989610583</v>
      </c>
      <c r="AH13" s="23">
        <f t="shared" si="0"/>
        <v>57636754.561388299</v>
      </c>
      <c r="AI13" s="23">
        <f t="shared" si="0"/>
        <v>57559603.543876596</v>
      </c>
      <c r="AJ13" s="23">
        <f t="shared" si="0"/>
        <v>57482555.798652656</v>
      </c>
      <c r="AK13" s="23">
        <f t="shared" si="0"/>
        <v>57405611.187478967</v>
      </c>
      <c r="AL13" s="23">
        <f t="shared" si="0"/>
        <v>57328769.572303042</v>
      </c>
      <c r="AM13" s="23">
        <f t="shared" si="0"/>
        <v>57252030.815257199</v>
      </c>
      <c r="AN13" s="23">
        <f t="shared" si="0"/>
        <v>57175394.778658293</v>
      </c>
      <c r="AO13" s="23">
        <f t="shared" si="0"/>
        <v>57098861.325007491</v>
      </c>
      <c r="AP13" s="23">
        <f t="shared" si="0"/>
        <v>57022430.316989996</v>
      </c>
      <c r="AQ13" s="23">
        <f t="shared" si="0"/>
        <v>56946101.617474824</v>
      </c>
      <c r="AR13" s="23">
        <f t="shared" si="0"/>
        <v>56869875.089514554</v>
      </c>
      <c r="AS13" s="23">
        <f t="shared" si="0"/>
        <v>56793750.596345074</v>
      </c>
      <c r="AT13" s="23">
        <f t="shared" si="0"/>
        <v>56717728.001385339</v>
      </c>
      <c r="AU13" s="23">
        <f t="shared" si="0"/>
        <v>56641807.168237135</v>
      </c>
      <c r="AV13" s="23">
        <f t="shared" si="0"/>
        <v>56565987.960684828</v>
      </c>
      <c r="AW13" s="23">
        <f t="shared" si="0"/>
        <v>56490270.242695116</v>
      </c>
      <c r="AX13" s="23">
        <f t="shared" si="0"/>
        <v>56414653.878416777</v>
      </c>
      <c r="AY13" s="23">
        <f t="shared" si="0"/>
        <v>56339138.732180454</v>
      </c>
      <c r="AZ13" s="23">
        <f t="shared" si="0"/>
        <v>56263724.668498375</v>
      </c>
      <c r="BA13" s="23">
        <f t="shared" si="0"/>
        <v>56188411.552064143</v>
      </c>
      <c r="BB13" s="23">
        <f t="shared" si="0"/>
        <v>56113199.247752473</v>
      </c>
      <c r="BC13" s="23">
        <f t="shared" si="0"/>
        <v>56038087.620618954</v>
      </c>
      <c r="BD13" s="23">
        <f t="shared" si="0"/>
        <v>55963076.53589981</v>
      </c>
      <c r="BE13" s="23">
        <f t="shared" si="0"/>
        <v>55888165.859011658</v>
      </c>
      <c r="BF13" s="23">
        <f t="shared" si="0"/>
        <v>55813355.455551252</v>
      </c>
      <c r="BG13" s="23">
        <f t="shared" si="0"/>
        <v>55738645.191295274</v>
      </c>
      <c r="BH13" s="23">
        <f t="shared" si="0"/>
        <v>55664034.932200059</v>
      </c>
      <c r="BI13" s="23">
        <f t="shared" si="0"/>
        <v>55589524.544401385</v>
      </c>
      <c r="BJ13" s="23">
        <f t="shared" si="0"/>
        <v>55515113.894214198</v>
      </c>
      <c r="BK13" s="23">
        <f t="shared" si="0"/>
        <v>55440802.848132394</v>
      </c>
      <c r="BL13" s="23">
        <f t="shared" si="0"/>
        <v>0</v>
      </c>
      <c r="BM13" s="23">
        <f t="shared" si="0"/>
        <v>0</v>
      </c>
      <c r="BN13" s="23">
        <f t="shared" si="0"/>
        <v>0</v>
      </c>
      <c r="BO13" s="23">
        <f t="shared" si="0"/>
        <v>0</v>
      </c>
      <c r="BP13" s="23">
        <f t="shared" si="0"/>
        <v>0</v>
      </c>
      <c r="BQ13" s="23">
        <f t="shared" ref="BQ13:BW13" si="1">BP19</f>
        <v>0</v>
      </c>
      <c r="BR13" s="23">
        <f t="shared" si="1"/>
        <v>0</v>
      </c>
      <c r="BS13" s="23">
        <f t="shared" si="1"/>
        <v>0</v>
      </c>
      <c r="BT13" s="23">
        <f t="shared" si="1"/>
        <v>0</v>
      </c>
      <c r="BU13" s="23">
        <f t="shared" si="1"/>
        <v>0</v>
      </c>
      <c r="BV13" s="23">
        <f t="shared" si="1"/>
        <v>0</v>
      </c>
      <c r="BW13" s="23">
        <f t="shared" si="1"/>
        <v>0</v>
      </c>
    </row>
    <row r="14" spans="2:75" x14ac:dyDescent="0.2">
      <c r="B14" s="27" t="s">
        <v>58</v>
      </c>
      <c r="C14" s="23"/>
      <c r="D14" s="23">
        <f>D13*((1+$C$7)^(1/12)-1)</f>
        <v>220488.5640262111</v>
      </c>
      <c r="E14" s="23">
        <f>E13*((1+$C$7)^(1/12)-1)</f>
        <v>220193.42393385564</v>
      </c>
      <c r="F14" s="23">
        <f t="shared" ref="F14:BP14" si="2">F13*((1+$C$7)^(1/12)-1)</f>
        <v>219898.67890813097</v>
      </c>
      <c r="G14" s="23">
        <f t="shared" si="2"/>
        <v>219604.32842021144</v>
      </c>
      <c r="H14" s="23">
        <f t="shared" si="2"/>
        <v>219310.37194197933</v>
      </c>
      <c r="I14" s="23">
        <f t="shared" si="2"/>
        <v>219016.80894602381</v>
      </c>
      <c r="J14" s="23">
        <f t="shared" si="2"/>
        <v>218723.63890564002</v>
      </c>
      <c r="K14" s="23">
        <f t="shared" si="2"/>
        <v>218430.86129482818</v>
      </c>
      <c r="L14" s="23">
        <f t="shared" si="2"/>
        <v>218138.47558829252</v>
      </c>
      <c r="M14" s="23">
        <f t="shared" si="2"/>
        <v>217846.48126144047</v>
      </c>
      <c r="N14" s="23">
        <f t="shared" si="2"/>
        <v>217554.87779038167</v>
      </c>
      <c r="O14" s="23">
        <f t="shared" si="2"/>
        <v>217263.66465192701</v>
      </c>
      <c r="P14" s="23">
        <f t="shared" si="2"/>
        <v>216972.84132358772</v>
      </c>
      <c r="Q14" s="23">
        <f t="shared" si="2"/>
        <v>216682.4072835744</v>
      </c>
      <c r="R14" s="23">
        <f t="shared" si="2"/>
        <v>216392.36201079612</v>
      </c>
      <c r="S14" s="23">
        <f t="shared" si="2"/>
        <v>216102.70498485945</v>
      </c>
      <c r="T14" s="23">
        <f t="shared" si="2"/>
        <v>215813.43568606753</v>
      </c>
      <c r="U14" s="23">
        <f t="shared" si="2"/>
        <v>215524.55359541922</v>
      </c>
      <c r="V14" s="23">
        <f t="shared" si="2"/>
        <v>215236.05819460805</v>
      </c>
      <c r="W14" s="23">
        <f t="shared" si="2"/>
        <v>214947.94896602136</v>
      </c>
      <c r="X14" s="23">
        <f t="shared" si="2"/>
        <v>214660.22539273932</v>
      </c>
      <c r="Y14" s="23">
        <f t="shared" si="2"/>
        <v>214372.8869585341</v>
      </c>
      <c r="Z14" s="23">
        <f t="shared" si="2"/>
        <v>214085.93314786878</v>
      </c>
      <c r="AA14" s="23">
        <f t="shared" si="2"/>
        <v>213799.3634458966</v>
      </c>
      <c r="AB14" s="23">
        <f t="shared" si="2"/>
        <v>213513.17733845994</v>
      </c>
      <c r="AC14" s="23">
        <f t="shared" si="2"/>
        <v>213227.37431208941</v>
      </c>
      <c r="AD14" s="23">
        <f t="shared" si="2"/>
        <v>212941.95385400299</v>
      </c>
      <c r="AE14" s="23">
        <f t="shared" si="2"/>
        <v>212656.91545210493</v>
      </c>
      <c r="AF14" s="23">
        <f t="shared" si="2"/>
        <v>212372.25859498515</v>
      </c>
      <c r="AG14" s="23">
        <f t="shared" si="2"/>
        <v>212087.98277191792</v>
      </c>
      <c r="AH14" s="23">
        <f t="shared" si="2"/>
        <v>211804.08747286128</v>
      </c>
      <c r="AI14" s="23">
        <f t="shared" si="2"/>
        <v>211520.57218845602</v>
      </c>
      <c r="AJ14" s="23">
        <f t="shared" si="2"/>
        <v>211237.43641002462</v>
      </c>
      <c r="AK14" s="23">
        <f t="shared" si="2"/>
        <v>210954.6796295706</v>
      </c>
      <c r="AL14" s="23">
        <f t="shared" si="2"/>
        <v>210672.30133977736</v>
      </c>
      <c r="AM14" s="23">
        <f t="shared" si="2"/>
        <v>210390.30103400745</v>
      </c>
      <c r="AN14" s="23">
        <f t="shared" si="2"/>
        <v>210108.67820630156</v>
      </c>
      <c r="AO14" s="23">
        <f t="shared" si="2"/>
        <v>209827.43235137771</v>
      </c>
      <c r="AP14" s="23">
        <f t="shared" si="2"/>
        <v>209546.56296463014</v>
      </c>
      <c r="AQ14" s="23">
        <f t="shared" si="2"/>
        <v>209266.06954212868</v>
      </c>
      <c r="AR14" s="23">
        <f t="shared" si="2"/>
        <v>208985.95158061761</v>
      </c>
      <c r="AS14" s="23">
        <f t="shared" si="2"/>
        <v>208706.20857751492</v>
      </c>
      <c r="AT14" s="23">
        <f t="shared" si="2"/>
        <v>208426.84003091129</v>
      </c>
      <c r="AU14" s="23">
        <f t="shared" si="2"/>
        <v>208147.84543956927</v>
      </c>
      <c r="AV14" s="23">
        <f t="shared" si="2"/>
        <v>207869.22430292238</v>
      </c>
      <c r="AW14" s="23">
        <f t="shared" si="2"/>
        <v>207590.97612107414</v>
      </c>
      <c r="AX14" s="23">
        <f t="shared" si="2"/>
        <v>207313.10039479725</v>
      </c>
      <c r="AY14" s="23">
        <f t="shared" si="2"/>
        <v>207035.59662553263</v>
      </c>
      <c r="AZ14" s="23">
        <f t="shared" si="2"/>
        <v>206758.46431538861</v>
      </c>
      <c r="BA14" s="23">
        <f t="shared" si="2"/>
        <v>206481.70296713989</v>
      </c>
      <c r="BB14" s="23">
        <f t="shared" si="2"/>
        <v>206205.31208422684</v>
      </c>
      <c r="BC14" s="23">
        <f t="shared" si="2"/>
        <v>205929.2911707545</v>
      </c>
      <c r="BD14" s="23">
        <f t="shared" si="2"/>
        <v>205653.63973149162</v>
      </c>
      <c r="BE14" s="23">
        <f t="shared" si="2"/>
        <v>205378.35727186993</v>
      </c>
      <c r="BF14" s="23">
        <f t="shared" si="2"/>
        <v>205103.44329798318</v>
      </c>
      <c r="BG14" s="23">
        <f t="shared" si="2"/>
        <v>204828.89731658617</v>
      </c>
      <c r="BH14" s="23">
        <f t="shared" si="2"/>
        <v>204554.71883509404</v>
      </c>
      <c r="BI14" s="23">
        <f t="shared" si="2"/>
        <v>204280.90736158128</v>
      </c>
      <c r="BJ14" s="23">
        <f t="shared" si="2"/>
        <v>204007.46240478079</v>
      </c>
      <c r="BK14" s="23">
        <f t="shared" si="2"/>
        <v>203734.38347408309</v>
      </c>
      <c r="BL14" s="23">
        <f t="shared" si="2"/>
        <v>0</v>
      </c>
      <c r="BM14" s="23">
        <f t="shared" si="2"/>
        <v>0</v>
      </c>
      <c r="BN14" s="23">
        <f t="shared" si="2"/>
        <v>0</v>
      </c>
      <c r="BO14" s="23">
        <f t="shared" si="2"/>
        <v>0</v>
      </c>
      <c r="BP14" s="23">
        <f t="shared" si="2"/>
        <v>0</v>
      </c>
      <c r="BQ14" s="23">
        <f t="shared" ref="BQ14:BW14" si="3">BQ13*((1+$C$7)^(1/12)-1)</f>
        <v>0</v>
      </c>
      <c r="BR14" s="23">
        <f t="shared" si="3"/>
        <v>0</v>
      </c>
      <c r="BS14" s="23">
        <f t="shared" si="3"/>
        <v>0</v>
      </c>
      <c r="BT14" s="23">
        <f t="shared" si="3"/>
        <v>0</v>
      </c>
      <c r="BU14" s="23">
        <f t="shared" si="3"/>
        <v>0</v>
      </c>
      <c r="BV14" s="23">
        <f t="shared" si="3"/>
        <v>0</v>
      </c>
      <c r="BW14" s="23">
        <f t="shared" si="3"/>
        <v>0</v>
      </c>
    </row>
    <row r="15" spans="2:75" x14ac:dyDescent="0.2">
      <c r="B15" s="27" t="s">
        <v>59</v>
      </c>
      <c r="C15" s="23"/>
      <c r="D15" s="23">
        <f>-D14</f>
        <v>-220488.5640262111</v>
      </c>
      <c r="E15" s="23">
        <f>-E14</f>
        <v>-220193.42393385564</v>
      </c>
      <c r="F15" s="23">
        <f t="shared" ref="F15:BP15" si="4">-F14</f>
        <v>-219898.67890813097</v>
      </c>
      <c r="G15" s="23">
        <f t="shared" si="4"/>
        <v>-219604.32842021144</v>
      </c>
      <c r="H15" s="23">
        <f t="shared" si="4"/>
        <v>-219310.37194197933</v>
      </c>
      <c r="I15" s="23">
        <f t="shared" si="4"/>
        <v>-219016.80894602381</v>
      </c>
      <c r="J15" s="23">
        <f t="shared" si="4"/>
        <v>-218723.63890564002</v>
      </c>
      <c r="K15" s="23">
        <f t="shared" si="4"/>
        <v>-218430.86129482818</v>
      </c>
      <c r="L15" s="23">
        <f t="shared" si="4"/>
        <v>-218138.47558829252</v>
      </c>
      <c r="M15" s="23">
        <f t="shared" si="4"/>
        <v>-217846.48126144047</v>
      </c>
      <c r="N15" s="23">
        <f t="shared" si="4"/>
        <v>-217554.87779038167</v>
      </c>
      <c r="O15" s="23">
        <f t="shared" si="4"/>
        <v>-217263.66465192701</v>
      </c>
      <c r="P15" s="23">
        <f t="shared" si="4"/>
        <v>-216972.84132358772</v>
      </c>
      <c r="Q15" s="23">
        <f t="shared" si="4"/>
        <v>-216682.4072835744</v>
      </c>
      <c r="R15" s="23">
        <f t="shared" si="4"/>
        <v>-216392.36201079612</v>
      </c>
      <c r="S15" s="23">
        <f t="shared" si="4"/>
        <v>-216102.70498485945</v>
      </c>
      <c r="T15" s="23">
        <f t="shared" si="4"/>
        <v>-215813.43568606753</v>
      </c>
      <c r="U15" s="23">
        <f t="shared" si="4"/>
        <v>-215524.55359541922</v>
      </c>
      <c r="V15" s="23">
        <f t="shared" si="4"/>
        <v>-215236.05819460805</v>
      </c>
      <c r="W15" s="23">
        <f t="shared" si="4"/>
        <v>-214947.94896602136</v>
      </c>
      <c r="X15" s="23">
        <f t="shared" si="4"/>
        <v>-214660.22539273932</v>
      </c>
      <c r="Y15" s="23">
        <f t="shared" si="4"/>
        <v>-214372.8869585341</v>
      </c>
      <c r="Z15" s="23">
        <f t="shared" si="4"/>
        <v>-214085.93314786878</v>
      </c>
      <c r="AA15" s="23">
        <f t="shared" si="4"/>
        <v>-213799.3634458966</v>
      </c>
      <c r="AB15" s="23">
        <f t="shared" si="4"/>
        <v>-213513.17733845994</v>
      </c>
      <c r="AC15" s="23">
        <f t="shared" si="4"/>
        <v>-213227.37431208941</v>
      </c>
      <c r="AD15" s="23">
        <f t="shared" si="4"/>
        <v>-212941.95385400299</v>
      </c>
      <c r="AE15" s="23">
        <f t="shared" si="4"/>
        <v>-212656.91545210493</v>
      </c>
      <c r="AF15" s="23">
        <f t="shared" si="4"/>
        <v>-212372.25859498515</v>
      </c>
      <c r="AG15" s="23">
        <f t="shared" si="4"/>
        <v>-212087.98277191792</v>
      </c>
      <c r="AH15" s="23">
        <f t="shared" si="4"/>
        <v>-211804.08747286128</v>
      </c>
      <c r="AI15" s="23">
        <f t="shared" si="4"/>
        <v>-211520.57218845602</v>
      </c>
      <c r="AJ15" s="23">
        <f t="shared" si="4"/>
        <v>-211237.43641002462</v>
      </c>
      <c r="AK15" s="23">
        <f t="shared" si="4"/>
        <v>-210954.6796295706</v>
      </c>
      <c r="AL15" s="23">
        <f t="shared" si="4"/>
        <v>-210672.30133977736</v>
      </c>
      <c r="AM15" s="23">
        <f t="shared" si="4"/>
        <v>-210390.30103400745</v>
      </c>
      <c r="AN15" s="23">
        <f t="shared" si="4"/>
        <v>-210108.67820630156</v>
      </c>
      <c r="AO15" s="23">
        <f t="shared" si="4"/>
        <v>-209827.43235137771</v>
      </c>
      <c r="AP15" s="23">
        <f t="shared" si="4"/>
        <v>-209546.56296463014</v>
      </c>
      <c r="AQ15" s="23">
        <f t="shared" si="4"/>
        <v>-209266.06954212868</v>
      </c>
      <c r="AR15" s="23">
        <f t="shared" si="4"/>
        <v>-208985.95158061761</v>
      </c>
      <c r="AS15" s="23">
        <f t="shared" si="4"/>
        <v>-208706.20857751492</v>
      </c>
      <c r="AT15" s="23">
        <f t="shared" si="4"/>
        <v>-208426.84003091129</v>
      </c>
      <c r="AU15" s="23">
        <f t="shared" si="4"/>
        <v>-208147.84543956927</v>
      </c>
      <c r="AV15" s="23">
        <f t="shared" si="4"/>
        <v>-207869.22430292238</v>
      </c>
      <c r="AW15" s="23">
        <f t="shared" si="4"/>
        <v>-207590.97612107414</v>
      </c>
      <c r="AX15" s="23">
        <f t="shared" si="4"/>
        <v>-207313.10039479725</v>
      </c>
      <c r="AY15" s="23">
        <f t="shared" si="4"/>
        <v>-207035.59662553263</v>
      </c>
      <c r="AZ15" s="23">
        <f t="shared" si="4"/>
        <v>-206758.46431538861</v>
      </c>
      <c r="BA15" s="23">
        <f t="shared" si="4"/>
        <v>-206481.70296713989</v>
      </c>
      <c r="BB15" s="23">
        <f t="shared" si="4"/>
        <v>-206205.31208422684</v>
      </c>
      <c r="BC15" s="23">
        <f t="shared" si="4"/>
        <v>-205929.2911707545</v>
      </c>
      <c r="BD15" s="23">
        <f t="shared" si="4"/>
        <v>-205653.63973149162</v>
      </c>
      <c r="BE15" s="23">
        <f t="shared" si="4"/>
        <v>-205378.35727186993</v>
      </c>
      <c r="BF15" s="23">
        <f t="shared" si="4"/>
        <v>-205103.44329798318</v>
      </c>
      <c r="BG15" s="23">
        <f t="shared" si="4"/>
        <v>-204828.89731658617</v>
      </c>
      <c r="BH15" s="23">
        <f t="shared" si="4"/>
        <v>-204554.71883509404</v>
      </c>
      <c r="BI15" s="23">
        <f t="shared" si="4"/>
        <v>-204280.90736158128</v>
      </c>
      <c r="BJ15" s="23">
        <f t="shared" si="4"/>
        <v>-204007.46240478079</v>
      </c>
      <c r="BK15" s="23">
        <f t="shared" si="4"/>
        <v>-203734.38347408309</v>
      </c>
      <c r="BL15" s="23">
        <f t="shared" si="4"/>
        <v>0</v>
      </c>
      <c r="BM15" s="23">
        <f t="shared" si="4"/>
        <v>0</v>
      </c>
      <c r="BN15" s="23">
        <f t="shared" si="4"/>
        <v>0</v>
      </c>
      <c r="BO15" s="23">
        <f t="shared" si="4"/>
        <v>0</v>
      </c>
      <c r="BP15" s="23">
        <f t="shared" si="4"/>
        <v>0</v>
      </c>
      <c r="BQ15" s="23">
        <f t="shared" ref="BQ15:BW15" si="5">-BQ14</f>
        <v>0</v>
      </c>
      <c r="BR15" s="23">
        <f t="shared" si="5"/>
        <v>0</v>
      </c>
      <c r="BS15" s="23">
        <f t="shared" si="5"/>
        <v>0</v>
      </c>
      <c r="BT15" s="23">
        <f t="shared" si="5"/>
        <v>0</v>
      </c>
      <c r="BU15" s="23">
        <f t="shared" si="5"/>
        <v>0</v>
      </c>
      <c r="BV15" s="23">
        <f t="shared" si="5"/>
        <v>0</v>
      </c>
      <c r="BW15" s="23">
        <f t="shared" si="5"/>
        <v>0</v>
      </c>
    </row>
    <row r="16" spans="2:75" x14ac:dyDescent="0.2">
      <c r="B16" s="27" t="s">
        <v>55</v>
      </c>
      <c r="C16" s="23"/>
      <c r="D16" s="23">
        <f>PMT(((1+$C$7)^(1/12)-1),$C$9*12,D13)+D14</f>
        <v>-80314.394624212873</v>
      </c>
      <c r="E16" s="23">
        <f t="shared" ref="E16:BP16" si="6">PMT(((1+$C$7)^(1/12)-1),$C$9*12,E13)+E14</f>
        <v>-80206.887924481969</v>
      </c>
      <c r="F16" s="23">
        <f t="shared" si="6"/>
        <v>-80099.525130342809</v>
      </c>
      <c r="G16" s="23">
        <f t="shared" si="6"/>
        <v>-79992.306049167353</v>
      </c>
      <c r="H16" s="23">
        <f t="shared" si="6"/>
        <v>-79885.230488585075</v>
      </c>
      <c r="I16" s="23">
        <f t="shared" si="6"/>
        <v>-79778.298256483336</v>
      </c>
      <c r="J16" s="23">
        <f t="shared" si="6"/>
        <v>-79671.509161006339</v>
      </c>
      <c r="K16" s="23">
        <f t="shared" si="6"/>
        <v>-79564.863010555273</v>
      </c>
      <c r="L16" s="23">
        <f t="shared" si="6"/>
        <v>-79458.359613787732</v>
      </c>
      <c r="M16" s="23">
        <f t="shared" si="6"/>
        <v>-79351.998779617512</v>
      </c>
      <c r="N16" s="23">
        <f t="shared" si="6"/>
        <v>-79245.780317214085</v>
      </c>
      <c r="O16" s="23">
        <f t="shared" si="6"/>
        <v>-79139.704036002397</v>
      </c>
      <c r="P16" s="23">
        <f t="shared" si="6"/>
        <v>-79033.769745662546</v>
      </c>
      <c r="Q16" s="23">
        <f t="shared" si="6"/>
        <v>-78927.977256129321</v>
      </c>
      <c r="R16" s="23">
        <f t="shared" si="6"/>
        <v>-78822.326377591962</v>
      </c>
      <c r="S16" s="23">
        <f t="shared" si="6"/>
        <v>-78716.816920493846</v>
      </c>
      <c r="T16" s="23">
        <f t="shared" si="6"/>
        <v>-78611.448695531959</v>
      </c>
      <c r="U16" s="23">
        <f t="shared" si="6"/>
        <v>-78506.221513656725</v>
      </c>
      <c r="V16" s="23">
        <f t="shared" si="6"/>
        <v>-78401.135186071653</v>
      </c>
      <c r="W16" s="23">
        <f t="shared" si="6"/>
        <v>-78296.189524232992</v>
      </c>
      <c r="X16" s="23">
        <f t="shared" si="6"/>
        <v>-78191.384339849261</v>
      </c>
      <c r="Y16" s="23">
        <f t="shared" si="6"/>
        <v>-78086.719444881222</v>
      </c>
      <c r="Z16" s="23">
        <f t="shared" si="6"/>
        <v>-77982.194651541125</v>
      </c>
      <c r="AA16" s="23">
        <f t="shared" si="6"/>
        <v>-77877.809772292676</v>
      </c>
      <c r="AB16" s="23">
        <f t="shared" si="6"/>
        <v>-77773.564619850717</v>
      </c>
      <c r="AC16" s="23">
        <f t="shared" si="6"/>
        <v>-77669.459007180529</v>
      </c>
      <c r="AD16" s="23">
        <f t="shared" si="6"/>
        <v>-77565.492747497978</v>
      </c>
      <c r="AE16" s="23">
        <f t="shared" si="6"/>
        <v>-77461.665654268931</v>
      </c>
      <c r="AF16" s="23">
        <f t="shared" si="6"/>
        <v>-77357.977541208762</v>
      </c>
      <c r="AG16" s="23">
        <f t="shared" si="6"/>
        <v>-77254.428222282528</v>
      </c>
      <c r="AH16" s="23">
        <f t="shared" si="6"/>
        <v>-77151.017511704005</v>
      </c>
      <c r="AI16" s="23">
        <f t="shared" si="6"/>
        <v>-77047.745223935752</v>
      </c>
      <c r="AJ16" s="23">
        <f t="shared" si="6"/>
        <v>-76944.611173688696</v>
      </c>
      <c r="AK16" s="23">
        <f t="shared" si="6"/>
        <v>-76841.615175921906</v>
      </c>
      <c r="AL16" s="23">
        <f t="shared" si="6"/>
        <v>-76738.757045841892</v>
      </c>
      <c r="AM16" s="23">
        <f t="shared" si="6"/>
        <v>-76636.03659890272</v>
      </c>
      <c r="AN16" s="23">
        <f t="shared" si="6"/>
        <v>-76533.453650805313</v>
      </c>
      <c r="AO16" s="23">
        <f t="shared" si="6"/>
        <v>-76431.008017497574</v>
      </c>
      <c r="AP16" s="23">
        <f t="shared" si="6"/>
        <v>-76328.699515173561</v>
      </c>
      <c r="AQ16" s="23">
        <f t="shared" si="6"/>
        <v>-76226.527960273292</v>
      </c>
      <c r="AR16" s="23">
        <f t="shared" si="6"/>
        <v>-76124.493169482768</v>
      </c>
      <c r="AS16" s="23">
        <f t="shared" si="6"/>
        <v>-76022.594959733018</v>
      </c>
      <c r="AT16" s="23">
        <f t="shared" si="6"/>
        <v>-75920.833148200443</v>
      </c>
      <c r="AU16" s="23">
        <f t="shared" si="6"/>
        <v>-75819.207552306063</v>
      </c>
      <c r="AV16" s="23">
        <f t="shared" si="6"/>
        <v>-75717.717989715224</v>
      </c>
      <c r="AW16" s="23">
        <f t="shared" si="6"/>
        <v>-75616.364278337365</v>
      </c>
      <c r="AX16" s="23">
        <f t="shared" si="6"/>
        <v>-75515.14623632576</v>
      </c>
      <c r="AY16" s="23">
        <f t="shared" si="6"/>
        <v>-75414.063682076958</v>
      </c>
      <c r="AZ16" s="23">
        <f t="shared" si="6"/>
        <v>-75313.116434230615</v>
      </c>
      <c r="BA16" s="23">
        <f t="shared" si="6"/>
        <v>-75212.304311669315</v>
      </c>
      <c r="BB16" s="23">
        <f t="shared" si="6"/>
        <v>-75111.627133517904</v>
      </c>
      <c r="BC16" s="23">
        <f t="shared" si="6"/>
        <v>-75011.08471914343</v>
      </c>
      <c r="BD16" s="23">
        <f t="shared" si="6"/>
        <v>-74910.676888154703</v>
      </c>
      <c r="BE16" s="23">
        <f t="shared" si="6"/>
        <v>-74810.403460402071</v>
      </c>
      <c r="BF16" s="23">
        <f t="shared" si="6"/>
        <v>-74710.264255976741</v>
      </c>
      <c r="BG16" s="23">
        <f t="shared" si="6"/>
        <v>-74610.259095211222</v>
      </c>
      <c r="BH16" s="23">
        <f t="shared" si="6"/>
        <v>-74510.387798678101</v>
      </c>
      <c r="BI16" s="23">
        <f t="shared" si="6"/>
        <v>-74410.650187190331</v>
      </c>
      <c r="BJ16" s="23">
        <f t="shared" si="6"/>
        <v>-74311.046081800712</v>
      </c>
      <c r="BK16" s="23">
        <f t="shared" si="6"/>
        <v>-74211.57530380151</v>
      </c>
      <c r="BL16" s="23">
        <f t="shared" si="6"/>
        <v>0</v>
      </c>
      <c r="BM16" s="23">
        <f t="shared" si="6"/>
        <v>0</v>
      </c>
      <c r="BN16" s="23">
        <f t="shared" si="6"/>
        <v>0</v>
      </c>
      <c r="BO16" s="23">
        <f t="shared" si="6"/>
        <v>0</v>
      </c>
      <c r="BP16" s="23">
        <f t="shared" si="6"/>
        <v>0</v>
      </c>
      <c r="BQ16" s="23">
        <f t="shared" ref="BQ16:BW16" si="7">PMT(((1+$C$7)^(1/12)-1),$C$9*12,BQ13)+BQ14</f>
        <v>0</v>
      </c>
      <c r="BR16" s="23">
        <f t="shared" si="7"/>
        <v>0</v>
      </c>
      <c r="BS16" s="23">
        <f t="shared" si="7"/>
        <v>0</v>
      </c>
      <c r="BT16" s="23">
        <f t="shared" si="7"/>
        <v>0</v>
      </c>
      <c r="BU16" s="23">
        <f t="shared" si="7"/>
        <v>0</v>
      </c>
      <c r="BV16" s="23">
        <f t="shared" si="7"/>
        <v>0</v>
      </c>
      <c r="BW16" s="23">
        <f t="shared" si="7"/>
        <v>0</v>
      </c>
    </row>
    <row r="17" spans="2:75" x14ac:dyDescent="0.2">
      <c r="B17" s="27" t="s">
        <v>60</v>
      </c>
      <c r="C17" s="23">
        <f>C6*Summary!C6</f>
        <v>60000000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</row>
    <row r="18" spans="2:75" x14ac:dyDescent="0.2">
      <c r="B18" s="27" t="s">
        <v>61</v>
      </c>
      <c r="C18" s="23"/>
      <c r="D18" s="23">
        <f>-IF(D12=Summary!$C$16,SUM(Debt!D13:D17),0)</f>
        <v>0</v>
      </c>
      <c r="E18" s="23">
        <f>-IF(E12=Summary!$C$16,SUM(Debt!E13:E17),0)</f>
        <v>0</v>
      </c>
      <c r="F18" s="23">
        <f>-IF(F12=Summary!$C$16,SUM(Debt!F13:F17),0)</f>
        <v>0</v>
      </c>
      <c r="G18" s="23">
        <f>-IF(G12=Summary!$C$16,SUM(Debt!G13:G17),0)</f>
        <v>0</v>
      </c>
      <c r="H18" s="23">
        <f>-IF(H12=Summary!$C$16,SUM(Debt!H13:H17),0)</f>
        <v>0</v>
      </c>
      <c r="I18" s="23">
        <f>-IF(I12=Summary!$C$16,SUM(Debt!I13:I17),0)</f>
        <v>0</v>
      </c>
      <c r="J18" s="23">
        <f>-IF(J12=Summary!$C$16,SUM(Debt!J13:J17),0)</f>
        <v>0</v>
      </c>
      <c r="K18" s="23">
        <f>-IF(K12=Summary!$C$16,SUM(Debt!K13:K17),0)</f>
        <v>0</v>
      </c>
      <c r="L18" s="23">
        <f>-IF(L12=Summary!$C$16,SUM(Debt!L13:L17),0)</f>
        <v>0</v>
      </c>
      <c r="M18" s="23">
        <f>-IF(M12=Summary!$C$16,SUM(Debt!M13:M17),0)</f>
        <v>0</v>
      </c>
      <c r="N18" s="23">
        <f>-IF(N12=Summary!$C$16,SUM(Debt!N13:N17),0)</f>
        <v>0</v>
      </c>
      <c r="O18" s="23">
        <f>-IF(O12=Summary!$C$16,SUM(Debt!O13:O17),0)</f>
        <v>0</v>
      </c>
      <c r="P18" s="23">
        <f>-IF(P12=Summary!$C$16,SUM(Debt!P13:P17),0)</f>
        <v>0</v>
      </c>
      <c r="Q18" s="23">
        <f>-IF(Q12=Summary!$C$16,SUM(Debt!Q13:Q17),0)</f>
        <v>0</v>
      </c>
      <c r="R18" s="23">
        <f>-IF(R12=Summary!$C$16,SUM(Debt!R13:R17),0)</f>
        <v>0</v>
      </c>
      <c r="S18" s="23">
        <f>-IF(S12=Summary!$C$16,SUM(Debt!S13:S17),0)</f>
        <v>0</v>
      </c>
      <c r="T18" s="23">
        <f>-IF(T12=Summary!$C$16,SUM(Debt!T13:T17),0)</f>
        <v>0</v>
      </c>
      <c r="U18" s="23">
        <f>-IF(U12=Summary!$C$16,SUM(Debt!U13:U17),0)</f>
        <v>0</v>
      </c>
      <c r="V18" s="23">
        <f>-IF(V12=Summary!$C$16,SUM(Debt!V13:V17),0)</f>
        <v>0</v>
      </c>
      <c r="W18" s="23">
        <f>-IF(W12=Summary!$C$16,SUM(Debt!W13:W17),0)</f>
        <v>0</v>
      </c>
      <c r="X18" s="23">
        <f>-IF(X12=Summary!$C$16,SUM(Debt!X13:X17),0)</f>
        <v>0</v>
      </c>
      <c r="Y18" s="23">
        <f>-IF(Y12=Summary!$C$16,SUM(Debt!Y13:Y17),0)</f>
        <v>0</v>
      </c>
      <c r="Z18" s="23">
        <f>-IF(Z12=Summary!$C$16,SUM(Debt!Z13:Z17),0)</f>
        <v>0</v>
      </c>
      <c r="AA18" s="23">
        <f>-IF(AA12=Summary!$C$16,SUM(Debt!AA13:AA17),0)</f>
        <v>0</v>
      </c>
      <c r="AB18" s="23">
        <f>-IF(AB12=Summary!$C$16,SUM(Debt!AB13:AB17),0)</f>
        <v>0</v>
      </c>
      <c r="AC18" s="23">
        <f>-IF(AC12=Summary!$C$16,SUM(Debt!AC13:AC17),0)</f>
        <v>0</v>
      </c>
      <c r="AD18" s="23">
        <f>-IF(AD12=Summary!$C$16,SUM(Debt!AD13:AD17),0)</f>
        <v>0</v>
      </c>
      <c r="AE18" s="23">
        <f>-IF(AE12=Summary!$C$16,SUM(Debt!AE13:AE17),0)</f>
        <v>0</v>
      </c>
      <c r="AF18" s="23">
        <f>-IF(AF12=Summary!$C$16,SUM(Debt!AF13:AF17),0)</f>
        <v>0</v>
      </c>
      <c r="AG18" s="23">
        <f>-IF(AG12=Summary!$C$16,SUM(Debt!AG13:AG17),0)</f>
        <v>0</v>
      </c>
      <c r="AH18" s="23">
        <f>-IF(AH12=Summary!$C$16,SUM(Debt!AH13:AH17),0)</f>
        <v>0</v>
      </c>
      <c r="AI18" s="23">
        <f>-IF(AI12=Summary!$C$16,SUM(Debt!AI13:AI17),0)</f>
        <v>0</v>
      </c>
      <c r="AJ18" s="23">
        <f>-IF(AJ12=Summary!$C$16,SUM(Debt!AJ13:AJ17),0)</f>
        <v>0</v>
      </c>
      <c r="AK18" s="23">
        <f>-IF(AK12=Summary!$C$16,SUM(Debt!AK13:AK17),0)</f>
        <v>0</v>
      </c>
      <c r="AL18" s="23">
        <f>-IF(AL12=Summary!$C$16,SUM(Debt!AL13:AL17),0)</f>
        <v>0</v>
      </c>
      <c r="AM18" s="23">
        <f>-IF(AM12=Summary!$C$16,SUM(Debt!AM13:AM17),0)</f>
        <v>0</v>
      </c>
      <c r="AN18" s="23">
        <f>-IF(AN12=Summary!$C$16,SUM(Debt!AN13:AN17),0)</f>
        <v>0</v>
      </c>
      <c r="AO18" s="23">
        <f>-IF(AO12=Summary!$C$16,SUM(Debt!AO13:AO17),0)</f>
        <v>0</v>
      </c>
      <c r="AP18" s="23">
        <f>-IF(AP12=Summary!$C$16,SUM(Debt!AP13:AP17),0)</f>
        <v>0</v>
      </c>
      <c r="AQ18" s="23">
        <f>-IF(AQ12=Summary!$C$16,SUM(Debt!AQ13:AQ17),0)</f>
        <v>0</v>
      </c>
      <c r="AR18" s="23">
        <f>-IF(AR12=Summary!$C$16,SUM(Debt!AR13:AR17),0)</f>
        <v>0</v>
      </c>
      <c r="AS18" s="23">
        <f>-IF(AS12=Summary!$C$16,SUM(Debt!AS13:AS17),0)</f>
        <v>0</v>
      </c>
      <c r="AT18" s="23">
        <f>-IF(AT12=Summary!$C$16,SUM(Debt!AT13:AT17),0)</f>
        <v>0</v>
      </c>
      <c r="AU18" s="23">
        <f>-IF(AU12=Summary!$C$16,SUM(Debt!AU13:AU17),0)</f>
        <v>0</v>
      </c>
      <c r="AV18" s="23">
        <f>-IF(AV12=Summary!$C$16,SUM(Debt!AV13:AV17),0)</f>
        <v>0</v>
      </c>
      <c r="AW18" s="23">
        <f>-IF(AW12=Summary!$C$16,SUM(Debt!AW13:AW17),0)</f>
        <v>0</v>
      </c>
      <c r="AX18" s="23">
        <f>-IF(AX12=Summary!$C$16,SUM(Debt!AX13:AX17),0)</f>
        <v>0</v>
      </c>
      <c r="AY18" s="23">
        <f>-IF(AY12=Summary!$C$16,SUM(Debt!AY13:AY17),0)</f>
        <v>0</v>
      </c>
      <c r="AZ18" s="23">
        <f>-IF(AZ12=Summary!$C$16,SUM(Debt!AZ13:AZ17),0)</f>
        <v>0</v>
      </c>
      <c r="BA18" s="23">
        <f>-IF(BA12=Summary!$C$16,SUM(Debt!BA13:BA17),0)</f>
        <v>0</v>
      </c>
      <c r="BB18" s="23">
        <f>-IF(BB12=Summary!$C$16,SUM(Debt!BB13:BB17),0)</f>
        <v>0</v>
      </c>
      <c r="BC18" s="23">
        <f>-IF(BC12=Summary!$C$16,SUM(Debt!BC13:BC17),0)</f>
        <v>0</v>
      </c>
      <c r="BD18" s="23">
        <f>-IF(BD12=Summary!$C$16,SUM(Debt!BD13:BD17),0)</f>
        <v>0</v>
      </c>
      <c r="BE18" s="23">
        <f>-IF(BE12=Summary!$C$16,SUM(Debt!BE13:BE17),0)</f>
        <v>0</v>
      </c>
      <c r="BF18" s="23">
        <f>-IF(BF12=Summary!$C$16,SUM(Debt!BF13:BF17),0)</f>
        <v>0</v>
      </c>
      <c r="BG18" s="23">
        <f>-IF(BG12=Summary!$C$16,SUM(Debt!BG13:BG17),0)</f>
        <v>0</v>
      </c>
      <c r="BH18" s="23">
        <f>-IF(BH12=Summary!$C$16,SUM(Debt!BH13:BH17),0)</f>
        <v>0</v>
      </c>
      <c r="BI18" s="23">
        <f>-IF(BI12=Summary!$C$16,SUM(Debt!BI13:BI17),0)</f>
        <v>0</v>
      </c>
      <c r="BJ18" s="23">
        <f>-IF(BJ12=Summary!$C$16,SUM(Debt!BJ13:BJ17),0)</f>
        <v>0</v>
      </c>
      <c r="BK18" s="23">
        <f>-IF(BK12=Summary!$C$16,SUM(Debt!BK13:BK17),0)</f>
        <v>-55366591.272828594</v>
      </c>
      <c r="BL18" s="23">
        <f>-IF(BL12=Summary!$C$16,SUM(Debt!BL13:BL17),0)</f>
        <v>0</v>
      </c>
      <c r="BM18" s="23">
        <f>-IF(BM12=Summary!$C$16,SUM(Debt!BM13:BM17),0)</f>
        <v>0</v>
      </c>
      <c r="BN18" s="23">
        <f>-IF(BN12=Summary!$C$16,SUM(Debt!BN13:BN17),0)</f>
        <v>0</v>
      </c>
      <c r="BO18" s="23">
        <f>-IF(BO12=Summary!$C$16,SUM(Debt!BO13:BO17),0)</f>
        <v>0</v>
      </c>
      <c r="BP18" s="23">
        <f>-IF(BP12=Summary!$C$16,SUM(Debt!BP13:BP17),0)</f>
        <v>0</v>
      </c>
      <c r="BQ18" s="23">
        <f>-IF(BQ12=Summary!$C$16,SUM(Debt!BQ13:BQ17),0)</f>
        <v>0</v>
      </c>
      <c r="BR18" s="23">
        <f>-IF(BR12=Summary!$C$16,SUM(Debt!BR13:BR17),0)</f>
        <v>0</v>
      </c>
      <c r="BS18" s="23">
        <f>-IF(BS12=Summary!$C$16,SUM(Debt!BS13:BS17),0)</f>
        <v>0</v>
      </c>
      <c r="BT18" s="23">
        <f>-IF(BT12=Summary!$C$16,SUM(Debt!BT13:BT17),0)</f>
        <v>0</v>
      </c>
      <c r="BU18" s="23">
        <f>-IF(BU12=Summary!$C$16,SUM(Debt!BU13:BU17),0)</f>
        <v>0</v>
      </c>
      <c r="BV18" s="23">
        <f>-IF(BV12=Summary!$C$16,SUM(Debt!BV13:BV17),0)</f>
        <v>0</v>
      </c>
      <c r="BW18" s="23">
        <f>-IF(BW12=Summary!$C$16,SUM(Debt!BW13:BW17),0)</f>
        <v>0</v>
      </c>
    </row>
    <row r="19" spans="2:75" x14ac:dyDescent="0.2">
      <c r="B19" s="16" t="s">
        <v>62</v>
      </c>
      <c r="C19" s="29">
        <f>SUM(C13:C18)</f>
        <v>60000000</v>
      </c>
      <c r="D19" s="29">
        <f>SUM(D13:D18)</f>
        <v>59919685.605375789</v>
      </c>
      <c r="E19" s="29">
        <f t="shared" ref="E19:BP19" si="8">SUM(E13:E18)</f>
        <v>59839478.717451304</v>
      </c>
      <c r="F19" s="29">
        <f t="shared" si="8"/>
        <v>59759379.192320958</v>
      </c>
      <c r="G19" s="29">
        <f t="shared" si="8"/>
        <v>59679386.88627179</v>
      </c>
      <c r="H19" s="29">
        <f t="shared" si="8"/>
        <v>59599501.655783206</v>
      </c>
      <c r="I19" s="29">
        <f t="shared" si="8"/>
        <v>59519723.35752672</v>
      </c>
      <c r="J19" s="29">
        <f t="shared" si="8"/>
        <v>59440051.848365717</v>
      </c>
      <c r="K19" s="29">
        <f t="shared" si="8"/>
        <v>59360486.985355161</v>
      </c>
      <c r="L19" s="29">
        <f t="shared" si="8"/>
        <v>59281028.62574137</v>
      </c>
      <c r="M19" s="29">
        <f t="shared" si="8"/>
        <v>59201676.626961753</v>
      </c>
      <c r="N19" s="29">
        <f t="shared" si="8"/>
        <v>59122430.846644536</v>
      </c>
      <c r="O19" s="29">
        <f t="shared" si="8"/>
        <v>59043291.142608531</v>
      </c>
      <c r="P19" s="29">
        <f t="shared" si="8"/>
        <v>58964257.372862868</v>
      </c>
      <c r="Q19" s="29">
        <f t="shared" si="8"/>
        <v>58885329.395606741</v>
      </c>
      <c r="R19" s="29">
        <f t="shared" si="8"/>
        <v>58806507.069229148</v>
      </c>
      <c r="S19" s="29">
        <f t="shared" si="8"/>
        <v>58727790.252308652</v>
      </c>
      <c r="T19" s="29">
        <f t="shared" si="8"/>
        <v>58649178.803613119</v>
      </c>
      <c r="U19" s="29">
        <f t="shared" si="8"/>
        <v>58570672.58209946</v>
      </c>
      <c r="V19" s="29">
        <f t="shared" si="8"/>
        <v>58492271.446913391</v>
      </c>
      <c r="W19" s="29">
        <f t="shared" si="8"/>
        <v>58413975.257389158</v>
      </c>
      <c r="X19" s="29">
        <f t="shared" si="8"/>
        <v>58335783.873049311</v>
      </c>
      <c r="Y19" s="29">
        <f t="shared" si="8"/>
        <v>58257697.153604433</v>
      </c>
      <c r="Z19" s="29">
        <f t="shared" si="8"/>
        <v>58179714.958952889</v>
      </c>
      <c r="AA19" s="29">
        <f t="shared" si="8"/>
        <v>58101837.149180599</v>
      </c>
      <c r="AB19" s="29">
        <f t="shared" si="8"/>
        <v>58024063.584560744</v>
      </c>
      <c r="AC19" s="29">
        <f t="shared" si="8"/>
        <v>57946394.125553563</v>
      </c>
      <c r="AD19" s="29">
        <f t="shared" si="8"/>
        <v>57868828.632806063</v>
      </c>
      <c r="AE19" s="29">
        <f t="shared" si="8"/>
        <v>57791366.967151791</v>
      </c>
      <c r="AF19" s="29">
        <f t="shared" si="8"/>
        <v>57714008.989610583</v>
      </c>
      <c r="AG19" s="29">
        <f t="shared" si="8"/>
        <v>57636754.561388299</v>
      </c>
      <c r="AH19" s="29">
        <f t="shared" si="8"/>
        <v>57559603.543876596</v>
      </c>
      <c r="AI19" s="29">
        <f t="shared" si="8"/>
        <v>57482555.798652656</v>
      </c>
      <c r="AJ19" s="29">
        <f t="shared" si="8"/>
        <v>57405611.187478967</v>
      </c>
      <c r="AK19" s="29">
        <f t="shared" si="8"/>
        <v>57328769.572303042</v>
      </c>
      <c r="AL19" s="29">
        <f t="shared" si="8"/>
        <v>57252030.815257199</v>
      </c>
      <c r="AM19" s="29">
        <f t="shared" si="8"/>
        <v>57175394.778658293</v>
      </c>
      <c r="AN19" s="29">
        <f t="shared" si="8"/>
        <v>57098861.325007491</v>
      </c>
      <c r="AO19" s="29">
        <f t="shared" si="8"/>
        <v>57022430.316989996</v>
      </c>
      <c r="AP19" s="29">
        <f t="shared" si="8"/>
        <v>56946101.617474824</v>
      </c>
      <c r="AQ19" s="29">
        <f t="shared" si="8"/>
        <v>56869875.089514554</v>
      </c>
      <c r="AR19" s="29">
        <f t="shared" si="8"/>
        <v>56793750.596345074</v>
      </c>
      <c r="AS19" s="29">
        <f t="shared" si="8"/>
        <v>56717728.001385339</v>
      </c>
      <c r="AT19" s="29">
        <f t="shared" si="8"/>
        <v>56641807.168237135</v>
      </c>
      <c r="AU19" s="29">
        <f t="shared" si="8"/>
        <v>56565987.960684828</v>
      </c>
      <c r="AV19" s="29">
        <f t="shared" si="8"/>
        <v>56490270.242695116</v>
      </c>
      <c r="AW19" s="29">
        <f t="shared" si="8"/>
        <v>56414653.878416777</v>
      </c>
      <c r="AX19" s="29">
        <f t="shared" si="8"/>
        <v>56339138.732180454</v>
      </c>
      <c r="AY19" s="29">
        <f t="shared" si="8"/>
        <v>56263724.668498375</v>
      </c>
      <c r="AZ19" s="29">
        <f t="shared" si="8"/>
        <v>56188411.552064143</v>
      </c>
      <c r="BA19" s="29">
        <f t="shared" si="8"/>
        <v>56113199.247752473</v>
      </c>
      <c r="BB19" s="29">
        <f t="shared" si="8"/>
        <v>56038087.620618954</v>
      </c>
      <c r="BC19" s="29">
        <f t="shared" si="8"/>
        <v>55963076.53589981</v>
      </c>
      <c r="BD19" s="29">
        <f t="shared" si="8"/>
        <v>55888165.859011658</v>
      </c>
      <c r="BE19" s="29">
        <f t="shared" si="8"/>
        <v>55813355.455551252</v>
      </c>
      <c r="BF19" s="29">
        <f t="shared" si="8"/>
        <v>55738645.191295274</v>
      </c>
      <c r="BG19" s="29">
        <f t="shared" si="8"/>
        <v>55664034.932200059</v>
      </c>
      <c r="BH19" s="29">
        <f t="shared" si="8"/>
        <v>55589524.544401385</v>
      </c>
      <c r="BI19" s="29">
        <f t="shared" si="8"/>
        <v>55515113.894214198</v>
      </c>
      <c r="BJ19" s="29">
        <f t="shared" si="8"/>
        <v>55440802.848132394</v>
      </c>
      <c r="BK19" s="29">
        <f t="shared" si="8"/>
        <v>0</v>
      </c>
      <c r="BL19" s="29">
        <f t="shared" si="8"/>
        <v>0</v>
      </c>
      <c r="BM19" s="29">
        <f t="shared" si="8"/>
        <v>0</v>
      </c>
      <c r="BN19" s="29">
        <f t="shared" si="8"/>
        <v>0</v>
      </c>
      <c r="BO19" s="29">
        <f t="shared" si="8"/>
        <v>0</v>
      </c>
      <c r="BP19" s="29">
        <f t="shared" si="8"/>
        <v>0</v>
      </c>
      <c r="BQ19" s="29">
        <f t="shared" ref="BQ19:BW19" si="9">SUM(BQ13:BQ18)</f>
        <v>0</v>
      </c>
      <c r="BR19" s="29">
        <f t="shared" si="9"/>
        <v>0</v>
      </c>
      <c r="BS19" s="29">
        <f t="shared" si="9"/>
        <v>0</v>
      </c>
      <c r="BT19" s="29">
        <f t="shared" si="9"/>
        <v>0</v>
      </c>
      <c r="BU19" s="29">
        <f t="shared" si="9"/>
        <v>0</v>
      </c>
      <c r="BV19" s="29">
        <f t="shared" si="9"/>
        <v>0</v>
      </c>
      <c r="BW19" s="29">
        <f t="shared" si="9"/>
        <v>0</v>
      </c>
    </row>
    <row r="21" spans="2:75" x14ac:dyDescent="0.2">
      <c r="B21" s="32" t="s">
        <v>65</v>
      </c>
      <c r="C21" s="23">
        <f>-C17*C10</f>
        <v>-600000</v>
      </c>
    </row>
    <row r="25" spans="2:75" x14ac:dyDescent="0.2">
      <c r="D25" s="2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WSO Cover Page</vt:lpstr>
      <vt:lpstr>Summary</vt:lpstr>
      <vt:lpstr>Operational</vt:lpstr>
      <vt:lpstr>Cash Flows</vt:lpstr>
      <vt:lpstr>Cash Flows Yearly</vt:lpstr>
      <vt:lpstr>Debt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Disjoint</dc:creator>
  <cp:lastModifiedBy>Crystal Zhang</cp:lastModifiedBy>
  <dcterms:created xsi:type="dcterms:W3CDTF">2017-03-14T11:05:17Z</dcterms:created>
  <dcterms:modified xsi:type="dcterms:W3CDTF">2020-08-24T15:55:06Z</dcterms:modified>
</cp:coreProperties>
</file>