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</sheets>
  <definedNames>
    <definedName name="Latest_FY">'Sheet1'!$D$8</definedName>
    <definedName name="Ticker">'Sheet1'!$D$7</definedName>
  </definedNames>
  <calcPr fullCalcOnLoad="1"/>
</workbook>
</file>

<file path=xl/comments1.xml><?xml version="1.0" encoding="utf-8"?>
<comments xmlns="http://schemas.openxmlformats.org/spreadsheetml/2006/main">
  <authors>
    <author>Rayson</author>
  </authors>
  <commentList>
    <comment ref="C161" authorId="0">
      <text>
        <r>
          <rPr>
            <sz val="9"/>
            <rFont val="Tahoma"/>
            <family val="2"/>
          </rPr>
          <t xml:space="preserve">
Acquisition of intangible assets, proceeds of disposal of PP&amp;E</t>
        </r>
      </text>
    </comment>
    <comment ref="C116" authorId="0">
      <text>
        <r>
          <rPr>
            <sz val="9"/>
            <rFont val="Tahoma"/>
            <family val="2"/>
          </rPr>
          <t xml:space="preserve">Subsidiaries </t>
        </r>
      </text>
    </comment>
    <comment ref="C125" authorId="0">
      <text>
        <r>
          <rPr>
            <sz val="9"/>
            <rFont val="Tahoma"/>
            <family val="2"/>
          </rPr>
          <t xml:space="preserve">
Options</t>
        </r>
      </text>
    </comment>
    <comment ref="C146" authorId="0">
      <text>
        <r>
          <rPr>
            <b/>
            <sz val="9"/>
            <rFont val="Tahoma"/>
            <family val="2"/>
          </rPr>
          <t>x</t>
        </r>
        <r>
          <rPr>
            <sz val="9"/>
            <rFont val="Tahoma"/>
            <family val="2"/>
          </rPr>
          <t xml:space="preserve">
(Gain)/loss on disposal on PP&amp;E, PP&amp;E written off</t>
        </r>
      </text>
    </comment>
    <comment ref="C200" authorId="0">
      <text>
        <r>
          <rPr>
            <sz val="9"/>
            <rFont val="Tahoma"/>
            <family val="2"/>
          </rPr>
          <t xml:space="preserve">
/ Opex</t>
        </r>
      </text>
    </comment>
  </commentList>
</comments>
</file>

<file path=xl/sharedStrings.xml><?xml version="1.0" encoding="utf-8"?>
<sst xmlns="http://schemas.openxmlformats.org/spreadsheetml/2006/main" count="282" uniqueCount="139">
  <si>
    <t>Units in S$'Millions except per share data or unless stated)</t>
  </si>
  <si>
    <t>Basic Information :</t>
  </si>
  <si>
    <t>Ticker :</t>
  </si>
  <si>
    <t>RFMD:SP</t>
  </si>
  <si>
    <t>Latest FY:</t>
  </si>
  <si>
    <t>Share Price :</t>
  </si>
  <si>
    <t>Income Statement :</t>
  </si>
  <si>
    <t>Units</t>
  </si>
  <si>
    <t>Hospital Services</t>
  </si>
  <si>
    <t>Healthcare Services</t>
  </si>
  <si>
    <t>Investment Holdings</t>
  </si>
  <si>
    <t>$'m</t>
  </si>
  <si>
    <t>Revenue</t>
  </si>
  <si>
    <t>Other operating income</t>
  </si>
  <si>
    <t>Inventories &amp; consumables used</t>
  </si>
  <si>
    <t>Purchased &amp; contracted services</t>
  </si>
  <si>
    <t>Staff costs</t>
  </si>
  <si>
    <t>D&amp;A</t>
  </si>
  <si>
    <t>Operating lease expenses</t>
  </si>
  <si>
    <t>Other operating expenses</t>
  </si>
  <si>
    <t>EBIT</t>
  </si>
  <si>
    <t>Net finance income/(expense)</t>
  </si>
  <si>
    <t>PBT</t>
  </si>
  <si>
    <t xml:space="preserve">Tax expense </t>
  </si>
  <si>
    <t>NPAT</t>
  </si>
  <si>
    <t>Non-controlling interests</t>
  </si>
  <si>
    <t>Profit attributable to shareholders</t>
  </si>
  <si>
    <t>Balance Statement :</t>
  </si>
  <si>
    <t>Assets</t>
  </si>
  <si>
    <t>Cash &amp; cash equivalents</t>
  </si>
  <si>
    <t>Trade &amp; other receivables</t>
  </si>
  <si>
    <t>Inventories</t>
  </si>
  <si>
    <t>PP&amp;E</t>
  </si>
  <si>
    <t>Intangible assets &amp; goodwill</t>
  </si>
  <si>
    <t>Investment properties</t>
  </si>
  <si>
    <t>Other assets</t>
  </si>
  <si>
    <t>Total Assets</t>
  </si>
  <si>
    <t>Liabilities &amp; Shareholders' Equity</t>
  </si>
  <si>
    <t>Trade &amp; other payables</t>
  </si>
  <si>
    <t>Borrowings</t>
  </si>
  <si>
    <t>Insurance contract provisions</t>
  </si>
  <si>
    <t>Current tax liabilities</t>
  </si>
  <si>
    <t>Deferred tax liabilties</t>
  </si>
  <si>
    <t>Other financial liabilties</t>
  </si>
  <si>
    <t>Total Liabilities</t>
  </si>
  <si>
    <t>Share capital</t>
  </si>
  <si>
    <t>Reserves</t>
  </si>
  <si>
    <t>Total Shareholders' Equity</t>
  </si>
  <si>
    <t>Total Liabilities &amp; Shareholders' Equity</t>
  </si>
  <si>
    <t xml:space="preserve">Check if balance </t>
  </si>
  <si>
    <t>Cash Flow from Operating Activities</t>
  </si>
  <si>
    <t>Cash Flow Statement :</t>
  </si>
  <si>
    <t>Adjustments for :</t>
  </si>
  <si>
    <t>Change in fair value of investment properties</t>
  </si>
  <si>
    <t>Net finance (income)/expense</t>
  </si>
  <si>
    <t>Share-based payment transactions</t>
  </si>
  <si>
    <t>Other adjustments</t>
  </si>
  <si>
    <t>Change in Trade &amp; other receivables</t>
  </si>
  <si>
    <t>Change in Inventories</t>
  </si>
  <si>
    <t>Change in Trade &amp; other payables</t>
  </si>
  <si>
    <t>Change in Insurance provisions</t>
  </si>
  <si>
    <t xml:space="preserve">Tax paid </t>
  </si>
  <si>
    <t>Interest paid</t>
  </si>
  <si>
    <t>Total Cash Flow from Operating Activities</t>
  </si>
  <si>
    <t>Cash Flow from Investing Activities</t>
  </si>
  <si>
    <t>CAPEX</t>
  </si>
  <si>
    <t>Interest received</t>
  </si>
  <si>
    <t xml:space="preserve">Payment for investment properties under development </t>
  </si>
  <si>
    <t>Other investing activties</t>
  </si>
  <si>
    <t>Cash Flow from Financing Activities</t>
  </si>
  <si>
    <t>Net proceeds/payment of borrowings</t>
  </si>
  <si>
    <t>Dividends paid</t>
  </si>
  <si>
    <t>Proceeds from share issuances</t>
  </si>
  <si>
    <t>Change in cash &amp; cash equivalents</t>
  </si>
  <si>
    <t>FX rate effects</t>
  </si>
  <si>
    <t>Cash &amp; cash equivalents at beginning of the year</t>
  </si>
  <si>
    <t>Cash &amp; cash equivalents at end of the year</t>
  </si>
  <si>
    <t>Forecast</t>
  </si>
  <si>
    <t>Segmental Information :</t>
  </si>
  <si>
    <t>Revenue %</t>
  </si>
  <si>
    <t>%</t>
  </si>
  <si>
    <t>Revenue Growth %</t>
  </si>
  <si>
    <t>N/A</t>
  </si>
  <si>
    <t xml:space="preserve">Comments </t>
  </si>
  <si>
    <t>Income Statement Assumptions:</t>
  </si>
  <si>
    <t>Metrics &amp; Ratios :</t>
  </si>
  <si>
    <t>Profitability</t>
  </si>
  <si>
    <t>EBIT margin</t>
  </si>
  <si>
    <t>EBITDA margin</t>
  </si>
  <si>
    <t>Operating income / Revenue</t>
  </si>
  <si>
    <t>Staff costs / Revenue</t>
  </si>
  <si>
    <t>Purchased &amp; contracted services / Revenue</t>
  </si>
  <si>
    <t>Inventories &amp; consumables used / Revenue</t>
  </si>
  <si>
    <t>Operating lease expenses / Revenue</t>
  </si>
  <si>
    <t>D&amp;A / Revenue</t>
  </si>
  <si>
    <t>Other operating expenses / Revenue</t>
  </si>
  <si>
    <t>Singapore Tax Rate :</t>
  </si>
  <si>
    <t>Balance Sheet &amp; Cash Flow Statement Drivers:</t>
  </si>
  <si>
    <t>Receivable Turnover</t>
  </si>
  <si>
    <t>Times</t>
  </si>
  <si>
    <t>Days Receivable Outstanding</t>
  </si>
  <si>
    <t>Days</t>
  </si>
  <si>
    <t>Inventory Turnover</t>
  </si>
  <si>
    <t>Days Inventory Outstanding</t>
  </si>
  <si>
    <t>Payables Turnover</t>
  </si>
  <si>
    <t>Days Payables Outstanding</t>
  </si>
  <si>
    <t>Insurance contract provisions / Purchased &amp; contracted services</t>
  </si>
  <si>
    <t>Current tax liabilities / Tax expense</t>
  </si>
  <si>
    <t>Deferred tax liabilities / Tax expense</t>
  </si>
  <si>
    <t>Share-based payment transactions / Staff costs</t>
  </si>
  <si>
    <t>Finance income / Revenue</t>
  </si>
  <si>
    <t>FX rate effects / Revenue</t>
  </si>
  <si>
    <t>Growth</t>
  </si>
  <si>
    <t>Revenue Growth</t>
  </si>
  <si>
    <t>CAPEX / Revenue</t>
  </si>
  <si>
    <t>Tax Paid / Tax expense</t>
  </si>
  <si>
    <t>Dividends paid / NPAT</t>
  </si>
  <si>
    <t>Debt Schedule :</t>
  </si>
  <si>
    <t xml:space="preserve">Interest Rate </t>
  </si>
  <si>
    <t>Debt Tranches</t>
  </si>
  <si>
    <t>0.75%+SG SOR</t>
  </si>
  <si>
    <t>Unsecured FY19 (0.75% + SG SOR)</t>
  </si>
  <si>
    <t>Unsecured Bank Loan FY18</t>
  </si>
  <si>
    <t>Total Borrowings</t>
  </si>
  <si>
    <t>SG SOR</t>
  </si>
  <si>
    <t>Within 1 Year</t>
  </si>
  <si>
    <t xml:space="preserve">Debt </t>
  </si>
  <si>
    <t>&gt; 1 Year</t>
  </si>
  <si>
    <t>Maturity Date</t>
  </si>
  <si>
    <t>Interest payments</t>
  </si>
  <si>
    <t>Total Borrowings repayment</t>
  </si>
  <si>
    <t>Cash Balance before borrowings repayment</t>
  </si>
  <si>
    <t>Proceeds form share issuances / Revenue</t>
  </si>
  <si>
    <t>Opex</t>
  </si>
  <si>
    <t xml:space="preserve">Minimum Cash Balance </t>
  </si>
  <si>
    <t>Borrowing Proceeds</t>
  </si>
  <si>
    <t>Weighted average interest</t>
  </si>
  <si>
    <t>Change in Current tax laibilities</t>
  </si>
  <si>
    <t>Change in Deferred tax laibilities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</si>
</sst>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809]d\ mmm\ yyyy;@"/>
    <numFmt numFmtId="165" formatCode="&quot;FY&quot;yy"/>
    <numFmt numFmtId="166" formatCode="_-* #,##0.0_-;\-* #,##0.0_-;_-* &quot;-&quot;?_-;_-@_-"/>
    <numFmt numFmtId="167" formatCode="_-&quot;$&quot;* #,##0.0_-;\-&quot;$&quot;* #,##0.0_-;_-&quot;$&quot;* &quot;-&quot;?_-;_-@_-"/>
    <numFmt numFmtId="168" formatCode="_(* #,##0.0_);_(* \(#,##0.0\);_(* &quot;-&quot;?_);_(@_)"/>
    <numFmt numFmtId="169" formatCode="0.0%"/>
    <numFmt numFmtId="170" formatCode="0.0\x"/>
    <numFmt numFmtId="171" formatCode="0.0"/>
    <numFmt numFmtId="172" formatCode="_-&quot;$&quot;* #,##0.00000000_-;\-&quot;$&quot;* #,##0.00000000_-;_-&quot;$&quot;* &quot;-&quot;??????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i/>
      <sz val="9"/>
      <color theme="1"/>
      <name val="Calibri"/>
      <family val="2"/>
    </font>
    <font>
      <sz val="11"/>
      <color rgb="FF0000FF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>
        <color theme="0"/>
      </left>
      <right/>
      <top style="thin">
        <color theme="0"/>
      </top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40" fillId="0" borderId="0" xfId="0" applyNumberFormat="1" applyFont="1" applyAlignment="1">
      <alignment/>
    </xf>
    <xf numFmtId="0" fontId="40" fillId="0" borderId="0" xfId="0" applyFont="1" applyAlignment="1">
      <alignment/>
    </xf>
    <xf numFmtId="166" fontId="44" fillId="0" borderId="0" xfId="0" applyNumberFormat="1" applyFont="1" applyAlignment="1">
      <alignment/>
    </xf>
    <xf numFmtId="166" fontId="40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44" fillId="0" borderId="0" xfId="0" applyFont="1" applyAlignment="1">
      <alignment/>
    </xf>
    <xf numFmtId="168" fontId="44" fillId="0" borderId="0" xfId="0" applyNumberFormat="1" applyFont="1" applyAlignment="1">
      <alignment/>
    </xf>
    <xf numFmtId="0" fontId="40" fillId="0" borderId="10" xfId="0" applyFont="1" applyBorder="1" applyAlignment="1">
      <alignment/>
    </xf>
    <xf numFmtId="166" fontId="40" fillId="0" borderId="10" xfId="0" applyNumberFormat="1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46" fillId="0" borderId="10" xfId="0" applyFont="1" applyBorder="1" applyAlignment="1">
      <alignment horizontal="center"/>
    </xf>
    <xf numFmtId="167" fontId="40" fillId="0" borderId="10" xfId="0" applyNumberFormat="1" applyFont="1" applyBorder="1" applyAlignment="1">
      <alignment/>
    </xf>
    <xf numFmtId="168" fontId="40" fillId="0" borderId="10" xfId="0" applyNumberFormat="1" applyFont="1" applyBorder="1" applyAlignment="1">
      <alignment/>
    </xf>
    <xf numFmtId="166" fontId="11" fillId="0" borderId="0" xfId="0" applyNumberFormat="1" applyFont="1" applyAlignment="1">
      <alignment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165" fontId="26" fillId="33" borderId="0" xfId="0" applyNumberFormat="1" applyFont="1" applyFill="1" applyAlignment="1">
      <alignment horizontal="center"/>
    </xf>
    <xf numFmtId="165" fontId="26" fillId="33" borderId="0" xfId="0" applyNumberFormat="1" applyFont="1" applyFill="1" applyBorder="1" applyAlignment="1">
      <alignment horizontal="center"/>
    </xf>
    <xf numFmtId="165" fontId="26" fillId="33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0" fillId="34" borderId="10" xfId="0" applyFont="1" applyFill="1" applyBorder="1" applyAlignment="1">
      <alignment/>
    </xf>
    <xf numFmtId="0" fontId="40" fillId="0" borderId="12" xfId="0" applyFont="1" applyBorder="1" applyAlignment="1">
      <alignment/>
    </xf>
    <xf numFmtId="0" fontId="46" fillId="0" borderId="12" xfId="0" applyFont="1" applyBorder="1" applyAlignment="1">
      <alignment horizontal="center"/>
    </xf>
    <xf numFmtId="166" fontId="40" fillId="0" borderId="12" xfId="0" applyNumberFormat="1" applyFont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165" fontId="26" fillId="0" borderId="0" xfId="0" applyNumberFormat="1" applyFont="1" applyFill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0" fillId="35" borderId="0" xfId="0" applyFont="1" applyFill="1" applyAlignment="1">
      <alignment/>
    </xf>
    <xf numFmtId="44" fontId="45" fillId="0" borderId="0" xfId="0" applyNumberFormat="1" applyFont="1" applyAlignment="1">
      <alignment horizontal="center"/>
    </xf>
    <xf numFmtId="169" fontId="0" fillId="0" borderId="0" xfId="0" applyNumberFormat="1" applyAlignment="1">
      <alignment/>
    </xf>
    <xf numFmtId="0" fontId="40" fillId="0" borderId="13" xfId="0" applyFont="1" applyBorder="1" applyAlignment="1">
      <alignment/>
    </xf>
    <xf numFmtId="9" fontId="0" fillId="0" borderId="14" xfId="0" applyNumberFormat="1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left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8" fontId="11" fillId="0" borderId="0" xfId="0" applyNumberFormat="1" applyFont="1" applyAlignment="1">
      <alignment/>
    </xf>
    <xf numFmtId="168" fontId="44" fillId="0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0" fontId="0" fillId="36" borderId="0" xfId="0" applyFill="1" applyAlignment="1">
      <alignment horizontal="left" indent="1"/>
    </xf>
    <xf numFmtId="0" fontId="40" fillId="36" borderId="0" xfId="0" applyFont="1" applyFill="1" applyAlignment="1">
      <alignment/>
    </xf>
    <xf numFmtId="172" fontId="0" fillId="0" borderId="0" xfId="0" applyNumberFormat="1" applyAlignment="1">
      <alignment/>
    </xf>
    <xf numFmtId="0" fontId="26" fillId="33" borderId="15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33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18"/>
  <sheetViews>
    <sheetView tabSelected="1" zoomScalePageLayoutView="0" workbookViewId="0" topLeftCell="A144">
      <selection activeCell="J172" sqref="J172"/>
    </sheetView>
  </sheetViews>
  <sheetFormatPr defaultColWidth="9.140625" defaultRowHeight="15" outlineLevelRow="1"/>
  <cols>
    <col min="1" max="2" width="2.8515625" style="0" customWidth="1"/>
    <col min="3" max="3" width="25.57421875" style="0" customWidth="1"/>
    <col min="4" max="13" width="14.7109375" style="0" customWidth="1"/>
    <col min="14" max="16" width="14.140625" style="0" customWidth="1"/>
    <col min="18" max="18" width="20.7109375" style="0" customWidth="1"/>
  </cols>
  <sheetData>
    <row r="2" ht="21">
      <c r="B2" s="1" t="str">
        <f>Ticker&amp;"- Financial Model"</f>
        <v>RFMD:SP- Financial Model</v>
      </c>
    </row>
    <row r="3" ht="15">
      <c r="B3" s="2" t="s">
        <v>0</v>
      </c>
    </row>
    <row r="5" ht="15">
      <c r="B5" t="s">
        <v>1</v>
      </c>
    </row>
    <row r="7" spans="3:4" ht="15">
      <c r="C7" t="s">
        <v>2</v>
      </c>
      <c r="D7" s="3" t="s">
        <v>3</v>
      </c>
    </row>
    <row r="8" spans="3:4" ht="15">
      <c r="C8" t="s">
        <v>4</v>
      </c>
      <c r="D8" s="4">
        <v>43100</v>
      </c>
    </row>
    <row r="9" spans="3:4" ht="15">
      <c r="C9" t="s">
        <v>5</v>
      </c>
      <c r="D9" s="5">
        <v>1.1</v>
      </c>
    </row>
    <row r="10" ht="15">
      <c r="D10" s="5"/>
    </row>
    <row r="11" spans="3:4" ht="15">
      <c r="C11" t="s">
        <v>96</v>
      </c>
      <c r="D11" s="44">
        <v>0.17</v>
      </c>
    </row>
    <row r="12" ht="15">
      <c r="D12" s="5"/>
    </row>
    <row r="13" ht="15">
      <c r="D13" s="5"/>
    </row>
    <row r="14" spans="2:16" ht="15">
      <c r="B14" s="25"/>
      <c r="C14" s="25"/>
      <c r="D14" s="25"/>
      <c r="E14" s="62"/>
      <c r="F14" s="63"/>
      <c r="G14" s="63"/>
      <c r="H14" s="64" t="s">
        <v>77</v>
      </c>
      <c r="I14" s="63"/>
      <c r="J14" s="63"/>
      <c r="K14" s="63"/>
      <c r="L14" s="63"/>
      <c r="M14" s="63"/>
      <c r="N14" s="63"/>
      <c r="O14" s="63"/>
      <c r="P14" s="63"/>
    </row>
    <row r="15" spans="2:18" ht="15">
      <c r="B15" s="25" t="s">
        <v>78</v>
      </c>
      <c r="C15" s="25"/>
      <c r="D15" s="26" t="s">
        <v>7</v>
      </c>
      <c r="E15" s="27">
        <f>EOMONTH(F15,-12)</f>
        <v>42369</v>
      </c>
      <c r="F15" s="27">
        <f>EOMONTH(G15,-12)</f>
        <v>42735</v>
      </c>
      <c r="G15" s="27">
        <f>Latest_FY</f>
        <v>43100</v>
      </c>
      <c r="H15" s="29">
        <f>EOMONTH(G15,12)</f>
        <v>43465</v>
      </c>
      <c r="I15" s="28">
        <f>EOMONTH(H15,12)</f>
        <v>43830</v>
      </c>
      <c r="J15" s="27">
        <f>EOMONTH(I15,12)</f>
        <v>44196</v>
      </c>
      <c r="K15" s="28">
        <f>EOMONTH(J15,12)</f>
        <v>44561</v>
      </c>
      <c r="L15" s="27">
        <f>EOMONTH(K15,12)</f>
        <v>44926</v>
      </c>
      <c r="M15" s="28">
        <f>EOMONTH(L15,12)</f>
        <v>45291</v>
      </c>
      <c r="N15" s="27">
        <f>EOMONTH(M15,12)</f>
        <v>45657</v>
      </c>
      <c r="O15" s="27">
        <f>EOMONTH(N15,12)</f>
        <v>46022</v>
      </c>
      <c r="P15" s="27">
        <f>EOMONTH(O15,12)</f>
        <v>46387</v>
      </c>
      <c r="R15" t="s">
        <v>83</v>
      </c>
    </row>
    <row r="16" ht="15">
      <c r="D16" s="5"/>
    </row>
    <row r="17" spans="2:4" ht="15">
      <c r="B17" s="8" t="s">
        <v>79</v>
      </c>
      <c r="D17" s="5"/>
    </row>
    <row r="18" spans="3:7" ht="15">
      <c r="C18" t="s">
        <v>8</v>
      </c>
      <c r="D18" s="41" t="s">
        <v>80</v>
      </c>
      <c r="E18" s="42">
        <f>E83/E$86</f>
        <v>0.6128588305503794</v>
      </c>
      <c r="F18" s="42">
        <f>F83/F$86</f>
        <v>0.5569606087735005</v>
      </c>
      <c r="G18" s="42">
        <f>G83/G$86</f>
        <v>0.5619316432955109</v>
      </c>
    </row>
    <row r="19" spans="3:7" ht="15">
      <c r="C19" t="s">
        <v>9</v>
      </c>
      <c r="D19" s="41" t="s">
        <v>80</v>
      </c>
      <c r="E19" s="42">
        <f>E84/E$86</f>
        <v>0.384939164748438</v>
      </c>
      <c r="F19" s="42">
        <f>F84/F$86</f>
        <v>0.436800054053141</v>
      </c>
      <c r="G19" s="42">
        <f>G84/G$86</f>
        <v>0.42577311168948645</v>
      </c>
    </row>
    <row r="20" spans="3:7" ht="15">
      <c r="C20" t="s">
        <v>10</v>
      </c>
      <c r="D20" s="41" t="s">
        <v>80</v>
      </c>
      <c r="E20" s="42">
        <f>E85/E$86</f>
        <v>0.0022020047011826033</v>
      </c>
      <c r="F20" s="42">
        <f>F85/F$86</f>
        <v>0.006239337173358554</v>
      </c>
      <c r="G20" s="42">
        <f>G85/G$86</f>
        <v>0.012295245015002627</v>
      </c>
    </row>
    <row r="21" ht="15">
      <c r="D21" s="5"/>
    </row>
    <row r="22" spans="2:4" ht="15">
      <c r="B22" s="8" t="s">
        <v>81</v>
      </c>
      <c r="D22" s="5"/>
    </row>
    <row r="23" spans="3:16" ht="15">
      <c r="C23" t="s">
        <v>8</v>
      </c>
      <c r="D23" s="41" t="s">
        <v>80</v>
      </c>
      <c r="E23" s="42" t="s">
        <v>82</v>
      </c>
      <c r="F23" s="42">
        <f>F83/E83-1</f>
        <v>0.04841414944356126</v>
      </c>
      <c r="G23" s="42">
        <f>G83/F83-1</f>
        <v>0.017393216342344697</v>
      </c>
      <c r="H23" s="42">
        <f>AVERAGE(E23:G23)</f>
        <v>0.03290368289295298</v>
      </c>
      <c r="I23" s="42">
        <f>H23</f>
        <v>0.03290368289295298</v>
      </c>
      <c r="J23" s="42">
        <f aca="true" t="shared" si="0" ref="J23:P23">I23</f>
        <v>0.03290368289295298</v>
      </c>
      <c r="K23" s="42">
        <f t="shared" si="0"/>
        <v>0.03290368289295298</v>
      </c>
      <c r="L23" s="42">
        <f t="shared" si="0"/>
        <v>0.03290368289295298</v>
      </c>
      <c r="M23" s="42">
        <f t="shared" si="0"/>
        <v>0.03290368289295298</v>
      </c>
      <c r="N23" s="42">
        <f t="shared" si="0"/>
        <v>0.03290368289295298</v>
      </c>
      <c r="O23" s="42">
        <f t="shared" si="0"/>
        <v>0.03290368289295298</v>
      </c>
      <c r="P23" s="42">
        <f t="shared" si="0"/>
        <v>0.03290368289295298</v>
      </c>
    </row>
    <row r="24" spans="3:16" ht="15">
      <c r="C24" t="s">
        <v>9</v>
      </c>
      <c r="D24" s="41" t="s">
        <v>80</v>
      </c>
      <c r="E24" s="42" t="s">
        <v>82</v>
      </c>
      <c r="F24" s="42">
        <f>F84/E84-1</f>
        <v>0.309059614885687</v>
      </c>
      <c r="G24" s="42">
        <f>G84/F84-1</f>
        <v>-0.017063691558064753</v>
      </c>
      <c r="H24" s="42">
        <f>AVERAGE(E24:G24)</f>
        <v>0.14599796166381113</v>
      </c>
      <c r="I24" s="42">
        <f aca="true" t="shared" si="1" ref="I24:P24">H24</f>
        <v>0.14599796166381113</v>
      </c>
      <c r="J24" s="42">
        <f t="shared" si="1"/>
        <v>0.14599796166381113</v>
      </c>
      <c r="K24" s="42">
        <f t="shared" si="1"/>
        <v>0.14599796166381113</v>
      </c>
      <c r="L24" s="42">
        <f t="shared" si="1"/>
        <v>0.14599796166381113</v>
      </c>
      <c r="M24" s="42">
        <f t="shared" si="1"/>
        <v>0.14599796166381113</v>
      </c>
      <c r="N24" s="42">
        <f t="shared" si="1"/>
        <v>0.14599796166381113</v>
      </c>
      <c r="O24" s="42">
        <f t="shared" si="1"/>
        <v>0.14599796166381113</v>
      </c>
      <c r="P24" s="42">
        <f t="shared" si="1"/>
        <v>0.14599796166381113</v>
      </c>
    </row>
    <row r="25" spans="3:16" ht="15">
      <c r="C25" t="s">
        <v>10</v>
      </c>
      <c r="D25" s="41" t="s">
        <v>80</v>
      </c>
      <c r="E25" s="42" t="s">
        <v>82</v>
      </c>
      <c r="F25" s="42">
        <f>F85/E85-1</f>
        <v>2.2688053097345118</v>
      </c>
      <c r="G25" s="42">
        <f>G85/F85-1</f>
        <v>0.9871404399323191</v>
      </c>
      <c r="H25" s="42">
        <v>0.01</v>
      </c>
      <c r="I25" s="42">
        <f aca="true" t="shared" si="2" ref="I25:P25">H25</f>
        <v>0.01</v>
      </c>
      <c r="J25" s="42">
        <f t="shared" si="2"/>
        <v>0.01</v>
      </c>
      <c r="K25" s="42">
        <f t="shared" si="2"/>
        <v>0.01</v>
      </c>
      <c r="L25" s="42">
        <f t="shared" si="2"/>
        <v>0.01</v>
      </c>
      <c r="M25" s="42">
        <f t="shared" si="2"/>
        <v>0.01</v>
      </c>
      <c r="N25" s="42">
        <f t="shared" si="2"/>
        <v>0.01</v>
      </c>
      <c r="O25" s="42">
        <f t="shared" si="2"/>
        <v>0.01</v>
      </c>
      <c r="P25" s="42">
        <f t="shared" si="2"/>
        <v>0.01</v>
      </c>
    </row>
    <row r="26" ht="15">
      <c r="D26" s="5"/>
    </row>
    <row r="27" ht="15">
      <c r="D27" s="5"/>
    </row>
    <row r="28" spans="2:16" ht="15">
      <c r="B28" s="25"/>
      <c r="C28" s="25"/>
      <c r="D28" s="25"/>
      <c r="E28" s="62"/>
      <c r="F28" s="63"/>
      <c r="G28" s="63"/>
      <c r="H28" s="64" t="s">
        <v>77</v>
      </c>
      <c r="I28" s="63"/>
      <c r="J28" s="63"/>
      <c r="K28" s="63"/>
      <c r="L28" s="63"/>
      <c r="M28" s="63"/>
      <c r="N28" s="63"/>
      <c r="O28" s="63"/>
      <c r="P28" s="63"/>
    </row>
    <row r="29" spans="2:16" ht="15">
      <c r="B29" s="25" t="s">
        <v>84</v>
      </c>
      <c r="C29" s="25"/>
      <c r="D29" s="26" t="s">
        <v>7</v>
      </c>
      <c r="E29" s="27">
        <f>EOMONTH(F29,-12)</f>
        <v>42369</v>
      </c>
      <c r="F29" s="27">
        <f>EOMONTH(G29,-12)</f>
        <v>42735</v>
      </c>
      <c r="G29" s="27">
        <f>Latest_FY</f>
        <v>43100</v>
      </c>
      <c r="H29" s="29">
        <f>EOMONTH(G29,12)</f>
        <v>43465</v>
      </c>
      <c r="I29" s="28">
        <f>EOMONTH(H29,12)</f>
        <v>43830</v>
      </c>
      <c r="J29" s="27">
        <f>EOMONTH(I29,12)</f>
        <v>44196</v>
      </c>
      <c r="K29" s="28">
        <f>EOMONTH(J29,12)</f>
        <v>44561</v>
      </c>
      <c r="L29" s="27">
        <f>EOMONTH(K29,12)</f>
        <v>44926</v>
      </c>
      <c r="M29" s="28">
        <f>EOMONTH(L29,12)</f>
        <v>45291</v>
      </c>
      <c r="N29" s="27">
        <f>EOMONTH(M29,12)</f>
        <v>45657</v>
      </c>
      <c r="O29" s="27">
        <f>EOMONTH(N29,12)</f>
        <v>46022</v>
      </c>
      <c r="P29" s="27">
        <f>EOMONTH(O29,12)</f>
        <v>46387</v>
      </c>
    </row>
    <row r="30" ht="15">
      <c r="D30" s="5"/>
    </row>
    <row r="31" spans="3:16" ht="15">
      <c r="C31" t="s">
        <v>89</v>
      </c>
      <c r="D31" s="41" t="s">
        <v>80</v>
      </c>
      <c r="E31" s="42">
        <f>E88/E86</f>
        <v>0.009054039241477584</v>
      </c>
      <c r="F31" s="42">
        <f>F88/F86</f>
        <v>0.007451309944088782</v>
      </c>
      <c r="G31" s="42">
        <f>G88/G86</f>
        <v>0.008025830065140509</v>
      </c>
      <c r="H31" s="42">
        <f>AVERAGE(E31:G31)</f>
        <v>0.008177059750235626</v>
      </c>
      <c r="I31" s="42">
        <f>H31</f>
        <v>0.008177059750235626</v>
      </c>
      <c r="J31" s="42">
        <f aca="true" t="shared" si="3" ref="J31:P31">I31</f>
        <v>0.008177059750235626</v>
      </c>
      <c r="K31" s="42">
        <f t="shared" si="3"/>
        <v>0.008177059750235626</v>
      </c>
      <c r="L31" s="42">
        <f t="shared" si="3"/>
        <v>0.008177059750235626</v>
      </c>
      <c r="M31" s="42">
        <f t="shared" si="3"/>
        <v>0.008177059750235626</v>
      </c>
      <c r="N31" s="42">
        <f t="shared" si="3"/>
        <v>0.008177059750235626</v>
      </c>
      <c r="O31" s="42">
        <f t="shared" si="3"/>
        <v>0.008177059750235626</v>
      </c>
      <c r="P31" s="42">
        <f t="shared" si="3"/>
        <v>0.008177059750235626</v>
      </c>
    </row>
    <row r="32" spans="4:16" ht="15"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3:16" ht="15">
      <c r="C33" t="s">
        <v>92</v>
      </c>
      <c r="D33" s="41" t="s">
        <v>80</v>
      </c>
      <c r="E33" s="42">
        <f>-E89/E86</f>
        <v>0.10783489836432948</v>
      </c>
      <c r="F33" s="42">
        <f>-F89/F86</f>
        <v>0.10818018276718298</v>
      </c>
      <c r="G33" s="42">
        <f>-G89/G86</f>
        <v>0.11320964104668717</v>
      </c>
      <c r="H33" s="42">
        <f>AVERAGE(E33:G33)</f>
        <v>0.10974157405939988</v>
      </c>
      <c r="I33" s="42">
        <f>H33</f>
        <v>0.10974157405939988</v>
      </c>
      <c r="J33" s="42">
        <f aca="true" t="shared" si="4" ref="J33:P33">I33</f>
        <v>0.10974157405939988</v>
      </c>
      <c r="K33" s="42">
        <f t="shared" si="4"/>
        <v>0.10974157405939988</v>
      </c>
      <c r="L33" s="42">
        <f t="shared" si="4"/>
        <v>0.10974157405939988</v>
      </c>
      <c r="M33" s="42">
        <f t="shared" si="4"/>
        <v>0.10974157405939988</v>
      </c>
      <c r="N33" s="42">
        <f t="shared" si="4"/>
        <v>0.10974157405939988</v>
      </c>
      <c r="O33" s="42">
        <f t="shared" si="4"/>
        <v>0.10974157405939988</v>
      </c>
      <c r="P33" s="42">
        <f t="shared" si="4"/>
        <v>0.10974157405939988</v>
      </c>
    </row>
    <row r="34" spans="4:16" ht="15"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3:16" ht="15">
      <c r="C35" t="s">
        <v>91</v>
      </c>
      <c r="D35" s="41" t="s">
        <v>80</v>
      </c>
      <c r="E35" s="42">
        <f>-E90/E86</f>
        <v>0.08981207448816789</v>
      </c>
      <c r="F35" s="42">
        <f>-F90/F86</f>
        <v>0.08533428489383625</v>
      </c>
      <c r="G35" s="42">
        <f>-G90/G86</f>
        <v>0.08283167533182713</v>
      </c>
      <c r="H35" s="42">
        <f>AVERAGE(E35:G35)</f>
        <v>0.08599267823794375</v>
      </c>
      <c r="I35" s="42">
        <f>H35</f>
        <v>0.08599267823794375</v>
      </c>
      <c r="J35" s="42">
        <f aca="true" t="shared" si="5" ref="J35:P41">I35</f>
        <v>0.08599267823794375</v>
      </c>
      <c r="K35" s="42">
        <f t="shared" si="5"/>
        <v>0.08599267823794375</v>
      </c>
      <c r="L35" s="42">
        <f t="shared" si="5"/>
        <v>0.08599267823794375</v>
      </c>
      <c r="M35" s="42">
        <f t="shared" si="5"/>
        <v>0.08599267823794375</v>
      </c>
      <c r="N35" s="42">
        <f t="shared" si="5"/>
        <v>0.08599267823794375</v>
      </c>
      <c r="O35" s="42">
        <f t="shared" si="5"/>
        <v>0.08599267823794375</v>
      </c>
      <c r="P35" s="42">
        <f t="shared" si="5"/>
        <v>0.08599267823794375</v>
      </c>
    </row>
    <row r="36" ht="15">
      <c r="D36" s="5"/>
    </row>
    <row r="37" spans="3:16" ht="15">
      <c r="C37" t="s">
        <v>90</v>
      </c>
      <c r="D37" s="41" t="s">
        <v>80</v>
      </c>
      <c r="E37" s="42">
        <f>-E91/E86</f>
        <v>0.4957847686555349</v>
      </c>
      <c r="F37" s="42">
        <f>-F91/F86</f>
        <v>0.5104136754446715</v>
      </c>
      <c r="G37" s="42">
        <f>-G91/G86</f>
        <v>0.5184439144609418</v>
      </c>
      <c r="H37" s="42">
        <f>AVERAGE(E37:G37)</f>
        <v>0.5082141195203828</v>
      </c>
      <c r="I37" s="42">
        <f>H37</f>
        <v>0.5082141195203828</v>
      </c>
      <c r="J37" s="42">
        <f t="shared" si="5"/>
        <v>0.5082141195203828</v>
      </c>
      <c r="K37" s="42">
        <f t="shared" si="5"/>
        <v>0.5082141195203828</v>
      </c>
      <c r="L37" s="42">
        <f t="shared" si="5"/>
        <v>0.5082141195203828</v>
      </c>
      <c r="M37" s="42">
        <f t="shared" si="5"/>
        <v>0.5082141195203828</v>
      </c>
      <c r="N37" s="42">
        <f t="shared" si="5"/>
        <v>0.5082141195203828</v>
      </c>
      <c r="O37" s="42">
        <f t="shared" si="5"/>
        <v>0.5082141195203828</v>
      </c>
      <c r="P37" s="42">
        <f t="shared" si="5"/>
        <v>0.5082141195203828</v>
      </c>
    </row>
    <row r="39" spans="3:16" ht="15">
      <c r="C39" t="s">
        <v>94</v>
      </c>
      <c r="D39" s="41" t="s">
        <v>80</v>
      </c>
      <c r="E39" s="42">
        <f>-E92/E86</f>
        <v>0.03119587854872301</v>
      </c>
      <c r="F39" s="42">
        <f>-F92/F86</f>
        <v>0.030964426276583162</v>
      </c>
      <c r="G39" s="42">
        <f>-G92/G86</f>
        <v>0.031391402122772374</v>
      </c>
      <c r="H39" s="42">
        <f>AVERAGE(E39:G39)</f>
        <v>0.03118390231602618</v>
      </c>
      <c r="I39" s="42">
        <f>H39</f>
        <v>0.03118390231602618</v>
      </c>
      <c r="J39" s="42">
        <f t="shared" si="5"/>
        <v>0.03118390231602618</v>
      </c>
      <c r="K39" s="42">
        <f t="shared" si="5"/>
        <v>0.03118390231602618</v>
      </c>
      <c r="L39" s="42">
        <f t="shared" si="5"/>
        <v>0.03118390231602618</v>
      </c>
      <c r="M39" s="42">
        <f t="shared" si="5"/>
        <v>0.03118390231602618</v>
      </c>
      <c r="N39" s="42">
        <f t="shared" si="5"/>
        <v>0.03118390231602618</v>
      </c>
      <c r="O39" s="42">
        <f t="shared" si="5"/>
        <v>0.03118390231602618</v>
      </c>
      <c r="P39" s="42">
        <f t="shared" si="5"/>
        <v>0.03118390231602618</v>
      </c>
    </row>
    <row r="40" ht="15">
      <c r="D40" s="41"/>
    </row>
    <row r="41" spans="3:16" ht="15">
      <c r="C41" t="s">
        <v>93</v>
      </c>
      <c r="D41" s="41" t="s">
        <v>80</v>
      </c>
      <c r="E41" s="42">
        <f>+-E93/E86</f>
        <v>0.026891738828601703</v>
      </c>
      <c r="F41" s="42">
        <f>+-F93/F86</f>
        <v>0.03001427340754379</v>
      </c>
      <c r="G41" s="42">
        <f>+-G93/G86</f>
        <v>0.027647550268749096</v>
      </c>
      <c r="H41" s="42">
        <f>AVERAGE(E41:G41)</f>
        <v>0.028184520834964866</v>
      </c>
      <c r="I41" s="42">
        <f>H41</f>
        <v>0.028184520834964866</v>
      </c>
      <c r="J41" s="42">
        <f t="shared" si="5"/>
        <v>0.028184520834964866</v>
      </c>
      <c r="K41" s="42">
        <f t="shared" si="5"/>
        <v>0.028184520834964866</v>
      </c>
      <c r="L41" s="42">
        <f t="shared" si="5"/>
        <v>0.028184520834964866</v>
      </c>
      <c r="M41" s="42">
        <f t="shared" si="5"/>
        <v>0.028184520834964866</v>
      </c>
      <c r="N41" s="42">
        <f t="shared" si="5"/>
        <v>0.028184520834964866</v>
      </c>
      <c r="O41" s="42">
        <f t="shared" si="5"/>
        <v>0.028184520834964866</v>
      </c>
      <c r="P41" s="42">
        <f t="shared" si="5"/>
        <v>0.028184520834964866</v>
      </c>
    </row>
    <row r="42" ht="15">
      <c r="D42" s="41"/>
    </row>
    <row r="43" spans="3:16" ht="15">
      <c r="C43" t="s">
        <v>95</v>
      </c>
      <c r="D43" s="41" t="s">
        <v>80</v>
      </c>
      <c r="E43" s="42">
        <f>+-E94/E86</f>
        <v>0.0611957567564276</v>
      </c>
      <c r="F43" s="42">
        <f>+-F94/F86</f>
        <v>0.06951951825138088</v>
      </c>
      <c r="G43" s="42">
        <f>+-G94/G86</f>
        <v>0.0668114233546839</v>
      </c>
      <c r="H43" s="42">
        <f>AVERAGE(E43:G43)</f>
        <v>0.06584223278749746</v>
      </c>
      <c r="I43" s="42">
        <f>AVERAGE(F43:H43)</f>
        <v>0.06739105813118741</v>
      </c>
      <c r="J43" s="42">
        <f>AVERAGE(G43:I43)</f>
        <v>0.06668157142445626</v>
      </c>
      <c r="K43" s="42">
        <f>AVERAGE(H43:J43)</f>
        <v>0.0666382874477137</v>
      </c>
      <c r="L43" s="42">
        <f>AVERAGE(I43:K43)</f>
        <v>0.06690363900111912</v>
      </c>
      <c r="M43" s="42">
        <f>AVERAGE(J43:L43)</f>
        <v>0.06674116595776303</v>
      </c>
      <c r="N43" s="42">
        <f>AVERAGE(K43:M43)</f>
        <v>0.06676103080219863</v>
      </c>
      <c r="O43" s="42">
        <f>AVERAGE(L43:N43)</f>
        <v>0.0668019452536936</v>
      </c>
      <c r="P43" s="42">
        <f>AVERAGE(M43:O43)</f>
        <v>0.06676804733788509</v>
      </c>
    </row>
    <row r="44" spans="4:16" ht="15">
      <c r="D44" s="41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2:16" ht="15">
      <c r="B45" s="25"/>
      <c r="C45" s="25"/>
      <c r="D45" s="25"/>
      <c r="E45" s="62"/>
      <c r="F45" s="63"/>
      <c r="G45" s="63"/>
      <c r="H45" s="64" t="s">
        <v>77</v>
      </c>
      <c r="I45" s="63"/>
      <c r="J45" s="63"/>
      <c r="K45" s="63"/>
      <c r="L45" s="63"/>
      <c r="M45" s="63"/>
      <c r="N45" s="63"/>
      <c r="O45" s="63"/>
      <c r="P45" s="63"/>
    </row>
    <row r="46" spans="2:16" ht="15">
      <c r="B46" s="25" t="s">
        <v>97</v>
      </c>
      <c r="C46" s="25"/>
      <c r="D46" s="26" t="s">
        <v>7</v>
      </c>
      <c r="E46" s="27">
        <f>EOMONTH(F46,-12)</f>
        <v>42369</v>
      </c>
      <c r="F46" s="27">
        <f>EOMONTH(G46,-12)</f>
        <v>42735</v>
      </c>
      <c r="G46" s="27">
        <f>Latest_FY</f>
        <v>43100</v>
      </c>
      <c r="H46" s="29">
        <f>EOMONTH(G46,12)</f>
        <v>43465</v>
      </c>
      <c r="I46" s="28">
        <f>EOMONTH(H46,12)</f>
        <v>43830</v>
      </c>
      <c r="J46" s="27">
        <f>EOMONTH(I46,12)</f>
        <v>44196</v>
      </c>
      <c r="K46" s="28">
        <f>EOMONTH(J46,12)</f>
        <v>44561</v>
      </c>
      <c r="L46" s="27">
        <f>EOMONTH(K46,12)</f>
        <v>44926</v>
      </c>
      <c r="M46" s="28">
        <f>EOMONTH(L46,12)</f>
        <v>45291</v>
      </c>
      <c r="N46" s="27">
        <f>EOMONTH(M46,12)</f>
        <v>45657</v>
      </c>
      <c r="O46" s="27">
        <f>EOMONTH(N46,12)</f>
        <v>46022</v>
      </c>
      <c r="P46" s="27">
        <f>EOMONTH(O46,12)</f>
        <v>46387</v>
      </c>
    </row>
    <row r="47" spans="4:16" ht="15">
      <c r="D47" s="41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3:256" ht="15">
      <c r="C48" t="s">
        <v>98</v>
      </c>
      <c r="D48" s="41" t="s">
        <v>99</v>
      </c>
      <c r="E48" s="45">
        <f>E86/AVERAGE(E111,(36.955+2.694))</f>
        <v>6.965480967449119</v>
      </c>
      <c r="F48" s="45">
        <f>+F86/AVERAGE(E111:F111)</f>
        <v>5.138223025056008</v>
      </c>
      <c r="G48" s="45">
        <f>+G86/AVERAGE(F111:G111)</f>
        <v>4.862429876093221</v>
      </c>
      <c r="H48" s="45">
        <f>365/H49</f>
        <v>5.516293752517325</v>
      </c>
      <c r="I48" s="45">
        <f aca="true" t="shared" si="6" ref="I48:P48">365/I49</f>
        <v>5.516293752517325</v>
      </c>
      <c r="J48" s="45">
        <f t="shared" si="6"/>
        <v>5.516293752517325</v>
      </c>
      <c r="K48" s="45">
        <f t="shared" si="6"/>
        <v>5.516293752517325</v>
      </c>
      <c r="L48" s="45">
        <f t="shared" si="6"/>
        <v>5.516293752517325</v>
      </c>
      <c r="M48" s="45">
        <f t="shared" si="6"/>
        <v>5.516293752517325</v>
      </c>
      <c r="N48" s="45">
        <f t="shared" si="6"/>
        <v>5.516293752517325</v>
      </c>
      <c r="O48" s="45">
        <f t="shared" si="6"/>
        <v>5.516293752517325</v>
      </c>
      <c r="P48" s="45">
        <f t="shared" si="6"/>
        <v>5.516293752517325</v>
      </c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  <c r="IV48" s="45"/>
    </row>
    <row r="49" spans="3:256" ht="15">
      <c r="C49" t="s">
        <v>100</v>
      </c>
      <c r="D49" s="41" t="s">
        <v>101</v>
      </c>
      <c r="E49" s="46">
        <f>365/E48</f>
        <v>52.40126298610351</v>
      </c>
      <c r="F49" s="46">
        <f>365/F48</f>
        <v>71.0362314403473</v>
      </c>
      <c r="G49" s="46">
        <f>365/G48</f>
        <v>75.06534989729533</v>
      </c>
      <c r="H49" s="46">
        <f>AVERAGE(E49:G49)</f>
        <v>66.16761477458205</v>
      </c>
      <c r="I49" s="46">
        <f>H49</f>
        <v>66.16761477458205</v>
      </c>
      <c r="J49" s="46">
        <f aca="true" t="shared" si="7" ref="J49:P49">I49</f>
        <v>66.16761477458205</v>
      </c>
      <c r="K49" s="46">
        <f t="shared" si="7"/>
        <v>66.16761477458205</v>
      </c>
      <c r="L49" s="46">
        <f t="shared" si="7"/>
        <v>66.16761477458205</v>
      </c>
      <c r="M49" s="46">
        <f t="shared" si="7"/>
        <v>66.16761477458205</v>
      </c>
      <c r="N49" s="46">
        <f t="shared" si="7"/>
        <v>66.16761477458205</v>
      </c>
      <c r="O49" s="46">
        <f t="shared" si="7"/>
        <v>66.16761477458205</v>
      </c>
      <c r="P49" s="46">
        <f t="shared" si="7"/>
        <v>66.16761477458205</v>
      </c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</row>
    <row r="50" spans="4:16" ht="15">
      <c r="D50" s="41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</row>
    <row r="51" spans="3:16" ht="15">
      <c r="C51" t="s">
        <v>102</v>
      </c>
      <c r="D51" s="41" t="s">
        <v>99</v>
      </c>
      <c r="E51" s="45">
        <f>+E86/AVERAGE(E112,8.526)</f>
        <v>45.35546594487101</v>
      </c>
      <c r="F51" s="45">
        <f>F86/AVERAGE(E112:F112)</f>
        <v>48.39895764140821</v>
      </c>
      <c r="G51" s="45">
        <f>G86/AVERAGE(F112:G112)</f>
        <v>47.88039500726854</v>
      </c>
      <c r="H51" s="45">
        <f>365/H52</f>
        <v>47.173493124426344</v>
      </c>
      <c r="I51" s="45">
        <f>365/I52</f>
        <v>47.173493124426344</v>
      </c>
      <c r="J51" s="45">
        <f>365/J52</f>
        <v>47.173493124426344</v>
      </c>
      <c r="K51" s="45">
        <f>365/K52</f>
        <v>47.173493124426344</v>
      </c>
      <c r="L51" s="45">
        <f>365/L52</f>
        <v>47.173493124426344</v>
      </c>
      <c r="M51" s="45">
        <f>365/M52</f>
        <v>47.173493124426344</v>
      </c>
      <c r="N51" s="45">
        <f>365/N52</f>
        <v>47.173493124426344</v>
      </c>
      <c r="O51" s="45">
        <f>365/O52</f>
        <v>47.173493124426344</v>
      </c>
      <c r="P51" s="45">
        <f>365/P52</f>
        <v>47.173493124426344</v>
      </c>
    </row>
    <row r="52" spans="3:16" ht="15">
      <c r="C52" t="s">
        <v>103</v>
      </c>
      <c r="D52" s="41" t="s">
        <v>101</v>
      </c>
      <c r="E52" s="46">
        <f>365/E51</f>
        <v>8.047541622516961</v>
      </c>
      <c r="F52" s="46">
        <f>365/F51</f>
        <v>7.541484729987668</v>
      </c>
      <c r="G52" s="46">
        <f>365/G51</f>
        <v>7.6231618378376105</v>
      </c>
      <c r="H52" s="46">
        <f>AVERAGE(E52:G52)</f>
        <v>7.737396063447413</v>
      </c>
      <c r="I52" s="46">
        <f>H52</f>
        <v>7.737396063447413</v>
      </c>
      <c r="J52" s="46">
        <f aca="true" t="shared" si="8" ref="J52:P52">I52</f>
        <v>7.737396063447413</v>
      </c>
      <c r="K52" s="46">
        <f t="shared" si="8"/>
        <v>7.737396063447413</v>
      </c>
      <c r="L52" s="46">
        <f t="shared" si="8"/>
        <v>7.737396063447413</v>
      </c>
      <c r="M52" s="46">
        <f t="shared" si="8"/>
        <v>7.737396063447413</v>
      </c>
      <c r="N52" s="46">
        <f t="shared" si="8"/>
        <v>7.737396063447413</v>
      </c>
      <c r="O52" s="46">
        <f t="shared" si="8"/>
        <v>7.737396063447413</v>
      </c>
      <c r="P52" s="46">
        <f t="shared" si="8"/>
        <v>7.737396063447413</v>
      </c>
    </row>
    <row r="53" spans="4:16" ht="15">
      <c r="D53" s="41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3:16" ht="15">
      <c r="C54" t="s">
        <v>104</v>
      </c>
      <c r="D54" s="41" t="s">
        <v>99</v>
      </c>
      <c r="E54" s="46">
        <f>-SUM(E89:E91,E93:E94)/AVERAGE(E120,(6.913+74.486))</f>
        <v>3.157340025094103</v>
      </c>
      <c r="F54" s="46">
        <f>-SUM(F89:F91,F93:F94)/AVERAGE(E120,F120)</f>
        <v>2.808714169197781</v>
      </c>
      <c r="G54" s="46">
        <f>-SUM(G89:G91,G93:G94)/AVERAGE(F120,G120)</f>
        <v>2.6595211542962565</v>
      </c>
      <c r="H54" s="45">
        <f>365/H55</f>
        <v>2.860508330744872</v>
      </c>
      <c r="I54" s="45">
        <f>365/I55</f>
        <v>2.860508330744872</v>
      </c>
      <c r="J54" s="45">
        <f>365/J55</f>
        <v>2.860508330744872</v>
      </c>
      <c r="K54" s="45">
        <f>365/K55</f>
        <v>2.860508330744872</v>
      </c>
      <c r="L54" s="45">
        <f>365/L55</f>
        <v>2.860508330744872</v>
      </c>
      <c r="M54" s="45">
        <f>365/M55</f>
        <v>2.860508330744872</v>
      </c>
      <c r="N54" s="45">
        <f>365/N55</f>
        <v>2.860508330744872</v>
      </c>
      <c r="O54" s="45">
        <f>365/O55</f>
        <v>2.860508330744872</v>
      </c>
      <c r="P54" s="45">
        <f>365/P55</f>
        <v>2.860508330744872</v>
      </c>
    </row>
    <row r="55" spans="3:16" ht="15">
      <c r="C55" t="s">
        <v>105</v>
      </c>
      <c r="D55" s="41" t="s">
        <v>101</v>
      </c>
      <c r="E55" s="46">
        <f>365/E54</f>
        <v>115.6036401208075</v>
      </c>
      <c r="F55" s="46">
        <f>365/F54</f>
        <v>129.95270362603347</v>
      </c>
      <c r="G55" s="46">
        <f>365/G54</f>
        <v>137.24275116607737</v>
      </c>
      <c r="H55" s="46">
        <f>AVERAGE(E55:G55)</f>
        <v>127.59969830430612</v>
      </c>
      <c r="I55" s="46">
        <f>H55</f>
        <v>127.59969830430612</v>
      </c>
      <c r="J55" s="46">
        <f aca="true" t="shared" si="9" ref="J55:P55">I55</f>
        <v>127.59969830430612</v>
      </c>
      <c r="K55" s="46">
        <f t="shared" si="9"/>
        <v>127.59969830430612</v>
      </c>
      <c r="L55" s="46">
        <f t="shared" si="9"/>
        <v>127.59969830430612</v>
      </c>
      <c r="M55" s="46">
        <f t="shared" si="9"/>
        <v>127.59969830430612</v>
      </c>
      <c r="N55" s="46">
        <f t="shared" si="9"/>
        <v>127.59969830430612</v>
      </c>
      <c r="O55" s="46">
        <f t="shared" si="9"/>
        <v>127.59969830430612</v>
      </c>
      <c r="P55" s="46">
        <f t="shared" si="9"/>
        <v>127.59969830430612</v>
      </c>
    </row>
    <row r="56" spans="4:16" ht="15">
      <c r="D56" s="41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</row>
    <row r="57" spans="3:16" ht="15">
      <c r="C57" t="s">
        <v>106</v>
      </c>
      <c r="D57" s="41" t="s">
        <v>80</v>
      </c>
      <c r="E57" s="42">
        <f>E122/-E90</f>
        <v>0.3472647880448049</v>
      </c>
      <c r="F57" s="42">
        <f>F122/-F90</f>
        <v>0.28962019052332055</v>
      </c>
      <c r="G57" s="42">
        <f>G122/-G90</f>
        <v>0.2815288556333578</v>
      </c>
      <c r="H57" s="42">
        <f>AVERAGE(E57:G57)</f>
        <v>0.3061379447338277</v>
      </c>
      <c r="I57" s="42">
        <f>H57</f>
        <v>0.3061379447338277</v>
      </c>
      <c r="J57" s="42">
        <f aca="true" t="shared" si="10" ref="J57:P57">I57</f>
        <v>0.3061379447338277</v>
      </c>
      <c r="K57" s="42">
        <f t="shared" si="10"/>
        <v>0.3061379447338277</v>
      </c>
      <c r="L57" s="42">
        <f t="shared" si="10"/>
        <v>0.3061379447338277</v>
      </c>
      <c r="M57" s="42">
        <f t="shared" si="10"/>
        <v>0.3061379447338277</v>
      </c>
      <c r="N57" s="42">
        <f t="shared" si="10"/>
        <v>0.3061379447338277</v>
      </c>
      <c r="O57" s="42">
        <f t="shared" si="10"/>
        <v>0.3061379447338277</v>
      </c>
      <c r="P57" s="42">
        <f t="shared" si="10"/>
        <v>0.3061379447338277</v>
      </c>
    </row>
    <row r="58" spans="4:16" ht="15">
      <c r="D58" s="41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</row>
    <row r="59" spans="3:16" ht="15">
      <c r="C59" t="s">
        <v>107</v>
      </c>
      <c r="D59" s="41" t="s">
        <v>80</v>
      </c>
      <c r="E59" s="42">
        <f>E123/-E100</f>
        <v>0.9962627226463104</v>
      </c>
      <c r="F59" s="42">
        <f>F123/-F100</f>
        <v>0.9452082221035771</v>
      </c>
      <c r="G59" s="42">
        <f>G123/-G100</f>
        <v>1.0614460804474788</v>
      </c>
      <c r="H59" s="42">
        <f>AVERAGE(E59:G59)</f>
        <v>1.0009723417324554</v>
      </c>
      <c r="I59" s="42">
        <f>H59</f>
        <v>1.0009723417324554</v>
      </c>
      <c r="J59" s="42">
        <f aca="true" t="shared" si="11" ref="J59:P59">I59</f>
        <v>1.0009723417324554</v>
      </c>
      <c r="K59" s="42">
        <f t="shared" si="11"/>
        <v>1.0009723417324554</v>
      </c>
      <c r="L59" s="42">
        <f t="shared" si="11"/>
        <v>1.0009723417324554</v>
      </c>
      <c r="M59" s="42">
        <f t="shared" si="11"/>
        <v>1.0009723417324554</v>
      </c>
      <c r="N59" s="42">
        <f t="shared" si="11"/>
        <v>1.0009723417324554</v>
      </c>
      <c r="O59" s="42">
        <f t="shared" si="11"/>
        <v>1.0009723417324554</v>
      </c>
      <c r="P59" s="42">
        <f t="shared" si="11"/>
        <v>1.0009723417324554</v>
      </c>
    </row>
    <row r="60" spans="4:16" ht="15">
      <c r="D60" s="41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</row>
    <row r="61" spans="3:16" ht="15">
      <c r="C61" t="s">
        <v>108</v>
      </c>
      <c r="D61" s="41" t="s">
        <v>80</v>
      </c>
      <c r="E61" s="42">
        <f>E124/-E100</f>
        <v>0.30788804071246817</v>
      </c>
      <c r="F61" s="42">
        <f>F124/-F100</f>
        <v>0.2947143619861185</v>
      </c>
      <c r="G61" s="42">
        <f>G124/-G100</f>
        <v>0.3162786871761125</v>
      </c>
      <c r="H61" s="42">
        <f>AVERAGE(E61:G61)</f>
        <v>0.30629369662489975</v>
      </c>
      <c r="I61" s="42">
        <f>H61</f>
        <v>0.30629369662489975</v>
      </c>
      <c r="J61" s="42">
        <f aca="true" t="shared" si="12" ref="J61:P65">I61</f>
        <v>0.30629369662489975</v>
      </c>
      <c r="K61" s="42">
        <f t="shared" si="12"/>
        <v>0.30629369662489975</v>
      </c>
      <c r="L61" s="42">
        <f t="shared" si="12"/>
        <v>0.30629369662489975</v>
      </c>
      <c r="M61" s="42">
        <f t="shared" si="12"/>
        <v>0.30629369662489975</v>
      </c>
      <c r="N61" s="42">
        <f t="shared" si="12"/>
        <v>0.30629369662489975</v>
      </c>
      <c r="O61" s="42">
        <f t="shared" si="12"/>
        <v>0.30629369662489975</v>
      </c>
      <c r="P61" s="42">
        <f t="shared" si="12"/>
        <v>0.30629369662489975</v>
      </c>
    </row>
    <row r="62" spans="4:16" ht="15">
      <c r="D62" s="41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</row>
    <row r="63" spans="3:16" ht="15">
      <c r="C63" t="s">
        <v>109</v>
      </c>
      <c r="D63" s="41" t="s">
        <v>80</v>
      </c>
      <c r="E63" s="42">
        <f>+E144/-E91</f>
        <v>0.010833411124267332</v>
      </c>
      <c r="F63" s="42">
        <f>+F144/-F91</f>
        <v>0.01098719263990469</v>
      </c>
      <c r="G63" s="42">
        <f>+G144/-G91</f>
        <v>0.009890953150242326</v>
      </c>
      <c r="H63" s="42">
        <f>AVERAGE(E63:G63)</f>
        <v>0.010570518971471451</v>
      </c>
      <c r="I63" s="42">
        <f>H63</f>
        <v>0.010570518971471451</v>
      </c>
      <c r="J63" s="42">
        <f t="shared" si="12"/>
        <v>0.010570518971471451</v>
      </c>
      <c r="K63" s="42">
        <f t="shared" si="12"/>
        <v>0.010570518971471451</v>
      </c>
      <c r="L63" s="42">
        <f t="shared" si="12"/>
        <v>0.010570518971471451</v>
      </c>
      <c r="M63" s="42">
        <f t="shared" si="12"/>
        <v>0.010570518971471451</v>
      </c>
      <c r="N63" s="42">
        <f t="shared" si="12"/>
        <v>0.010570518971471451</v>
      </c>
      <c r="O63" s="42">
        <f t="shared" si="12"/>
        <v>0.010570518971471451</v>
      </c>
      <c r="P63" s="42">
        <f t="shared" si="12"/>
        <v>0.010570518971471451</v>
      </c>
    </row>
    <row r="64" spans="4:16" ht="15">
      <c r="D64" s="41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</row>
    <row r="65" spans="3:16" ht="15">
      <c r="C65" t="s">
        <v>110</v>
      </c>
      <c r="D65" s="41" t="s">
        <v>80</v>
      </c>
      <c r="E65" s="42">
        <f>1.098/E86</f>
        <v>0.0026745588074098435</v>
      </c>
      <c r="F65" s="42">
        <f>1.138/F86</f>
        <v>0.0024028310332595733</v>
      </c>
      <c r="G65" s="42">
        <f>0.936/G86</f>
        <v>0.0019598687557974216</v>
      </c>
      <c r="H65" s="42">
        <f>AVERAGE(E65:G65)</f>
        <v>0.002345752865488946</v>
      </c>
      <c r="I65" s="42">
        <f>H65</f>
        <v>0.002345752865488946</v>
      </c>
      <c r="J65" s="42">
        <f t="shared" si="12"/>
        <v>0.002345752865488946</v>
      </c>
      <c r="K65" s="42">
        <f t="shared" si="12"/>
        <v>0.002345752865488946</v>
      </c>
      <c r="L65" s="42">
        <f t="shared" si="12"/>
        <v>0.002345752865488946</v>
      </c>
      <c r="M65" s="42">
        <f t="shared" si="12"/>
        <v>0.002345752865488946</v>
      </c>
      <c r="N65" s="42">
        <f t="shared" si="12"/>
        <v>0.002345752865488946</v>
      </c>
      <c r="O65" s="42">
        <f t="shared" si="12"/>
        <v>0.002345752865488946</v>
      </c>
      <c r="P65" s="42">
        <f t="shared" si="12"/>
        <v>0.002345752865488946</v>
      </c>
    </row>
    <row r="66" spans="4:16" ht="15">
      <c r="D66" s="41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</row>
    <row r="67" spans="3:16" ht="15">
      <c r="C67" t="s">
        <v>111</v>
      </c>
      <c r="D67" s="41" t="s">
        <v>80</v>
      </c>
      <c r="E67" s="42">
        <f>E172/E86</f>
        <v>0.0002752505876478254</v>
      </c>
      <c r="F67" s="42">
        <f>F172/F86</f>
        <v>-0.0003589466394148748</v>
      </c>
      <c r="G67" s="42">
        <f>G172/G86</f>
        <v>-0.0008040487203271473</v>
      </c>
      <c r="H67" s="42">
        <f>AVERAGE(E67:G67)</f>
        <v>-0.0002959149240313989</v>
      </c>
      <c r="I67" s="42">
        <f>H67</f>
        <v>-0.0002959149240313989</v>
      </c>
      <c r="J67" s="42">
        <f>I67</f>
        <v>-0.0002959149240313989</v>
      </c>
      <c r="K67" s="42">
        <f>J67</f>
        <v>-0.0002959149240313989</v>
      </c>
      <c r="L67" s="42">
        <f>K67</f>
        <v>-0.0002959149240313989</v>
      </c>
      <c r="M67" s="42">
        <f>L67</f>
        <v>-0.0002959149240313989</v>
      </c>
      <c r="N67" s="42">
        <f>M67</f>
        <v>-0.0002959149240313989</v>
      </c>
      <c r="O67" s="42">
        <f>N67</f>
        <v>-0.0002959149240313989</v>
      </c>
      <c r="P67" s="42">
        <f>O67</f>
        <v>-0.0002959149240313989</v>
      </c>
    </row>
    <row r="68" spans="4:16" ht="15">
      <c r="D68" s="41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</row>
    <row r="69" spans="3:16" ht="15">
      <c r="C69" t="s">
        <v>114</v>
      </c>
      <c r="D69" s="41" t="s">
        <v>80</v>
      </c>
      <c r="E69" s="42">
        <f>-E158/E86</f>
        <v>0.08449218702424885</v>
      </c>
      <c r="F69" s="42">
        <f>-F158/F86</f>
        <v>0.030609702538808466</v>
      </c>
      <c r="G69" s="42">
        <f>-G158/G86</f>
        <v>0.020953425896650422</v>
      </c>
      <c r="H69" s="42">
        <f>AVERAGE(E69:G69)</f>
        <v>0.045351771819902575</v>
      </c>
      <c r="I69" s="42">
        <f>H69</f>
        <v>0.045351771819902575</v>
      </c>
      <c r="J69" s="42">
        <f>I69</f>
        <v>0.045351771819902575</v>
      </c>
      <c r="K69" s="42">
        <f>J69</f>
        <v>0.045351771819902575</v>
      </c>
      <c r="L69" s="42">
        <f>K69</f>
        <v>0.045351771819902575</v>
      </c>
      <c r="M69" s="42">
        <f>L69</f>
        <v>0.045351771819902575</v>
      </c>
      <c r="N69" s="42">
        <f>M69</f>
        <v>0.045351771819902575</v>
      </c>
      <c r="O69" s="42">
        <f>N69</f>
        <v>0.045351771819902575</v>
      </c>
      <c r="P69" s="42">
        <f>O69</f>
        <v>0.045351771819902575</v>
      </c>
    </row>
    <row r="70" spans="4:16" ht="15">
      <c r="D70" s="41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</row>
    <row r="71" spans="3:16" ht="15">
      <c r="C71" t="s">
        <v>115</v>
      </c>
      <c r="D71" s="41" t="s">
        <v>80</v>
      </c>
      <c r="E71" s="42">
        <f>E153/E100</f>
        <v>0.9966603053435115</v>
      </c>
      <c r="F71" s="42">
        <f>F153/F100</f>
        <v>0.8471035771489589</v>
      </c>
      <c r="G71" s="42">
        <f>G153/G100</f>
        <v>1.149132187217241</v>
      </c>
      <c r="H71" s="42">
        <f>AVERAGE(E71:G71)</f>
        <v>0.9976320232365704</v>
      </c>
      <c r="I71" s="42">
        <f>H71</f>
        <v>0.9976320232365704</v>
      </c>
      <c r="J71" s="42">
        <f aca="true" t="shared" si="13" ref="J71:P73">I71</f>
        <v>0.9976320232365704</v>
      </c>
      <c r="K71" s="42">
        <f t="shared" si="13"/>
        <v>0.9976320232365704</v>
      </c>
      <c r="L71" s="42">
        <f t="shared" si="13"/>
        <v>0.9976320232365704</v>
      </c>
      <c r="M71" s="42">
        <f t="shared" si="13"/>
        <v>0.9976320232365704</v>
      </c>
      <c r="N71" s="42">
        <f t="shared" si="13"/>
        <v>0.9976320232365704</v>
      </c>
      <c r="O71" s="42">
        <f t="shared" si="13"/>
        <v>0.9976320232365704</v>
      </c>
      <c r="P71" s="42">
        <f t="shared" si="13"/>
        <v>0.9976320232365704</v>
      </c>
    </row>
    <row r="72" spans="4:16" ht="15">
      <c r="D72" s="41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</row>
    <row r="73" spans="3:16" ht="15">
      <c r="C73" t="s">
        <v>116</v>
      </c>
      <c r="D73" s="41" t="s">
        <v>80</v>
      </c>
      <c r="E73" s="42">
        <f>-E165/E101</f>
        <v>0.16921383146702224</v>
      </c>
      <c r="F73" s="42">
        <f>-F165/F101</f>
        <v>0.20745886439231145</v>
      </c>
      <c r="G73" s="42">
        <f>-G165/G101</f>
        <v>0.20956583795750147</v>
      </c>
      <c r="H73" s="42">
        <f>AVERAGE(E73:G73)</f>
        <v>0.19541284460561173</v>
      </c>
      <c r="I73" s="42">
        <f>H73</f>
        <v>0.19541284460561173</v>
      </c>
      <c r="J73" s="42">
        <f t="shared" si="13"/>
        <v>0.19541284460561173</v>
      </c>
      <c r="K73" s="42">
        <f t="shared" si="13"/>
        <v>0.19541284460561173</v>
      </c>
      <c r="L73" s="42">
        <f t="shared" si="13"/>
        <v>0.19541284460561173</v>
      </c>
      <c r="M73" s="42">
        <f t="shared" si="13"/>
        <v>0.19541284460561173</v>
      </c>
      <c r="N73" s="42">
        <f t="shared" si="13"/>
        <v>0.19541284460561173</v>
      </c>
      <c r="O73" s="42">
        <f t="shared" si="13"/>
        <v>0.19541284460561173</v>
      </c>
      <c r="P73" s="42">
        <f t="shared" si="13"/>
        <v>0.19541284460561173</v>
      </c>
    </row>
    <row r="74" spans="4:16" ht="15">
      <c r="D74" s="41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</row>
    <row r="75" spans="3:16" ht="15">
      <c r="C75" t="s">
        <v>132</v>
      </c>
      <c r="D75" s="41" t="s">
        <v>80</v>
      </c>
      <c r="E75" s="42">
        <f>+E167/E86</f>
        <v>0.06286918289549004</v>
      </c>
      <c r="F75" s="42">
        <f>+F167/F86</f>
        <v>0.014976520666880627</v>
      </c>
      <c r="G75" s="42">
        <f>+G167/G86</f>
        <v>0.01968244263300829</v>
      </c>
      <c r="H75" s="42">
        <f>AVERAGE(E75:G75)</f>
        <v>0.03250938206512632</v>
      </c>
      <c r="I75" s="42">
        <f>H75</f>
        <v>0.03250938206512632</v>
      </c>
      <c r="J75" s="42">
        <f aca="true" t="shared" si="14" ref="J75:P75">I75</f>
        <v>0.03250938206512632</v>
      </c>
      <c r="K75" s="42">
        <f t="shared" si="14"/>
        <v>0.03250938206512632</v>
      </c>
      <c r="L75" s="42">
        <f t="shared" si="14"/>
        <v>0.03250938206512632</v>
      </c>
      <c r="M75" s="42">
        <f t="shared" si="14"/>
        <v>0.03250938206512632</v>
      </c>
      <c r="N75" s="42">
        <f t="shared" si="14"/>
        <v>0.03250938206512632</v>
      </c>
      <c r="O75" s="42">
        <f t="shared" si="14"/>
        <v>0.03250938206512632</v>
      </c>
      <c r="P75" s="42">
        <f t="shared" si="14"/>
        <v>0.03250938206512632</v>
      </c>
    </row>
    <row r="76" spans="4:16" ht="15">
      <c r="D76" s="41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</row>
    <row r="77" spans="3:16" ht="15">
      <c r="C77" s="50" t="s">
        <v>133</v>
      </c>
      <c r="D77" s="41"/>
      <c r="E77" s="49">
        <f>-SUM(E89:E91)+-SUM(E93:E94)</f>
        <v>320.841</v>
      </c>
      <c r="F77" s="49">
        <f aca="true" t="shared" si="15" ref="F77:P77">-SUM(F89:F91)+-SUM(F93:F94)</f>
        <v>380.52599999999995</v>
      </c>
      <c r="G77" s="49">
        <f t="shared" si="15"/>
        <v>386.338</v>
      </c>
      <c r="H77" s="49">
        <f t="shared" si="15"/>
        <v>411.88249442196684</v>
      </c>
      <c r="I77" s="49">
        <f t="shared" si="15"/>
        <v>447.22298560536007</v>
      </c>
      <c r="J77" s="49">
        <f t="shared" si="15"/>
        <v>485.54453736958345</v>
      </c>
      <c r="K77" s="49">
        <f t="shared" si="15"/>
        <v>529.029478479418</v>
      </c>
      <c r="L77" s="49">
        <f t="shared" si="15"/>
        <v>578.1996629886627</v>
      </c>
      <c r="M77" s="49">
        <f t="shared" si="15"/>
        <v>633.3034651462278</v>
      </c>
      <c r="N77" s="49">
        <f t="shared" si="15"/>
        <v>695.6596536944801</v>
      </c>
      <c r="O77" s="49">
        <f t="shared" si="15"/>
        <v>766.1652656250042</v>
      </c>
      <c r="P77" s="49">
        <f t="shared" si="15"/>
        <v>845.8801918024138</v>
      </c>
    </row>
    <row r="78" spans="2:4" ht="15">
      <c r="B78" s="30"/>
      <c r="D78" s="41"/>
    </row>
    <row r="80" spans="2:16" ht="15">
      <c r="B80" s="25"/>
      <c r="C80" s="25"/>
      <c r="D80" s="25"/>
      <c r="E80" s="62"/>
      <c r="F80" s="63"/>
      <c r="G80" s="63"/>
      <c r="H80" s="64" t="s">
        <v>77</v>
      </c>
      <c r="I80" s="63"/>
      <c r="J80" s="63"/>
      <c r="K80" s="63"/>
      <c r="L80" s="63"/>
      <c r="M80" s="63"/>
      <c r="N80" s="63"/>
      <c r="O80" s="63"/>
      <c r="P80" s="63"/>
    </row>
    <row r="81" spans="2:16" ht="15">
      <c r="B81" s="25" t="s">
        <v>6</v>
      </c>
      <c r="C81" s="25"/>
      <c r="D81" s="26" t="s">
        <v>7</v>
      </c>
      <c r="E81" s="27">
        <f>EOMONTH(F81,-12)</f>
        <v>42369</v>
      </c>
      <c r="F81" s="27">
        <f>EOMONTH(G81,-12)</f>
        <v>42735</v>
      </c>
      <c r="G81" s="27">
        <f>Latest_FY</f>
        <v>43100</v>
      </c>
      <c r="H81" s="29">
        <f>EOMONTH(G81,12)</f>
        <v>43465</v>
      </c>
      <c r="I81" s="28">
        <f>EOMONTH(H81,12)</f>
        <v>43830</v>
      </c>
      <c r="J81" s="27">
        <f>EOMONTH(I81,12)</f>
        <v>44196</v>
      </c>
      <c r="K81" s="28">
        <f>EOMONTH(J81,12)</f>
        <v>44561</v>
      </c>
      <c r="L81" s="27">
        <f>EOMONTH(K81,12)</f>
        <v>44926</v>
      </c>
      <c r="M81" s="28">
        <f>EOMONTH(L81,12)</f>
        <v>45291</v>
      </c>
      <c r="N81" s="27">
        <f>EOMONTH(M81,12)</f>
        <v>45657</v>
      </c>
      <c r="O81" s="27">
        <f>EOMONTH(N81,12)</f>
        <v>46022</v>
      </c>
      <c r="P81" s="27">
        <f>EOMONTH(O81,12)</f>
        <v>46387</v>
      </c>
    </row>
    <row r="82" spans="1:16" s="39" customFormat="1" ht="15">
      <c r="A82"/>
      <c r="B82" s="35"/>
      <c r="C82" s="35"/>
      <c r="D82" s="36"/>
      <c r="E82" s="37"/>
      <c r="F82" s="37"/>
      <c r="G82" s="37"/>
      <c r="H82" s="38"/>
      <c r="I82" s="38"/>
      <c r="J82" s="37"/>
      <c r="K82" s="38"/>
      <c r="L82" s="37"/>
      <c r="M82" s="38"/>
      <c r="N82" s="37"/>
      <c r="O82" s="37"/>
      <c r="P82" s="37"/>
    </row>
    <row r="83" spans="3:16" ht="15" outlineLevel="1">
      <c r="C83" t="s">
        <v>8</v>
      </c>
      <c r="D83" t="s">
        <v>11</v>
      </c>
      <c r="E83" s="24">
        <f>268.385-16.785</f>
        <v>251.6</v>
      </c>
      <c r="F83" s="24">
        <f>285.318-21.537</f>
        <v>263.781</v>
      </c>
      <c r="G83" s="24">
        <f>291.807-23.438</f>
        <v>268.369</v>
      </c>
      <c r="H83" s="6">
        <f>G83*(1+H23)</f>
        <v>277.1993284742989</v>
      </c>
      <c r="I83" s="6">
        <f aca="true" t="shared" si="16" ref="I83:P83">H83*(1+I23)</f>
        <v>286.32020727655674</v>
      </c>
      <c r="J83" s="6">
        <f t="shared" si="16"/>
        <v>295.74119658262913</v>
      </c>
      <c r="K83" s="6">
        <f t="shared" si="16"/>
        <v>305.47217113336643</v>
      </c>
      <c r="L83" s="6">
        <f t="shared" si="16"/>
        <v>315.5233305849606</v>
      </c>
      <c r="M83" s="6">
        <f t="shared" si="16"/>
        <v>325.9052101998565</v>
      </c>
      <c r="N83" s="6">
        <f t="shared" si="16"/>
        <v>336.6286918894338</v>
      </c>
      <c r="O83" s="6">
        <f t="shared" si="16"/>
        <v>347.7050156200333</v>
      </c>
      <c r="P83" s="6">
        <f t="shared" si="16"/>
        <v>359.14579119428413</v>
      </c>
    </row>
    <row r="84" spans="3:16" ht="15" outlineLevel="1">
      <c r="C84" t="s">
        <v>9</v>
      </c>
      <c r="D84" t="s">
        <v>11</v>
      </c>
      <c r="E84" s="24">
        <f>160.504-2.473</f>
        <v>158.03099999999998</v>
      </c>
      <c r="F84" s="24">
        <f>209.909-3.037</f>
        <v>206.87199999999999</v>
      </c>
      <c r="G84" s="24">
        <f>206.574-3.232</f>
        <v>203.342</v>
      </c>
      <c r="H84" s="6">
        <f>G84*(1+H24)</f>
        <v>233.0295175206427</v>
      </c>
      <c r="I84" s="6">
        <f aca="true" t="shared" si="17" ref="I84:P85">H84*(1+I24)</f>
        <v>267.0513520861579</v>
      </c>
      <c r="J84" s="6">
        <f t="shared" si="17"/>
        <v>306.0403051503017</v>
      </c>
      <c r="K84" s="6">
        <f t="shared" si="17"/>
        <v>350.72156588921655</v>
      </c>
      <c r="L84" s="6">
        <f t="shared" si="17"/>
        <v>401.9261996205822</v>
      </c>
      <c r="M84" s="6">
        <f t="shared" si="17"/>
        <v>460.6066055044693</v>
      </c>
      <c r="N84" s="6">
        <f t="shared" si="17"/>
        <v>527.8542310370091</v>
      </c>
      <c r="O84" s="6">
        <f t="shared" si="17"/>
        <v>604.9198728240309</v>
      </c>
      <c r="P84" s="6">
        <f t="shared" si="17"/>
        <v>693.2369412262713</v>
      </c>
    </row>
    <row r="85" spans="3:16" ht="15" outlineLevel="1">
      <c r="C85" t="s">
        <v>10</v>
      </c>
      <c r="D85" t="s">
        <v>11</v>
      </c>
      <c r="E85" s="24">
        <f>12.782-11.878</f>
        <v>0.9039999999999999</v>
      </c>
      <c r="F85" s="24">
        <f>17.688-14.733</f>
        <v>2.9549999999999983</v>
      </c>
      <c r="G85" s="24">
        <f>21.418-15.546</f>
        <v>5.872</v>
      </c>
      <c r="H85" s="6">
        <f>G85*(1+H25)</f>
        <v>5.93072</v>
      </c>
      <c r="I85" s="6">
        <f t="shared" si="17"/>
        <v>5.9900272</v>
      </c>
      <c r="J85" s="6">
        <f t="shared" si="17"/>
        <v>6.049927472</v>
      </c>
      <c r="K85" s="6">
        <f t="shared" si="17"/>
        <v>6.11042674672</v>
      </c>
      <c r="L85" s="6">
        <f t="shared" si="17"/>
        <v>6.1715310141872</v>
      </c>
      <c r="M85" s="6">
        <f t="shared" si="17"/>
        <v>6.233246324329071</v>
      </c>
      <c r="N85" s="6">
        <f t="shared" si="17"/>
        <v>6.295578787572362</v>
      </c>
      <c r="O85" s="6">
        <f t="shared" si="17"/>
        <v>6.358534575448085</v>
      </c>
      <c r="P85" s="6">
        <f t="shared" si="17"/>
        <v>6.422119921202566</v>
      </c>
    </row>
    <row r="86" spans="1:16" s="7" customFormat="1" ht="15">
      <c r="A86"/>
      <c r="B86"/>
      <c r="C86" s="8" t="s">
        <v>12</v>
      </c>
      <c r="D86" s="8" t="s">
        <v>11</v>
      </c>
      <c r="E86" s="7">
        <f>SUM(E83:E85)</f>
        <v>410.53499999999997</v>
      </c>
      <c r="F86" s="7">
        <f aca="true" t="shared" si="18" ref="F86:P86">SUM(F83:F85)</f>
        <v>473.608</v>
      </c>
      <c r="G86" s="7">
        <f t="shared" si="18"/>
        <v>477.583</v>
      </c>
      <c r="H86" s="7">
        <f t="shared" si="18"/>
        <v>516.1595659949415</v>
      </c>
      <c r="I86" s="7">
        <f t="shared" si="18"/>
        <v>559.3615865627146</v>
      </c>
      <c r="J86" s="7">
        <f t="shared" si="18"/>
        <v>607.8314292049308</v>
      </c>
      <c r="K86" s="7">
        <f t="shared" si="18"/>
        <v>662.304163769303</v>
      </c>
      <c r="L86" s="7">
        <f t="shared" si="18"/>
        <v>723.62106121973</v>
      </c>
      <c r="M86" s="7">
        <f t="shared" si="18"/>
        <v>792.745062028655</v>
      </c>
      <c r="N86" s="7">
        <f t="shared" si="18"/>
        <v>870.7785017140152</v>
      </c>
      <c r="O86" s="7">
        <f t="shared" si="18"/>
        <v>958.9834230195123</v>
      </c>
      <c r="P86" s="7">
        <f t="shared" si="18"/>
        <v>1058.8048523417579</v>
      </c>
    </row>
    <row r="87" spans="8:9" ht="15">
      <c r="H87" s="6"/>
      <c r="I87" s="6"/>
    </row>
    <row r="88" spans="3:16" ht="15">
      <c r="C88" t="s">
        <v>13</v>
      </c>
      <c r="D88" t="s">
        <v>11</v>
      </c>
      <c r="E88" s="13">
        <v>3.717</v>
      </c>
      <c r="F88" s="9">
        <v>3.529</v>
      </c>
      <c r="G88" s="9">
        <v>3.833</v>
      </c>
      <c r="H88" s="6">
        <f>H31*H86</f>
        <v>4.220667611796325</v>
      </c>
      <c r="I88" s="6">
        <f aca="true" t="shared" si="19" ref="I88:P88">I31*I86</f>
        <v>4.573933115309915</v>
      </c>
      <c r="J88" s="6">
        <f t="shared" si="19"/>
        <v>4.970273914679835</v>
      </c>
      <c r="K88" s="6">
        <f t="shared" si="19"/>
        <v>5.415700719971432</v>
      </c>
      <c r="L88" s="6">
        <f t="shared" si="19"/>
        <v>5.917092654122643</v>
      </c>
      <c r="M88" s="6">
        <f t="shared" si="19"/>
        <v>6.482323738912559</v>
      </c>
      <c r="N88" s="6">
        <f t="shared" si="19"/>
        <v>7.120407837736158</v>
      </c>
      <c r="O88" s="6">
        <f t="shared" si="19"/>
        <v>7.841664749516039</v>
      </c>
      <c r="P88" s="6">
        <f t="shared" si="19"/>
        <v>8.657910541437962</v>
      </c>
    </row>
    <row r="89" spans="3:256" ht="15">
      <c r="C89" t="s">
        <v>14</v>
      </c>
      <c r="D89" t="s">
        <v>11</v>
      </c>
      <c r="E89" s="14">
        <v>-44.27</v>
      </c>
      <c r="F89" s="14">
        <v>-51.235</v>
      </c>
      <c r="G89" s="14">
        <v>-54.067</v>
      </c>
      <c r="H89" s="12">
        <f>-H33*H86</f>
        <v>-56.64416323810158</v>
      </c>
      <c r="I89" s="12">
        <f aca="true" t="shared" si="20" ref="I89:P89">-I33*I86</f>
        <v>-61.38522097775556</v>
      </c>
      <c r="J89" s="12">
        <f t="shared" si="20"/>
        <v>-66.70437780372379</v>
      </c>
      <c r="K89" s="12">
        <f t="shared" si="20"/>
        <v>-72.68230143813788</v>
      </c>
      <c r="L89" s="12">
        <f t="shared" si="20"/>
        <v>-79.41131428078654</v>
      </c>
      <c r="M89" s="12">
        <f t="shared" si="20"/>
        <v>-86.9970909348412</v>
      </c>
      <c r="N89" s="12">
        <f t="shared" si="20"/>
        <v>-95.56060343518186</v>
      </c>
      <c r="O89" s="12">
        <f t="shared" si="20"/>
        <v>-105.24035033903262</v>
      </c>
      <c r="P89" s="12">
        <f t="shared" si="20"/>
        <v>-116.19491111771498</v>
      </c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</row>
    <row r="90" spans="3:256" ht="15">
      <c r="C90" t="s">
        <v>15</v>
      </c>
      <c r="D90" t="s">
        <v>11</v>
      </c>
      <c r="E90" s="14">
        <v>-36.871</v>
      </c>
      <c r="F90" s="14">
        <v>-40.415</v>
      </c>
      <c r="G90" s="14">
        <v>-39.559</v>
      </c>
      <c r="H90" s="12">
        <f>-H35*H86</f>
        <v>-44.3859434780397</v>
      </c>
      <c r="I90" s="12">
        <f aca="true" t="shared" si="21" ref="I90:P90">-I35*I86</f>
        <v>-48.10100093195324</v>
      </c>
      <c r="J90" s="12">
        <f t="shared" si="21"/>
        <v>-52.2690525145291</v>
      </c>
      <c r="K90" s="12">
        <f t="shared" si="21"/>
        <v>-56.95330885066408</v>
      </c>
      <c r="L90" s="12">
        <f t="shared" si="21"/>
        <v>-62.22611308366764</v>
      </c>
      <c r="M90" s="12">
        <f t="shared" si="21"/>
        <v>-68.17027104374888</v>
      </c>
      <c r="N90" s="12">
        <f t="shared" si="21"/>
        <v>-74.88057551441206</v>
      </c>
      <c r="O90" s="12">
        <f t="shared" si="21"/>
        <v>-82.46555293123882</v>
      </c>
      <c r="P90" s="12">
        <f t="shared" si="21"/>
        <v>-91.04946498419832</v>
      </c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</row>
    <row r="91" spans="3:256" ht="15">
      <c r="C91" t="s">
        <v>16</v>
      </c>
      <c r="D91" t="s">
        <v>11</v>
      </c>
      <c r="E91" s="14">
        <v>-203.537</v>
      </c>
      <c r="F91" s="14">
        <v>-241.736</v>
      </c>
      <c r="G91" s="14">
        <v>-247.6</v>
      </c>
      <c r="H91" s="12">
        <f>+-H37*H86</f>
        <v>-262.3195793641421</v>
      </c>
      <c r="I91" s="12">
        <f aca="true" t="shared" si="22" ref="I91:P91">+-I37*I86</f>
        <v>-284.27545620849435</v>
      </c>
      <c r="J91" s="12">
        <f t="shared" si="22"/>
        <v>-308.9085146101998</v>
      </c>
      <c r="K91" s="12">
        <f t="shared" si="22"/>
        <v>-336.5923274446997</v>
      </c>
      <c r="L91" s="12">
        <f t="shared" si="22"/>
        <v>-367.7544404941901</v>
      </c>
      <c r="M91" s="12">
        <f t="shared" si="22"/>
        <v>-402.8842337030241</v>
      </c>
      <c r="N91" s="12">
        <f t="shared" si="22"/>
        <v>-442.5419295458663</v>
      </c>
      <c r="O91" s="12">
        <f t="shared" si="22"/>
        <v>-487.3689159645042</v>
      </c>
      <c r="P91" s="12">
        <f t="shared" si="22"/>
        <v>-538.0995757767754</v>
      </c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</row>
    <row r="92" spans="3:256" ht="15">
      <c r="C92" s="50" t="s">
        <v>17</v>
      </c>
      <c r="D92" t="s">
        <v>11</v>
      </c>
      <c r="E92" s="12">
        <f>+-12.757+-0.05</f>
        <v>-12.807</v>
      </c>
      <c r="F92" s="12">
        <f>+-14.491+-0.174</f>
        <v>-14.665</v>
      </c>
      <c r="G92" s="12">
        <f>+-14.388+-0.604</f>
        <v>-14.991999999999999</v>
      </c>
      <c r="H92" s="12">
        <f>+-H39*H86</f>
        <v>-16.095869485468725</v>
      </c>
      <c r="I92" s="12">
        <f aca="true" t="shared" si="23" ref="I92:P92">+-I39*I86</f>
        <v>-17.443077074709116</v>
      </c>
      <c r="J92" s="12">
        <f t="shared" si="23"/>
        <v>-18.954555912937145</v>
      </c>
      <c r="K92" s="12">
        <f t="shared" si="23"/>
        <v>-20.653228346479352</v>
      </c>
      <c r="L92" s="12">
        <f t="shared" si="23"/>
        <v>-22.56532848689526</v>
      </c>
      <c r="M92" s="12">
        <f t="shared" si="23"/>
        <v>-24.72088457581369</v>
      </c>
      <c r="N92" s="12">
        <f t="shared" si="23"/>
        <v>-27.154271736345486</v>
      </c>
      <c r="O92" s="12">
        <f t="shared" si="23"/>
        <v>-29.904845386128883</v>
      </c>
      <c r="P92" s="12">
        <f t="shared" si="23"/>
        <v>-33.0176670871599</v>
      </c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12"/>
      <c r="IV92" s="12"/>
    </row>
    <row r="93" spans="3:256" ht="15">
      <c r="C93" t="s">
        <v>18</v>
      </c>
      <c r="D93" t="s">
        <v>11</v>
      </c>
      <c r="E93" s="14">
        <v>-11.04</v>
      </c>
      <c r="F93" s="14">
        <v>-14.215</v>
      </c>
      <c r="G93" s="14">
        <v>-13.204</v>
      </c>
      <c r="H93" s="12">
        <f>+-H41*H86</f>
        <v>-14.547710041950852</v>
      </c>
      <c r="I93" s="12">
        <f aca="true" t="shared" si="24" ref="I93:P93">+-I41*I86</f>
        <v>-15.765338290755833</v>
      </c>
      <c r="J93" s="12">
        <f t="shared" si="24"/>
        <v>-17.131437580572843</v>
      </c>
      <c r="K93" s="12">
        <f t="shared" si="24"/>
        <v>-18.666725502839903</v>
      </c>
      <c r="L93" s="12">
        <f t="shared" si="24"/>
        <v>-20.394912876566867</v>
      </c>
      <c r="M93" s="12">
        <f t="shared" si="24"/>
        <v>-22.343139717562142</v>
      </c>
      <c r="N93" s="12">
        <f t="shared" si="24"/>
        <v>-24.542474824198152</v>
      </c>
      <c r="O93" s="12">
        <f t="shared" si="24"/>
        <v>-27.02848826647937</v>
      </c>
      <c r="P93" s="12">
        <f t="shared" si="24"/>
        <v>-29.84190742098817</v>
      </c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  <c r="IV93" s="12"/>
    </row>
    <row r="94" spans="3:256" ht="15">
      <c r="C94" t="s">
        <v>19</v>
      </c>
      <c r="D94" t="s">
        <v>11</v>
      </c>
      <c r="E94" s="14">
        <v>-25.123</v>
      </c>
      <c r="F94" s="14">
        <v>-32.925</v>
      </c>
      <c r="G94" s="14">
        <v>-31.908</v>
      </c>
      <c r="H94" s="12">
        <f>-H43*H86</f>
        <v>-33.9850982997326</v>
      </c>
      <c r="I94" s="12">
        <f aca="true" t="shared" si="25" ref="I94:P94">-I43*I86</f>
        <v>-37.695969196401116</v>
      </c>
      <c r="J94" s="12">
        <f t="shared" si="25"/>
        <v>-40.53115486055792</v>
      </c>
      <c r="K94" s="12">
        <f t="shared" si="25"/>
        <v>-44.13481524307647</v>
      </c>
      <c r="L94" s="12">
        <f t="shared" si="25"/>
        <v>-48.412882253451535</v>
      </c>
      <c r="M94" s="12">
        <f t="shared" si="25"/>
        <v>-52.9087297470516</v>
      </c>
      <c r="N94" s="12">
        <f t="shared" si="25"/>
        <v>-58.13407037482174</v>
      </c>
      <c r="O94" s="12">
        <f t="shared" si="25"/>
        <v>-64.06195812374915</v>
      </c>
      <c r="P94" s="12">
        <f t="shared" si="25"/>
        <v>-70.69433250273693</v>
      </c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  <c r="IV94" s="12"/>
    </row>
    <row r="95" spans="3:16" ht="15">
      <c r="C95" s="8" t="s">
        <v>20</v>
      </c>
      <c r="D95" s="8" t="s">
        <v>11</v>
      </c>
      <c r="E95" s="10">
        <f>E86+SUM(E88:E94)</f>
        <v>80.60399999999993</v>
      </c>
      <c r="F95" s="10">
        <f aca="true" t="shared" si="26" ref="F95:P95">F86+SUM(F88:F94)</f>
        <v>81.94600000000003</v>
      </c>
      <c r="G95" s="10">
        <f t="shared" si="26"/>
        <v>80.08599999999996</v>
      </c>
      <c r="H95" s="10">
        <f t="shared" si="26"/>
        <v>92.40186969930232</v>
      </c>
      <c r="I95" s="10">
        <f t="shared" si="26"/>
        <v>99.26945699795533</v>
      </c>
      <c r="J95" s="10">
        <f t="shared" si="26"/>
        <v>108.30260983709002</v>
      </c>
      <c r="K95" s="10">
        <f t="shared" si="26"/>
        <v>118.03715766337712</v>
      </c>
      <c r="L95" s="10">
        <f t="shared" si="26"/>
        <v>128.77316239829463</v>
      </c>
      <c r="M95" s="10">
        <f t="shared" si="26"/>
        <v>141.203036045526</v>
      </c>
      <c r="N95" s="10">
        <f t="shared" si="26"/>
        <v>155.0849841209258</v>
      </c>
      <c r="O95" s="10">
        <f t="shared" si="26"/>
        <v>170.7549767578954</v>
      </c>
      <c r="P95" s="10">
        <f t="shared" si="26"/>
        <v>188.564903993622</v>
      </c>
    </row>
    <row r="96" spans="6:7" ht="15">
      <c r="F96" s="6"/>
      <c r="G96" s="6"/>
    </row>
    <row r="97" spans="3:16" ht="15">
      <c r="C97" s="50" t="s">
        <v>21</v>
      </c>
      <c r="D97" s="11" t="s">
        <v>11</v>
      </c>
      <c r="E97" s="6">
        <f>1.098+-0.095</f>
        <v>1.0030000000000001</v>
      </c>
      <c r="F97" s="6">
        <f>1.138+-0.154</f>
        <v>0.9839999999999999</v>
      </c>
      <c r="G97" s="6">
        <f>0.936+-0.204</f>
        <v>0.7320000000000001</v>
      </c>
      <c r="H97" s="12">
        <f>(H65*H86)+H196</f>
        <v>-0.34478951901783517</v>
      </c>
      <c r="I97" s="12">
        <f aca="true" t="shared" si="27" ref="I97:P97">(I65*I86)+I196</f>
        <v>-1.503914386536043</v>
      </c>
      <c r="J97" s="12">
        <f t="shared" si="27"/>
        <v>-2.3289481080015753</v>
      </c>
      <c r="K97" s="12">
        <f t="shared" si="27"/>
        <v>-3.207599490618162</v>
      </c>
      <c r="L97" s="12">
        <f t="shared" si="27"/>
        <v>-4.163590836133876</v>
      </c>
      <c r="M97" s="12">
        <f t="shared" si="27"/>
        <v>-5.211465352672843</v>
      </c>
      <c r="N97" s="12">
        <f t="shared" si="27"/>
        <v>-6.355929728224616</v>
      </c>
      <c r="O97" s="12">
        <f t="shared" si="27"/>
        <v>-7.610149311026886</v>
      </c>
      <c r="P97" s="12">
        <f t="shared" si="27"/>
        <v>-8.988050029017217</v>
      </c>
    </row>
    <row r="98" spans="1:16" s="8" customFormat="1" ht="15">
      <c r="A98"/>
      <c r="B98"/>
      <c r="C98" s="8" t="s">
        <v>22</v>
      </c>
      <c r="E98" s="10">
        <f>+E95+E97</f>
        <v>81.60699999999993</v>
      </c>
      <c r="F98" s="10">
        <f>+F95+F97</f>
        <v>82.93000000000002</v>
      </c>
      <c r="G98" s="10">
        <f>+G95+G97</f>
        <v>80.81799999999996</v>
      </c>
      <c r="H98" s="10">
        <f aca="true" t="shared" si="28" ref="H98:P98">+H95+H97</f>
        <v>92.05708018028449</v>
      </c>
      <c r="I98" s="10">
        <f t="shared" si="28"/>
        <v>97.76554261141929</v>
      </c>
      <c r="J98" s="10">
        <f t="shared" si="28"/>
        <v>105.97366172908845</v>
      </c>
      <c r="K98" s="10">
        <f t="shared" si="28"/>
        <v>114.82955817275895</v>
      </c>
      <c r="L98" s="10">
        <f t="shared" si="28"/>
        <v>124.60957156216075</v>
      </c>
      <c r="M98" s="10">
        <f t="shared" si="28"/>
        <v>135.99157069285317</v>
      </c>
      <c r="N98" s="10">
        <f t="shared" si="28"/>
        <v>148.7290543927012</v>
      </c>
      <c r="O98" s="10">
        <f t="shared" si="28"/>
        <v>163.14482744686853</v>
      </c>
      <c r="P98" s="10">
        <f t="shared" si="28"/>
        <v>179.5768539646048</v>
      </c>
    </row>
    <row r="99" spans="6:8" ht="15">
      <c r="F99" s="6"/>
      <c r="G99" s="6"/>
      <c r="H99" s="49"/>
    </row>
    <row r="100" spans="3:16" ht="15">
      <c r="C100" t="s">
        <v>23</v>
      </c>
      <c r="D100" s="11" t="s">
        <v>11</v>
      </c>
      <c r="E100" s="14">
        <v>-12.576</v>
      </c>
      <c r="F100" s="14">
        <v>-14.984</v>
      </c>
      <c r="G100" s="14">
        <v>-12.157</v>
      </c>
      <c r="H100" s="12">
        <f>+-$D$11*H98</f>
        <v>-15.649703630648364</v>
      </c>
      <c r="I100" s="12">
        <f aca="true" t="shared" si="29" ref="I100:P100">+-$D$11*I98</f>
        <v>-16.62014224394128</v>
      </c>
      <c r="J100" s="12">
        <f t="shared" si="29"/>
        <v>-18.01552249394504</v>
      </c>
      <c r="K100" s="12">
        <f t="shared" si="29"/>
        <v>-19.521024889369023</v>
      </c>
      <c r="L100" s="12">
        <f t="shared" si="29"/>
        <v>-21.18362716556733</v>
      </c>
      <c r="M100" s="12">
        <f t="shared" si="29"/>
        <v>-23.11856701778504</v>
      </c>
      <c r="N100" s="12">
        <f t="shared" si="29"/>
        <v>-25.283939246759203</v>
      </c>
      <c r="O100" s="12">
        <f t="shared" si="29"/>
        <v>-27.734620665967654</v>
      </c>
      <c r="P100" s="12">
        <f t="shared" si="29"/>
        <v>-30.528065173982817</v>
      </c>
    </row>
    <row r="101" spans="3:16" ht="15">
      <c r="C101" s="60" t="s">
        <v>24</v>
      </c>
      <c r="D101" s="8" t="s">
        <v>11</v>
      </c>
      <c r="E101" s="10">
        <f>E98+E100</f>
        <v>69.03099999999992</v>
      </c>
      <c r="F101" s="10">
        <f>F98+F100</f>
        <v>67.94600000000003</v>
      </c>
      <c r="G101" s="10">
        <f>G98+G100</f>
        <v>68.66099999999996</v>
      </c>
      <c r="H101" s="10">
        <f aca="true" t="shared" si="30" ref="H101:P101">H98+H100</f>
        <v>76.40737654963613</v>
      </c>
      <c r="I101" s="10">
        <f t="shared" si="30"/>
        <v>81.145400367478</v>
      </c>
      <c r="J101" s="10">
        <f t="shared" si="30"/>
        <v>87.9581392351434</v>
      </c>
      <c r="K101" s="10">
        <f t="shared" si="30"/>
        <v>95.30853328338992</v>
      </c>
      <c r="L101" s="10">
        <f t="shared" si="30"/>
        <v>103.42594439659342</v>
      </c>
      <c r="M101" s="10">
        <f t="shared" si="30"/>
        <v>112.87300367506813</v>
      </c>
      <c r="N101" s="10">
        <f t="shared" si="30"/>
        <v>123.44511514594198</v>
      </c>
      <c r="O101" s="10">
        <f t="shared" si="30"/>
        <v>135.41020678090086</v>
      </c>
      <c r="P101" s="10">
        <f t="shared" si="30"/>
        <v>149.04878879062198</v>
      </c>
    </row>
    <row r="103" spans="3:16" ht="15">
      <c r="C103" t="s">
        <v>25</v>
      </c>
      <c r="E103" s="14">
        <v>0.26</v>
      </c>
      <c r="F103" s="14">
        <v>2.264</v>
      </c>
      <c r="G103" s="14">
        <v>2.118</v>
      </c>
      <c r="H103" s="12">
        <f>+G103</f>
        <v>2.118</v>
      </c>
      <c r="I103" s="12">
        <f aca="true" t="shared" si="31" ref="I103:P103">+H103</f>
        <v>2.118</v>
      </c>
      <c r="J103" s="12">
        <f t="shared" si="31"/>
        <v>2.118</v>
      </c>
      <c r="K103" s="12">
        <f t="shared" si="31"/>
        <v>2.118</v>
      </c>
      <c r="L103" s="12">
        <f t="shared" si="31"/>
        <v>2.118</v>
      </c>
      <c r="M103" s="12">
        <f t="shared" si="31"/>
        <v>2.118</v>
      </c>
      <c r="N103" s="12">
        <f t="shared" si="31"/>
        <v>2.118</v>
      </c>
      <c r="O103" s="12">
        <f t="shared" si="31"/>
        <v>2.118</v>
      </c>
      <c r="P103" s="12">
        <f t="shared" si="31"/>
        <v>2.118</v>
      </c>
    </row>
    <row r="104" spans="3:16" ht="15">
      <c r="C104" s="15" t="s">
        <v>26</v>
      </c>
      <c r="D104" s="15"/>
      <c r="E104" s="16">
        <f>+E101+E103</f>
        <v>69.29099999999993</v>
      </c>
      <c r="F104" s="16">
        <f>+F101+F103</f>
        <v>70.21000000000002</v>
      </c>
      <c r="G104" s="16">
        <f>+G101+G103</f>
        <v>70.77899999999995</v>
      </c>
      <c r="H104" s="16">
        <f aca="true" t="shared" si="32" ref="H104:P104">+H101+H103</f>
        <v>78.52537654963612</v>
      </c>
      <c r="I104" s="16">
        <f t="shared" si="32"/>
        <v>83.263400367478</v>
      </c>
      <c r="J104" s="16">
        <f t="shared" si="32"/>
        <v>90.0761392351434</v>
      </c>
      <c r="K104" s="16">
        <f t="shared" si="32"/>
        <v>97.42653328338992</v>
      </c>
      <c r="L104" s="16">
        <f t="shared" si="32"/>
        <v>105.54394439659342</v>
      </c>
      <c r="M104" s="16">
        <f t="shared" si="32"/>
        <v>114.99100367506813</v>
      </c>
      <c r="N104" s="16">
        <f t="shared" si="32"/>
        <v>125.56311514594198</v>
      </c>
      <c r="O104" s="16">
        <f t="shared" si="32"/>
        <v>137.52820678090086</v>
      </c>
      <c r="P104" s="16">
        <f t="shared" si="32"/>
        <v>151.16678879062198</v>
      </c>
    </row>
    <row r="106" spans="2:16" ht="15">
      <c r="B106" s="25"/>
      <c r="C106" s="25"/>
      <c r="D106" s="25"/>
      <c r="E106" s="62"/>
      <c r="F106" s="63"/>
      <c r="G106" s="63"/>
      <c r="H106" s="64" t="s">
        <v>77</v>
      </c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25" t="s">
        <v>27</v>
      </c>
      <c r="C107" s="25"/>
      <c r="D107" s="26" t="s">
        <v>7</v>
      </c>
      <c r="E107" s="27">
        <f>EOMONTH(F107,-12)</f>
        <v>42369</v>
      </c>
      <c r="F107" s="27">
        <f>EOMONTH(G107,-12)</f>
        <v>42735</v>
      </c>
      <c r="G107" s="27">
        <f>Latest_FY</f>
        <v>43100</v>
      </c>
      <c r="H107" s="29">
        <f>EOMONTH(G107,12)</f>
        <v>43465</v>
      </c>
      <c r="I107" s="28">
        <f>EOMONTH(H107,12)</f>
        <v>43830</v>
      </c>
      <c r="J107" s="27">
        <f>EOMONTH(I107,12)</f>
        <v>44196</v>
      </c>
      <c r="K107" s="28">
        <f>EOMONTH(J107,12)</f>
        <v>44561</v>
      </c>
      <c r="L107" s="27">
        <f>EOMONTH(K107,12)</f>
        <v>44926</v>
      </c>
      <c r="M107" s="28">
        <f>EOMONTH(L107,12)</f>
        <v>45291</v>
      </c>
      <c r="N107" s="27">
        <f>EOMONTH(M107,12)</f>
        <v>45657</v>
      </c>
      <c r="O107" s="27">
        <f>EOMONTH(N107,12)</f>
        <v>46022</v>
      </c>
      <c r="P107" s="27">
        <f>EOMONTH(O107,12)</f>
        <v>46387</v>
      </c>
    </row>
    <row r="108" ht="15">
      <c r="D108" s="30"/>
    </row>
    <row r="109" spans="2:16" ht="15">
      <c r="B109" s="31"/>
      <c r="C109" s="31" t="s">
        <v>28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3:16" ht="15">
      <c r="C110" s="50" t="s">
        <v>29</v>
      </c>
      <c r="D110" s="17" t="s">
        <v>11</v>
      </c>
      <c r="E110" s="9">
        <v>86.057</v>
      </c>
      <c r="F110" s="9">
        <v>111.883</v>
      </c>
      <c r="G110" s="9">
        <v>98.27</v>
      </c>
      <c r="H110" s="6">
        <f>+H173</f>
        <v>209.84276303927922</v>
      </c>
      <c r="I110" s="6">
        <f aca="true" t="shared" si="33" ref="I110:P110">+I173</f>
        <v>331.41251695550636</v>
      </c>
      <c r="J110" s="6">
        <f t="shared" si="33"/>
        <v>463.39915548166204</v>
      </c>
      <c r="K110" s="6">
        <f t="shared" si="33"/>
        <v>607.206390483745</v>
      </c>
      <c r="L110" s="6">
        <f t="shared" si="33"/>
        <v>764.3797349342678</v>
      </c>
      <c r="M110" s="6">
        <f t="shared" si="33"/>
        <v>936.5320249835517</v>
      </c>
      <c r="N110" s="6">
        <f t="shared" si="33"/>
        <v>1125.6347429176294</v>
      </c>
      <c r="O110" s="6">
        <f t="shared" si="33"/>
        <v>1333.903173402553</v>
      </c>
      <c r="P110" s="6">
        <f t="shared" si="33"/>
        <v>1563.840678590974</v>
      </c>
    </row>
    <row r="111" spans="3:16" ht="15">
      <c r="C111" s="50" t="s">
        <v>30</v>
      </c>
      <c r="D111" s="17" t="s">
        <v>11</v>
      </c>
      <c r="E111" s="6">
        <f>74.995+3.233</f>
        <v>78.22800000000001</v>
      </c>
      <c r="F111" s="6">
        <f>101.408+4.711</f>
        <v>106.119</v>
      </c>
      <c r="G111" s="6">
        <f>87.259+3.06</f>
        <v>90.319</v>
      </c>
      <c r="H111" s="6">
        <f>H86/H48</f>
        <v>93.56999267114726</v>
      </c>
      <c r="I111" s="6">
        <f aca="true" t="shared" si="34" ref="I111:P111">I86/I48</f>
        <v>101.40170405309789</v>
      </c>
      <c r="J111" s="6">
        <f t="shared" si="34"/>
        <v>110.18837220689178</v>
      </c>
      <c r="K111" s="6">
        <f t="shared" si="34"/>
        <v>120.06325142983272</v>
      </c>
      <c r="L111" s="6">
        <f t="shared" si="34"/>
        <v>131.17884827825026</v>
      </c>
      <c r="M111" s="6">
        <f t="shared" si="34"/>
        <v>143.70972569524437</v>
      </c>
      <c r="N111" s="6">
        <f t="shared" si="34"/>
        <v>157.85571631616628</v>
      </c>
      <c r="O111" s="6">
        <f t="shared" si="34"/>
        <v>173.84560468374013</v>
      </c>
      <c r="P111" s="6">
        <f t="shared" si="34"/>
        <v>191.94134682522647</v>
      </c>
    </row>
    <row r="112" spans="3:16" ht="15">
      <c r="C112" s="50" t="s">
        <v>31</v>
      </c>
      <c r="D112" s="17" t="s">
        <v>11</v>
      </c>
      <c r="E112" s="9">
        <v>9.577</v>
      </c>
      <c r="F112" s="9">
        <v>9.994</v>
      </c>
      <c r="G112" s="9">
        <v>9.955</v>
      </c>
      <c r="H112" s="48">
        <f>H86/H51</f>
        <v>10.941728750794482</v>
      </c>
      <c r="I112" s="48">
        <f aca="true" t="shared" si="35" ref="I112:P112">I86/I51</f>
        <v>11.857540103874102</v>
      </c>
      <c r="J112" s="48">
        <f t="shared" si="35"/>
        <v>12.885020568684512</v>
      </c>
      <c r="K112" s="48">
        <f t="shared" si="35"/>
        <v>14.039752409735442</v>
      </c>
      <c r="L112" s="48">
        <f t="shared" si="35"/>
        <v>15.3395691794772</v>
      </c>
      <c r="M112" s="48">
        <f t="shared" si="35"/>
        <v>16.804883622624356</v>
      </c>
      <c r="N112" s="48">
        <f t="shared" si="35"/>
        <v>18.459063428210023</v>
      </c>
      <c r="O112" s="48">
        <f t="shared" si="35"/>
        <v>20.32886181419863</v>
      </c>
      <c r="P112" s="48">
        <f t="shared" si="35"/>
        <v>22.444910949227772</v>
      </c>
    </row>
    <row r="113" spans="3:16" ht="15">
      <c r="C113" s="50" t="s">
        <v>32</v>
      </c>
      <c r="D113" s="17" t="s">
        <v>11</v>
      </c>
      <c r="E113" s="9">
        <v>264.273</v>
      </c>
      <c r="F113" s="9">
        <v>270.066</v>
      </c>
      <c r="G113" s="9">
        <v>384.021</v>
      </c>
      <c r="H113" s="6">
        <f>+G113+-H158-H142</f>
        <v>391.3338813741938</v>
      </c>
      <c r="I113" s="6">
        <f aca="true" t="shared" si="36" ref="I113:P113">+H113+-I158-I142</f>
        <v>399.25884333809563</v>
      </c>
      <c r="J113" s="6">
        <f t="shared" si="36"/>
        <v>407.87051970742573</v>
      </c>
      <c r="K113" s="6">
        <f t="shared" si="36"/>
        <v>417.2539586715832</v>
      </c>
      <c r="L113" s="6">
        <f t="shared" si="36"/>
        <v>427.50612743720086</v>
      </c>
      <c r="M113" s="6">
        <f t="shared" si="36"/>
        <v>438.73763602586524</v>
      </c>
      <c r="N113" s="6">
        <f t="shared" si="36"/>
        <v>451.0747122049304</v>
      </c>
      <c r="O113" s="6">
        <f t="shared" si="36"/>
        <v>464.6614641986515</v>
      </c>
      <c r="P113" s="6">
        <f t="shared" si="36"/>
        <v>479.6624731767007</v>
      </c>
    </row>
    <row r="114" spans="3:16" ht="15">
      <c r="C114" t="s">
        <v>33</v>
      </c>
      <c r="D114" s="17" t="s">
        <v>11</v>
      </c>
      <c r="E114" s="9">
        <v>32.139</v>
      </c>
      <c r="F114" s="9">
        <v>30.66</v>
      </c>
      <c r="G114" s="9">
        <v>36.773</v>
      </c>
      <c r="H114" s="6">
        <f>+G114</f>
        <v>36.773</v>
      </c>
      <c r="I114" s="6">
        <f aca="true" t="shared" si="37" ref="I114:P114">+H114</f>
        <v>36.773</v>
      </c>
      <c r="J114" s="6">
        <f t="shared" si="37"/>
        <v>36.773</v>
      </c>
      <c r="K114" s="6">
        <f t="shared" si="37"/>
        <v>36.773</v>
      </c>
      <c r="L114" s="6">
        <f t="shared" si="37"/>
        <v>36.773</v>
      </c>
      <c r="M114" s="6">
        <f t="shared" si="37"/>
        <v>36.773</v>
      </c>
      <c r="N114" s="6">
        <f t="shared" si="37"/>
        <v>36.773</v>
      </c>
      <c r="O114" s="6">
        <f t="shared" si="37"/>
        <v>36.773</v>
      </c>
      <c r="P114" s="6">
        <f t="shared" si="37"/>
        <v>36.773</v>
      </c>
    </row>
    <row r="115" spans="3:16" ht="15">
      <c r="C115" s="50" t="s">
        <v>34</v>
      </c>
      <c r="D115" s="17" t="s">
        <v>11</v>
      </c>
      <c r="E115" s="9">
        <v>343.866</v>
      </c>
      <c r="F115" s="9">
        <v>371.472</v>
      </c>
      <c r="G115" s="9">
        <v>385.498</v>
      </c>
      <c r="H115" s="6">
        <f>G115+-H143</f>
        <v>385.498</v>
      </c>
      <c r="I115" s="6">
        <f aca="true" t="shared" si="38" ref="I115:P115">H115+-I143</f>
        <v>385.498</v>
      </c>
      <c r="J115" s="6">
        <f t="shared" si="38"/>
        <v>385.498</v>
      </c>
      <c r="K115" s="6">
        <f t="shared" si="38"/>
        <v>385.498</v>
      </c>
      <c r="L115" s="6">
        <f t="shared" si="38"/>
        <v>385.498</v>
      </c>
      <c r="M115" s="6">
        <f t="shared" si="38"/>
        <v>385.498</v>
      </c>
      <c r="N115" s="6">
        <f t="shared" si="38"/>
        <v>385.498</v>
      </c>
      <c r="O115" s="6">
        <f t="shared" si="38"/>
        <v>385.498</v>
      </c>
      <c r="P115" s="6">
        <f t="shared" si="38"/>
        <v>385.498</v>
      </c>
    </row>
    <row r="116" spans="3:16" ht="15">
      <c r="C116" t="s">
        <v>35</v>
      </c>
      <c r="D116" s="17" t="s">
        <v>11</v>
      </c>
      <c r="E116" s="6">
        <f>0</f>
        <v>0</v>
      </c>
      <c r="F116" s="6">
        <f>0</f>
        <v>0</v>
      </c>
      <c r="G116" s="6">
        <f>0</f>
        <v>0</v>
      </c>
      <c r="H116" s="6">
        <f>0</f>
        <v>0</v>
      </c>
      <c r="I116" s="6">
        <f>0</f>
        <v>0</v>
      </c>
      <c r="J116" s="6">
        <f>0</f>
        <v>0</v>
      </c>
      <c r="K116" s="6">
        <f>0</f>
        <v>0</v>
      </c>
      <c r="L116" s="6">
        <f>0</f>
        <v>0</v>
      </c>
      <c r="M116" s="6">
        <f>0</f>
        <v>0</v>
      </c>
      <c r="N116" s="6">
        <f>0</f>
        <v>0</v>
      </c>
      <c r="O116" s="6">
        <f>0</f>
        <v>0</v>
      </c>
      <c r="P116" s="6">
        <f>0</f>
        <v>0</v>
      </c>
    </row>
    <row r="117" spans="1:16" s="8" customFormat="1" ht="15">
      <c r="A117"/>
      <c r="B117"/>
      <c r="C117" s="15" t="s">
        <v>36</v>
      </c>
      <c r="D117" s="21" t="s">
        <v>11</v>
      </c>
      <c r="E117" s="22">
        <f>SUM(E110:E116)</f>
        <v>814.1400000000001</v>
      </c>
      <c r="F117" s="22">
        <f aca="true" t="shared" si="39" ref="F117:P117">SUM(F110:F116)</f>
        <v>900.194</v>
      </c>
      <c r="G117" s="22">
        <f t="shared" si="39"/>
        <v>1004.836</v>
      </c>
      <c r="H117" s="22">
        <f t="shared" si="39"/>
        <v>1127.9593658354147</v>
      </c>
      <c r="I117" s="22">
        <f t="shared" si="39"/>
        <v>1266.201604450574</v>
      </c>
      <c r="J117" s="22">
        <f t="shared" si="39"/>
        <v>1416.614067964664</v>
      </c>
      <c r="K117" s="22">
        <f t="shared" si="39"/>
        <v>1580.8343529948963</v>
      </c>
      <c r="L117" s="22">
        <f t="shared" si="39"/>
        <v>1760.6752798291961</v>
      </c>
      <c r="M117" s="22">
        <f t="shared" si="39"/>
        <v>1958.0552703272856</v>
      </c>
      <c r="N117" s="22">
        <f t="shared" si="39"/>
        <v>2175.295234866936</v>
      </c>
      <c r="O117" s="22">
        <f t="shared" si="39"/>
        <v>2415.010104099143</v>
      </c>
      <c r="P117" s="22">
        <f t="shared" si="39"/>
        <v>2680.160409542129</v>
      </c>
    </row>
    <row r="119" spans="2:16" ht="15">
      <c r="B119" s="31"/>
      <c r="C119" s="31" t="s">
        <v>37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3:16" ht="15">
      <c r="C120" s="50" t="s">
        <v>38</v>
      </c>
      <c r="D120" s="17" t="s">
        <v>11</v>
      </c>
      <c r="E120" s="6">
        <f>118.451+3.385</f>
        <v>121.836</v>
      </c>
      <c r="F120" s="6">
        <f>4.397+144.728</f>
        <v>149.125</v>
      </c>
      <c r="G120" s="6">
        <f>15.102+126.305</f>
        <v>141.407</v>
      </c>
      <c r="H120" s="6">
        <f>-(SUM(H89:H91)+SUM(H93:H94))/H54</f>
        <v>143.98926582210416</v>
      </c>
      <c r="I120" s="6">
        <f aca="true" t="shared" si="40" ref="I120:P120">-(SUM(I89:I91)+SUM(I93:I94))/I54</f>
        <v>156.34388503560268</v>
      </c>
      <c r="J120" s="6">
        <f t="shared" si="40"/>
        <v>169.7406478949664</v>
      </c>
      <c r="K120" s="6">
        <f t="shared" si="40"/>
        <v>184.94247081659765</v>
      </c>
      <c r="L120" s="6">
        <f t="shared" si="40"/>
        <v>202.1317878274105</v>
      </c>
      <c r="M120" s="6">
        <f t="shared" si="40"/>
        <v>221.3954276376173</v>
      </c>
      <c r="N120" s="6">
        <f t="shared" si="40"/>
        <v>243.1944162572431</v>
      </c>
      <c r="O120" s="6">
        <f t="shared" si="40"/>
        <v>267.84234724654544</v>
      </c>
      <c r="P120" s="6">
        <f t="shared" si="40"/>
        <v>295.7097459604838</v>
      </c>
    </row>
    <row r="121" spans="3:16" ht="15">
      <c r="C121" s="50" t="s">
        <v>39</v>
      </c>
      <c r="D121" s="17" t="s">
        <v>11</v>
      </c>
      <c r="E121" s="6">
        <f>11.402+20.88</f>
        <v>32.282</v>
      </c>
      <c r="F121" s="6">
        <f>13.451+16.947</f>
        <v>30.398</v>
      </c>
      <c r="G121" s="6">
        <f>41.204+38</f>
        <v>79.20400000000001</v>
      </c>
      <c r="H121" s="6">
        <f>+G121+H166</f>
        <v>113.06095724239894</v>
      </c>
      <c r="I121" s="6">
        <f aca="true" t="shared" si="41" ref="I121:P121">+H121+I166</f>
        <v>150.1908169917313</v>
      </c>
      <c r="J121" s="6">
        <f t="shared" si="41"/>
        <v>190.44805522421058</v>
      </c>
      <c r="K121" s="6">
        <f t="shared" si="41"/>
        <v>234.44108056072835</v>
      </c>
      <c r="L121" s="6">
        <f t="shared" si="41"/>
        <v>282.8419741411509</v>
      </c>
      <c r="M121" s="6">
        <f t="shared" si="41"/>
        <v>335.9424357530575</v>
      </c>
      <c r="N121" s="6">
        <f t="shared" si="41"/>
        <v>394.38749694125215</v>
      </c>
      <c r="O121" s="6">
        <f t="shared" si="41"/>
        <v>458.8697818156598</v>
      </c>
      <c r="P121" s="6">
        <f t="shared" si="41"/>
        <v>530.0822543846518</v>
      </c>
    </row>
    <row r="122" spans="3:16" ht="15">
      <c r="C122" s="50" t="s">
        <v>40</v>
      </c>
      <c r="D122" s="17" t="s">
        <v>11</v>
      </c>
      <c r="E122" s="9">
        <v>12.804</v>
      </c>
      <c r="F122" s="9">
        <v>11.705</v>
      </c>
      <c r="G122" s="9">
        <v>11.137</v>
      </c>
      <c r="H122" s="6">
        <f>H57*-H90</f>
        <v>13.588221511438919</v>
      </c>
      <c r="I122" s="6">
        <f aca="true" t="shared" si="42" ref="I122:P122">I57*-I90</f>
        <v>14.725541564948095</v>
      </c>
      <c r="J122" s="6">
        <f t="shared" si="42"/>
        <v>16.00154030998245</v>
      </c>
      <c r="K122" s="6">
        <f t="shared" si="42"/>
        <v>17.43556891733322</v>
      </c>
      <c r="L122" s="6">
        <f t="shared" si="42"/>
        <v>19.04977436820876</v>
      </c>
      <c r="M122" s="6">
        <f t="shared" si="42"/>
        <v>20.86950666928125</v>
      </c>
      <c r="N122" s="6">
        <f t="shared" si="42"/>
        <v>22.92378548846829</v>
      </c>
      <c r="O122" s="6">
        <f t="shared" si="42"/>
        <v>25.245834885708135</v>
      </c>
      <c r="P122" s="6">
        <f t="shared" si="42"/>
        <v>27.873696079377087</v>
      </c>
    </row>
    <row r="123" spans="3:16" ht="15">
      <c r="C123" s="50" t="s">
        <v>41</v>
      </c>
      <c r="D123" s="17" t="s">
        <v>11</v>
      </c>
      <c r="E123" s="6">
        <v>12.529</v>
      </c>
      <c r="F123" s="9">
        <v>14.163</v>
      </c>
      <c r="G123" s="9">
        <v>12.904</v>
      </c>
      <c r="H123" s="6">
        <f>H59*-H100</f>
        <v>15.664920490589003</v>
      </c>
      <c r="I123" s="6">
        <f aca="true" t="shared" si="43" ref="I123:P123">I59*-I100</f>
        <v>16.63630270184441</v>
      </c>
      <c r="J123" s="6">
        <f t="shared" si="43"/>
        <v>18.03303973829789</v>
      </c>
      <c r="K123" s="6">
        <f t="shared" si="43"/>
        <v>19.540005996529256</v>
      </c>
      <c r="L123" s="6">
        <f t="shared" si="43"/>
        <v>21.204224890305188</v>
      </c>
      <c r="M123" s="6">
        <f t="shared" si="43"/>
        <v>23.141046165290998</v>
      </c>
      <c r="N123" s="6">
        <f t="shared" si="43"/>
        <v>25.308523876049694</v>
      </c>
      <c r="O123" s="6">
        <f t="shared" si="43"/>
        <v>27.761588195074996</v>
      </c>
      <c r="P123" s="6">
        <f t="shared" si="43"/>
        <v>30.5577488857626</v>
      </c>
    </row>
    <row r="124" spans="3:16" ht="15">
      <c r="C124" s="50" t="s">
        <v>42</v>
      </c>
      <c r="D124" s="17" t="s">
        <v>11</v>
      </c>
      <c r="E124" s="24">
        <f>4.662-0.79</f>
        <v>3.872</v>
      </c>
      <c r="F124" s="24">
        <f>4.853-0.437</f>
        <v>4.4159999999999995</v>
      </c>
      <c r="G124" s="24">
        <f>4.87-1.025</f>
        <v>3.845</v>
      </c>
      <c r="H124" s="6">
        <f>H61*-H100</f>
        <v>4.793405576115402</v>
      </c>
      <c r="I124" s="6">
        <f aca="true" t="shared" si="44" ref="I124:P124">I61*-I100</f>
        <v>5.090644806328431</v>
      </c>
      <c r="J124" s="6">
        <f t="shared" si="44"/>
        <v>5.518040981299459</v>
      </c>
      <c r="K124" s="6">
        <f t="shared" si="44"/>
        <v>5.979166875271513</v>
      </c>
      <c r="L124" s="6">
        <f t="shared" si="44"/>
        <v>6.488411472465264</v>
      </c>
      <c r="M124" s="6">
        <f t="shared" si="44"/>
        <v>7.081071352547864</v>
      </c>
      <c r="N124" s="6">
        <f t="shared" si="44"/>
        <v>7.74431121712926</v>
      </c>
      <c r="O124" s="6">
        <f t="shared" si="44"/>
        <v>8.494939488268571</v>
      </c>
      <c r="P124" s="6">
        <f t="shared" si="44"/>
        <v>9.35055393294506</v>
      </c>
    </row>
    <row r="125" spans="3:16" ht="15">
      <c r="C125" t="s">
        <v>43</v>
      </c>
      <c r="D125" s="17" t="s">
        <v>11</v>
      </c>
      <c r="E125" s="6">
        <f>1.654+7.136</f>
        <v>8.79</v>
      </c>
      <c r="F125" s="6">
        <f>0.166+8.377</f>
        <v>8.543000000000001</v>
      </c>
      <c r="G125" s="6">
        <f>2.941+1.773</f>
        <v>4.7139999999999995</v>
      </c>
      <c r="H125" s="6">
        <f>G125</f>
        <v>4.7139999999999995</v>
      </c>
      <c r="I125" s="6">
        <f aca="true" t="shared" si="45" ref="I125:P125">H125</f>
        <v>4.7139999999999995</v>
      </c>
      <c r="J125" s="6">
        <f t="shared" si="45"/>
        <v>4.7139999999999995</v>
      </c>
      <c r="K125" s="6">
        <f t="shared" si="45"/>
        <v>4.7139999999999995</v>
      </c>
      <c r="L125" s="6">
        <f t="shared" si="45"/>
        <v>4.7139999999999995</v>
      </c>
      <c r="M125" s="6">
        <f t="shared" si="45"/>
        <v>4.7139999999999995</v>
      </c>
      <c r="N125" s="6">
        <f t="shared" si="45"/>
        <v>4.7139999999999995</v>
      </c>
      <c r="O125" s="6">
        <f t="shared" si="45"/>
        <v>4.7139999999999995</v>
      </c>
      <c r="P125" s="6">
        <f t="shared" si="45"/>
        <v>4.7139999999999995</v>
      </c>
    </row>
    <row r="126" spans="3:16" ht="15">
      <c r="C126" s="32" t="s">
        <v>44</v>
      </c>
      <c r="D126" s="33" t="s">
        <v>11</v>
      </c>
      <c r="E126" s="34">
        <f>SUM(E120:E125)</f>
        <v>192.11299999999997</v>
      </c>
      <c r="F126" s="34">
        <f>SUM(F120:F125)</f>
        <v>218.35000000000002</v>
      </c>
      <c r="G126" s="34">
        <f>SUM(G120:G125)</f>
        <v>253.211</v>
      </c>
      <c r="H126" s="34">
        <f aca="true" t="shared" si="46" ref="H126:P126">SUM(H120:H125)</f>
        <v>295.8107706426464</v>
      </c>
      <c r="I126" s="34">
        <f t="shared" si="46"/>
        <v>347.70119110045493</v>
      </c>
      <c r="J126" s="34">
        <f t="shared" si="46"/>
        <v>404.45532414875674</v>
      </c>
      <c r="K126" s="34">
        <f t="shared" si="46"/>
        <v>467.05229316646</v>
      </c>
      <c r="L126" s="34">
        <f t="shared" si="46"/>
        <v>536.4301726995407</v>
      </c>
      <c r="M126" s="34">
        <f t="shared" si="46"/>
        <v>613.1434875777949</v>
      </c>
      <c r="N126" s="34">
        <f t="shared" si="46"/>
        <v>698.2725337801426</v>
      </c>
      <c r="O126" s="34">
        <f t="shared" si="46"/>
        <v>792.928491631257</v>
      </c>
      <c r="P126" s="34">
        <f t="shared" si="46"/>
        <v>898.2879992432205</v>
      </c>
    </row>
    <row r="128" spans="3:16" ht="15">
      <c r="C128" s="50" t="s">
        <v>45</v>
      </c>
      <c r="D128" s="17" t="s">
        <v>11</v>
      </c>
      <c r="E128" s="9">
        <v>286.366</v>
      </c>
      <c r="F128" s="9">
        <v>314.165</v>
      </c>
      <c r="G128" s="9">
        <v>340.201</v>
      </c>
      <c r="H128" s="6">
        <f>G128+H101+H144+H165+H167</f>
        <v>421.230276376976</v>
      </c>
      <c r="I128" s="6">
        <f aca="true" t="shared" si="47" ref="I128:P128">+H128+I101+I165+I167+I144</f>
        <v>507.708261865082</v>
      </c>
      <c r="J128" s="6">
        <f t="shared" si="47"/>
        <v>601.5037983834206</v>
      </c>
      <c r="K128" s="6">
        <f t="shared" si="47"/>
        <v>703.2768747489209</v>
      </c>
      <c r="L128" s="6">
        <f t="shared" si="47"/>
        <v>813.9038899846053</v>
      </c>
      <c r="M128" s="6">
        <f t="shared" si="47"/>
        <v>934.750406469745</v>
      </c>
      <c r="N128" s="6">
        <f t="shared" si="47"/>
        <v>1067.0591293806067</v>
      </c>
      <c r="O128" s="6">
        <f t="shared" si="47"/>
        <v>1212.3361433311898</v>
      </c>
      <c r="P128" s="6">
        <f t="shared" si="47"/>
        <v>1372.3679675706924</v>
      </c>
    </row>
    <row r="129" spans="3:16" ht="15">
      <c r="C129" t="s">
        <v>46</v>
      </c>
      <c r="D129" s="17" t="s">
        <v>11</v>
      </c>
      <c r="E129" s="9">
        <v>316.739</v>
      </c>
      <c r="F129" s="9">
        <v>352.223</v>
      </c>
      <c r="G129" s="9">
        <v>393.849</v>
      </c>
      <c r="H129" s="6">
        <f>+G129+H172</f>
        <v>393.6962606812405</v>
      </c>
      <c r="I129" s="6">
        <f aca="true" t="shared" si="48" ref="I129:P129">+H129+I172</f>
        <v>393.5307372398467</v>
      </c>
      <c r="J129" s="6">
        <f t="shared" si="48"/>
        <v>393.3508708486496</v>
      </c>
      <c r="K129" s="6">
        <f t="shared" si="48"/>
        <v>393.1548851623421</v>
      </c>
      <c r="L129" s="6">
        <f t="shared" si="48"/>
        <v>392.9407548909838</v>
      </c>
      <c r="M129" s="6">
        <f t="shared" si="48"/>
        <v>392.70616979617733</v>
      </c>
      <c r="N129" s="6">
        <f t="shared" si="48"/>
        <v>392.44849344199446</v>
      </c>
      <c r="O129" s="6">
        <f t="shared" si="48"/>
        <v>392.16471593522425</v>
      </c>
      <c r="P129" s="6">
        <f t="shared" si="48"/>
        <v>391.8513997777795</v>
      </c>
    </row>
    <row r="130" spans="3:16" ht="15">
      <c r="C130" t="s">
        <v>25</v>
      </c>
      <c r="D130" s="17" t="s">
        <v>11</v>
      </c>
      <c r="E130" s="9">
        <v>18.922</v>
      </c>
      <c r="F130" s="9">
        <v>15.456</v>
      </c>
      <c r="G130" s="9">
        <v>17.575</v>
      </c>
      <c r="H130" s="6">
        <f>+G130</f>
        <v>17.575</v>
      </c>
      <c r="I130" s="6">
        <f aca="true" t="shared" si="49" ref="I130:P130">+H130</f>
        <v>17.575</v>
      </c>
      <c r="J130" s="6">
        <f t="shared" si="49"/>
        <v>17.575</v>
      </c>
      <c r="K130" s="6">
        <f t="shared" si="49"/>
        <v>17.575</v>
      </c>
      <c r="L130" s="6">
        <f t="shared" si="49"/>
        <v>17.575</v>
      </c>
      <c r="M130" s="6">
        <f t="shared" si="49"/>
        <v>17.575</v>
      </c>
      <c r="N130" s="6">
        <f t="shared" si="49"/>
        <v>17.575</v>
      </c>
      <c r="O130" s="6">
        <f t="shared" si="49"/>
        <v>17.575</v>
      </c>
      <c r="P130" s="6">
        <f t="shared" si="49"/>
        <v>17.575</v>
      </c>
    </row>
    <row r="131" spans="1:16" s="8" customFormat="1" ht="15">
      <c r="A131"/>
      <c r="B131"/>
      <c r="C131" s="32" t="s">
        <v>47</v>
      </c>
      <c r="D131" s="33" t="s">
        <v>11</v>
      </c>
      <c r="E131" s="34">
        <f>SUM(E128:E130)</f>
        <v>622.027</v>
      </c>
      <c r="F131" s="34">
        <f aca="true" t="shared" si="50" ref="F131:P131">SUM(F128:F130)</f>
        <v>681.844</v>
      </c>
      <c r="G131" s="34">
        <f t="shared" si="50"/>
        <v>751.625</v>
      </c>
      <c r="H131" s="34">
        <f t="shared" si="50"/>
        <v>832.5015370582166</v>
      </c>
      <c r="I131" s="34">
        <f t="shared" si="50"/>
        <v>918.8139991049288</v>
      </c>
      <c r="J131" s="34">
        <f t="shared" si="50"/>
        <v>1012.4296692320703</v>
      </c>
      <c r="K131" s="34">
        <f t="shared" si="50"/>
        <v>1114.006759911263</v>
      </c>
      <c r="L131" s="34">
        <f t="shared" si="50"/>
        <v>1224.419644875589</v>
      </c>
      <c r="M131" s="34">
        <f t="shared" si="50"/>
        <v>1345.0315762659225</v>
      </c>
      <c r="N131" s="34">
        <f t="shared" si="50"/>
        <v>1477.0826228226013</v>
      </c>
      <c r="O131" s="34">
        <f t="shared" si="50"/>
        <v>1622.075859266414</v>
      </c>
      <c r="P131" s="34">
        <f t="shared" si="50"/>
        <v>1781.794367348472</v>
      </c>
    </row>
    <row r="133" spans="3:16" ht="15">
      <c r="C133" s="15" t="s">
        <v>48</v>
      </c>
      <c r="D133" s="21" t="s">
        <v>11</v>
      </c>
      <c r="E133" s="22">
        <f>E126+E131</f>
        <v>814.14</v>
      </c>
      <c r="F133" s="22">
        <f>F126+F131</f>
        <v>900.1940000000001</v>
      </c>
      <c r="G133" s="22">
        <f>G126+G131</f>
        <v>1004.836</v>
      </c>
      <c r="H133" s="22">
        <f aca="true" t="shared" si="51" ref="H133:P133">H126+H131</f>
        <v>1128.3123077008631</v>
      </c>
      <c r="I133" s="22">
        <f t="shared" si="51"/>
        <v>1266.5151902053838</v>
      </c>
      <c r="J133" s="22">
        <f t="shared" si="51"/>
        <v>1416.884993380827</v>
      </c>
      <c r="K133" s="22">
        <f t="shared" si="51"/>
        <v>1581.059053077723</v>
      </c>
      <c r="L133" s="22">
        <f t="shared" si="51"/>
        <v>1760.8498175751297</v>
      </c>
      <c r="M133" s="22">
        <f t="shared" si="51"/>
        <v>1958.1750638437175</v>
      </c>
      <c r="N133" s="22">
        <f t="shared" si="51"/>
        <v>2175.3551566027436</v>
      </c>
      <c r="O133" s="22">
        <f t="shared" si="51"/>
        <v>2415.004350897671</v>
      </c>
      <c r="P133" s="22">
        <f t="shared" si="51"/>
        <v>2680.0823665916923</v>
      </c>
    </row>
    <row r="134" spans="8:16" ht="15">
      <c r="H134" s="61">
        <f>+H133-H117</f>
        <v>0.35294186544842887</v>
      </c>
      <c r="I134" s="47">
        <f>+I133-I117</f>
        <v>0.3135857548097647</v>
      </c>
      <c r="J134" s="47">
        <f>+J133-J117</f>
        <v>0.2709254161629815</v>
      </c>
      <c r="K134" s="47">
        <f>+K133-K117</f>
        <v>0.22470008282675735</v>
      </c>
      <c r="L134" s="47">
        <f>+L133-L117</f>
        <v>0.17453774593354865</v>
      </c>
      <c r="M134" s="47">
        <f>+M133-M117</f>
        <v>0.1197935164318551</v>
      </c>
      <c r="N134" s="47">
        <f>+N133-N117</f>
        <v>0.05992173580762028</v>
      </c>
      <c r="O134" s="47">
        <f>+O133-O117</f>
        <v>-0.005753201472089131</v>
      </c>
      <c r="P134" s="47">
        <f>+P133-P117</f>
        <v>-0.07804295043661114</v>
      </c>
    </row>
    <row r="135" spans="3:16" ht="15">
      <c r="C135" s="18" t="s">
        <v>49</v>
      </c>
      <c r="E135" s="17" t="str">
        <f>IF(E117=E133,"Yes","No")</f>
        <v>Yes</v>
      </c>
      <c r="F135" s="17" t="str">
        <f>IF(F117=F133,"Yes","No")</f>
        <v>Yes</v>
      </c>
      <c r="G135" s="17" t="str">
        <f>IF(G117=G133,"Yes","No")</f>
        <v>Yes</v>
      </c>
      <c r="H135" s="17" t="str">
        <f aca="true" t="shared" si="52" ref="H135:P135">IF(H117=H133,"Yes","No")</f>
        <v>No</v>
      </c>
      <c r="I135" s="17" t="str">
        <f t="shared" si="52"/>
        <v>No</v>
      </c>
      <c r="J135" s="17" t="str">
        <f t="shared" si="52"/>
        <v>No</v>
      </c>
      <c r="K135" s="17" t="str">
        <f t="shared" si="52"/>
        <v>No</v>
      </c>
      <c r="L135" s="17" t="str">
        <f t="shared" si="52"/>
        <v>No</v>
      </c>
      <c r="M135" s="17" t="str">
        <f t="shared" si="52"/>
        <v>No</v>
      </c>
      <c r="N135" s="17" t="str">
        <f t="shared" si="52"/>
        <v>No</v>
      </c>
      <c r="O135" s="17" t="str">
        <f t="shared" si="52"/>
        <v>No</v>
      </c>
      <c r="P135" s="17" t="str">
        <f t="shared" si="52"/>
        <v>No</v>
      </c>
    </row>
    <row r="136" spans="8:9" ht="15">
      <c r="H136" s="49">
        <f>+H134/2</f>
        <v>0.17647093272421444</v>
      </c>
      <c r="I136" s="49"/>
    </row>
    <row r="137" spans="2:16" ht="15">
      <c r="B137" s="25"/>
      <c r="C137" s="25"/>
      <c r="D137" s="25"/>
      <c r="E137" s="62"/>
      <c r="F137" s="63"/>
      <c r="G137" s="63"/>
      <c r="H137" s="64" t="s">
        <v>77</v>
      </c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25" t="s">
        <v>51</v>
      </c>
      <c r="C138" s="25"/>
      <c r="D138" s="26" t="s">
        <v>7</v>
      </c>
      <c r="E138" s="27">
        <f>EOMONTH(F138,-12)</f>
        <v>42369</v>
      </c>
      <c r="F138" s="27">
        <f>EOMONTH(G138,-12)</f>
        <v>42735</v>
      </c>
      <c r="G138" s="27">
        <f>Latest_FY</f>
        <v>43100</v>
      </c>
      <c r="H138" s="29">
        <f>EOMONTH(G138,12)</f>
        <v>43465</v>
      </c>
      <c r="I138" s="28">
        <f>EOMONTH(H138,12)</f>
        <v>43830</v>
      </c>
      <c r="J138" s="27">
        <f>EOMONTH(I138,12)</f>
        <v>44196</v>
      </c>
      <c r="K138" s="28">
        <f>EOMONTH(J138,12)</f>
        <v>44561</v>
      </c>
      <c r="L138" s="27">
        <f>EOMONTH(K138,12)</f>
        <v>44926</v>
      </c>
      <c r="M138" s="28">
        <f>EOMONTH(L138,12)</f>
        <v>45291</v>
      </c>
      <c r="N138" s="27">
        <f>EOMONTH(M138,12)</f>
        <v>45657</v>
      </c>
      <c r="O138" s="27">
        <f>EOMONTH(N138,12)</f>
        <v>46022</v>
      </c>
      <c r="P138" s="27">
        <f>EOMONTH(O138,12)</f>
        <v>46387</v>
      </c>
    </row>
    <row r="139" spans="2:16" ht="15">
      <c r="B139" s="40"/>
      <c r="C139" s="40" t="s">
        <v>50</v>
      </c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</row>
    <row r="140" spans="3:16" ht="15">
      <c r="C140" s="8" t="s">
        <v>22</v>
      </c>
      <c r="D140" s="17" t="s">
        <v>11</v>
      </c>
      <c r="E140" s="7">
        <f>E98</f>
        <v>81.60699999999993</v>
      </c>
      <c r="F140" s="7">
        <f aca="true" t="shared" si="53" ref="F140:P140">F98</f>
        <v>82.93000000000002</v>
      </c>
      <c r="G140" s="7">
        <f t="shared" si="53"/>
        <v>80.81799999999996</v>
      </c>
      <c r="H140" s="7">
        <f t="shared" si="53"/>
        <v>92.05708018028449</v>
      </c>
      <c r="I140" s="7">
        <f t="shared" si="53"/>
        <v>97.76554261141929</v>
      </c>
      <c r="J140" s="7">
        <f t="shared" si="53"/>
        <v>105.97366172908845</v>
      </c>
      <c r="K140" s="7">
        <f t="shared" si="53"/>
        <v>114.82955817275895</v>
      </c>
      <c r="L140" s="7">
        <f t="shared" si="53"/>
        <v>124.60957156216075</v>
      </c>
      <c r="M140" s="7">
        <f t="shared" si="53"/>
        <v>135.99157069285317</v>
      </c>
      <c r="N140" s="7">
        <f t="shared" si="53"/>
        <v>148.7290543927012</v>
      </c>
      <c r="O140" s="7">
        <f t="shared" si="53"/>
        <v>163.14482744686853</v>
      </c>
      <c r="P140" s="7">
        <f t="shared" si="53"/>
        <v>179.5768539646048</v>
      </c>
    </row>
    <row r="141" ht="15">
      <c r="C141" t="s">
        <v>52</v>
      </c>
    </row>
    <row r="142" spans="3:16" ht="15">
      <c r="C142" s="59" t="s">
        <v>17</v>
      </c>
      <c r="D142" s="17" t="s">
        <v>11</v>
      </c>
      <c r="E142" s="12">
        <f>12.757+0.05</f>
        <v>12.807</v>
      </c>
      <c r="F142" s="12">
        <f>14.491+0.174</f>
        <v>14.665</v>
      </c>
      <c r="G142" s="12">
        <f>14.388+0.604</f>
        <v>14.991999999999999</v>
      </c>
      <c r="H142" s="12">
        <f>-H92</f>
        <v>16.095869485468725</v>
      </c>
      <c r="I142" s="12">
        <f aca="true" t="shared" si="54" ref="I142:P142">-I92</f>
        <v>17.443077074709116</v>
      </c>
      <c r="J142" s="12">
        <f t="shared" si="54"/>
        <v>18.954555912937145</v>
      </c>
      <c r="K142" s="12">
        <f t="shared" si="54"/>
        <v>20.653228346479352</v>
      </c>
      <c r="L142" s="12">
        <f t="shared" si="54"/>
        <v>22.56532848689526</v>
      </c>
      <c r="M142" s="12">
        <f t="shared" si="54"/>
        <v>24.72088457581369</v>
      </c>
      <c r="N142" s="12">
        <f t="shared" si="54"/>
        <v>27.154271736345486</v>
      </c>
      <c r="O142" s="12">
        <f t="shared" si="54"/>
        <v>29.904845386128883</v>
      </c>
      <c r="P142" s="12">
        <f t="shared" si="54"/>
        <v>33.0176670871599</v>
      </c>
    </row>
    <row r="143" spans="3:16" ht="15">
      <c r="C143" s="59" t="s">
        <v>53</v>
      </c>
      <c r="D143" s="17" t="s">
        <v>11</v>
      </c>
      <c r="E143" s="14">
        <v>-1.494</v>
      </c>
      <c r="F143" s="14">
        <v>-1.53</v>
      </c>
      <c r="G143" s="14">
        <v>-3.085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</row>
    <row r="144" spans="3:16" ht="15">
      <c r="C144" s="59" t="s">
        <v>55</v>
      </c>
      <c r="D144" s="17" t="s">
        <v>11</v>
      </c>
      <c r="E144" s="14">
        <v>2.205</v>
      </c>
      <c r="F144" s="14">
        <v>2.656</v>
      </c>
      <c r="G144" s="14">
        <v>2.449</v>
      </c>
      <c r="H144" s="6">
        <f>H63*-H91</f>
        <v>2.772854090257075</v>
      </c>
      <c r="I144" s="6">
        <f aca="true" t="shared" si="55" ref="I144:P144">I63*-I91</f>
        <v>3.0049391029755914</v>
      </c>
      <c r="J144" s="6">
        <f t="shared" si="55"/>
        <v>3.265323314136183</v>
      </c>
      <c r="K144" s="6">
        <f t="shared" si="55"/>
        <v>3.557955582905929</v>
      </c>
      <c r="L144" s="6">
        <f t="shared" si="55"/>
        <v>3.887355290086705</v>
      </c>
      <c r="M144" s="6">
        <f t="shared" si="55"/>
        <v>4.2586954356645546</v>
      </c>
      <c r="N144" s="6">
        <f t="shared" si="55"/>
        <v>4.677897861936162</v>
      </c>
      <c r="O144" s="6">
        <f t="shared" si="55"/>
        <v>5.151742372308267</v>
      </c>
      <c r="P144" s="6">
        <f t="shared" si="55"/>
        <v>5.687991774289144</v>
      </c>
    </row>
    <row r="145" spans="3:16" ht="15">
      <c r="C145" s="59" t="s">
        <v>54</v>
      </c>
      <c r="D145" s="17" t="s">
        <v>11</v>
      </c>
      <c r="E145" s="12">
        <f>+-1.098+0.095</f>
        <v>-1.0030000000000001</v>
      </c>
      <c r="F145" s="12">
        <f>0.154+-1.138</f>
        <v>-0.9839999999999999</v>
      </c>
      <c r="G145" s="12">
        <f>0.204+-0.936</f>
        <v>-0.7320000000000001</v>
      </c>
      <c r="H145" s="12">
        <f>+-H97</f>
        <v>0.34478951901783517</v>
      </c>
      <c r="I145" s="12">
        <f aca="true" t="shared" si="56" ref="I145:P145">+-I97</f>
        <v>1.503914386536043</v>
      </c>
      <c r="J145" s="12">
        <f t="shared" si="56"/>
        <v>2.3289481080015753</v>
      </c>
      <c r="K145" s="12">
        <f t="shared" si="56"/>
        <v>3.207599490618162</v>
      </c>
      <c r="L145" s="12">
        <f t="shared" si="56"/>
        <v>4.163590836133876</v>
      </c>
      <c r="M145" s="12">
        <f t="shared" si="56"/>
        <v>5.211465352672843</v>
      </c>
      <c r="N145" s="12">
        <f t="shared" si="56"/>
        <v>6.355929728224616</v>
      </c>
      <c r="O145" s="12">
        <f t="shared" si="56"/>
        <v>7.610149311026886</v>
      </c>
      <c r="P145" s="12">
        <f t="shared" si="56"/>
        <v>8.988050029017217</v>
      </c>
    </row>
    <row r="146" spans="3:16" ht="15">
      <c r="C146" s="19" t="s">
        <v>56</v>
      </c>
      <c r="D146" s="17" t="s">
        <v>11</v>
      </c>
      <c r="E146" s="12">
        <f>+-0.037+0.006+0.028</f>
        <v>-0.002999999999999999</v>
      </c>
      <c r="F146" s="12">
        <f>0+0.154</f>
        <v>0.154</v>
      </c>
      <c r="G146" s="12">
        <f>0.01+0.143</f>
        <v>0.153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</row>
    <row r="147" spans="3:16" ht="15">
      <c r="C147" s="51" t="s">
        <v>57</v>
      </c>
      <c r="D147" s="17" t="s">
        <v>11</v>
      </c>
      <c r="E147" s="14">
        <v>-8.114</v>
      </c>
      <c r="F147" s="14">
        <v>-28.474</v>
      </c>
      <c r="G147" s="14">
        <v>16.343</v>
      </c>
      <c r="H147" s="12">
        <f>G111-H111</f>
        <v>-3.2509926711472588</v>
      </c>
      <c r="I147" s="12">
        <f aca="true" t="shared" si="57" ref="I147:P147">H111-I111</f>
        <v>-7.831711381950626</v>
      </c>
      <c r="J147" s="12">
        <f t="shared" si="57"/>
        <v>-8.786668153793897</v>
      </c>
      <c r="K147" s="12">
        <f t="shared" si="57"/>
        <v>-9.874879222940933</v>
      </c>
      <c r="L147" s="12">
        <f t="shared" si="57"/>
        <v>-11.115596848417539</v>
      </c>
      <c r="M147" s="12">
        <f t="shared" si="57"/>
        <v>-12.530877416994116</v>
      </c>
      <c r="N147" s="12">
        <f t="shared" si="57"/>
        <v>-14.145990620921907</v>
      </c>
      <c r="O147" s="12">
        <f t="shared" si="57"/>
        <v>-15.989888367573855</v>
      </c>
      <c r="P147" s="12">
        <f t="shared" si="57"/>
        <v>-18.09574214148634</v>
      </c>
    </row>
    <row r="148" spans="3:16" ht="15">
      <c r="C148" s="51" t="s">
        <v>58</v>
      </c>
      <c r="D148" s="17" t="s">
        <v>11</v>
      </c>
      <c r="E148" s="14">
        <v>-0.226</v>
      </c>
      <c r="F148" s="14">
        <v>-0.417</v>
      </c>
      <c r="G148" s="14">
        <v>0.039</v>
      </c>
      <c r="H148" s="12">
        <f>+G112-H112</f>
        <v>-0.986728750794482</v>
      </c>
      <c r="I148" s="12">
        <f aca="true" t="shared" si="58" ref="I148:P148">+H112-I112</f>
        <v>-0.9158113530796204</v>
      </c>
      <c r="J148" s="12">
        <f t="shared" si="58"/>
        <v>-1.0274804648104094</v>
      </c>
      <c r="K148" s="12">
        <f t="shared" si="58"/>
        <v>-1.1547318410509302</v>
      </c>
      <c r="L148" s="12">
        <f t="shared" si="58"/>
        <v>-1.2998167697417582</v>
      </c>
      <c r="M148" s="12">
        <f t="shared" si="58"/>
        <v>-1.4653144431471556</v>
      </c>
      <c r="N148" s="12">
        <f t="shared" si="58"/>
        <v>-1.6541798055856667</v>
      </c>
      <c r="O148" s="12">
        <f t="shared" si="58"/>
        <v>-1.8697983859886058</v>
      </c>
      <c r="P148" s="12">
        <f t="shared" si="58"/>
        <v>-2.1160491350291437</v>
      </c>
    </row>
    <row r="149" spans="3:16" ht="15">
      <c r="C149" s="51" t="s">
        <v>59</v>
      </c>
      <c r="D149" s="17" t="s">
        <v>11</v>
      </c>
      <c r="E149" s="14">
        <v>-2.139</v>
      </c>
      <c r="F149" s="14">
        <v>24.025</v>
      </c>
      <c r="G149" s="14">
        <v>-13.109</v>
      </c>
      <c r="H149" s="12">
        <f>H120-G120</f>
        <v>2.582265822104148</v>
      </c>
      <c r="I149" s="12">
        <f aca="true" t="shared" si="59" ref="I149:P149">I120-H120</f>
        <v>12.354619213498523</v>
      </c>
      <c r="J149" s="12">
        <f t="shared" si="59"/>
        <v>13.396762859363719</v>
      </c>
      <c r="K149" s="12">
        <f t="shared" si="59"/>
        <v>15.201822921631248</v>
      </c>
      <c r="L149" s="12">
        <f t="shared" si="59"/>
        <v>17.189317010812857</v>
      </c>
      <c r="M149" s="12">
        <f t="shared" si="59"/>
        <v>19.263639810206797</v>
      </c>
      <c r="N149" s="12">
        <f t="shared" si="59"/>
        <v>21.79898861962579</v>
      </c>
      <c r="O149" s="12">
        <f t="shared" si="59"/>
        <v>24.647930989302353</v>
      </c>
      <c r="P149" s="12">
        <f t="shared" si="59"/>
        <v>27.86739871393837</v>
      </c>
    </row>
    <row r="150" spans="3:16" ht="15">
      <c r="C150" s="51" t="s">
        <v>60</v>
      </c>
      <c r="D150" s="17" t="s">
        <v>11</v>
      </c>
      <c r="E150" s="14">
        <v>1.71</v>
      </c>
      <c r="F150" s="14">
        <v>-1.099</v>
      </c>
      <c r="G150" s="14">
        <v>-0.568</v>
      </c>
      <c r="H150" s="12">
        <f>H122-G122</f>
        <v>2.451221511438918</v>
      </c>
      <c r="I150" s="12">
        <f aca="true" t="shared" si="60" ref="I150:P150">I122-H122</f>
        <v>1.1373200535091765</v>
      </c>
      <c r="J150" s="12">
        <f t="shared" si="60"/>
        <v>1.2759987450343537</v>
      </c>
      <c r="K150" s="12">
        <f t="shared" si="60"/>
        <v>1.434028607350772</v>
      </c>
      <c r="L150" s="12">
        <f t="shared" si="60"/>
        <v>1.614205450875538</v>
      </c>
      <c r="M150" s="12">
        <f t="shared" si="60"/>
        <v>1.8197323010724915</v>
      </c>
      <c r="N150" s="12">
        <f t="shared" si="60"/>
        <v>2.05427881918704</v>
      </c>
      <c r="O150" s="12">
        <f t="shared" si="60"/>
        <v>2.3220493972398444</v>
      </c>
      <c r="P150" s="12">
        <f t="shared" si="60"/>
        <v>2.627861193668952</v>
      </c>
    </row>
    <row r="151" spans="3:16" s="39" customFormat="1" ht="15">
      <c r="C151" s="51" t="s">
        <v>137</v>
      </c>
      <c r="D151" s="17" t="s">
        <v>11</v>
      </c>
      <c r="E151" s="57">
        <v>0</v>
      </c>
      <c r="F151" s="57">
        <v>0</v>
      </c>
      <c r="G151" s="57">
        <v>0</v>
      </c>
      <c r="H151" s="58">
        <f>+H123-G123</f>
        <v>2.760920490589003</v>
      </c>
      <c r="I151" s="58">
        <f aca="true" t="shared" si="61" ref="I151:P151">+I123-H123</f>
        <v>0.971382211255408</v>
      </c>
      <c r="J151" s="58">
        <f t="shared" si="61"/>
        <v>1.3967370364534801</v>
      </c>
      <c r="K151" s="58">
        <f t="shared" si="61"/>
        <v>1.5069662582313654</v>
      </c>
      <c r="L151" s="58">
        <f t="shared" si="61"/>
        <v>1.6642188937759315</v>
      </c>
      <c r="M151" s="58">
        <f t="shared" si="61"/>
        <v>1.9368212749858102</v>
      </c>
      <c r="N151" s="58">
        <f t="shared" si="61"/>
        <v>2.167477710758696</v>
      </c>
      <c r="O151" s="58">
        <f t="shared" si="61"/>
        <v>2.4530643190253016</v>
      </c>
      <c r="P151" s="58">
        <f t="shared" si="61"/>
        <v>2.7961606906876035</v>
      </c>
    </row>
    <row r="152" spans="3:16" s="39" customFormat="1" ht="15">
      <c r="C152" s="51" t="s">
        <v>138</v>
      </c>
      <c r="D152" s="17" t="s">
        <v>11</v>
      </c>
      <c r="E152" s="57">
        <v>0</v>
      </c>
      <c r="F152" s="57">
        <v>0</v>
      </c>
      <c r="G152" s="57">
        <v>0</v>
      </c>
      <c r="H152" s="58">
        <f>+H124-G124</f>
        <v>0.9484055761154022</v>
      </c>
      <c r="I152" s="58">
        <f aca="true" t="shared" si="62" ref="I152:P152">+I124-H124</f>
        <v>0.29723923021302845</v>
      </c>
      <c r="J152" s="58">
        <f t="shared" si="62"/>
        <v>0.4273961749710278</v>
      </c>
      <c r="K152" s="58">
        <f t="shared" si="62"/>
        <v>0.4611258939720546</v>
      </c>
      <c r="L152" s="58">
        <f t="shared" si="62"/>
        <v>0.5092445971937511</v>
      </c>
      <c r="M152" s="58">
        <f t="shared" si="62"/>
        <v>0.5926598800826</v>
      </c>
      <c r="N152" s="58">
        <f t="shared" si="62"/>
        <v>0.6632398645813957</v>
      </c>
      <c r="O152" s="58">
        <f t="shared" si="62"/>
        <v>0.7506282711393109</v>
      </c>
      <c r="P152" s="58">
        <f t="shared" si="62"/>
        <v>0.8556144446764886</v>
      </c>
    </row>
    <row r="153" spans="3:16" ht="15">
      <c r="C153" s="20" t="s">
        <v>61</v>
      </c>
      <c r="D153" s="17" t="s">
        <v>11</v>
      </c>
      <c r="E153" s="14">
        <v>-12.534</v>
      </c>
      <c r="F153" s="14">
        <v>-12.693</v>
      </c>
      <c r="G153" s="14">
        <v>-13.97</v>
      </c>
      <c r="H153" s="12">
        <f>+H71*H100</f>
        <v>-15.612645496096428</v>
      </c>
      <c r="I153" s="12">
        <f aca="true" t="shared" si="63" ref="I153:P153">+I71*I100</f>
        <v>-16.580786133302734</v>
      </c>
      <c r="J153" s="12">
        <f t="shared" si="63"/>
        <v>-17.972862155298333</v>
      </c>
      <c r="K153" s="12">
        <f t="shared" si="63"/>
        <v>-19.474799556032668</v>
      </c>
      <c r="L153" s="12">
        <f t="shared" si="63"/>
        <v>-21.13346482867411</v>
      </c>
      <c r="M153" s="12">
        <f t="shared" si="63"/>
        <v>-23.063822788283137</v>
      </c>
      <c r="N153" s="12">
        <f t="shared" si="63"/>
        <v>-25.224067466134912</v>
      </c>
      <c r="O153" s="12">
        <f t="shared" si="63"/>
        <v>-27.668945728688108</v>
      </c>
      <c r="P153" s="12">
        <f t="shared" si="63"/>
        <v>-30.455775425018363</v>
      </c>
    </row>
    <row r="154" spans="3:16" ht="15">
      <c r="C154" s="51" t="s">
        <v>62</v>
      </c>
      <c r="D154" s="17" t="s">
        <v>11</v>
      </c>
      <c r="E154" s="14">
        <v>0</v>
      </c>
      <c r="F154" s="14">
        <v>-0.379</v>
      </c>
      <c r="G154" s="14">
        <v>-0.637</v>
      </c>
      <c r="H154" s="12">
        <f>+H196</f>
        <v>-1.5555723000000001</v>
      </c>
      <c r="I154" s="12">
        <f aca="true" t="shared" si="64" ref="I154:P154">+I196</f>
        <v>-2.8160384310599738</v>
      </c>
      <c r="J154" s="12">
        <f t="shared" si="64"/>
        <v>-3.754770424793283</v>
      </c>
      <c r="K154" s="12">
        <f t="shared" si="64"/>
        <v>-4.761201380605265</v>
      </c>
      <c r="L154" s="12">
        <f t="shared" si="64"/>
        <v>-5.86102701401821</v>
      </c>
      <c r="M154" s="12">
        <f t="shared" si="64"/>
        <v>-7.071049353528773</v>
      </c>
      <c r="N154" s="12">
        <f t="shared" si="64"/>
        <v>-8.398560893826438</v>
      </c>
      <c r="O154" s="12">
        <f t="shared" si="64"/>
        <v>-9.859687423531305</v>
      </c>
      <c r="P154" s="12">
        <f t="shared" si="64"/>
        <v>-11.471744545391497</v>
      </c>
    </row>
    <row r="155" spans="1:16" s="8" customFormat="1" ht="15">
      <c r="A155"/>
      <c r="B155"/>
      <c r="C155" s="15" t="s">
        <v>63</v>
      </c>
      <c r="D155" s="21" t="s">
        <v>11</v>
      </c>
      <c r="E155" s="22">
        <f>SUM(E140:E154)</f>
        <v>72.81599999999992</v>
      </c>
      <c r="F155" s="22">
        <f>SUM(F140:F154)</f>
        <v>78.85400000000003</v>
      </c>
      <c r="G155" s="22">
        <f>SUM(G140:G154)</f>
        <v>82.69299999999998</v>
      </c>
      <c r="H155" s="22">
        <f aca="true" t="shared" si="65" ref="H155:P155">SUM(H140:H154)</f>
        <v>98.60746745723742</v>
      </c>
      <c r="I155" s="22">
        <f t="shared" si="65"/>
        <v>106.3336865847232</v>
      </c>
      <c r="J155" s="22">
        <f t="shared" si="65"/>
        <v>115.47760268129005</v>
      </c>
      <c r="K155" s="22">
        <f t="shared" si="65"/>
        <v>125.58667327331797</v>
      </c>
      <c r="L155" s="22">
        <f t="shared" si="65"/>
        <v>136.79292666708304</v>
      </c>
      <c r="M155" s="22">
        <f t="shared" si="65"/>
        <v>149.6644053213988</v>
      </c>
      <c r="N155" s="22">
        <f t="shared" si="65"/>
        <v>164.17833994689144</v>
      </c>
      <c r="O155" s="22">
        <f t="shared" si="65"/>
        <v>180.5969175872575</v>
      </c>
      <c r="P155" s="22">
        <f t="shared" si="65"/>
        <v>199.27828665111716</v>
      </c>
    </row>
    <row r="157" spans="2:16" ht="15">
      <c r="B157" s="40"/>
      <c r="C157" s="40" t="s">
        <v>64</v>
      </c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</row>
    <row r="158" spans="3:16" ht="15">
      <c r="C158" s="50" t="s">
        <v>65</v>
      </c>
      <c r="D158" s="17" t="s">
        <v>11</v>
      </c>
      <c r="E158" s="14">
        <v>-34.687</v>
      </c>
      <c r="F158" s="14">
        <v>-14.497</v>
      </c>
      <c r="G158" s="14">
        <v>-10.007</v>
      </c>
      <c r="H158" s="12">
        <f>-H69*H86</f>
        <v>-23.408750859662533</v>
      </c>
      <c r="I158" s="12">
        <f aca="true" t="shared" si="66" ref="I158:P158">-I69*I86</f>
        <v>-25.368039038610913</v>
      </c>
      <c r="J158" s="12">
        <f t="shared" si="66"/>
        <v>-27.56623228226729</v>
      </c>
      <c r="K158" s="12">
        <f t="shared" si="66"/>
        <v>-30.03666731063682</v>
      </c>
      <c r="L158" s="12">
        <f t="shared" si="66"/>
        <v>-32.81749725251295</v>
      </c>
      <c r="M158" s="12">
        <f t="shared" si="66"/>
        <v>-35.952393164478075</v>
      </c>
      <c r="N158" s="12">
        <f t="shared" si="66"/>
        <v>-39.491347915410664</v>
      </c>
      <c r="O158" s="12">
        <f t="shared" si="66"/>
        <v>-43.49159737985003</v>
      </c>
      <c r="P158" s="12">
        <f t="shared" si="66"/>
        <v>-48.01867606520904</v>
      </c>
    </row>
    <row r="159" spans="3:16" ht="15">
      <c r="C159" s="50" t="s">
        <v>66</v>
      </c>
      <c r="D159" s="17" t="s">
        <v>11</v>
      </c>
      <c r="E159" s="14">
        <v>1.126</v>
      </c>
      <c r="F159" s="14">
        <v>1.188</v>
      </c>
      <c r="G159" s="14">
        <v>0.952</v>
      </c>
      <c r="H159" s="6">
        <f>(H65*H86)</f>
        <v>1.210782780982165</v>
      </c>
      <c r="I159" s="6">
        <f aca="true" t="shared" si="67" ref="I159:P159">(I65*I86)</f>
        <v>1.3121240445239308</v>
      </c>
      <c r="J159" s="6">
        <f t="shared" si="67"/>
        <v>1.425822316791708</v>
      </c>
      <c r="K159" s="6">
        <f t="shared" si="67"/>
        <v>1.553601889987103</v>
      </c>
      <c r="L159" s="6">
        <f t="shared" si="67"/>
        <v>1.6974361778843337</v>
      </c>
      <c r="M159" s="6">
        <f t="shared" si="67"/>
        <v>1.8595840008559297</v>
      </c>
      <c r="N159" s="6">
        <f t="shared" si="67"/>
        <v>2.042631165601822</v>
      </c>
      <c r="O159" s="6">
        <f t="shared" si="67"/>
        <v>2.2495381125044194</v>
      </c>
      <c r="P159" s="6">
        <f t="shared" si="67"/>
        <v>2.483694516374279</v>
      </c>
    </row>
    <row r="160" spans="3:16" ht="15">
      <c r="C160" t="s">
        <v>67</v>
      </c>
      <c r="D160" s="17" t="s">
        <v>11</v>
      </c>
      <c r="E160" s="14">
        <v>-115.328</v>
      </c>
      <c r="F160" s="14">
        <v>-31.063</v>
      </c>
      <c r="G160" s="14">
        <v>-125.733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</row>
    <row r="161" spans="3:16" ht="15">
      <c r="C161" t="s">
        <v>68</v>
      </c>
      <c r="D161" s="17" t="s">
        <v>11</v>
      </c>
      <c r="E161" s="12">
        <f>+-29.786+0.479</f>
        <v>-29.307000000000002</v>
      </c>
      <c r="F161" s="12">
        <f>0+0</f>
        <v>0</v>
      </c>
      <c r="G161" s="12">
        <f>+-5.888+0.012</f>
        <v>-5.876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</row>
    <row r="162" spans="3:256" ht="15">
      <c r="C162" s="15" t="s">
        <v>63</v>
      </c>
      <c r="D162" s="21" t="s">
        <v>11</v>
      </c>
      <c r="E162" s="23">
        <f>SUM(E158:E161)</f>
        <v>-178.19600000000003</v>
      </c>
      <c r="F162" s="23">
        <f>SUM(F158:F161)</f>
        <v>-44.372</v>
      </c>
      <c r="G162" s="23">
        <f>SUM(G158:G161)</f>
        <v>-140.66400000000002</v>
      </c>
      <c r="H162" s="23">
        <f>SUM(H158:H161)</f>
        <v>-22.19796807868037</v>
      </c>
      <c r="I162" s="23">
        <f aca="true" t="shared" si="68" ref="I162:P162">SUM(I158:I161)</f>
        <v>-24.055914994086983</v>
      </c>
      <c r="J162" s="23">
        <f t="shared" si="68"/>
        <v>-26.14040996547558</v>
      </c>
      <c r="K162" s="23">
        <f t="shared" si="68"/>
        <v>-28.483065420649716</v>
      </c>
      <c r="L162" s="23">
        <f t="shared" si="68"/>
        <v>-31.120061074628616</v>
      </c>
      <c r="M162" s="23">
        <f t="shared" si="68"/>
        <v>-34.09280916362214</v>
      </c>
      <c r="N162" s="23">
        <f t="shared" si="68"/>
        <v>-37.44871674980884</v>
      </c>
      <c r="O162" s="23">
        <f t="shared" si="68"/>
        <v>-41.24205926734561</v>
      </c>
      <c r="P162" s="23">
        <f t="shared" si="68"/>
        <v>-45.534981548834764</v>
      </c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</row>
    <row r="164" spans="2:16" ht="15">
      <c r="B164" s="40"/>
      <c r="C164" s="40" t="s">
        <v>69</v>
      </c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</row>
    <row r="165" spans="3:16" ht="15">
      <c r="C165" s="50" t="s">
        <v>71</v>
      </c>
      <c r="D165" s="17" t="s">
        <v>11</v>
      </c>
      <c r="E165" s="12">
        <f>+-11.581+-0.1</f>
        <v>-11.681</v>
      </c>
      <c r="F165" s="12">
        <f>-13.98+-0.116</f>
        <v>-14.096</v>
      </c>
      <c r="G165" s="12">
        <f>-14.389+0</f>
        <v>-14.389</v>
      </c>
      <c r="H165" s="12">
        <f>+-H73*H101</f>
        <v>-14.930982800416507</v>
      </c>
      <c r="I165" s="12">
        <f aca="true" t="shared" si="69" ref="I165:P165">+-I73*I101</f>
        <v>-15.856853512470128</v>
      </c>
      <c r="J165" s="12">
        <f t="shared" si="69"/>
        <v>-17.18815019415584</v>
      </c>
      <c r="K165" s="12">
        <f t="shared" si="69"/>
        <v>-18.624511604095847</v>
      </c>
      <c r="L165" s="12">
        <f t="shared" si="69"/>
        <v>-20.21075800056015</v>
      </c>
      <c r="M165" s="12">
        <f t="shared" si="69"/>
        <v>-22.05683472732473</v>
      </c>
      <c r="N165" s="12">
        <f t="shared" si="69"/>
        <v>-24.122761103335808</v>
      </c>
      <c r="O165" s="12">
        <f t="shared" si="69"/>
        <v>-26.460893695689933</v>
      </c>
      <c r="P165" s="12">
        <f t="shared" si="69"/>
        <v>-29.126047802596457</v>
      </c>
    </row>
    <row r="166" spans="3:16" ht="15">
      <c r="C166" s="50" t="s">
        <v>70</v>
      </c>
      <c r="D166" s="17" t="s">
        <v>11</v>
      </c>
      <c r="E166" s="12">
        <f>105.792+-80.152+1.376</f>
        <v>27.016000000000002</v>
      </c>
      <c r="F166" s="12">
        <f>95.886+-97.992+0.233</f>
        <v>-1.8730000000000087</v>
      </c>
      <c r="G166" s="12">
        <f>236.219+-186.721+0.233</f>
        <v>49.73099999999999</v>
      </c>
      <c r="H166" s="6">
        <f>+H204+H195</f>
        <v>33.856957242398934</v>
      </c>
      <c r="I166" s="6">
        <f aca="true" t="shared" si="70" ref="I166:P166">+I204+I195</f>
        <v>37.12985974933238</v>
      </c>
      <c r="J166" s="6">
        <f t="shared" si="70"/>
        <v>40.25723823247928</v>
      </c>
      <c r="K166" s="6">
        <f t="shared" si="70"/>
        <v>43.993025336517775</v>
      </c>
      <c r="L166" s="6">
        <f t="shared" si="70"/>
        <v>48.40089358042252</v>
      </c>
      <c r="M166" s="6">
        <f t="shared" si="70"/>
        <v>53.10046161190661</v>
      </c>
      <c r="N166" s="6">
        <f t="shared" si="70"/>
        <v>58.44506118819467</v>
      </c>
      <c r="O166" s="6">
        <f t="shared" si="70"/>
        <v>64.48228487440764</v>
      </c>
      <c r="P166" s="6">
        <f t="shared" si="70"/>
        <v>71.21247256899201</v>
      </c>
    </row>
    <row r="167" spans="3:16" ht="15">
      <c r="C167" s="50" t="s">
        <v>72</v>
      </c>
      <c r="D167" s="17" t="s">
        <v>11</v>
      </c>
      <c r="E167" s="6">
        <f>12.396+13.414</f>
        <v>25.810000000000002</v>
      </c>
      <c r="F167" s="6">
        <f>7.093+0</f>
        <v>7.093</v>
      </c>
      <c r="G167" s="6">
        <f>5.278+4.122</f>
        <v>9.399999999999999</v>
      </c>
      <c r="H167" s="6">
        <f>+H75*H86</f>
        <v>16.780028537499337</v>
      </c>
      <c r="I167" s="6">
        <f aca="true" t="shared" si="71" ref="I167:P167">+I75*I86</f>
        <v>18.184499530122515</v>
      </c>
      <c r="J167" s="6">
        <f t="shared" si="71"/>
        <v>19.760224163214875</v>
      </c>
      <c r="K167" s="6">
        <f t="shared" si="71"/>
        <v>21.531099103300264</v>
      </c>
      <c r="L167" s="6">
        <f t="shared" si="71"/>
        <v>23.524473549564362</v>
      </c>
      <c r="M167" s="6">
        <f t="shared" si="71"/>
        <v>25.771652101731807</v>
      </c>
      <c r="N167" s="6">
        <f t="shared" si="71"/>
        <v>28.30847100631917</v>
      </c>
      <c r="O167" s="6">
        <f t="shared" si="71"/>
        <v>31.175958493063977</v>
      </c>
      <c r="P167" s="6">
        <f t="shared" si="71"/>
        <v>34.421091477187865</v>
      </c>
    </row>
    <row r="168" spans="3:256" ht="15">
      <c r="C168" s="15" t="s">
        <v>63</v>
      </c>
      <c r="D168" s="21" t="s">
        <v>11</v>
      </c>
      <c r="E168" s="23">
        <f>SUM(E165:E167)</f>
        <v>41.145</v>
      </c>
      <c r="F168" s="23">
        <f>SUM(F165:F167)</f>
        <v>-8.876000000000008</v>
      </c>
      <c r="G168" s="23">
        <f>SUM(G165:G167)</f>
        <v>44.74199999999998</v>
      </c>
      <c r="H168" s="23">
        <f aca="true" t="shared" si="72" ref="H168:P168">SUM(H165:H167)</f>
        <v>35.70600297948177</v>
      </c>
      <c r="I168" s="23">
        <f t="shared" si="72"/>
        <v>39.45750576698477</v>
      </c>
      <c r="J168" s="23">
        <f t="shared" si="72"/>
        <v>42.829312201538315</v>
      </c>
      <c r="K168" s="23">
        <f t="shared" si="72"/>
        <v>46.899612835722195</v>
      </c>
      <c r="L168" s="23">
        <f t="shared" si="72"/>
        <v>51.714609129426734</v>
      </c>
      <c r="M168" s="23">
        <f t="shared" si="72"/>
        <v>56.815278986313686</v>
      </c>
      <c r="N168" s="23">
        <f t="shared" si="72"/>
        <v>62.63077109117803</v>
      </c>
      <c r="O168" s="23">
        <f t="shared" si="72"/>
        <v>69.19734967178168</v>
      </c>
      <c r="P168" s="23">
        <f t="shared" si="72"/>
        <v>76.50751624358341</v>
      </c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</row>
    <row r="170" spans="3:16" ht="15">
      <c r="C170" s="50" t="s">
        <v>73</v>
      </c>
      <c r="D170" s="17" t="s">
        <v>11</v>
      </c>
      <c r="E170" s="12">
        <f>E155+E162+E168</f>
        <v>-64.2350000000001</v>
      </c>
      <c r="F170" s="12">
        <f aca="true" t="shared" si="73" ref="F170:P170">F155+F162+F168</f>
        <v>25.60600000000002</v>
      </c>
      <c r="G170" s="12">
        <f t="shared" si="73"/>
        <v>-13.229000000000049</v>
      </c>
      <c r="H170" s="12">
        <f t="shared" si="73"/>
        <v>112.11550235803882</v>
      </c>
      <c r="I170" s="12">
        <f t="shared" si="73"/>
        <v>121.73527735762097</v>
      </c>
      <c r="J170" s="12">
        <f t="shared" si="73"/>
        <v>132.16650491735277</v>
      </c>
      <c r="K170" s="12">
        <f t="shared" si="73"/>
        <v>144.00322068839046</v>
      </c>
      <c r="L170" s="12">
        <f t="shared" si="73"/>
        <v>157.38747472188118</v>
      </c>
      <c r="M170" s="12">
        <f t="shared" si="73"/>
        <v>172.3868751440903</v>
      </c>
      <c r="N170" s="12">
        <f t="shared" si="73"/>
        <v>189.36039428826064</v>
      </c>
      <c r="O170" s="12">
        <f t="shared" si="73"/>
        <v>208.5522079916936</v>
      </c>
      <c r="P170" s="12">
        <f t="shared" si="73"/>
        <v>230.2508213458658</v>
      </c>
    </row>
    <row r="171" spans="3:16" ht="15">
      <c r="C171" s="50" t="s">
        <v>75</v>
      </c>
      <c r="D171" s="17" t="s">
        <v>11</v>
      </c>
      <c r="E171" s="9">
        <v>150.179</v>
      </c>
      <c r="F171" s="6">
        <f>E173</f>
        <v>86.0569999999999</v>
      </c>
      <c r="G171" s="6">
        <f>F173</f>
        <v>111.49299999999992</v>
      </c>
      <c r="H171" s="6">
        <f aca="true" t="shared" si="74" ref="H171:P171">G173</f>
        <v>97.87999999999987</v>
      </c>
      <c r="I171" s="6">
        <f t="shared" si="74"/>
        <v>209.84276303927922</v>
      </c>
      <c r="J171" s="6">
        <f t="shared" si="74"/>
        <v>331.41251695550636</v>
      </c>
      <c r="K171" s="6">
        <f t="shared" si="74"/>
        <v>463.39915548166204</v>
      </c>
      <c r="L171" s="6">
        <f t="shared" si="74"/>
        <v>607.206390483745</v>
      </c>
      <c r="M171" s="6">
        <f t="shared" si="74"/>
        <v>764.3797349342678</v>
      </c>
      <c r="N171" s="6">
        <f t="shared" si="74"/>
        <v>936.5320249835517</v>
      </c>
      <c r="O171" s="6">
        <f t="shared" si="74"/>
        <v>1125.6347429176294</v>
      </c>
      <c r="P171" s="6">
        <f t="shared" si="74"/>
        <v>1333.903173402553</v>
      </c>
    </row>
    <row r="172" spans="3:16" ht="15">
      <c r="C172" s="50" t="s">
        <v>74</v>
      </c>
      <c r="D172" s="17" t="s">
        <v>11</v>
      </c>
      <c r="E172" s="9">
        <v>0.113</v>
      </c>
      <c r="F172" s="14">
        <v>-0.17</v>
      </c>
      <c r="G172" s="14">
        <v>-0.384</v>
      </c>
      <c r="H172" s="56">
        <f>+H67*H86</f>
        <v>-0.15273931875947297</v>
      </c>
      <c r="I172" s="56">
        <f aca="true" t="shared" si="75" ref="I172:P172">+I67*I86</f>
        <v>-0.16552344139378844</v>
      </c>
      <c r="J172" s="56">
        <f t="shared" si="75"/>
        <v>-0.17986639119707373</v>
      </c>
      <c r="K172" s="56">
        <f t="shared" si="75"/>
        <v>-0.19598568630747248</v>
      </c>
      <c r="L172" s="56">
        <f t="shared" si="75"/>
        <v>-0.21413027135835666</v>
      </c>
      <c r="M172" s="56">
        <f t="shared" si="75"/>
        <v>-0.23458509480647605</v>
      </c>
      <c r="N172" s="56">
        <f t="shared" si="75"/>
        <v>-0.25767635418287815</v>
      </c>
      <c r="O172" s="56">
        <f t="shared" si="75"/>
        <v>-0.28377750677018987</v>
      </c>
      <c r="P172" s="56">
        <f t="shared" si="75"/>
        <v>-0.3133161574447878</v>
      </c>
    </row>
    <row r="173" spans="3:16" ht="15">
      <c r="C173" s="15" t="s">
        <v>76</v>
      </c>
      <c r="D173" s="21" t="s">
        <v>11</v>
      </c>
      <c r="E173" s="22">
        <f>SUM(E170:E172)</f>
        <v>86.0569999999999</v>
      </c>
      <c r="F173" s="22">
        <f>SUM(F170:F172)</f>
        <v>111.49299999999992</v>
      </c>
      <c r="G173" s="22">
        <f>SUM(G170:G172)</f>
        <v>97.87999999999987</v>
      </c>
      <c r="H173" s="22">
        <f aca="true" t="shared" si="76" ref="H173:P173">SUM(H170:H172)</f>
        <v>209.84276303927922</v>
      </c>
      <c r="I173" s="22">
        <f t="shared" si="76"/>
        <v>331.41251695550636</v>
      </c>
      <c r="J173" s="22">
        <f t="shared" si="76"/>
        <v>463.39915548166204</v>
      </c>
      <c r="K173" s="22">
        <f t="shared" si="76"/>
        <v>607.206390483745</v>
      </c>
      <c r="L173" s="22">
        <f t="shared" si="76"/>
        <v>764.3797349342678</v>
      </c>
      <c r="M173" s="22">
        <f t="shared" si="76"/>
        <v>936.5320249835517</v>
      </c>
      <c r="N173" s="22">
        <f t="shared" si="76"/>
        <v>1125.6347429176294</v>
      </c>
      <c r="O173" s="22">
        <f t="shared" si="76"/>
        <v>1333.903173402553</v>
      </c>
      <c r="P173" s="22">
        <f t="shared" si="76"/>
        <v>1563.840678590974</v>
      </c>
    </row>
    <row r="176" spans="2:16" ht="15">
      <c r="B176" s="25"/>
      <c r="C176" s="25"/>
      <c r="D176" s="25"/>
      <c r="E176" s="62"/>
      <c r="F176" s="63"/>
      <c r="G176" s="63"/>
      <c r="H176" s="64" t="s">
        <v>77</v>
      </c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25" t="s">
        <v>117</v>
      </c>
      <c r="C177" s="25"/>
      <c r="D177" s="26" t="s">
        <v>7</v>
      </c>
      <c r="E177" s="27" t="s">
        <v>118</v>
      </c>
      <c r="F177" s="27" t="s">
        <v>128</v>
      </c>
      <c r="G177" s="27">
        <f>Latest_FY</f>
        <v>43100</v>
      </c>
      <c r="H177" s="29">
        <f>EOMONTH(G177,12)</f>
        <v>43465</v>
      </c>
      <c r="I177" s="28">
        <f>EOMONTH(H177,12)</f>
        <v>43830</v>
      </c>
      <c r="J177" s="27">
        <f>EOMONTH(I177,12)</f>
        <v>44196</v>
      </c>
      <c r="K177" s="28">
        <f>EOMONTH(J177,12)</f>
        <v>44561</v>
      </c>
      <c r="L177" s="27">
        <f>EOMONTH(K177,12)</f>
        <v>44926</v>
      </c>
      <c r="M177" s="28">
        <f>EOMONTH(L177,12)</f>
        <v>45291</v>
      </c>
      <c r="N177" s="27">
        <f>EOMONTH(M177,12)</f>
        <v>45657</v>
      </c>
      <c r="O177" s="27">
        <f>EOMONTH(N177,12)</f>
        <v>46022</v>
      </c>
      <c r="P177" s="27">
        <f>EOMONTH(O177,12)</f>
        <v>46387</v>
      </c>
    </row>
    <row r="179" ht="15">
      <c r="C179" s="43" t="s">
        <v>126</v>
      </c>
    </row>
    <row r="180" spans="3:16" ht="15">
      <c r="C180" t="s">
        <v>122</v>
      </c>
      <c r="D180" s="17" t="s">
        <v>11</v>
      </c>
      <c r="E180" s="3" t="s">
        <v>120</v>
      </c>
      <c r="F180" s="55">
        <f>EOMONTH(Latest_FY,12)</f>
        <v>43465</v>
      </c>
      <c r="G180" s="6">
        <f>41.942/2</f>
        <v>20.971</v>
      </c>
      <c r="H180" s="6">
        <f>IF($F180=H$177,0,G180)</f>
        <v>0</v>
      </c>
      <c r="I180" s="6">
        <f aca="true" t="shared" si="77" ref="I180:P180">IF($F180=I$177,0,H180)</f>
        <v>0</v>
      </c>
      <c r="J180" s="6">
        <f t="shared" si="77"/>
        <v>0</v>
      </c>
      <c r="K180" s="6">
        <f t="shared" si="77"/>
        <v>0</v>
      </c>
      <c r="L180" s="6">
        <f t="shared" si="77"/>
        <v>0</v>
      </c>
      <c r="M180" s="6">
        <f t="shared" si="77"/>
        <v>0</v>
      </c>
      <c r="N180" s="6">
        <f t="shared" si="77"/>
        <v>0</v>
      </c>
      <c r="O180" s="6">
        <f t="shared" si="77"/>
        <v>0</v>
      </c>
      <c r="P180" s="6">
        <f t="shared" si="77"/>
        <v>0</v>
      </c>
    </row>
    <row r="181" spans="3:16" ht="15">
      <c r="C181" t="s">
        <v>122</v>
      </c>
      <c r="D181" s="17" t="s">
        <v>11</v>
      </c>
      <c r="E181" s="54">
        <v>0.0164</v>
      </c>
      <c r="F181" s="55">
        <f>EOMONTH(Latest_FY,12)</f>
        <v>43465</v>
      </c>
      <c r="G181" s="6">
        <v>7.195</v>
      </c>
      <c r="H181" s="6">
        <f aca="true" t="shared" si="78" ref="H181:P185">IF($F181=H$177,0,G181)</f>
        <v>0</v>
      </c>
      <c r="I181" s="6">
        <f t="shared" si="78"/>
        <v>0</v>
      </c>
      <c r="J181" s="6">
        <f t="shared" si="78"/>
        <v>0</v>
      </c>
      <c r="K181" s="6">
        <f t="shared" si="78"/>
        <v>0</v>
      </c>
      <c r="L181" s="6">
        <f t="shared" si="78"/>
        <v>0</v>
      </c>
      <c r="M181" s="6">
        <f t="shared" si="78"/>
        <v>0</v>
      </c>
      <c r="N181" s="6">
        <f t="shared" si="78"/>
        <v>0</v>
      </c>
      <c r="O181" s="6">
        <f t="shared" si="78"/>
        <v>0</v>
      </c>
      <c r="P181" s="6">
        <f t="shared" si="78"/>
        <v>0</v>
      </c>
    </row>
    <row r="182" spans="3:16" ht="15">
      <c r="C182" t="s">
        <v>122</v>
      </c>
      <c r="D182" s="17" t="s">
        <v>11</v>
      </c>
      <c r="E182" s="54">
        <v>0.0208</v>
      </c>
      <c r="F182" s="55">
        <f>EOMONTH(Latest_FY,12)</f>
        <v>43465</v>
      </c>
      <c r="G182" s="6">
        <v>0.663</v>
      </c>
      <c r="H182" s="6">
        <f t="shared" si="78"/>
        <v>0</v>
      </c>
      <c r="I182" s="6">
        <f t="shared" si="78"/>
        <v>0</v>
      </c>
      <c r="J182" s="6">
        <f t="shared" si="78"/>
        <v>0</v>
      </c>
      <c r="K182" s="6">
        <f t="shared" si="78"/>
        <v>0</v>
      </c>
      <c r="L182" s="6">
        <f t="shared" si="78"/>
        <v>0</v>
      </c>
      <c r="M182" s="6">
        <f t="shared" si="78"/>
        <v>0</v>
      </c>
      <c r="N182" s="6">
        <f t="shared" si="78"/>
        <v>0</v>
      </c>
      <c r="O182" s="6">
        <f t="shared" si="78"/>
        <v>0</v>
      </c>
      <c r="P182" s="6">
        <f t="shared" si="78"/>
        <v>0</v>
      </c>
    </row>
    <row r="183" spans="3:16" ht="15">
      <c r="C183" t="s">
        <v>122</v>
      </c>
      <c r="D183" s="17" t="s">
        <v>11</v>
      </c>
      <c r="E183" s="54">
        <v>0.0069</v>
      </c>
      <c r="F183" s="55">
        <f>EOMONTH(Latest_FY,12)</f>
        <v>43465</v>
      </c>
      <c r="G183" s="6">
        <v>1.387</v>
      </c>
      <c r="H183" s="6">
        <f t="shared" si="78"/>
        <v>0</v>
      </c>
      <c r="I183" s="6">
        <f t="shared" si="78"/>
        <v>0</v>
      </c>
      <c r="J183" s="6">
        <f t="shared" si="78"/>
        <v>0</v>
      </c>
      <c r="K183" s="6">
        <f t="shared" si="78"/>
        <v>0</v>
      </c>
      <c r="L183" s="6">
        <f t="shared" si="78"/>
        <v>0</v>
      </c>
      <c r="M183" s="6">
        <f t="shared" si="78"/>
        <v>0</v>
      </c>
      <c r="N183" s="6">
        <f t="shared" si="78"/>
        <v>0</v>
      </c>
      <c r="O183" s="6">
        <f t="shared" si="78"/>
        <v>0</v>
      </c>
      <c r="P183" s="6">
        <f t="shared" si="78"/>
        <v>0</v>
      </c>
    </row>
    <row r="184" spans="3:16" ht="15">
      <c r="C184" t="s">
        <v>122</v>
      </c>
      <c r="D184" s="17" t="s">
        <v>11</v>
      </c>
      <c r="E184" s="54">
        <v>0.0138</v>
      </c>
      <c r="F184" s="55">
        <f>EOMONTH(Latest_FY,12)</f>
        <v>43465</v>
      </c>
      <c r="G184" s="6">
        <v>28.017</v>
      </c>
      <c r="H184" s="6">
        <f t="shared" si="78"/>
        <v>0</v>
      </c>
      <c r="I184" s="6">
        <f t="shared" si="78"/>
        <v>0</v>
      </c>
      <c r="J184" s="6">
        <f t="shared" si="78"/>
        <v>0</v>
      </c>
      <c r="K184" s="6">
        <f t="shared" si="78"/>
        <v>0</v>
      </c>
      <c r="L184" s="6">
        <f t="shared" si="78"/>
        <v>0</v>
      </c>
      <c r="M184" s="6">
        <f t="shared" si="78"/>
        <v>0</v>
      </c>
      <c r="N184" s="6">
        <f t="shared" si="78"/>
        <v>0</v>
      </c>
      <c r="O184" s="6">
        <f t="shared" si="78"/>
        <v>0</v>
      </c>
      <c r="P184" s="6">
        <f t="shared" si="78"/>
        <v>0</v>
      </c>
    </row>
    <row r="185" spans="3:16" ht="15">
      <c r="C185" t="s">
        <v>121</v>
      </c>
      <c r="D185" s="17" t="s">
        <v>11</v>
      </c>
      <c r="E185" s="3" t="s">
        <v>120</v>
      </c>
      <c r="F185" s="55">
        <f>EOMONTH(F184,12)</f>
        <v>43830</v>
      </c>
      <c r="G185" s="6">
        <f>41.942/2</f>
        <v>20.971</v>
      </c>
      <c r="H185" s="6">
        <f t="shared" si="78"/>
        <v>20.971</v>
      </c>
      <c r="I185" s="6">
        <f t="shared" si="78"/>
        <v>0</v>
      </c>
      <c r="J185" s="6">
        <f t="shared" si="78"/>
        <v>0</v>
      </c>
      <c r="K185" s="6">
        <f t="shared" si="78"/>
        <v>0</v>
      </c>
      <c r="L185" s="6">
        <f t="shared" si="78"/>
        <v>0</v>
      </c>
      <c r="M185" s="6">
        <f t="shared" si="78"/>
        <v>0</v>
      </c>
      <c r="N185" s="6">
        <f t="shared" si="78"/>
        <v>0</v>
      </c>
      <c r="O185" s="6">
        <f t="shared" si="78"/>
        <v>0</v>
      </c>
      <c r="P185" s="6">
        <f t="shared" si="78"/>
        <v>0</v>
      </c>
    </row>
    <row r="187" spans="3:16" ht="15">
      <c r="C187" t="s">
        <v>136</v>
      </c>
      <c r="D187" s="17" t="s">
        <v>80</v>
      </c>
      <c r="H187" s="53">
        <v>0.025</v>
      </c>
      <c r="I187" s="53">
        <v>0.025</v>
      </c>
      <c r="J187" s="53">
        <v>0.025</v>
      </c>
      <c r="K187" s="53">
        <v>0.025</v>
      </c>
      <c r="L187" s="53">
        <v>0.025</v>
      </c>
      <c r="M187" s="53">
        <v>0.025</v>
      </c>
      <c r="N187" s="53">
        <v>0.025</v>
      </c>
      <c r="O187" s="53">
        <v>0.025</v>
      </c>
      <c r="P187" s="53">
        <v>0.025</v>
      </c>
    </row>
    <row r="188" spans="3:16" ht="15">
      <c r="C188" t="s">
        <v>124</v>
      </c>
      <c r="D188" s="17" t="s">
        <v>80</v>
      </c>
      <c r="H188" s="53">
        <v>0.017</v>
      </c>
      <c r="I188" s="53">
        <v>0.017</v>
      </c>
      <c r="J188" s="53">
        <v>0.017</v>
      </c>
      <c r="K188" s="53">
        <v>0.017</v>
      </c>
      <c r="L188" s="53">
        <v>0.017</v>
      </c>
      <c r="M188" s="53">
        <v>0.017</v>
      </c>
      <c r="N188" s="53">
        <v>0.017</v>
      </c>
      <c r="O188" s="53">
        <v>0.017</v>
      </c>
      <c r="P188" s="53">
        <v>0.017</v>
      </c>
    </row>
    <row r="190" ht="15">
      <c r="C190" s="43" t="s">
        <v>119</v>
      </c>
    </row>
    <row r="191" spans="3:16" ht="15">
      <c r="C191" t="s">
        <v>125</v>
      </c>
      <c r="D191" s="17" t="s">
        <v>11</v>
      </c>
      <c r="F191" s="55">
        <f>EOMONTH(Latest_FY,12)</f>
        <v>43465</v>
      </c>
      <c r="G191" s="6">
        <f>SUM(G180:G184)</f>
        <v>58.233000000000004</v>
      </c>
      <c r="H191" s="6">
        <f>+G192</f>
        <v>20.971</v>
      </c>
      <c r="I191" s="6">
        <f>+H192</f>
        <v>92.08995724239894</v>
      </c>
      <c r="J191" s="6">
        <f aca="true" t="shared" si="79" ref="J191:P191">+I192</f>
        <v>58.100859749332386</v>
      </c>
      <c r="K191" s="6">
        <f t="shared" si="79"/>
        <v>132.34719547487822</v>
      </c>
      <c r="L191" s="6">
        <f t="shared" si="79"/>
        <v>102.09388508585016</v>
      </c>
      <c r="M191" s="6">
        <f t="shared" si="79"/>
        <v>180.74808905530074</v>
      </c>
      <c r="N191" s="6">
        <f t="shared" si="79"/>
        <v>155.19434669775677</v>
      </c>
      <c r="O191" s="6">
        <f t="shared" si="79"/>
        <v>239.1931502434954</v>
      </c>
      <c r="P191" s="6">
        <f t="shared" si="79"/>
        <v>219.6766315721644</v>
      </c>
    </row>
    <row r="192" spans="3:16" ht="15">
      <c r="C192" t="s">
        <v>127</v>
      </c>
      <c r="D192" s="17" t="s">
        <v>11</v>
      </c>
      <c r="F192" s="55">
        <f>EOMONTH(F191,12)</f>
        <v>43830</v>
      </c>
      <c r="G192" s="6">
        <f>+G185</f>
        <v>20.971</v>
      </c>
      <c r="H192" s="6">
        <f>+H204</f>
        <v>92.08995724239894</v>
      </c>
      <c r="I192" s="6">
        <f aca="true" t="shared" si="80" ref="I192:P192">+I204</f>
        <v>58.100859749332386</v>
      </c>
      <c r="J192" s="6">
        <f t="shared" si="80"/>
        <v>132.34719547487822</v>
      </c>
      <c r="K192" s="6">
        <f t="shared" si="80"/>
        <v>102.09388508585016</v>
      </c>
      <c r="L192" s="6">
        <f t="shared" si="80"/>
        <v>180.74808905530074</v>
      </c>
      <c r="M192" s="6">
        <f t="shared" si="80"/>
        <v>155.19434669775677</v>
      </c>
      <c r="N192" s="6">
        <f t="shared" si="80"/>
        <v>239.1931502434954</v>
      </c>
      <c r="O192" s="6">
        <f t="shared" si="80"/>
        <v>219.6766315721644</v>
      </c>
      <c r="P192" s="6">
        <f t="shared" si="80"/>
        <v>310.4056228124874</v>
      </c>
    </row>
    <row r="193" spans="3:16" ht="15">
      <c r="C193" s="8" t="s">
        <v>123</v>
      </c>
      <c r="D193" s="17" t="s">
        <v>11</v>
      </c>
      <c r="E193" s="8"/>
      <c r="F193" s="8"/>
      <c r="G193" s="10">
        <f>SUM(G191:G192)</f>
        <v>79.20400000000001</v>
      </c>
      <c r="H193" s="10">
        <f aca="true" t="shared" si="81" ref="H193:P193">SUM(H191:H192)</f>
        <v>113.06095724239894</v>
      </c>
      <c r="I193" s="10">
        <f t="shared" si="81"/>
        <v>150.1908169917313</v>
      </c>
      <c r="J193" s="10">
        <f t="shared" si="81"/>
        <v>190.4480552242106</v>
      </c>
      <c r="K193" s="10">
        <f t="shared" si="81"/>
        <v>234.44108056072838</v>
      </c>
      <c r="L193" s="10">
        <f t="shared" si="81"/>
        <v>282.8419741411509</v>
      </c>
      <c r="M193" s="10">
        <f t="shared" si="81"/>
        <v>335.9424357530575</v>
      </c>
      <c r="N193" s="10">
        <f t="shared" si="81"/>
        <v>394.38749694125215</v>
      </c>
      <c r="O193" s="10">
        <f t="shared" si="81"/>
        <v>458.86978181565985</v>
      </c>
      <c r="P193" s="10">
        <f t="shared" si="81"/>
        <v>530.0822543846518</v>
      </c>
    </row>
    <row r="195" spans="3:16" ht="15">
      <c r="C195" t="s">
        <v>130</v>
      </c>
      <c r="D195" s="17" t="s">
        <v>11</v>
      </c>
      <c r="H195" s="12">
        <f>-SUM(G180:G184)</f>
        <v>-58.233000000000004</v>
      </c>
      <c r="I195" s="12">
        <f>-H191</f>
        <v>-20.971</v>
      </c>
      <c r="J195" s="12">
        <f aca="true" t="shared" si="82" ref="J195:P195">-I191</f>
        <v>-92.08995724239894</v>
      </c>
      <c r="K195" s="12">
        <f t="shared" si="82"/>
        <v>-58.100859749332386</v>
      </c>
      <c r="L195" s="12">
        <f t="shared" si="82"/>
        <v>-132.34719547487822</v>
      </c>
      <c r="M195" s="12">
        <f t="shared" si="82"/>
        <v>-102.09388508585016</v>
      </c>
      <c r="N195" s="12">
        <f t="shared" si="82"/>
        <v>-180.74808905530074</v>
      </c>
      <c r="O195" s="12">
        <f t="shared" si="82"/>
        <v>-155.19434669775677</v>
      </c>
      <c r="P195" s="12">
        <f t="shared" si="82"/>
        <v>-239.1931502434954</v>
      </c>
    </row>
    <row r="196" spans="3:16" ht="15">
      <c r="C196" s="50" t="s">
        <v>129</v>
      </c>
      <c r="D196" s="17" t="s">
        <v>11</v>
      </c>
      <c r="H196" s="12">
        <f>((0.75%+H188)*-G180)+(E181*-G181)+(E182*-G182)+(E183*-G183)+(E184*-G184)+((0.75%+H188)*-G185)</f>
        <v>-1.5555723000000001</v>
      </c>
      <c r="I196" s="12">
        <f>((0.75%+I188)*-H185)+(I187*-H192)</f>
        <v>-2.8160384310599738</v>
      </c>
      <c r="J196" s="12">
        <f>-J187*I193</f>
        <v>-3.754770424793283</v>
      </c>
      <c r="K196" s="12">
        <f aca="true" t="shared" si="83" ref="K196:P196">-K187*J193</f>
        <v>-4.761201380605265</v>
      </c>
      <c r="L196" s="12">
        <f t="shared" si="83"/>
        <v>-5.86102701401821</v>
      </c>
      <c r="M196" s="12">
        <f t="shared" si="83"/>
        <v>-7.071049353528773</v>
      </c>
      <c r="N196" s="12">
        <f t="shared" si="83"/>
        <v>-8.398560893826438</v>
      </c>
      <c r="O196" s="12">
        <f t="shared" si="83"/>
        <v>-9.859687423531305</v>
      </c>
      <c r="P196" s="12">
        <f t="shared" si="83"/>
        <v>-11.471744545391497</v>
      </c>
    </row>
    <row r="198" spans="3:16" ht="15">
      <c r="C198" t="s">
        <v>131</v>
      </c>
      <c r="D198" s="17" t="s">
        <v>11</v>
      </c>
      <c r="H198" s="6">
        <f>H155+H162+H165+H167</f>
        <v>78.25854511563989</v>
      </c>
      <c r="I198" s="6">
        <f aca="true" t="shared" si="84" ref="I198:P198">I155+I162+I165+I167</f>
        <v>84.6054176082886</v>
      </c>
      <c r="J198" s="6">
        <f t="shared" si="84"/>
        <v>91.9092666848735</v>
      </c>
      <c r="K198" s="6">
        <f t="shared" si="84"/>
        <v>100.01019535187268</v>
      </c>
      <c r="L198" s="6">
        <f t="shared" si="84"/>
        <v>108.98658114145864</v>
      </c>
      <c r="M198" s="6">
        <f t="shared" si="84"/>
        <v>119.28641353218372</v>
      </c>
      <c r="N198" s="6">
        <f t="shared" si="84"/>
        <v>130.91533310006596</v>
      </c>
      <c r="O198" s="6">
        <f t="shared" si="84"/>
        <v>144.06992311728595</v>
      </c>
      <c r="P198" s="6">
        <f t="shared" si="84"/>
        <v>159.0383487768738</v>
      </c>
    </row>
    <row r="199" spans="4:8" ht="15">
      <c r="D199" s="17"/>
      <c r="H199" s="6"/>
    </row>
    <row r="200" spans="3:16" ht="15">
      <c r="C200" t="s">
        <v>134</v>
      </c>
      <c r="D200" s="17" t="s">
        <v>80</v>
      </c>
      <c r="E200" s="52">
        <f>E110/E77</f>
        <v>0.26822320090013435</v>
      </c>
      <c r="F200" s="52">
        <f>F110/F77</f>
        <v>0.29402195907769774</v>
      </c>
      <c r="G200" s="52">
        <f>G110/G77</f>
        <v>0.2543627600701976</v>
      </c>
      <c r="H200" s="52">
        <f>AVERAGE(E200:G200)</f>
        <v>0.27220264001600986</v>
      </c>
      <c r="I200" s="52">
        <f>H200</f>
        <v>0.27220264001600986</v>
      </c>
      <c r="J200" s="52">
        <f aca="true" t="shared" si="85" ref="J200:P200">I200</f>
        <v>0.27220264001600986</v>
      </c>
      <c r="K200" s="52">
        <f t="shared" si="85"/>
        <v>0.27220264001600986</v>
      </c>
      <c r="L200" s="52">
        <f t="shared" si="85"/>
        <v>0.27220264001600986</v>
      </c>
      <c r="M200" s="52">
        <f t="shared" si="85"/>
        <v>0.27220264001600986</v>
      </c>
      <c r="N200" s="52">
        <f t="shared" si="85"/>
        <v>0.27220264001600986</v>
      </c>
      <c r="O200" s="52">
        <f t="shared" si="85"/>
        <v>0.27220264001600986</v>
      </c>
      <c r="P200" s="52">
        <f t="shared" si="85"/>
        <v>0.27220264001600986</v>
      </c>
    </row>
    <row r="201" spans="4:8" ht="15">
      <c r="D201" s="17"/>
      <c r="H201" s="6"/>
    </row>
    <row r="202" spans="3:16" ht="15">
      <c r="C202" t="s">
        <v>134</v>
      </c>
      <c r="D202" s="17" t="s">
        <v>11</v>
      </c>
      <c r="H202" s="6">
        <f>H200*H77</f>
        <v>112.11550235803882</v>
      </c>
      <c r="I202" s="6">
        <f aca="true" t="shared" si="86" ref="I202:P202">I200*I77</f>
        <v>121.73527735762099</v>
      </c>
      <c r="J202" s="6">
        <f t="shared" si="86"/>
        <v>132.16650491735277</v>
      </c>
      <c r="K202" s="6">
        <f t="shared" si="86"/>
        <v>144.00322068839046</v>
      </c>
      <c r="L202" s="6">
        <f t="shared" si="86"/>
        <v>157.38747472188118</v>
      </c>
      <c r="M202" s="6">
        <f t="shared" si="86"/>
        <v>172.3868751440903</v>
      </c>
      <c r="N202" s="6">
        <f t="shared" si="86"/>
        <v>189.36039428826064</v>
      </c>
      <c r="O202" s="6">
        <f t="shared" si="86"/>
        <v>208.5522079916936</v>
      </c>
      <c r="P202" s="6">
        <f t="shared" si="86"/>
        <v>230.25082134586583</v>
      </c>
    </row>
    <row r="203" spans="4:11" ht="15">
      <c r="D203" s="17"/>
      <c r="H203" s="6"/>
      <c r="I203" s="6"/>
      <c r="J203" s="6"/>
      <c r="K203" s="6"/>
    </row>
    <row r="204" spans="3:16" ht="14.25">
      <c r="C204" t="s">
        <v>135</v>
      </c>
      <c r="D204" s="17" t="s">
        <v>11</v>
      </c>
      <c r="H204" s="6">
        <f>IF(MIN(H198+H195,H202)=H202,0,H202-(H198+H195))</f>
        <v>92.08995724239894</v>
      </c>
      <c r="I204" s="6">
        <f aca="true" t="shared" si="87" ref="I204:P204">IF(MIN(I198+I195,I202)=I202,0,I202-(I198+I195))</f>
        <v>58.100859749332386</v>
      </c>
      <c r="J204" s="6">
        <f t="shared" si="87"/>
        <v>132.34719547487822</v>
      </c>
      <c r="K204" s="6">
        <f t="shared" si="87"/>
        <v>102.09388508585016</v>
      </c>
      <c r="L204" s="6">
        <f t="shared" si="87"/>
        <v>180.74808905530074</v>
      </c>
      <c r="M204" s="6">
        <f t="shared" si="87"/>
        <v>155.19434669775677</v>
      </c>
      <c r="N204" s="6">
        <f t="shared" si="87"/>
        <v>239.1931502434954</v>
      </c>
      <c r="O204" s="6">
        <f t="shared" si="87"/>
        <v>219.6766315721644</v>
      </c>
      <c r="P204" s="6">
        <f t="shared" si="87"/>
        <v>310.4056228124874</v>
      </c>
    </row>
    <row r="206" spans="2:16" ht="14.25">
      <c r="B206" s="25"/>
      <c r="C206" s="25"/>
      <c r="D206" s="25"/>
      <c r="E206" s="62"/>
      <c r="F206" s="63"/>
      <c r="G206" s="63"/>
      <c r="H206" s="64" t="s">
        <v>77</v>
      </c>
      <c r="I206" s="63"/>
      <c r="J206" s="63"/>
      <c r="K206" s="63"/>
      <c r="L206" s="63"/>
      <c r="M206" s="63"/>
      <c r="N206" s="63"/>
      <c r="O206" s="63"/>
      <c r="P206" s="63"/>
    </row>
    <row r="207" spans="2:16" ht="14.25">
      <c r="B207" s="25" t="s">
        <v>85</v>
      </c>
      <c r="C207" s="25"/>
      <c r="D207" s="26" t="s">
        <v>7</v>
      </c>
      <c r="E207" s="27">
        <f>EOMONTH(F207,-12)</f>
        <v>42369</v>
      </c>
      <c r="F207" s="27">
        <f>EOMONTH(G207,-12)</f>
        <v>42735</v>
      </c>
      <c r="G207" s="27">
        <f>Latest_FY</f>
        <v>43100</v>
      </c>
      <c r="H207" s="29">
        <f>EOMONTH(G207,12)</f>
        <v>43465</v>
      </c>
      <c r="I207" s="28">
        <f>EOMONTH(H207,12)</f>
        <v>43830</v>
      </c>
      <c r="J207" s="27">
        <f>EOMONTH(I207,12)</f>
        <v>44196</v>
      </c>
      <c r="K207" s="28">
        <f>EOMONTH(J207,12)</f>
        <v>44561</v>
      </c>
      <c r="L207" s="27">
        <f>EOMONTH(K207,12)</f>
        <v>44926</v>
      </c>
      <c r="M207" s="28">
        <f>EOMONTH(L207,12)</f>
        <v>45291</v>
      </c>
      <c r="N207" s="27">
        <f>EOMONTH(M207,12)</f>
        <v>45657</v>
      </c>
      <c r="O207" s="27">
        <f>EOMONTH(N207,12)</f>
        <v>46022</v>
      </c>
      <c r="P207" s="27">
        <f>EOMONTH(O207,12)</f>
        <v>46387</v>
      </c>
    </row>
    <row r="209" ht="14.25">
      <c r="C209" s="43" t="s">
        <v>86</v>
      </c>
    </row>
    <row r="210" spans="3:7" ht="14.25">
      <c r="C210" t="s">
        <v>87</v>
      </c>
      <c r="D210" s="17" t="s">
        <v>80</v>
      </c>
      <c r="E210" s="42">
        <f>E95/E86</f>
        <v>0.19633892359969293</v>
      </c>
      <c r="F210" s="42">
        <f>F95/F86</f>
        <v>0.17302494890289022</v>
      </c>
      <c r="G210" s="42">
        <f>G95/G86</f>
        <v>0.16769022347947884</v>
      </c>
    </row>
    <row r="211" spans="3:7" ht="14.25">
      <c r="C211" t="s">
        <v>88</v>
      </c>
      <c r="D211" s="17" t="s">
        <v>80</v>
      </c>
      <c r="E211" s="42">
        <f>(E95+E142)/E86</f>
        <v>0.22753480214841593</v>
      </c>
      <c r="F211" s="42">
        <f>(F95+F142)/F86</f>
        <v>0.20398937517947335</v>
      </c>
      <c r="G211" s="42">
        <f>(G95+G142)/G86</f>
        <v>0.19908162560225123</v>
      </c>
    </row>
    <row r="212" ht="14.25">
      <c r="D212" s="17" t="s">
        <v>80</v>
      </c>
    </row>
    <row r="217" ht="14.25">
      <c r="C217" s="43" t="s">
        <v>112</v>
      </c>
    </row>
    <row r="218" spans="3:16" ht="14.25">
      <c r="C218" t="s">
        <v>113</v>
      </c>
      <c r="D218" t="s">
        <v>80</v>
      </c>
      <c r="E218" t="s">
        <v>82</v>
      </c>
      <c r="F218" s="42">
        <f>F86/E86-1</f>
        <v>0.153636108979746</v>
      </c>
      <c r="G218" s="42">
        <f>G86/F86-1</f>
        <v>0.008393017009847847</v>
      </c>
      <c r="H218" s="42">
        <f aca="true" t="shared" si="88" ref="H218:P218">H86/G86-1</f>
        <v>0.08077457948658462</v>
      </c>
      <c r="I218" s="42">
        <f t="shared" si="88"/>
        <v>0.08369896329344884</v>
      </c>
      <c r="J218" s="42">
        <f t="shared" si="88"/>
        <v>0.08665207587826007</v>
      </c>
      <c r="K218" s="42">
        <f t="shared" si="88"/>
        <v>0.08961816047522397</v>
      </c>
      <c r="L218" s="42">
        <f t="shared" si="88"/>
        <v>0.09258117463954996</v>
      </c>
      <c r="M218" s="42">
        <f t="shared" si="88"/>
        <v>0.09552513672337026</v>
      </c>
      <c r="N218" s="42">
        <f t="shared" si="88"/>
        <v>0.09843446957041979</v>
      </c>
      <c r="O218" s="42">
        <f t="shared" si="88"/>
        <v>0.10129432586114273</v>
      </c>
      <c r="P218" s="42">
        <f t="shared" si="88"/>
        <v>0.1040908809538561</v>
      </c>
    </row>
  </sheetData>
  <sheetProtection/>
  <mergeCells count="16">
    <mergeCell ref="E14:G14"/>
    <mergeCell ref="H14:P14"/>
    <mergeCell ref="E28:G28"/>
    <mergeCell ref="H28:P28"/>
    <mergeCell ref="E206:G206"/>
    <mergeCell ref="H206:P206"/>
    <mergeCell ref="E45:G45"/>
    <mergeCell ref="H45:P45"/>
    <mergeCell ref="E106:G106"/>
    <mergeCell ref="H106:P106"/>
    <mergeCell ref="E137:G137"/>
    <mergeCell ref="H137:P137"/>
    <mergeCell ref="E80:G80"/>
    <mergeCell ref="H80:P80"/>
    <mergeCell ref="E176:G176"/>
    <mergeCell ref="H176:P17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Rayson</dc:creator>
  <cp:keywords/>
  <dc:description/>
  <cp:lastModifiedBy>Rayson</cp:lastModifiedBy>
  <dcterms:created xsi:type="dcterms:W3CDTF">2018-09-08T04:26:35Z</dcterms:created>
  <dcterms:modified xsi:type="dcterms:W3CDTF">2018-09-08T13:41:42Z</dcterms:modified>
  <cp:category/>
  <cp:version/>
  <cp:contentType/>
  <cp:contentStatus/>
</cp:coreProperties>
</file>