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1"/>
  </bookViews>
  <sheets>
    <sheet name="Case Gordon" sheetId="1" r:id="rId1"/>
    <sheet name="Case CSCO" sheetId="2" r:id="rId2"/>
  </sheets>
  <definedNames>
    <definedName name="_xlnm.Print_Area" localSheetId="1">'Case CSCO'!$A$1:$O$43</definedName>
  </definedNames>
  <calcPr fullCalcOnLoad="1"/>
</workbook>
</file>

<file path=xl/comments1.xml><?xml version="1.0" encoding="utf-8"?>
<comments xmlns="http://schemas.openxmlformats.org/spreadsheetml/2006/main">
  <authors>
    <author>Ng, Kim</author>
  </authors>
  <commentList>
    <comment ref="A14" authorId="0">
      <text>
        <r>
          <rPr>
            <b/>
            <sz val="9"/>
            <rFont val="Tahoma"/>
            <family val="2"/>
          </rPr>
          <t>Ng, Kim:</t>
        </r>
        <r>
          <rPr>
            <sz val="9"/>
            <rFont val="Tahoma"/>
            <family val="2"/>
          </rPr>
          <t xml:space="preserve">
11/20/15</t>
        </r>
      </text>
    </comment>
    <comment ref="A3" authorId="0">
      <text>
        <r>
          <rPr>
            <b/>
            <sz val="9"/>
            <rFont val="Tahoma"/>
            <family val="2"/>
          </rPr>
          <t>Ng, Kim:</t>
        </r>
        <r>
          <rPr>
            <sz val="9"/>
            <rFont val="Tahoma"/>
            <family val="2"/>
          </rPr>
          <t xml:space="preserve">
9/4/2015</t>
        </r>
      </text>
    </comment>
    <comment ref="B12" authorId="0">
      <text>
        <r>
          <rPr>
            <b/>
            <sz val="9"/>
            <rFont val="Tahoma"/>
            <family val="2"/>
          </rPr>
          <t>Ng, Kim:</t>
        </r>
        <r>
          <rPr>
            <sz val="9"/>
            <rFont val="Tahoma"/>
            <family val="2"/>
          </rPr>
          <t xml:space="preserve">
use CAPM to find cost of Equity</t>
        </r>
      </text>
    </comment>
    <comment ref="F12" authorId="0">
      <text>
        <r>
          <rPr>
            <b/>
            <sz val="9"/>
            <rFont val="Tahoma"/>
            <family val="2"/>
          </rPr>
          <t>Ng, Kim:</t>
        </r>
        <r>
          <rPr>
            <sz val="9"/>
            <rFont val="Tahoma"/>
            <family val="2"/>
          </rPr>
          <t xml:space="preserve">
find the LT growth rate given that Implied price is close to current Price
of 65.75</t>
        </r>
      </text>
    </comment>
    <comment ref="F23" authorId="0">
      <text>
        <r>
          <rPr>
            <b/>
            <sz val="9"/>
            <rFont val="Tahoma"/>
            <family val="2"/>
          </rPr>
          <t>Ng, Kim:</t>
        </r>
        <r>
          <rPr>
            <sz val="9"/>
            <rFont val="Tahoma"/>
            <family val="2"/>
          </rPr>
          <t xml:space="preserve">
find the LT growth rate given that Implied price is close to current Price
of 62.67</t>
        </r>
      </text>
    </comment>
    <comment ref="B23" authorId="0">
      <text>
        <r>
          <rPr>
            <b/>
            <sz val="9"/>
            <rFont val="Tahoma"/>
            <family val="2"/>
          </rPr>
          <t>Ng, Kim:</t>
        </r>
        <r>
          <rPr>
            <sz val="9"/>
            <rFont val="Tahoma"/>
            <family val="2"/>
          </rPr>
          <t xml:space="preserve">
use CAPM to find cost of Equity</t>
        </r>
      </text>
    </comment>
  </commentList>
</comments>
</file>

<file path=xl/comments2.xml><?xml version="1.0" encoding="utf-8"?>
<comments xmlns="http://schemas.openxmlformats.org/spreadsheetml/2006/main">
  <authors>
    <author>Ng, Kim</author>
  </authors>
  <commentList>
    <comment ref="A4" authorId="0">
      <text>
        <r>
          <rPr>
            <b/>
            <sz val="9"/>
            <rFont val="Tahoma"/>
            <family val="2"/>
          </rPr>
          <t>Ng, Kim:</t>
        </r>
        <r>
          <rPr>
            <sz val="9"/>
            <rFont val="Tahoma"/>
            <family val="2"/>
          </rPr>
          <t xml:space="preserve">
12/18/2015</t>
        </r>
      </text>
    </comment>
    <comment ref="B20" authorId="0">
      <text>
        <r>
          <rPr>
            <b/>
            <sz val="9"/>
            <rFont val="Tahoma"/>
            <family val="2"/>
          </rPr>
          <t>Ng, Kim:</t>
        </r>
        <r>
          <rPr>
            <sz val="9"/>
            <rFont val="Tahoma"/>
            <family val="2"/>
          </rPr>
          <t xml:space="preserve">
CAPM</t>
        </r>
      </text>
    </comment>
  </commentList>
</comments>
</file>

<file path=xl/sharedStrings.xml><?xml version="1.0" encoding="utf-8"?>
<sst xmlns="http://schemas.openxmlformats.org/spreadsheetml/2006/main" count="139" uniqueCount="79">
  <si>
    <t>EPS</t>
  </si>
  <si>
    <t>DPS</t>
  </si>
  <si>
    <t>Payout Ratio</t>
  </si>
  <si>
    <t>OXY</t>
  </si>
  <si>
    <t>ED</t>
  </si>
  <si>
    <t>Beta</t>
  </si>
  <si>
    <t>10-yr Tsy yield</t>
  </si>
  <si>
    <t>Exp Mkt Rtn</t>
  </si>
  <si>
    <t>Cost of Equity</t>
  </si>
  <si>
    <t>3-yr EPS CAGR</t>
  </si>
  <si>
    <t>3-yr DPS CAGR</t>
  </si>
  <si>
    <t>5-yr DPS CAGR</t>
  </si>
  <si>
    <t>YoY EPS%</t>
  </si>
  <si>
    <t>YoY DPS%</t>
  </si>
  <si>
    <t>LT growth</t>
  </si>
  <si>
    <t>2015E</t>
  </si>
  <si>
    <t>Implied Price</t>
  </si>
  <si>
    <t>Questions</t>
  </si>
  <si>
    <t>1) State whether a Dividend Discount Model is an appropriate choice for valuing OXY</t>
  </si>
  <si>
    <t>2) State whether a Dividend Discount Model is an appropriate choice for valuing ED</t>
  </si>
  <si>
    <t>5 pts</t>
  </si>
  <si>
    <t>3) Plot the EPS (as primary axis) and DPS (as secondary axis) for OXY from 2000 to 2014</t>
  </si>
  <si>
    <t>4) Plot the EPS (as primary axis) and DPS (as secondary axis) for ED from 2000 to 2014</t>
  </si>
  <si>
    <t>2 pts</t>
  </si>
  <si>
    <t xml:space="preserve">   Comment on the implied growth rate versus the historical growth</t>
  </si>
  <si>
    <t>6 pts</t>
  </si>
  <si>
    <t>3 pts</t>
  </si>
  <si>
    <t xml:space="preserve">5) What would be your estimated growth rate for ED if you were considering using the </t>
  </si>
  <si>
    <t xml:space="preserve">     Gordon's Growth Model? State how you arrived at the estimate</t>
  </si>
  <si>
    <t xml:space="preserve">   Find the implied growth rate from the market price of OXY.</t>
  </si>
  <si>
    <t xml:space="preserve">   Find the implied growth rate from the market price of ED.</t>
  </si>
  <si>
    <t>7) Compute the Cost of Equity as the discount rate and use 2015E dividend as D(0) in the Gordon model.</t>
  </si>
  <si>
    <t xml:space="preserve">Max: 40 pts </t>
  </si>
  <si>
    <t xml:space="preserve">    Enter your growth assumption in G22. What is the value of equity for ED?</t>
  </si>
  <si>
    <t>6) Build your Gordon's Growth model in Cell G23 for ED. Use 2015E as D(0).</t>
  </si>
  <si>
    <t>Max:  60 pts</t>
  </si>
  <si>
    <t>8) Compute the Cost of Equity as the discount rate and use 2015E dividend as D(0) in the Gordon model.</t>
  </si>
  <si>
    <t>CSCO</t>
  </si>
  <si>
    <t>Case Study # 2B</t>
  </si>
  <si>
    <t>Case Study # 2A</t>
  </si>
  <si>
    <t>4 pts</t>
  </si>
  <si>
    <t>Mid Price</t>
  </si>
  <si>
    <t>growth rate</t>
  </si>
  <si>
    <t>Implied Prices</t>
  </si>
  <si>
    <t>Average growth</t>
  </si>
  <si>
    <t>Median growth</t>
  </si>
  <si>
    <t>7 pts</t>
  </si>
  <si>
    <t>1 pt</t>
  </si>
  <si>
    <t>2012-2015</t>
  </si>
  <si>
    <t>Year</t>
  </si>
  <si>
    <t>Time</t>
  </si>
  <si>
    <t>Dividend</t>
  </si>
  <si>
    <t>or Value</t>
  </si>
  <si>
    <t>after 2021</t>
  </si>
  <si>
    <t>V10</t>
  </si>
  <si>
    <t>PV</t>
  </si>
  <si>
    <t>3-Stage Model</t>
  </si>
  <si>
    <t>2016-2021</t>
  </si>
  <si>
    <t>Max : 75 pts</t>
  </si>
  <si>
    <t>Instructions</t>
  </si>
  <si>
    <t>Value @ 2011</t>
  </si>
  <si>
    <t>1) Find the Implied Prices in cells C12, D13, E14, F15, G16 by</t>
  </si>
  <si>
    <t>assumptions</t>
  </si>
  <si>
    <t xml:space="preserve">  a)  assuming you can perfectly forecast all the dividends from 2011 to 2015</t>
  </si>
  <si>
    <t>PV Table</t>
  </si>
  <si>
    <t xml:space="preserve">  b) construct the PV of dividend for each year (in PV Table) and Implied Price = sum of PV of dividends</t>
  </si>
  <si>
    <t xml:space="preserve">  c)  iterate your growth rate assumption (in box O12 to O16) such that the Implied Price comes close to the Mid Price</t>
  </si>
  <si>
    <t xml:space="preserve">   a) use the 3 growth rate assumptions in C26 to C28</t>
  </si>
  <si>
    <t xml:space="preserve">   b) construct the Dividend or Value cash flows in D31 to D41</t>
  </si>
  <si>
    <t>2) Construct the 3-stage Dividend Discount Model and find the value as of 2011 when CSCO initiates dividend policy</t>
  </si>
  <si>
    <t xml:space="preserve">   c) Calculate the PV of cash flows in E31 to E41</t>
  </si>
  <si>
    <t xml:space="preserve">   d) Find the value of CSCO as of 2011.</t>
  </si>
  <si>
    <t>Graph 1</t>
  </si>
  <si>
    <t>Graph 2</t>
  </si>
  <si>
    <t>=(R$5/O$5)^(1/3)-1</t>
  </si>
  <si>
    <t>=(R$5/M$5)^(1/5)-1</t>
  </si>
  <si>
    <t>=C25+C11*(E25-C25)</t>
  </si>
  <si>
    <t>=(R5*(1+G11))/(C12-G11)</t>
  </si>
  <si>
    <t>Rishmal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</si>
</sst>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4"/>
      <color indexed="8"/>
      <name val="Calibri"/>
      <family val="2"/>
    </font>
    <font>
      <b/>
      <i/>
      <sz val="11"/>
      <color indexed="10"/>
      <name val="Calibri"/>
      <family val="2"/>
    </font>
    <font>
      <i/>
      <sz val="11"/>
      <color indexed="10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4"/>
      <color theme="1"/>
      <name val="Calibri"/>
      <family val="2"/>
    </font>
    <font>
      <b/>
      <i/>
      <sz val="11"/>
      <color rgb="FFFF0000"/>
      <name val="Calibri"/>
      <family val="2"/>
    </font>
    <font>
      <i/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9" fontId="0" fillId="0" borderId="15" xfId="57" applyFont="1" applyBorder="1" applyAlignment="1">
      <alignment/>
    </xf>
    <xf numFmtId="9" fontId="0" fillId="0" borderId="16" xfId="57" applyFont="1" applyBorder="1" applyAlignment="1">
      <alignment/>
    </xf>
    <xf numFmtId="9" fontId="0" fillId="0" borderId="17" xfId="57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46" fillId="0" borderId="18" xfId="0" applyFont="1" applyBorder="1" applyAlignment="1">
      <alignment/>
    </xf>
    <xf numFmtId="9" fontId="0" fillId="0" borderId="0" xfId="57" applyFont="1" applyBorder="1" applyAlignment="1">
      <alignment/>
    </xf>
    <xf numFmtId="164" fontId="0" fillId="7" borderId="0" xfId="57" applyNumberFormat="1" applyFont="1" applyFill="1" applyBorder="1" applyAlignment="1">
      <alignment/>
    </xf>
    <xf numFmtId="164" fontId="0" fillId="7" borderId="0" xfId="57" applyNumberFormat="1" applyFont="1" applyFill="1" applyAlignment="1">
      <alignment/>
    </xf>
    <xf numFmtId="164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47" fillId="0" borderId="0" xfId="0" applyFont="1" applyAlignment="1">
      <alignment/>
    </xf>
    <xf numFmtId="164" fontId="0" fillId="0" borderId="0" xfId="0" applyNumberFormat="1" applyFill="1" applyAlignment="1">
      <alignment/>
    </xf>
    <xf numFmtId="164" fontId="0" fillId="5" borderId="0" xfId="57" applyNumberFormat="1" applyFont="1" applyFill="1" applyAlignment="1">
      <alignment/>
    </xf>
    <xf numFmtId="164" fontId="0" fillId="0" borderId="0" xfId="57" applyNumberFormat="1" applyFont="1" applyFill="1" applyAlignment="1">
      <alignment/>
    </xf>
    <xf numFmtId="0" fontId="0" fillId="0" borderId="0" xfId="0" applyFill="1" applyAlignment="1">
      <alignment/>
    </xf>
    <xf numFmtId="0" fontId="48" fillId="0" borderId="0" xfId="0" applyFont="1" applyAlignment="1">
      <alignment horizontal="right"/>
    </xf>
    <xf numFmtId="2" fontId="49" fillId="0" borderId="0" xfId="0" applyNumberFormat="1" applyFont="1" applyFill="1" applyBorder="1" applyAlignment="1">
      <alignment/>
    </xf>
    <xf numFmtId="164" fontId="0" fillId="5" borderId="0" xfId="57" applyNumberFormat="1" applyFont="1" applyFill="1" applyBorder="1" applyAlignment="1">
      <alignment/>
    </xf>
    <xf numFmtId="9" fontId="49" fillId="0" borderId="0" xfId="57" applyFont="1" applyFill="1" applyBorder="1" applyAlignment="1">
      <alignment/>
    </xf>
    <xf numFmtId="0" fontId="0" fillId="7" borderId="0" xfId="0" applyFill="1" applyAlignment="1">
      <alignment/>
    </xf>
    <xf numFmtId="0" fontId="0" fillId="33" borderId="0" xfId="0" applyFill="1" applyAlignment="1">
      <alignment/>
    </xf>
    <xf numFmtId="0" fontId="44" fillId="0" borderId="0" xfId="0" applyFont="1" applyFill="1" applyAlignment="1">
      <alignment/>
    </xf>
    <xf numFmtId="10" fontId="0" fillId="7" borderId="0" xfId="57" applyNumberFormat="1" applyFont="1" applyFill="1" applyAlignment="1" quotePrefix="1">
      <alignment/>
    </xf>
    <xf numFmtId="10" fontId="0" fillId="0" borderId="0" xfId="57" applyNumberFormat="1" applyFont="1" applyFill="1" applyAlignment="1" quotePrefix="1">
      <alignment/>
    </xf>
    <xf numFmtId="44" fontId="0" fillId="5" borderId="19" xfId="44" applyNumberFormat="1" applyFont="1" applyFill="1" applyBorder="1" applyAlignment="1" quotePrefix="1">
      <alignment/>
    </xf>
    <xf numFmtId="44" fontId="0" fillId="0" borderId="0" xfId="44" applyNumberFormat="1" applyFont="1" applyFill="1" applyBorder="1" applyAlignment="1" quotePrefix="1">
      <alignment/>
    </xf>
    <xf numFmtId="10" fontId="0" fillId="2" borderId="0" xfId="0" applyNumberFormat="1" applyFill="1" applyAlignment="1">
      <alignment/>
    </xf>
    <xf numFmtId="0" fontId="0" fillId="0" borderId="19" xfId="0" applyBorder="1" applyAlignment="1">
      <alignment/>
    </xf>
    <xf numFmtId="10" fontId="0" fillId="0" borderId="19" xfId="0" applyNumberFormat="1" applyBorder="1" applyAlignment="1">
      <alignment/>
    </xf>
    <xf numFmtId="0" fontId="0" fillId="0" borderId="16" xfId="0" applyBorder="1" applyAlignment="1">
      <alignment/>
    </xf>
    <xf numFmtId="164" fontId="0" fillId="5" borderId="16" xfId="57" applyNumberFormat="1" applyFont="1" applyFill="1" applyBorder="1" applyAlignment="1">
      <alignment/>
    </xf>
    <xf numFmtId="0" fontId="0" fillId="5" borderId="0" xfId="0" applyFill="1" applyAlignment="1">
      <alignment/>
    </xf>
    <xf numFmtId="0" fontId="44" fillId="7" borderId="0" xfId="0" applyFont="1" applyFill="1" applyAlignment="1">
      <alignment/>
    </xf>
    <xf numFmtId="0" fontId="50" fillId="0" borderId="20" xfId="0" applyFont="1" applyBorder="1" applyAlignment="1">
      <alignment/>
    </xf>
    <xf numFmtId="0" fontId="50" fillId="0" borderId="21" xfId="0" applyFont="1" applyBorder="1" applyAlignment="1">
      <alignment/>
    </xf>
    <xf numFmtId="0" fontId="50" fillId="0" borderId="22" xfId="0" applyFont="1" applyBorder="1" applyAlignment="1">
      <alignment/>
    </xf>
    <xf numFmtId="0" fontId="50" fillId="0" borderId="23" xfId="0" applyFont="1" applyBorder="1" applyAlignment="1">
      <alignment/>
    </xf>
    <xf numFmtId="0" fontId="50" fillId="0" borderId="24" xfId="0" applyFont="1" applyBorder="1" applyAlignment="1">
      <alignment/>
    </xf>
    <xf numFmtId="0" fontId="50" fillId="0" borderId="25" xfId="0" applyFont="1" applyBorder="1" applyAlignment="1">
      <alignment/>
    </xf>
    <xf numFmtId="0" fontId="49" fillId="0" borderId="0" xfId="0" applyFont="1" applyAlignment="1">
      <alignment/>
    </xf>
    <xf numFmtId="9" fontId="49" fillId="0" borderId="16" xfId="57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164" fontId="0" fillId="0" borderId="16" xfId="57" applyNumberFormat="1" applyFont="1" applyFill="1" applyBorder="1" applyAlignment="1">
      <alignment/>
    </xf>
    <xf numFmtId="44" fontId="0" fillId="0" borderId="0" xfId="44" applyFont="1" applyFill="1" applyAlignment="1">
      <alignment/>
    </xf>
    <xf numFmtId="4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164" fontId="0" fillId="0" borderId="11" xfId="57" applyNumberFormat="1" applyFont="1" applyFill="1" applyBorder="1" applyAlignment="1">
      <alignment/>
    </xf>
    <xf numFmtId="164" fontId="0" fillId="0" borderId="12" xfId="57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57" applyNumberFormat="1" applyFont="1" applyFill="1" applyBorder="1" applyAlignment="1">
      <alignment/>
    </xf>
    <xf numFmtId="164" fontId="0" fillId="0" borderId="14" xfId="57" applyNumberFormat="1" applyFont="1" applyFill="1" applyBorder="1" applyAlignment="1">
      <alignment/>
    </xf>
    <xf numFmtId="44" fontId="0" fillId="0" borderId="13" xfId="0" applyNumberFormat="1" applyBorder="1" applyAlignment="1">
      <alignment/>
    </xf>
    <xf numFmtId="44" fontId="0" fillId="0" borderId="15" xfId="0" applyNumberFormat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Alignment="1">
      <alignment horizontal="right"/>
    </xf>
    <xf numFmtId="10" fontId="0" fillId="7" borderId="19" xfId="0" applyNumberFormat="1" applyFill="1" applyBorder="1" applyAlignment="1">
      <alignment/>
    </xf>
    <xf numFmtId="0" fontId="0" fillId="0" borderId="29" xfId="0" applyBorder="1" applyAlignment="1">
      <alignment/>
    </xf>
    <xf numFmtId="10" fontId="0" fillId="7" borderId="18" xfId="57" applyNumberFormat="1" applyFont="1" applyFill="1" applyBorder="1" applyAlignment="1" quotePrefix="1">
      <alignment/>
    </xf>
    <xf numFmtId="0" fontId="0" fillId="0" borderId="0" xfId="0" applyAlignment="1">
      <alignment horizontal="center"/>
    </xf>
    <xf numFmtId="0" fontId="51" fillId="0" borderId="0" xfId="0" applyFont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64" fontId="0" fillId="5" borderId="29" xfId="57" applyNumberFormat="1" applyFont="1" applyFill="1" applyBorder="1" applyAlignment="1">
      <alignment/>
    </xf>
    <xf numFmtId="164" fontId="0" fillId="5" borderId="30" xfId="0" applyNumberFormat="1" applyFill="1" applyBorder="1" applyAlignment="1">
      <alignment/>
    </xf>
    <xf numFmtId="164" fontId="0" fillId="5" borderId="31" xfId="0" applyNumberFormat="1" applyFill="1" applyBorder="1" applyAlignment="1">
      <alignment/>
    </xf>
    <xf numFmtId="0" fontId="0" fillId="2" borderId="10" xfId="42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44" fontId="0" fillId="0" borderId="0" xfId="44" applyNumberFormat="1" applyFont="1" applyFill="1" applyAlignment="1">
      <alignment/>
    </xf>
    <xf numFmtId="10" fontId="0" fillId="0" borderId="0" xfId="0" applyNumberFormat="1" applyFill="1" applyAlignment="1">
      <alignment/>
    </xf>
    <xf numFmtId="44" fontId="0" fillId="5" borderId="29" xfId="44" applyNumberFormat="1" applyFont="1" applyFill="1" applyBorder="1" applyAlignment="1">
      <alignment/>
    </xf>
    <xf numFmtId="44" fontId="0" fillId="5" borderId="30" xfId="44" applyNumberFormat="1" applyFont="1" applyFill="1" applyBorder="1" applyAlignment="1">
      <alignment/>
    </xf>
    <xf numFmtId="44" fontId="0" fillId="5" borderId="31" xfId="44" applyNumberFormat="1" applyFont="1" applyFill="1" applyBorder="1" applyAlignment="1">
      <alignment/>
    </xf>
    <xf numFmtId="44" fontId="0" fillId="7" borderId="29" xfId="44" applyNumberFormat="1" applyFont="1" applyFill="1" applyBorder="1" applyAlignment="1">
      <alignment/>
    </xf>
    <xf numFmtId="44" fontId="0" fillId="7" borderId="30" xfId="44" applyNumberFormat="1" applyFont="1" applyFill="1" applyBorder="1" applyAlignment="1">
      <alignment/>
    </xf>
    <xf numFmtId="44" fontId="0" fillId="7" borderId="31" xfId="44" applyNumberFormat="1" applyFont="1" applyFill="1" applyBorder="1" applyAlignment="1">
      <alignment/>
    </xf>
    <xf numFmtId="0" fontId="0" fillId="34" borderId="0" xfId="0" applyFill="1" applyAlignment="1">
      <alignment/>
    </xf>
    <xf numFmtId="44" fontId="44" fillId="0" borderId="0" xfId="44" applyNumberFormat="1" applyFont="1" applyFill="1" applyBorder="1" applyAlignment="1" quotePrefix="1">
      <alignment/>
    </xf>
    <xf numFmtId="2" fontId="0" fillId="2" borderId="0" xfId="0" applyNumberFormat="1" applyFill="1" applyBorder="1" applyAlignment="1">
      <alignment/>
    </xf>
    <xf numFmtId="2" fontId="0" fillId="2" borderId="14" xfId="0" applyNumberFormat="1" applyFill="1" applyBorder="1" applyAlignment="1">
      <alignment/>
    </xf>
    <xf numFmtId="2" fontId="49" fillId="2" borderId="0" xfId="0" applyNumberFormat="1" applyFont="1" applyFill="1" applyBorder="1" applyAlignment="1">
      <alignment/>
    </xf>
    <xf numFmtId="10" fontId="0" fillId="2" borderId="32" xfId="0" applyNumberFormat="1" applyFill="1" applyBorder="1" applyAlignment="1">
      <alignment/>
    </xf>
    <xf numFmtId="10" fontId="0" fillId="2" borderId="33" xfId="0" applyNumberFormat="1" applyFill="1" applyBorder="1" applyAlignment="1">
      <alignment/>
    </xf>
    <xf numFmtId="44" fontId="0" fillId="7" borderId="10" xfId="44" applyFont="1" applyFill="1" applyBorder="1" applyAlignment="1">
      <alignment/>
    </xf>
    <xf numFmtId="44" fontId="0" fillId="7" borderId="11" xfId="44" applyFont="1" applyFill="1" applyBorder="1" applyAlignment="1">
      <alignment/>
    </xf>
    <xf numFmtId="44" fontId="0" fillId="7" borderId="12" xfId="44" applyFont="1" applyFill="1" applyBorder="1" applyAlignment="1">
      <alignment/>
    </xf>
    <xf numFmtId="44" fontId="0" fillId="7" borderId="13" xfId="44" applyFont="1" applyFill="1" applyBorder="1" applyAlignment="1">
      <alignment/>
    </xf>
    <xf numFmtId="44" fontId="0" fillId="7" borderId="0" xfId="44" applyFont="1" applyFill="1" applyBorder="1" applyAlignment="1">
      <alignment/>
    </xf>
    <xf numFmtId="44" fontId="0" fillId="7" borderId="14" xfId="44" applyFont="1" applyFill="1" applyBorder="1" applyAlignment="1">
      <alignment/>
    </xf>
    <xf numFmtId="44" fontId="0" fillId="7" borderId="15" xfId="44" applyFont="1" applyFill="1" applyBorder="1" applyAlignment="1">
      <alignment/>
    </xf>
    <xf numFmtId="44" fontId="0" fillId="7" borderId="16" xfId="44" applyFont="1" applyFill="1" applyBorder="1" applyAlignment="1">
      <alignment/>
    </xf>
    <xf numFmtId="44" fontId="0" fillId="7" borderId="17" xfId="44" applyFont="1" applyFill="1" applyBorder="1" applyAlignment="1">
      <alignment/>
    </xf>
    <xf numFmtId="44" fontId="45" fillId="5" borderId="19" xfId="0" applyNumberFormat="1" applyFont="1" applyFill="1" applyBorder="1" applyAlignment="1">
      <alignment/>
    </xf>
    <xf numFmtId="44" fontId="45" fillId="5" borderId="19" xfId="44" applyFont="1" applyFill="1" applyBorder="1" applyAlignment="1">
      <alignment/>
    </xf>
    <xf numFmtId="0" fontId="0" fillId="0" borderId="0" xfId="0" applyFont="1" applyAlignment="1">
      <alignment/>
    </xf>
    <xf numFmtId="44" fontId="44" fillId="5" borderId="18" xfId="0" applyNumberFormat="1" applyFont="1" applyFill="1" applyBorder="1" applyAlignment="1">
      <alignment/>
    </xf>
    <xf numFmtId="10" fontId="52" fillId="0" borderId="0" xfId="57" applyNumberFormat="1" applyFont="1" applyFill="1" applyAlignment="1" quotePrefix="1">
      <alignment/>
    </xf>
    <xf numFmtId="2" fontId="0" fillId="0" borderId="0" xfId="57" applyNumberFormat="1" applyFont="1" applyFill="1" applyAlignment="1">
      <alignment/>
    </xf>
    <xf numFmtId="9" fontId="0" fillId="0" borderId="0" xfId="57" applyFont="1" applyFill="1" applyAlignment="1">
      <alignment/>
    </xf>
    <xf numFmtId="10" fontId="0" fillId="2" borderId="34" xfId="0" applyNumberFormat="1" applyFill="1" applyBorder="1" applyAlignment="1">
      <alignment/>
    </xf>
    <xf numFmtId="0" fontId="45" fillId="0" borderId="29" xfId="0" applyFont="1" applyBorder="1" applyAlignment="1">
      <alignment horizontal="center" textRotation="42"/>
    </xf>
    <xf numFmtId="0" fontId="45" fillId="0" borderId="30" xfId="0" applyFont="1" applyBorder="1" applyAlignment="1">
      <alignment horizontal="center" textRotation="42"/>
    </xf>
    <xf numFmtId="0" fontId="45" fillId="0" borderId="31" xfId="0" applyFont="1" applyBorder="1" applyAlignment="1">
      <alignment horizontal="center" textRotation="4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OXY: EPS vs. DPS</a:t>
            </a:r>
          </a:p>
        </c:rich>
      </c:tx>
      <c:layout>
        <c:manualLayout>
          <c:xMode val="factor"/>
          <c:yMode val="factor"/>
          <c:x val="-0.002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275"/>
          <c:w val="0.983"/>
          <c:h val="0.7605"/>
        </c:manualLayout>
      </c:layout>
      <c:lineChart>
        <c:grouping val="standard"/>
        <c:varyColors val="0"/>
        <c:ser>
          <c:idx val="0"/>
          <c:order val="0"/>
          <c:tx>
            <c:v>EPS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'Case Gordon'!$C$3:$Q$3</c:f>
              <c:numCache/>
            </c:numRef>
          </c:cat>
          <c:val>
            <c:numRef>
              <c:f>'Case Gordon'!$C$4:$Q$4</c:f>
              <c:numCache/>
            </c:numRef>
          </c:val>
          <c:smooth val="0"/>
        </c:ser>
        <c:marker val="1"/>
        <c:axId val="56902903"/>
        <c:axId val="42364080"/>
      </c:lineChart>
      <c:lineChart>
        <c:grouping val="standard"/>
        <c:varyColors val="0"/>
        <c:ser>
          <c:idx val="1"/>
          <c:order val="1"/>
          <c:tx>
            <c:v>DPS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'Case Gordon'!$C$3:$Q$3</c:f>
              <c:numCache/>
            </c:numRef>
          </c:cat>
          <c:val>
            <c:numRef>
              <c:f>'Case Gordon'!$C$5:$Q$5</c:f>
              <c:numCache/>
            </c:numRef>
          </c:val>
          <c:smooth val="0"/>
        </c:ser>
        <c:marker val="1"/>
        <c:axId val="45732401"/>
        <c:axId val="8938426"/>
      </c:lineChart>
      <c:catAx>
        <c:axId val="569029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364080"/>
        <c:crosses val="autoZero"/>
        <c:auto val="1"/>
        <c:lblOffset val="100"/>
        <c:tickLblSkip val="1"/>
        <c:noMultiLvlLbl val="0"/>
      </c:catAx>
      <c:valAx>
        <c:axId val="423640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902903"/>
        <c:crossesAt val="1"/>
        <c:crossBetween val="between"/>
        <c:dispUnits/>
      </c:valAx>
      <c:catAx>
        <c:axId val="45732401"/>
        <c:scaling>
          <c:orientation val="minMax"/>
        </c:scaling>
        <c:axPos val="b"/>
        <c:delete val="1"/>
        <c:majorTickMark val="out"/>
        <c:minorTickMark val="none"/>
        <c:tickLblPos val="nextTo"/>
        <c:crossAx val="8938426"/>
        <c:crosses val="autoZero"/>
        <c:auto val="1"/>
        <c:lblOffset val="100"/>
        <c:tickLblSkip val="1"/>
        <c:noMultiLvlLbl val="0"/>
      </c:catAx>
      <c:valAx>
        <c:axId val="89384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73240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25"/>
          <c:y val="0.897"/>
          <c:w val="0.2685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ED: EPS vs. DPS</a:t>
            </a:r>
          </a:p>
        </c:rich>
      </c:tx>
      <c:layout>
        <c:manualLayout>
          <c:xMode val="factor"/>
          <c:yMode val="factor"/>
          <c:x val="-0.004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265"/>
          <c:w val="0.9855"/>
          <c:h val="0.762"/>
        </c:manualLayout>
      </c:layout>
      <c:lineChart>
        <c:grouping val="standard"/>
        <c:varyColors val="0"/>
        <c:ser>
          <c:idx val="0"/>
          <c:order val="0"/>
          <c:tx>
            <c:v>EPS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'Case Gordon'!$C$14:$Q$14</c:f>
              <c:numCache/>
            </c:numRef>
          </c:cat>
          <c:val>
            <c:numRef>
              <c:f>'Case Gordon'!$C$15:$Q$15</c:f>
              <c:numCache/>
            </c:numRef>
          </c:val>
          <c:smooth val="0"/>
        </c:ser>
        <c:marker val="1"/>
        <c:axId val="13336971"/>
        <c:axId val="52923876"/>
      </c:lineChart>
      <c:lineChart>
        <c:grouping val="standard"/>
        <c:varyColors val="0"/>
        <c:ser>
          <c:idx val="1"/>
          <c:order val="1"/>
          <c:tx>
            <c:v>DPS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'Case Gordon'!$C$14:$Q$14</c:f>
              <c:numCache/>
            </c:numRef>
          </c:cat>
          <c:val>
            <c:numRef>
              <c:f>'Case Gordon'!$C$16:$Q$16</c:f>
              <c:numCache/>
            </c:numRef>
          </c:val>
          <c:smooth val="0"/>
        </c:ser>
        <c:marker val="1"/>
        <c:axId val="6552837"/>
        <c:axId val="58975534"/>
      </c:lineChart>
      <c:catAx>
        <c:axId val="133369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923876"/>
        <c:crosses val="autoZero"/>
        <c:auto val="1"/>
        <c:lblOffset val="100"/>
        <c:tickLblSkip val="1"/>
        <c:noMultiLvlLbl val="0"/>
      </c:catAx>
      <c:valAx>
        <c:axId val="529238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336971"/>
        <c:crossesAt val="1"/>
        <c:crossBetween val="between"/>
        <c:dispUnits/>
      </c:valAx>
      <c:catAx>
        <c:axId val="6552837"/>
        <c:scaling>
          <c:orientation val="minMax"/>
        </c:scaling>
        <c:axPos val="b"/>
        <c:delete val="1"/>
        <c:majorTickMark val="out"/>
        <c:minorTickMark val="none"/>
        <c:tickLblPos val="nextTo"/>
        <c:crossAx val="58975534"/>
        <c:crosses val="autoZero"/>
        <c:auto val="1"/>
        <c:lblOffset val="100"/>
        <c:tickLblSkip val="1"/>
        <c:noMultiLvlLbl val="0"/>
      </c:catAx>
      <c:valAx>
        <c:axId val="589755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5283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5"/>
          <c:y val="0.89775"/>
          <c:w val="0.26675"/>
          <c:h val="0.0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CSCO: EPS vs. DPS</a:t>
            </a:r>
          </a:p>
        </c:rich>
      </c:tx>
      <c:layout>
        <c:manualLayout>
          <c:xMode val="factor"/>
          <c:yMode val="factor"/>
          <c:x val="-0.002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295"/>
          <c:w val="0.9825"/>
          <c:h val="0.76075"/>
        </c:manualLayout>
      </c:layout>
      <c:lineChart>
        <c:grouping val="standard"/>
        <c:varyColors val="0"/>
        <c:ser>
          <c:idx val="0"/>
          <c:order val="0"/>
          <c:tx>
            <c:v>EPS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'Case CSCO'!$C$4:$M$4</c:f>
              <c:strCache/>
            </c:strRef>
          </c:cat>
          <c:val>
            <c:numRef>
              <c:f>'Case CSCO'!$C$5:$M$5</c:f>
              <c:numCache/>
            </c:numRef>
          </c:val>
          <c:smooth val="0"/>
        </c:ser>
        <c:marker val="1"/>
        <c:axId val="61017759"/>
        <c:axId val="12288920"/>
      </c:lineChart>
      <c:lineChart>
        <c:grouping val="standard"/>
        <c:varyColors val="0"/>
        <c:ser>
          <c:idx val="1"/>
          <c:order val="1"/>
          <c:tx>
            <c:v>DPS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'Case CSCO'!$C$6:$M$6</c:f>
              <c:numCache/>
            </c:numRef>
          </c:val>
          <c:smooth val="0"/>
        </c:ser>
        <c:marker val="1"/>
        <c:axId val="43491417"/>
        <c:axId val="55878434"/>
      </c:lineChart>
      <c:catAx>
        <c:axId val="610177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288920"/>
        <c:crosses val="autoZero"/>
        <c:auto val="1"/>
        <c:lblOffset val="100"/>
        <c:tickLblSkip val="1"/>
        <c:noMultiLvlLbl val="0"/>
      </c:catAx>
      <c:valAx>
        <c:axId val="122889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&quot;$&quot;#,##0.0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017759"/>
        <c:crossesAt val="1"/>
        <c:crossBetween val="between"/>
        <c:dispUnits/>
      </c:valAx>
      <c:catAx>
        <c:axId val="43491417"/>
        <c:scaling>
          <c:orientation val="minMax"/>
        </c:scaling>
        <c:axPos val="b"/>
        <c:delete val="1"/>
        <c:majorTickMark val="out"/>
        <c:minorTickMark val="none"/>
        <c:tickLblPos val="nextTo"/>
        <c:crossAx val="55878434"/>
        <c:crosses val="autoZero"/>
        <c:auto val="1"/>
        <c:lblOffset val="100"/>
        <c:tickLblSkip val="1"/>
        <c:noMultiLvlLbl val="0"/>
      </c:catAx>
      <c:valAx>
        <c:axId val="558784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49141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5"/>
          <c:y val="0.89525"/>
          <c:w val="0.28375"/>
          <c:h val="0.0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600075</xdr:colOff>
      <xdr:row>34</xdr:row>
      <xdr:rowOff>28575</xdr:rowOff>
    </xdr:from>
    <xdr:to>
      <xdr:col>19</xdr:col>
      <xdr:colOff>66675</xdr:colOff>
      <xdr:row>47</xdr:row>
      <xdr:rowOff>133350</xdr:rowOff>
    </xdr:to>
    <xdr:graphicFrame>
      <xdr:nvGraphicFramePr>
        <xdr:cNvPr id="1" name="Chart 1"/>
        <xdr:cNvGraphicFramePr/>
      </xdr:nvGraphicFramePr>
      <xdr:xfrm>
        <a:off x="8086725" y="6591300"/>
        <a:ext cx="43434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590550</xdr:colOff>
      <xdr:row>49</xdr:row>
      <xdr:rowOff>85725</xdr:rowOff>
    </xdr:from>
    <xdr:to>
      <xdr:col>19</xdr:col>
      <xdr:colOff>85725</xdr:colOff>
      <xdr:row>63</xdr:row>
      <xdr:rowOff>19050</xdr:rowOff>
    </xdr:to>
    <xdr:graphicFrame>
      <xdr:nvGraphicFramePr>
        <xdr:cNvPr id="2" name="Chart 2"/>
        <xdr:cNvGraphicFramePr/>
      </xdr:nvGraphicFramePr>
      <xdr:xfrm>
        <a:off x="8077200" y="9505950"/>
        <a:ext cx="43719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24</xdr:row>
      <xdr:rowOff>190500</xdr:rowOff>
    </xdr:from>
    <xdr:to>
      <xdr:col>14</xdr:col>
      <xdr:colOff>219075</xdr:colOff>
      <xdr:row>38</xdr:row>
      <xdr:rowOff>19050</xdr:rowOff>
    </xdr:to>
    <xdr:graphicFrame>
      <xdr:nvGraphicFramePr>
        <xdr:cNvPr id="1" name="Chart 1"/>
        <xdr:cNvGraphicFramePr/>
      </xdr:nvGraphicFramePr>
      <xdr:xfrm>
        <a:off x="5305425" y="4867275"/>
        <a:ext cx="41052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showGridLines="0" zoomScale="87" zoomScaleNormal="87" zoomScalePageLayoutView="0" workbookViewId="0" topLeftCell="A94">
      <selection activeCell="B2" sqref="B2"/>
    </sheetView>
  </sheetViews>
  <sheetFormatPr defaultColWidth="9.140625" defaultRowHeight="15"/>
  <cols>
    <col min="2" max="2" width="12.28125" style="0" customWidth="1"/>
    <col min="3" max="3" width="12.7109375" style="0" customWidth="1"/>
    <col min="4" max="4" width="11.8515625" style="0" customWidth="1"/>
    <col min="6" max="6" width="11.421875" style="0" customWidth="1"/>
  </cols>
  <sheetData>
    <row r="1" spans="2:6" ht="18.75">
      <c r="B1" s="41" t="s">
        <v>78</v>
      </c>
      <c r="C1" s="41"/>
      <c r="F1" s="20" t="s">
        <v>39</v>
      </c>
    </row>
    <row r="2" ht="15.75" thickBot="1"/>
    <row r="3" spans="1:18" ht="15.75" thickBot="1">
      <c r="A3" s="19">
        <v>65.75</v>
      </c>
      <c r="B3" s="14" t="s">
        <v>3</v>
      </c>
      <c r="C3" s="43">
        <v>2000</v>
      </c>
      <c r="D3" s="44">
        <f aca="true" t="shared" si="0" ref="D3:Q3">C3+1</f>
        <v>2001</v>
      </c>
      <c r="E3" s="44">
        <f t="shared" si="0"/>
        <v>2002</v>
      </c>
      <c r="F3" s="44">
        <f t="shared" si="0"/>
        <v>2003</v>
      </c>
      <c r="G3" s="44">
        <f t="shared" si="0"/>
        <v>2004</v>
      </c>
      <c r="H3" s="44">
        <f t="shared" si="0"/>
        <v>2005</v>
      </c>
      <c r="I3" s="44">
        <f t="shared" si="0"/>
        <v>2006</v>
      </c>
      <c r="J3" s="44">
        <f t="shared" si="0"/>
        <v>2007</v>
      </c>
      <c r="K3" s="44">
        <f t="shared" si="0"/>
        <v>2008</v>
      </c>
      <c r="L3" s="44">
        <f t="shared" si="0"/>
        <v>2009</v>
      </c>
      <c r="M3" s="44">
        <f t="shared" si="0"/>
        <v>2010</v>
      </c>
      <c r="N3" s="44">
        <f t="shared" si="0"/>
        <v>2011</v>
      </c>
      <c r="O3" s="44">
        <f t="shared" si="0"/>
        <v>2012</v>
      </c>
      <c r="P3" s="44">
        <f t="shared" si="0"/>
        <v>2013</v>
      </c>
      <c r="Q3" s="45">
        <f t="shared" si="0"/>
        <v>2014</v>
      </c>
      <c r="R3" s="25" t="s">
        <v>15</v>
      </c>
    </row>
    <row r="4" spans="2:18" ht="15">
      <c r="B4" t="s">
        <v>0</v>
      </c>
      <c r="C4" s="11">
        <v>1.8</v>
      </c>
      <c r="D4" s="12">
        <v>1.79</v>
      </c>
      <c r="E4" s="12">
        <v>1.35</v>
      </c>
      <c r="F4" s="12">
        <v>2.11</v>
      </c>
      <c r="G4" s="12">
        <v>3.37</v>
      </c>
      <c r="H4" s="12">
        <v>4.92</v>
      </c>
      <c r="I4" s="12">
        <v>5.11</v>
      </c>
      <c r="J4" s="12">
        <v>5.28</v>
      </c>
      <c r="K4" s="12">
        <v>8.98</v>
      </c>
      <c r="L4" s="12">
        <v>3.79</v>
      </c>
      <c r="M4" s="12">
        <v>5.72</v>
      </c>
      <c r="N4" s="12">
        <v>8.39</v>
      </c>
      <c r="O4" s="12">
        <v>7.09</v>
      </c>
      <c r="P4" s="12">
        <v>6.96</v>
      </c>
      <c r="Q4" s="13">
        <v>4.83</v>
      </c>
      <c r="R4" s="26">
        <v>1.1</v>
      </c>
    </row>
    <row r="5" spans="2:18" ht="15">
      <c r="B5" t="s">
        <v>1</v>
      </c>
      <c r="C5" s="11">
        <v>0.5</v>
      </c>
      <c r="D5" s="12">
        <v>0.5</v>
      </c>
      <c r="E5" s="12">
        <v>0.5</v>
      </c>
      <c r="F5" s="12">
        <v>0.52</v>
      </c>
      <c r="G5" s="12">
        <v>0.55</v>
      </c>
      <c r="H5" s="12">
        <v>0.61</v>
      </c>
      <c r="I5" s="12">
        <v>0.76</v>
      </c>
      <c r="J5" s="12">
        <v>0.91</v>
      </c>
      <c r="K5" s="12">
        <v>1.14</v>
      </c>
      <c r="L5" s="12">
        <v>1.3</v>
      </c>
      <c r="M5" s="12">
        <v>1.42</v>
      </c>
      <c r="N5" s="12">
        <v>1.76</v>
      </c>
      <c r="O5" s="12">
        <v>2.62</v>
      </c>
      <c r="P5" s="12">
        <v>1.92</v>
      </c>
      <c r="Q5" s="13">
        <v>2.8</v>
      </c>
      <c r="R5" s="26">
        <v>2.94</v>
      </c>
    </row>
    <row r="6" spans="2:18" ht="15">
      <c r="B6" t="s">
        <v>2</v>
      </c>
      <c r="C6" s="8">
        <f aca="true" t="shared" si="1" ref="C6:Q6">C5/C4</f>
        <v>0.2777777777777778</v>
      </c>
      <c r="D6" s="9">
        <f t="shared" si="1"/>
        <v>0.27932960893854747</v>
      </c>
      <c r="E6" s="9">
        <f t="shared" si="1"/>
        <v>0.37037037037037035</v>
      </c>
      <c r="F6" s="9">
        <f t="shared" si="1"/>
        <v>0.24644549763033177</v>
      </c>
      <c r="G6" s="9">
        <f t="shared" si="1"/>
        <v>0.1632047477744807</v>
      </c>
      <c r="H6" s="9">
        <f t="shared" si="1"/>
        <v>0.12398373983739837</v>
      </c>
      <c r="I6" s="9">
        <f t="shared" si="1"/>
        <v>0.1487279843444227</v>
      </c>
      <c r="J6" s="9">
        <f t="shared" si="1"/>
        <v>0.17234848484848483</v>
      </c>
      <c r="K6" s="9">
        <f t="shared" si="1"/>
        <v>0.12694877505567928</v>
      </c>
      <c r="L6" s="9">
        <f t="shared" si="1"/>
        <v>0.34300791556728233</v>
      </c>
      <c r="M6" s="9">
        <f t="shared" si="1"/>
        <v>0.24825174825174826</v>
      </c>
      <c r="N6" s="9">
        <f t="shared" si="1"/>
        <v>0.20977353992848627</v>
      </c>
      <c r="O6" s="9">
        <f t="shared" si="1"/>
        <v>0.36953455571227084</v>
      </c>
      <c r="P6" s="9">
        <f t="shared" si="1"/>
        <v>0.27586206896551724</v>
      </c>
      <c r="Q6" s="10">
        <f t="shared" si="1"/>
        <v>0.5797101449275361</v>
      </c>
      <c r="R6" s="28">
        <f>R5/R4</f>
        <v>2.6727272727272724</v>
      </c>
    </row>
    <row r="7" spans="1:18" ht="15">
      <c r="A7" t="s">
        <v>20</v>
      </c>
      <c r="B7" t="s">
        <v>12</v>
      </c>
      <c r="C7" s="15"/>
      <c r="D7" s="16">
        <f>(D4-C4)/C4</f>
        <v>-0.00555555555555556</v>
      </c>
      <c r="E7" s="16">
        <f>(E4-D4)/D4</f>
        <v>-0.24581005586592175</v>
      </c>
      <c r="F7" s="16">
        <f>(F4-E4)/E4</f>
        <v>0.5629629629629628</v>
      </c>
      <c r="G7" s="16">
        <f aca="true" t="shared" si="2" ref="G7:R7">(G4-F4)/F4</f>
        <v>0.5971563981042656</v>
      </c>
      <c r="H7" s="16">
        <f t="shared" si="2"/>
        <v>0.45994065281899105</v>
      </c>
      <c r="I7" s="16">
        <f t="shared" si="2"/>
        <v>0.03861788617886187</v>
      </c>
      <c r="J7" s="16">
        <f t="shared" si="2"/>
        <v>0.03326810176125243</v>
      </c>
      <c r="K7" s="16">
        <f t="shared" si="2"/>
        <v>0.7007575757575758</v>
      </c>
      <c r="L7" s="16">
        <f t="shared" si="2"/>
        <v>-0.5779510022271716</v>
      </c>
      <c r="M7" s="16">
        <f t="shared" si="2"/>
        <v>0.5092348284960422</v>
      </c>
      <c r="N7" s="16">
        <f t="shared" si="2"/>
        <v>0.46678321678321694</v>
      </c>
      <c r="O7" s="16">
        <f t="shared" si="2"/>
        <v>-0.15494636471990472</v>
      </c>
      <c r="P7" s="16">
        <f t="shared" si="2"/>
        <v>-0.018335684062059224</v>
      </c>
      <c r="Q7" s="16">
        <f t="shared" si="2"/>
        <v>-0.30603448275862066</v>
      </c>
      <c r="R7" s="16">
        <f t="shared" si="2"/>
        <v>-0.7722567287784678</v>
      </c>
    </row>
    <row r="8" spans="1:18" ht="15">
      <c r="A8" t="s">
        <v>20</v>
      </c>
      <c r="B8" s="39" t="s">
        <v>13</v>
      </c>
      <c r="C8" s="9"/>
      <c r="D8" s="40">
        <f>(D5-C5)/C5</f>
        <v>0</v>
      </c>
      <c r="E8" s="40">
        <f>(E5-D5)/D5</f>
        <v>0</v>
      </c>
      <c r="F8" s="40">
        <f aca="true" t="shared" si="3" ref="F8:R8">(F5-E5)/E5</f>
        <v>0.040000000000000036</v>
      </c>
      <c r="G8" s="40">
        <f t="shared" si="3"/>
        <v>0.057692307692307744</v>
      </c>
      <c r="H8" s="40">
        <f t="shared" si="3"/>
        <v>0.10909090909090897</v>
      </c>
      <c r="I8" s="40">
        <f t="shared" si="3"/>
        <v>0.24590163934426235</v>
      </c>
      <c r="J8" s="40">
        <f t="shared" si="3"/>
        <v>0.1973684210526316</v>
      </c>
      <c r="K8" s="40">
        <f t="shared" si="3"/>
        <v>0.25274725274725257</v>
      </c>
      <c r="L8" s="40">
        <f t="shared" si="3"/>
        <v>0.1403508771929826</v>
      </c>
      <c r="M8" s="40">
        <f t="shared" si="3"/>
        <v>0.09230769230769222</v>
      </c>
      <c r="N8" s="40">
        <f t="shared" si="3"/>
        <v>0.23943661971830993</v>
      </c>
      <c r="O8" s="40">
        <f t="shared" si="3"/>
        <v>0.4886363636363637</v>
      </c>
      <c r="P8" s="40">
        <f t="shared" si="3"/>
        <v>-0.267175572519084</v>
      </c>
      <c r="Q8" s="40">
        <f t="shared" si="3"/>
        <v>0.4583333333333333</v>
      </c>
      <c r="R8" s="40">
        <f t="shared" si="3"/>
        <v>0.050000000000000044</v>
      </c>
    </row>
    <row r="9" spans="1:19" ht="15">
      <c r="A9" t="s">
        <v>20</v>
      </c>
      <c r="B9" t="s">
        <v>10</v>
      </c>
      <c r="F9" s="22">
        <f>(F$5/C$5)^(1/3)-1</f>
        <v>0.013159403820177218</v>
      </c>
      <c r="G9" s="22">
        <f aca="true" t="shared" si="4" ref="G9:Q9">(G$5/D$5)^(1/3)-1</f>
        <v>0.03228011545636722</v>
      </c>
      <c r="H9" s="22">
        <f t="shared" si="4"/>
        <v>0.06852973014887653</v>
      </c>
      <c r="I9" s="22">
        <f t="shared" si="4"/>
        <v>0.1348455252486973</v>
      </c>
      <c r="J9" s="22">
        <f t="shared" si="4"/>
        <v>0.18274984809430905</v>
      </c>
      <c r="K9" s="22">
        <f t="shared" si="4"/>
        <v>0.23175690475631328</v>
      </c>
      <c r="L9" s="22">
        <f t="shared" si="4"/>
        <v>0.19594145467509838</v>
      </c>
      <c r="M9" s="22">
        <f t="shared" si="4"/>
        <v>0.15988691932754073</v>
      </c>
      <c r="N9" s="22">
        <f t="shared" si="4"/>
        <v>0.15576429093134903</v>
      </c>
      <c r="O9" s="22">
        <f t="shared" si="4"/>
        <v>0.2631433684039477</v>
      </c>
      <c r="P9" s="22">
        <f t="shared" si="4"/>
        <v>0.10578567985792864</v>
      </c>
      <c r="Q9" s="22">
        <f t="shared" si="4"/>
        <v>0.16738772165039473</v>
      </c>
      <c r="R9" s="22">
        <f>(R$5/O$5)^(1/3)-1</f>
        <v>0.03915902323105214</v>
      </c>
      <c r="S9" s="115" t="s">
        <v>74</v>
      </c>
    </row>
    <row r="10" spans="1:19" ht="15">
      <c r="A10" t="s">
        <v>20</v>
      </c>
      <c r="B10" t="s">
        <v>11</v>
      </c>
      <c r="F10" s="23"/>
      <c r="G10" s="23"/>
      <c r="H10" s="22">
        <f>(H$5/C$5)^(1/5)-1</f>
        <v>0.04057159395880827</v>
      </c>
      <c r="I10" s="22">
        <f aca="true" t="shared" si="5" ref="I10:Q10">(I$5/D$5)^(1/5)-1</f>
        <v>0.0873483945710749</v>
      </c>
      <c r="J10" s="22">
        <f t="shared" si="5"/>
        <v>0.12723451383166728</v>
      </c>
      <c r="K10" s="22">
        <f t="shared" si="5"/>
        <v>0.1699850207648388</v>
      </c>
      <c r="L10" s="22">
        <f t="shared" si="5"/>
        <v>0.18772564182493778</v>
      </c>
      <c r="M10" s="22">
        <f t="shared" si="5"/>
        <v>0.18410905405493416</v>
      </c>
      <c r="N10" s="22">
        <f t="shared" si="5"/>
        <v>0.18287762019416953</v>
      </c>
      <c r="O10" s="22">
        <f t="shared" si="5"/>
        <v>0.2355262583634019</v>
      </c>
      <c r="P10" s="22">
        <f>(P$5/K$5)^(1/5)-1</f>
        <v>0.1098883056567086</v>
      </c>
      <c r="Q10" s="22">
        <f t="shared" si="5"/>
        <v>0.16585069464845925</v>
      </c>
      <c r="R10" s="22">
        <f>(R$5/M$5)^(1/5)-1</f>
        <v>0.1566761937722978</v>
      </c>
      <c r="S10" s="115" t="s">
        <v>75</v>
      </c>
    </row>
    <row r="11" spans="2:17" ht="15">
      <c r="B11" t="s">
        <v>5</v>
      </c>
      <c r="C11" s="37">
        <v>1.2</v>
      </c>
      <c r="E11" t="s">
        <v>20</v>
      </c>
      <c r="F11" t="s">
        <v>14</v>
      </c>
      <c r="G11" s="36">
        <f>((A3*C12)-R5)/A3</f>
        <v>0.07304517110266161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ht="15">
      <c r="A12" t="s">
        <v>20</v>
      </c>
      <c r="B12" t="s">
        <v>8</v>
      </c>
      <c r="C12" s="32">
        <f>C25+C11*(E25-C25)</f>
        <v>0.11776</v>
      </c>
      <c r="D12" s="115" t="s">
        <v>76</v>
      </c>
      <c r="F12" t="s">
        <v>16</v>
      </c>
      <c r="G12" s="34">
        <f>(R5*(1+G11))/(C12-G11)</f>
        <v>70.55272000000001</v>
      </c>
      <c r="H12" s="115" t="s">
        <v>77</v>
      </c>
      <c r="I12" s="21"/>
      <c r="J12" s="21"/>
      <c r="K12" s="21"/>
      <c r="L12" s="21"/>
      <c r="M12" s="21"/>
      <c r="N12" s="21"/>
      <c r="O12" s="21"/>
      <c r="P12" s="21"/>
      <c r="Q12" s="21"/>
    </row>
    <row r="13" spans="6:17" ht="15.75" thickBot="1"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8" ht="15.75" thickBot="1">
      <c r="A14" s="19">
        <v>62.67</v>
      </c>
      <c r="B14" s="14" t="s">
        <v>4</v>
      </c>
      <c r="C14" s="46">
        <f>C3</f>
        <v>2000</v>
      </c>
      <c r="D14" s="47">
        <f aca="true" t="shared" si="6" ref="D14:Q14">D3</f>
        <v>2001</v>
      </c>
      <c r="E14" s="47">
        <f t="shared" si="6"/>
        <v>2002</v>
      </c>
      <c r="F14" s="47">
        <f t="shared" si="6"/>
        <v>2003</v>
      </c>
      <c r="G14" s="47">
        <f t="shared" si="6"/>
        <v>2004</v>
      </c>
      <c r="H14" s="47">
        <f t="shared" si="6"/>
        <v>2005</v>
      </c>
      <c r="I14" s="47">
        <f t="shared" si="6"/>
        <v>2006</v>
      </c>
      <c r="J14" s="47">
        <f t="shared" si="6"/>
        <v>2007</v>
      </c>
      <c r="K14" s="47">
        <f t="shared" si="6"/>
        <v>2008</v>
      </c>
      <c r="L14" s="47">
        <f t="shared" si="6"/>
        <v>2009</v>
      </c>
      <c r="M14" s="47">
        <f t="shared" si="6"/>
        <v>2010</v>
      </c>
      <c r="N14" s="47">
        <f t="shared" si="6"/>
        <v>2011</v>
      </c>
      <c r="O14" s="47">
        <f t="shared" si="6"/>
        <v>2012</v>
      </c>
      <c r="P14" s="47">
        <f t="shared" si="6"/>
        <v>2013</v>
      </c>
      <c r="Q14" s="48">
        <f t="shared" si="6"/>
        <v>2014</v>
      </c>
      <c r="R14" s="25" t="s">
        <v>15</v>
      </c>
    </row>
    <row r="15" spans="2:18" ht="15">
      <c r="B15" t="s">
        <v>0</v>
      </c>
      <c r="C15" s="2">
        <v>2.74</v>
      </c>
      <c r="D15" s="3">
        <v>3.21</v>
      </c>
      <c r="E15" s="3">
        <v>3.13</v>
      </c>
      <c r="F15" s="3">
        <v>2.83</v>
      </c>
      <c r="G15" s="3">
        <v>2.32</v>
      </c>
      <c r="H15" s="3">
        <v>2.99</v>
      </c>
      <c r="I15" s="3">
        <v>2.95</v>
      </c>
      <c r="J15" s="3">
        <v>3.48</v>
      </c>
      <c r="K15" s="3">
        <v>3.36</v>
      </c>
      <c r="L15" s="3">
        <v>3.14</v>
      </c>
      <c r="M15" s="3">
        <v>3.47</v>
      </c>
      <c r="N15" s="3">
        <v>3.57</v>
      </c>
      <c r="O15" s="3">
        <v>3.86</v>
      </c>
      <c r="P15" s="3">
        <v>3.93</v>
      </c>
      <c r="Q15" s="4">
        <v>3.62</v>
      </c>
      <c r="R15" s="26">
        <v>3.95</v>
      </c>
    </row>
    <row r="16" spans="2:18" ht="15">
      <c r="B16" t="s">
        <v>1</v>
      </c>
      <c r="C16" s="5">
        <v>2.18</v>
      </c>
      <c r="D16" s="12">
        <v>2.2</v>
      </c>
      <c r="E16" s="6">
        <v>2.22</v>
      </c>
      <c r="F16" s="6">
        <v>2.24</v>
      </c>
      <c r="G16" s="6">
        <v>2.26</v>
      </c>
      <c r="H16" s="6">
        <v>2.28</v>
      </c>
      <c r="I16" s="6">
        <v>2.3</v>
      </c>
      <c r="J16" s="6">
        <v>2.32</v>
      </c>
      <c r="K16" s="6">
        <v>2.34</v>
      </c>
      <c r="L16" s="6">
        <v>2.36</v>
      </c>
      <c r="M16" s="6">
        <v>2.38</v>
      </c>
      <c r="N16" s="12">
        <v>2.4</v>
      </c>
      <c r="O16" s="6">
        <v>2.42</v>
      </c>
      <c r="P16" s="6">
        <v>2.46</v>
      </c>
      <c r="Q16" s="7">
        <v>2.52</v>
      </c>
      <c r="R16" s="26">
        <v>2.6</v>
      </c>
    </row>
    <row r="17" spans="2:18" ht="15">
      <c r="B17" t="s">
        <v>2</v>
      </c>
      <c r="C17" s="8">
        <f>C16/C15</f>
        <v>0.7956204379562044</v>
      </c>
      <c r="D17" s="9">
        <f aca="true" t="shared" si="7" ref="D17:Q17">D16/D15</f>
        <v>0.6853582554517135</v>
      </c>
      <c r="E17" s="9">
        <f t="shared" si="7"/>
        <v>0.70926517571885</v>
      </c>
      <c r="F17" s="9">
        <f t="shared" si="7"/>
        <v>0.7915194346289753</v>
      </c>
      <c r="G17" s="9">
        <f t="shared" si="7"/>
        <v>0.9741379310344828</v>
      </c>
      <c r="H17" s="9">
        <f t="shared" si="7"/>
        <v>0.7625418060200667</v>
      </c>
      <c r="I17" s="9">
        <f t="shared" si="7"/>
        <v>0.7796610169491525</v>
      </c>
      <c r="J17" s="9">
        <f t="shared" si="7"/>
        <v>0.6666666666666666</v>
      </c>
      <c r="K17" s="9">
        <f t="shared" si="7"/>
        <v>0.6964285714285714</v>
      </c>
      <c r="L17" s="9">
        <f t="shared" si="7"/>
        <v>0.751592356687898</v>
      </c>
      <c r="M17" s="9">
        <f t="shared" si="7"/>
        <v>0.685878962536023</v>
      </c>
      <c r="N17" s="9">
        <f t="shared" si="7"/>
        <v>0.6722689075630253</v>
      </c>
      <c r="O17" s="9">
        <f t="shared" si="7"/>
        <v>0.6269430051813472</v>
      </c>
      <c r="P17" s="9">
        <f t="shared" si="7"/>
        <v>0.6259541984732824</v>
      </c>
      <c r="Q17" s="10">
        <f t="shared" si="7"/>
        <v>0.6961325966850829</v>
      </c>
      <c r="R17" s="28">
        <f>R16/R15</f>
        <v>0.6582278481012658</v>
      </c>
    </row>
    <row r="18" spans="1:18" ht="15">
      <c r="A18" t="s">
        <v>20</v>
      </c>
      <c r="B18" t="s">
        <v>12</v>
      </c>
      <c r="D18" s="17">
        <f>(D15-C15)/C15</f>
        <v>0.17153284671532837</v>
      </c>
      <c r="E18" s="17">
        <f>(E15-D15)/D15</f>
        <v>-0.02492211838006233</v>
      </c>
      <c r="F18" s="17">
        <f aca="true" t="shared" si="8" ref="F18:R18">(F15-E15)/E15</f>
        <v>-0.09584664536741208</v>
      </c>
      <c r="G18" s="17">
        <f t="shared" si="8"/>
        <v>-0.1802120141342757</v>
      </c>
      <c r="H18" s="17">
        <f t="shared" si="8"/>
        <v>0.288793103448276</v>
      </c>
      <c r="I18" s="17">
        <f t="shared" si="8"/>
        <v>-0.013377926421404692</v>
      </c>
      <c r="J18" s="17">
        <f t="shared" si="8"/>
        <v>0.17966101694915246</v>
      </c>
      <c r="K18" s="17">
        <f t="shared" si="8"/>
        <v>-0.03448275862068969</v>
      </c>
      <c r="L18" s="17">
        <f t="shared" si="8"/>
        <v>-0.06547619047619041</v>
      </c>
      <c r="M18" s="17">
        <f t="shared" si="8"/>
        <v>0.1050955414012739</v>
      </c>
      <c r="N18" s="17">
        <f t="shared" si="8"/>
        <v>0.028818443804034477</v>
      </c>
      <c r="O18" s="17">
        <f t="shared" si="8"/>
        <v>0.0812324929971989</v>
      </c>
      <c r="P18" s="17">
        <f t="shared" si="8"/>
        <v>0.01813471502590681</v>
      </c>
      <c r="Q18" s="17">
        <f t="shared" si="8"/>
        <v>-0.07888040712468194</v>
      </c>
      <c r="R18" s="17">
        <f t="shared" si="8"/>
        <v>0.09116022099447516</v>
      </c>
    </row>
    <row r="19" spans="1:18" ht="15">
      <c r="A19" t="s">
        <v>20</v>
      </c>
      <c r="B19" s="39" t="s">
        <v>13</v>
      </c>
      <c r="C19" s="39"/>
      <c r="D19" s="40">
        <f>(D17-C17)/C17</f>
        <v>-0.13858641287261705</v>
      </c>
      <c r="E19" s="40">
        <f aca="true" t="shared" si="9" ref="E19:R19">(E17-D17)/D17</f>
        <v>0.03488237002614004</v>
      </c>
      <c r="F19" s="40">
        <f t="shared" si="9"/>
        <v>0.11597109476968127</v>
      </c>
      <c r="G19" s="40">
        <f t="shared" si="9"/>
        <v>0.2307189039408866</v>
      </c>
      <c r="H19" s="40">
        <f t="shared" si="9"/>
        <v>-0.21721372125373684</v>
      </c>
      <c r="I19" s="40">
        <f t="shared" si="9"/>
        <v>0.022450193279809825</v>
      </c>
      <c r="J19" s="40">
        <f t="shared" si="9"/>
        <v>-0.144927536231884</v>
      </c>
      <c r="K19" s="40">
        <f t="shared" si="9"/>
        <v>0.04464285714285715</v>
      </c>
      <c r="L19" s="40">
        <f t="shared" si="9"/>
        <v>0.0792095378082639</v>
      </c>
      <c r="M19" s="40">
        <f t="shared" si="9"/>
        <v>-0.08743222781224054</v>
      </c>
      <c r="N19" s="40">
        <f t="shared" si="9"/>
        <v>-0.019843231410210965</v>
      </c>
      <c r="O19" s="40">
        <f>(O17-N17)/N17</f>
        <v>-0.06742227979274618</v>
      </c>
      <c r="P19" s="40">
        <f>(P17-O17)/O17</f>
        <v>-0.0015771875591446525</v>
      </c>
      <c r="Q19" s="40">
        <f t="shared" si="9"/>
        <v>0.11211427031397397</v>
      </c>
      <c r="R19" s="40">
        <f t="shared" si="9"/>
        <v>-0.05445047217199122</v>
      </c>
    </row>
    <row r="20" spans="1:18" ht="15">
      <c r="A20" t="s">
        <v>20</v>
      </c>
      <c r="B20" t="s">
        <v>9</v>
      </c>
      <c r="F20" s="22">
        <f>(F$16/C$16)^(1/3)-1</f>
        <v>0.009091407752207736</v>
      </c>
      <c r="G20" s="22">
        <f>(G$16/D$16)^(1/3)-1</f>
        <v>0.00900949433292153</v>
      </c>
      <c r="H20" s="22">
        <f>(H$16/E$16)^(1/3)-1</f>
        <v>0.008929043886532595</v>
      </c>
      <c r="I20" s="22">
        <f aca="true" t="shared" si="10" ref="I20:R20">(I$16/F$16)^(1/3)-1</f>
        <v>0.00885001756492132</v>
      </c>
      <c r="J20" s="22">
        <f t="shared" si="10"/>
        <v>0.008772377883410787</v>
      </c>
      <c r="K20" s="22">
        <f t="shared" si="10"/>
        <v>0.008696088661469537</v>
      </c>
      <c r="L20" s="22">
        <f t="shared" si="10"/>
        <v>0.00862111496648077</v>
      </c>
      <c r="M20" s="22">
        <f t="shared" si="10"/>
        <v>0.008547423060397907</v>
      </c>
      <c r="N20" s="22">
        <f t="shared" si="10"/>
        <v>0.008474980349111538</v>
      </c>
      <c r="O20" s="22">
        <f t="shared" si="10"/>
        <v>0.008403755334371654</v>
      </c>
      <c r="P20" s="22">
        <f t="shared" si="10"/>
        <v>0.011081234466608025</v>
      </c>
      <c r="Q20" s="22">
        <f t="shared" si="10"/>
        <v>0.01639635681485352</v>
      </c>
      <c r="R20" s="22">
        <f t="shared" si="10"/>
        <v>0.024202883031432476</v>
      </c>
    </row>
    <row r="21" spans="1:18" ht="15">
      <c r="A21" t="s">
        <v>20</v>
      </c>
      <c r="B21" t="s">
        <v>11</v>
      </c>
      <c r="H21" s="22">
        <f>(H$16/C$16)^(1/5)-1</f>
        <v>0.009010465262624834</v>
      </c>
      <c r="I21" s="22">
        <f aca="true" t="shared" si="11" ref="I21:R21">(I$16/D$16)^(1/5)-1</f>
        <v>0.00892998907199627</v>
      </c>
      <c r="J21" s="22">
        <f t="shared" si="11"/>
        <v>0.008850937908362333</v>
      </c>
      <c r="K21" s="22">
        <f t="shared" si="11"/>
        <v>0.00877327424786456</v>
      </c>
      <c r="L21" s="22">
        <f t="shared" si="11"/>
        <v>0.008696961872814102</v>
      </c>
      <c r="M21" s="22">
        <f t="shared" si="11"/>
        <v>0.008621965815340138</v>
      </c>
      <c r="N21" s="22">
        <f t="shared" si="11"/>
        <v>0.008548252303932413</v>
      </c>
      <c r="O21" s="22">
        <f t="shared" si="11"/>
        <v>0.008475788712704047</v>
      </c>
      <c r="P21" s="22">
        <f t="shared" si="11"/>
        <v>0.010052272146997332</v>
      </c>
      <c r="Q21" s="22">
        <f t="shared" si="11"/>
        <v>0.013205894157967135</v>
      </c>
      <c r="R21" s="22">
        <f t="shared" si="11"/>
        <v>0.01783944692269146</v>
      </c>
    </row>
    <row r="22" spans="2:7" ht="15">
      <c r="B22" t="s">
        <v>5</v>
      </c>
      <c r="C22" s="37">
        <v>0.6</v>
      </c>
      <c r="E22" t="s">
        <v>20</v>
      </c>
      <c r="F22" t="s">
        <v>14</v>
      </c>
      <c r="G22" s="36">
        <f>((A14*C23)-R16)/A14</f>
        <v>0.02749284506143291</v>
      </c>
    </row>
    <row r="23" spans="1:18" ht="15">
      <c r="A23" t="s">
        <v>20</v>
      </c>
      <c r="B23" t="s">
        <v>8</v>
      </c>
      <c r="C23" s="32">
        <f>C25+C22*(E25-C25)</f>
        <v>0.06898</v>
      </c>
      <c r="D23" s="33"/>
      <c r="F23" t="s">
        <v>16</v>
      </c>
      <c r="G23" s="34">
        <f>(R16*(1+G22))/(C23-G22)</f>
        <v>64.39297660000001</v>
      </c>
      <c r="H23" s="35"/>
      <c r="P23" s="18"/>
      <c r="Q23" s="18"/>
      <c r="R23" s="18"/>
    </row>
    <row r="25" spans="2:8" ht="15">
      <c r="B25" s="37" t="s">
        <v>6</v>
      </c>
      <c r="C25" s="38">
        <v>0.0202</v>
      </c>
      <c r="D25" s="37" t="s">
        <v>7</v>
      </c>
      <c r="E25" s="38">
        <v>0.1015</v>
      </c>
      <c r="H25" s="1" t="s">
        <v>35</v>
      </c>
    </row>
    <row r="29" spans="1:19" ht="1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2" spans="2:3" ht="15">
      <c r="B32" s="1" t="s">
        <v>17</v>
      </c>
      <c r="C32" s="1" t="s">
        <v>32</v>
      </c>
    </row>
    <row r="34" spans="1:13" ht="15">
      <c r="A34" t="s">
        <v>25</v>
      </c>
      <c r="B34" s="1" t="s">
        <v>18</v>
      </c>
      <c r="M34" t="s">
        <v>72</v>
      </c>
    </row>
    <row r="35" spans="2:9" ht="15">
      <c r="B35" s="29"/>
      <c r="C35" s="29"/>
      <c r="D35" s="29"/>
      <c r="E35" s="29"/>
      <c r="F35" s="29"/>
      <c r="G35" s="29"/>
      <c r="H35" s="29"/>
      <c r="I35" s="29"/>
    </row>
    <row r="36" spans="2:9" ht="15">
      <c r="B36" s="29"/>
      <c r="C36" s="29"/>
      <c r="D36" s="29"/>
      <c r="E36" s="29"/>
      <c r="F36" s="29"/>
      <c r="G36" s="29"/>
      <c r="H36" s="29"/>
      <c r="I36" s="29"/>
    </row>
    <row r="37" spans="2:9" ht="15">
      <c r="B37" s="29"/>
      <c r="C37" s="29"/>
      <c r="D37" s="29"/>
      <c r="E37" s="29"/>
      <c r="F37" s="29"/>
      <c r="G37" s="29"/>
      <c r="H37" s="29"/>
      <c r="I37" s="29"/>
    </row>
    <row r="38" spans="2:9" ht="15">
      <c r="B38" s="29"/>
      <c r="C38" s="29"/>
      <c r="D38" s="29"/>
      <c r="E38" s="29"/>
      <c r="F38" s="29"/>
      <c r="G38" s="29"/>
      <c r="H38" s="29"/>
      <c r="I38" s="29"/>
    </row>
    <row r="39" spans="2:9" ht="15">
      <c r="B39" s="29"/>
      <c r="C39" s="29"/>
      <c r="D39" s="29"/>
      <c r="E39" s="29"/>
      <c r="F39" s="29"/>
      <c r="G39" s="29"/>
      <c r="H39" s="29"/>
      <c r="I39" s="29"/>
    </row>
    <row r="40" spans="2:9" ht="15">
      <c r="B40" s="29"/>
      <c r="C40" s="29"/>
      <c r="D40" s="29"/>
      <c r="E40" s="29"/>
      <c r="F40" s="29"/>
      <c r="G40" s="29"/>
      <c r="H40" s="29"/>
      <c r="I40" s="29"/>
    </row>
    <row r="42" spans="1:2" ht="15">
      <c r="A42" t="s">
        <v>25</v>
      </c>
      <c r="B42" s="1" t="s">
        <v>19</v>
      </c>
    </row>
    <row r="43" spans="2:9" ht="15">
      <c r="B43" s="29"/>
      <c r="C43" s="29"/>
      <c r="D43" s="29"/>
      <c r="E43" s="29"/>
      <c r="F43" s="29"/>
      <c r="G43" s="29"/>
      <c r="H43" s="29"/>
      <c r="I43" s="29"/>
    </row>
    <row r="44" spans="2:9" ht="15">
      <c r="B44" s="29"/>
      <c r="C44" s="29"/>
      <c r="D44" s="29"/>
      <c r="E44" s="29"/>
      <c r="F44" s="29"/>
      <c r="G44" s="29"/>
      <c r="H44" s="29"/>
      <c r="I44" s="29"/>
    </row>
    <row r="45" spans="2:9" ht="15">
      <c r="B45" s="29"/>
      <c r="C45" s="29"/>
      <c r="D45" s="29"/>
      <c r="E45" s="29"/>
      <c r="F45" s="29"/>
      <c r="G45" s="29"/>
      <c r="H45" s="29"/>
      <c r="I45" s="29"/>
    </row>
    <row r="46" spans="2:9" ht="15">
      <c r="B46" s="29"/>
      <c r="C46" s="29"/>
      <c r="D46" s="29"/>
      <c r="E46" s="29"/>
      <c r="F46" s="29"/>
      <c r="G46" s="29"/>
      <c r="H46" s="29"/>
      <c r="I46" s="29"/>
    </row>
    <row r="47" spans="2:9" ht="15">
      <c r="B47" s="29"/>
      <c r="C47" s="29"/>
      <c r="D47" s="29"/>
      <c r="E47" s="29"/>
      <c r="F47" s="29"/>
      <c r="G47" s="29"/>
      <c r="H47" s="29"/>
      <c r="I47" s="29"/>
    </row>
    <row r="49" spans="1:13" ht="15">
      <c r="A49" t="s">
        <v>26</v>
      </c>
      <c r="B49" s="31" t="s">
        <v>21</v>
      </c>
      <c r="M49" t="s">
        <v>73</v>
      </c>
    </row>
    <row r="50" ht="15">
      <c r="B50" s="24"/>
    </row>
    <row r="51" ht="15">
      <c r="B51" s="24"/>
    </row>
    <row r="52" spans="1:2" ht="15">
      <c r="A52" t="s">
        <v>26</v>
      </c>
      <c r="B52" s="31" t="s">
        <v>22</v>
      </c>
    </row>
    <row r="55" spans="1:2" ht="15">
      <c r="A55" t="s">
        <v>20</v>
      </c>
      <c r="B55" s="1" t="s">
        <v>27</v>
      </c>
    </row>
    <row r="56" ht="15">
      <c r="B56" s="1" t="s">
        <v>28</v>
      </c>
    </row>
    <row r="57" spans="2:9" ht="15">
      <c r="B57" s="29"/>
      <c r="C57" s="29"/>
      <c r="D57" s="29"/>
      <c r="E57" s="29"/>
      <c r="F57" s="29"/>
      <c r="G57" s="29"/>
      <c r="H57" s="29"/>
      <c r="I57" s="29"/>
    </row>
    <row r="58" spans="2:9" ht="15">
      <c r="B58" s="29"/>
      <c r="C58" s="29"/>
      <c r="D58" s="29"/>
      <c r="E58" s="29"/>
      <c r="F58" s="29"/>
      <c r="G58" s="29"/>
      <c r="H58" s="29"/>
      <c r="I58" s="29"/>
    </row>
    <row r="59" spans="2:9" ht="15">
      <c r="B59" s="29"/>
      <c r="C59" s="29"/>
      <c r="D59" s="29"/>
      <c r="E59" s="29"/>
      <c r="F59" s="29"/>
      <c r="G59" s="29"/>
      <c r="H59" s="29"/>
      <c r="I59" s="29"/>
    </row>
    <row r="60" spans="2:9" ht="15">
      <c r="B60" s="29"/>
      <c r="C60" s="29"/>
      <c r="D60" s="29"/>
      <c r="E60" s="29"/>
      <c r="F60" s="29"/>
      <c r="G60" s="29"/>
      <c r="H60" s="29"/>
      <c r="I60" s="29"/>
    </row>
    <row r="62" spans="1:2" ht="15">
      <c r="A62" t="s">
        <v>20</v>
      </c>
      <c r="B62" s="1" t="s">
        <v>34</v>
      </c>
    </row>
    <row r="63" ht="15">
      <c r="B63" s="1" t="s">
        <v>33</v>
      </c>
    </row>
    <row r="64" spans="2:9" ht="15">
      <c r="B64" s="29"/>
      <c r="C64" s="29"/>
      <c r="D64" s="29"/>
      <c r="E64" s="29"/>
      <c r="F64" s="29"/>
      <c r="G64" s="29"/>
      <c r="H64" s="29"/>
      <c r="I64" s="29"/>
    </row>
    <row r="65" spans="2:9" ht="15">
      <c r="B65" s="29"/>
      <c r="C65" s="42"/>
      <c r="D65" s="29"/>
      <c r="E65" s="29"/>
      <c r="F65" s="29"/>
      <c r="G65" s="29"/>
      <c r="H65" s="29"/>
      <c r="I65" s="29"/>
    </row>
    <row r="66" spans="2:9" ht="15">
      <c r="B66" s="29"/>
      <c r="C66" s="29"/>
      <c r="D66" s="29"/>
      <c r="E66" s="29"/>
      <c r="F66" s="29"/>
      <c r="G66" s="29"/>
      <c r="H66" s="29"/>
      <c r="I66" s="29"/>
    </row>
    <row r="68" spans="1:2" ht="15">
      <c r="A68" t="s">
        <v>25</v>
      </c>
      <c r="B68" s="1" t="s">
        <v>31</v>
      </c>
    </row>
    <row r="69" ht="15">
      <c r="B69" s="1" t="s">
        <v>29</v>
      </c>
    </row>
    <row r="70" ht="15">
      <c r="B70" s="1" t="s">
        <v>24</v>
      </c>
    </row>
    <row r="71" spans="2:9" ht="15">
      <c r="B71" s="29"/>
      <c r="C71" s="29"/>
      <c r="D71" s="29"/>
      <c r="E71" s="29"/>
      <c r="F71" s="29"/>
      <c r="G71" s="29"/>
      <c r="H71" s="29"/>
      <c r="I71" s="29"/>
    </row>
    <row r="72" spans="2:9" ht="15">
      <c r="B72" s="29"/>
      <c r="C72" s="29"/>
      <c r="D72" s="29"/>
      <c r="E72" s="29"/>
      <c r="F72" s="29"/>
      <c r="G72" s="29"/>
      <c r="H72" s="29"/>
      <c r="I72" s="29"/>
    </row>
    <row r="73" spans="2:9" ht="15">
      <c r="B73" s="29"/>
      <c r="C73" s="29"/>
      <c r="D73" s="29"/>
      <c r="E73" s="29"/>
      <c r="F73" s="29"/>
      <c r="G73" s="29"/>
      <c r="H73" s="29"/>
      <c r="I73" s="29"/>
    </row>
    <row r="74" spans="2:9" ht="15">
      <c r="B74" s="29"/>
      <c r="C74" s="29"/>
      <c r="D74" s="29"/>
      <c r="E74" s="29"/>
      <c r="F74" s="29"/>
      <c r="G74" s="29"/>
      <c r="H74" s="29"/>
      <c r="I74" s="29"/>
    </row>
    <row r="75" spans="2:9" ht="15">
      <c r="B75" s="29"/>
      <c r="C75" s="29"/>
      <c r="D75" s="29"/>
      <c r="E75" s="29"/>
      <c r="F75" s="29"/>
      <c r="G75" s="29"/>
      <c r="H75" s="29"/>
      <c r="I75" s="29"/>
    </row>
    <row r="77" spans="1:2" ht="15">
      <c r="A77" t="s">
        <v>25</v>
      </c>
      <c r="B77" s="1" t="s">
        <v>36</v>
      </c>
    </row>
    <row r="78" ht="15">
      <c r="B78" s="1" t="s">
        <v>30</v>
      </c>
    </row>
    <row r="79" ht="15">
      <c r="B79" s="1" t="s">
        <v>24</v>
      </c>
    </row>
    <row r="80" spans="2:9" ht="15">
      <c r="B80" s="29"/>
      <c r="C80" s="29"/>
      <c r="D80" s="29"/>
      <c r="E80" s="29"/>
      <c r="F80" s="29"/>
      <c r="G80" s="29"/>
      <c r="H80" s="29"/>
      <c r="I80" s="29"/>
    </row>
    <row r="81" spans="2:9" ht="15">
      <c r="B81" s="29"/>
      <c r="C81" s="29"/>
      <c r="D81" s="29"/>
      <c r="E81" s="29"/>
      <c r="F81" s="29"/>
      <c r="G81" s="29"/>
      <c r="H81" s="29"/>
      <c r="I81" s="29"/>
    </row>
    <row r="82" spans="2:9" ht="15">
      <c r="B82" s="29"/>
      <c r="C82" s="29"/>
      <c r="D82" s="29"/>
      <c r="E82" s="29"/>
      <c r="F82" s="29"/>
      <c r="G82" s="29"/>
      <c r="H82" s="29"/>
      <c r="I82" s="29"/>
    </row>
    <row r="83" spans="2:9" ht="15">
      <c r="B83" s="29"/>
      <c r="C83" s="29"/>
      <c r="D83" s="29"/>
      <c r="E83" s="29"/>
      <c r="F83" s="29"/>
      <c r="G83" s="29"/>
      <c r="H83" s="29"/>
      <c r="I83" s="29"/>
    </row>
    <row r="84" spans="2:9" ht="15">
      <c r="B84" s="29"/>
      <c r="C84" s="29"/>
      <c r="D84" s="29"/>
      <c r="E84" s="29"/>
      <c r="F84" s="29"/>
      <c r="G84" s="29"/>
      <c r="H84" s="29"/>
      <c r="I84" s="29"/>
    </row>
  </sheetData>
  <sheetProtection/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showGridLines="0" tabSelected="1" zoomScale="112" zoomScaleNormal="112" zoomScalePageLayoutView="0" workbookViewId="0" topLeftCell="A1">
      <selection activeCell="B1" sqref="B1"/>
    </sheetView>
  </sheetViews>
  <sheetFormatPr defaultColWidth="9.140625" defaultRowHeight="15"/>
  <cols>
    <col min="1" max="1" width="9.57421875" style="0" customWidth="1"/>
    <col min="2" max="2" width="12.421875" style="0" customWidth="1"/>
    <col min="3" max="3" width="10.28125" style="0" customWidth="1"/>
    <col min="4" max="4" width="12.00390625" style="0" customWidth="1"/>
    <col min="6" max="6" width="11.28125" style="0" customWidth="1"/>
  </cols>
  <sheetData>
    <row r="1" spans="2:6" ht="18.75">
      <c r="B1" s="41" t="s">
        <v>78</v>
      </c>
      <c r="C1" s="41"/>
      <c r="F1" s="20" t="s">
        <v>38</v>
      </c>
    </row>
    <row r="3" spans="2:13" ht="15.75" thickBot="1">
      <c r="B3" t="s">
        <v>41</v>
      </c>
      <c r="C3" s="58">
        <f>(20.3+16.8)/2</f>
        <v>18.55</v>
      </c>
      <c r="D3" s="58">
        <f>(28+17.1)/2</f>
        <v>22.55</v>
      </c>
      <c r="E3" s="58">
        <f>(34.2+24.8)/2</f>
        <v>29.5</v>
      </c>
      <c r="F3" s="58">
        <f>(27.7+14.2)/2</f>
        <v>20.95</v>
      </c>
      <c r="G3" s="58">
        <f>(24.8+13.6)/2</f>
        <v>19.2</v>
      </c>
      <c r="H3" s="58">
        <f>(27.7+19)/2</f>
        <v>23.35</v>
      </c>
      <c r="I3" s="58">
        <f>(22.3+13.3)/2</f>
        <v>17.8</v>
      </c>
      <c r="J3" s="58">
        <f>(21.3+15)/2</f>
        <v>18.15</v>
      </c>
      <c r="K3" s="58">
        <f>(26.5+20)/2</f>
        <v>23.25</v>
      </c>
      <c r="L3" s="58">
        <f>(28.6+21.3)/2</f>
        <v>24.950000000000003</v>
      </c>
      <c r="M3">
        <f>(30.3+23)/2</f>
        <v>26.65</v>
      </c>
    </row>
    <row r="4" spans="1:13" ht="15.75" thickBot="1">
      <c r="A4" s="19">
        <v>27.15</v>
      </c>
      <c r="B4" s="14" t="s">
        <v>37</v>
      </c>
      <c r="C4" s="43">
        <v>2005</v>
      </c>
      <c r="D4" s="44">
        <f aca="true" t="shared" si="0" ref="D4:L4">C4+1</f>
        <v>2006</v>
      </c>
      <c r="E4" s="44">
        <f t="shared" si="0"/>
        <v>2007</v>
      </c>
      <c r="F4" s="44">
        <f t="shared" si="0"/>
        <v>2008</v>
      </c>
      <c r="G4" s="44">
        <f t="shared" si="0"/>
        <v>2009</v>
      </c>
      <c r="H4" s="44">
        <f t="shared" si="0"/>
        <v>2010</v>
      </c>
      <c r="I4" s="44">
        <f t="shared" si="0"/>
        <v>2011</v>
      </c>
      <c r="J4" s="44">
        <f t="shared" si="0"/>
        <v>2012</v>
      </c>
      <c r="K4" s="44">
        <f t="shared" si="0"/>
        <v>2013</v>
      </c>
      <c r="L4" s="44">
        <f t="shared" si="0"/>
        <v>2014</v>
      </c>
      <c r="M4" s="25" t="s">
        <v>15</v>
      </c>
    </row>
    <row r="5" spans="2:13" ht="15">
      <c r="B5" t="s">
        <v>0</v>
      </c>
      <c r="C5" s="51">
        <v>0.87</v>
      </c>
      <c r="D5" s="52">
        <v>0.89</v>
      </c>
      <c r="E5" s="52">
        <v>1.17</v>
      </c>
      <c r="F5" s="52">
        <v>1.31</v>
      </c>
      <c r="G5" s="52">
        <v>1.05</v>
      </c>
      <c r="H5" s="52">
        <v>1.33</v>
      </c>
      <c r="I5" s="52">
        <v>1.62</v>
      </c>
      <c r="J5" s="52">
        <v>1.85</v>
      </c>
      <c r="K5" s="53">
        <v>2.02</v>
      </c>
      <c r="L5" s="54">
        <v>2.06</v>
      </c>
      <c r="M5" s="49">
        <v>2.21</v>
      </c>
    </row>
    <row r="6" spans="2:13" ht="15">
      <c r="B6" t="s">
        <v>1</v>
      </c>
      <c r="C6" s="11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97">
        <v>0.12</v>
      </c>
      <c r="J6" s="97">
        <v>0.28</v>
      </c>
      <c r="K6" s="97">
        <v>0.62</v>
      </c>
      <c r="L6" s="98">
        <v>0.72</v>
      </c>
      <c r="M6" s="99">
        <v>0.8</v>
      </c>
    </row>
    <row r="7" spans="2:13" ht="15">
      <c r="B7" t="s">
        <v>2</v>
      </c>
      <c r="C7" s="8">
        <f aca="true" t="shared" si="1" ref="C7:M7">C6/C5</f>
        <v>0</v>
      </c>
      <c r="D7" s="9">
        <f t="shared" si="1"/>
        <v>0</v>
      </c>
      <c r="E7" s="9">
        <f t="shared" si="1"/>
        <v>0</v>
      </c>
      <c r="F7" s="9">
        <f t="shared" si="1"/>
        <v>0</v>
      </c>
      <c r="G7" s="9">
        <f t="shared" si="1"/>
        <v>0</v>
      </c>
      <c r="H7" s="9">
        <f t="shared" si="1"/>
        <v>0</v>
      </c>
      <c r="I7" s="9">
        <f t="shared" si="1"/>
        <v>0.07407407407407407</v>
      </c>
      <c r="J7" s="9">
        <f t="shared" si="1"/>
        <v>0.15135135135135136</v>
      </c>
      <c r="K7" s="9">
        <f t="shared" si="1"/>
        <v>0.3069306930693069</v>
      </c>
      <c r="L7" s="10">
        <f t="shared" si="1"/>
        <v>0.3495145631067961</v>
      </c>
      <c r="M7" s="50">
        <f t="shared" si="1"/>
        <v>0.3619909502262444</v>
      </c>
    </row>
    <row r="8" spans="1:13" ht="15">
      <c r="A8" t="s">
        <v>40</v>
      </c>
      <c r="B8" t="s">
        <v>12</v>
      </c>
      <c r="C8" s="15"/>
      <c r="D8" s="16">
        <f>(D5-C5)/C5</f>
        <v>0.022988505747126457</v>
      </c>
      <c r="E8" s="16">
        <f aca="true" t="shared" si="2" ref="E8:M8">(E5-D5)/D5</f>
        <v>0.3146067415730336</v>
      </c>
      <c r="F8" s="16">
        <f>(F5-E5)/E5</f>
        <v>0.11965811965811977</v>
      </c>
      <c r="G8" s="16">
        <f t="shared" si="2"/>
        <v>-0.1984732824427481</v>
      </c>
      <c r="H8" s="16">
        <f t="shared" si="2"/>
        <v>0.26666666666666666</v>
      </c>
      <c r="I8" s="16">
        <f t="shared" si="2"/>
        <v>0.2180451127819549</v>
      </c>
      <c r="J8" s="16">
        <f t="shared" si="2"/>
        <v>0.1419753086419753</v>
      </c>
      <c r="K8" s="16">
        <f t="shared" si="2"/>
        <v>0.09189189189189186</v>
      </c>
      <c r="L8" s="16">
        <f t="shared" si="2"/>
        <v>0.01980198019801982</v>
      </c>
      <c r="M8" s="16">
        <f t="shared" si="2"/>
        <v>0.07281553398058248</v>
      </c>
    </row>
    <row r="9" spans="1:13" ht="15">
      <c r="A9" t="s">
        <v>40</v>
      </c>
      <c r="B9" s="6" t="s">
        <v>13</v>
      </c>
      <c r="C9" s="15"/>
      <c r="D9" s="63"/>
      <c r="E9" s="63"/>
      <c r="F9" s="63"/>
      <c r="G9" s="63"/>
      <c r="H9" s="63"/>
      <c r="I9" s="63"/>
      <c r="J9" s="27">
        <f>(J6-I6)/I6</f>
        <v>1.3333333333333337</v>
      </c>
      <c r="K9" s="27">
        <f>(K6-J6)/J6</f>
        <v>1.214285714285714</v>
      </c>
      <c r="L9" s="27">
        <f>(L6-K6)/K6</f>
        <v>0.16129032258064513</v>
      </c>
      <c r="M9" s="27">
        <f>(M6-L6)/L6</f>
        <v>0.11111111111111122</v>
      </c>
    </row>
    <row r="10" spans="1:15" ht="15">
      <c r="A10" t="s">
        <v>23</v>
      </c>
      <c r="B10" t="s">
        <v>10</v>
      </c>
      <c r="D10" s="24"/>
      <c r="E10" s="24"/>
      <c r="F10" s="116"/>
      <c r="G10" s="23"/>
      <c r="H10" s="23"/>
      <c r="I10" s="23"/>
      <c r="J10" s="23"/>
      <c r="K10" s="23"/>
      <c r="L10" s="22">
        <f>(L6/I6)^(1/3)-1</f>
        <v>0.8171205928321397</v>
      </c>
      <c r="M10" s="22">
        <f>(M6/J6)^(1/3)-1</f>
        <v>0.4189834119703837</v>
      </c>
      <c r="O10" t="s">
        <v>42</v>
      </c>
    </row>
    <row r="11" spans="4:15" ht="15.75" thickBot="1">
      <c r="D11" s="24"/>
      <c r="E11" s="24"/>
      <c r="F11" s="23"/>
      <c r="G11" s="23"/>
      <c r="H11" s="23"/>
      <c r="I11" s="23" t="s">
        <v>64</v>
      </c>
      <c r="J11" s="23"/>
      <c r="K11" s="23"/>
      <c r="L11" s="23"/>
      <c r="M11" s="23"/>
      <c r="O11" t="s">
        <v>62</v>
      </c>
    </row>
    <row r="12" spans="1:15" ht="15">
      <c r="A12" t="s">
        <v>46</v>
      </c>
      <c r="B12" s="119" t="s">
        <v>43</v>
      </c>
      <c r="C12" s="111">
        <f>SUM(I12:N12)</f>
        <v>1.7128461249947096</v>
      </c>
      <c r="D12" s="59"/>
      <c r="E12" s="59"/>
      <c r="F12" s="60"/>
      <c r="G12" s="61"/>
      <c r="H12" s="23"/>
      <c r="I12" s="102">
        <f>I6/(1+C20)^1</f>
        <v>0.10767082874236882</v>
      </c>
      <c r="J12" s="103">
        <f>J6/(1+C20)^2</f>
        <v>0.22541958759577674</v>
      </c>
      <c r="K12" s="103">
        <f>K6/(1+C20)^3</f>
        <v>0.4478598381828623</v>
      </c>
      <c r="L12" s="103">
        <f>L6/(1+C20)^4</f>
        <v>0.46665909617005147</v>
      </c>
      <c r="M12" s="103">
        <f>M6/(1+C20)^5</f>
        <v>0.46523677430365035</v>
      </c>
      <c r="N12" s="104"/>
      <c r="O12" s="100">
        <v>0.01</v>
      </c>
    </row>
    <row r="13" spans="1:15" ht="15">
      <c r="A13" t="s">
        <v>46</v>
      </c>
      <c r="B13" s="120"/>
      <c r="C13" s="5"/>
      <c r="D13" s="111">
        <f>SUM(I13:N13)</f>
        <v>2.1275742721104334</v>
      </c>
      <c r="E13" s="62"/>
      <c r="F13" s="63"/>
      <c r="G13" s="64"/>
      <c r="H13" s="23"/>
      <c r="I13" s="105">
        <f>I6*(1+C20)^1</f>
        <v>0.13374096</v>
      </c>
      <c r="J13" s="106">
        <f>J6</f>
        <v>0.28</v>
      </c>
      <c r="K13" s="106">
        <f>K$6/(1+$C$20)^1</f>
        <v>0.5562992818355723</v>
      </c>
      <c r="L13" s="106">
        <f>L$6/(1+$C$20)^2</f>
        <v>0.5796503681034257</v>
      </c>
      <c r="M13" s="106">
        <f>M$6/(1+$C$20)^3</f>
        <v>0.5778836621714353</v>
      </c>
      <c r="N13" s="107"/>
      <c r="O13" s="101">
        <f>((J$3*$C$20)-D13)/J$3</f>
        <v>-0.002713722981291104</v>
      </c>
    </row>
    <row r="14" spans="1:15" ht="15">
      <c r="A14" t="s">
        <v>46</v>
      </c>
      <c r="B14" s="120"/>
      <c r="C14" s="65"/>
      <c r="D14" s="62"/>
      <c r="E14" s="111">
        <f>SUM(I14:M14)</f>
        <v>2.371198546861255</v>
      </c>
      <c r="F14" s="63"/>
      <c r="G14" s="64"/>
      <c r="H14" s="23"/>
      <c r="I14" s="105">
        <f>I6*(1+C20)^2</f>
        <v>0.14905536984768</v>
      </c>
      <c r="J14" s="106">
        <f>J6*(1+C20)^1</f>
        <v>0.31206224000000005</v>
      </c>
      <c r="K14" s="106">
        <f>K6</f>
        <v>0.62</v>
      </c>
      <c r="L14" s="106">
        <f>L6/(1+C20)^1</f>
        <v>0.646024972454213</v>
      </c>
      <c r="M14" s="106">
        <f>M6/(1+C20)^2</f>
        <v>0.6440559645593621</v>
      </c>
      <c r="N14" s="107"/>
      <c r="O14" s="101">
        <f>((K3*$C$20)-E14)/K3</f>
        <v>0.012520965726397625</v>
      </c>
    </row>
    <row r="15" spans="1:15" ht="15">
      <c r="A15" t="s">
        <v>46</v>
      </c>
      <c r="B15" s="120"/>
      <c r="C15" s="65"/>
      <c r="D15" s="62"/>
      <c r="E15" s="62"/>
      <c r="F15" s="112">
        <f>SUM(I15:M15)</f>
        <v>2.6427197500652437</v>
      </c>
      <c r="G15" s="64"/>
      <c r="H15" s="23"/>
      <c r="I15" s="105">
        <f>I6*(1+C20)^3</f>
        <v>0.16612340213819818</v>
      </c>
      <c r="J15" s="106">
        <f>J6*(1+C20)^2</f>
        <v>0.3477958629779201</v>
      </c>
      <c r="K15" s="106">
        <f>K6*(1+C20)^1</f>
        <v>0.69099496</v>
      </c>
      <c r="L15" s="106">
        <f>L6</f>
        <v>0.72</v>
      </c>
      <c r="M15" s="106">
        <f>M6/(1+C20)^1</f>
        <v>0.7178055249491255</v>
      </c>
      <c r="N15" s="107"/>
      <c r="O15" s="101">
        <f>((L3*$C$20)-F15)/L3</f>
        <v>0.008587368734859989</v>
      </c>
    </row>
    <row r="16" spans="1:15" ht="15.75" thickBot="1">
      <c r="A16" t="s">
        <v>46</v>
      </c>
      <c r="B16" s="121"/>
      <c r="C16" s="66"/>
      <c r="D16" s="67"/>
      <c r="E16" s="67"/>
      <c r="F16" s="55"/>
      <c r="G16" s="112">
        <f>SUM(I16:M16)</f>
        <v>2.9453323032057153</v>
      </c>
      <c r="H16" s="23"/>
      <c r="I16" s="108">
        <f>I6*(1+C20)^4</f>
        <v>0.18514586067023897</v>
      </c>
      <c r="J16" s="109">
        <f>J6*(1+C20)^3</f>
        <v>0.3876212716557958</v>
      </c>
      <c r="K16" s="109">
        <f>K6*(1+C20)^2</f>
        <v>0.77011941087968</v>
      </c>
      <c r="L16" s="109">
        <f>L6*(1+C20)^1</f>
        <v>0.80244576</v>
      </c>
      <c r="M16" s="109">
        <f>M6</f>
        <v>0.8</v>
      </c>
      <c r="N16" s="110"/>
      <c r="O16" s="118">
        <f>((M3*$C$20)-G16)/M3</f>
        <v>0.003988964232430938</v>
      </c>
    </row>
    <row r="17" spans="3:13" ht="15">
      <c r="C17" s="57"/>
      <c r="D17" s="24"/>
      <c r="E17" s="24"/>
      <c r="F17" s="23"/>
      <c r="G17" s="23"/>
      <c r="H17" s="23"/>
      <c r="I17" s="56"/>
      <c r="J17" s="56"/>
      <c r="K17" s="56"/>
      <c r="L17" s="56"/>
      <c r="M17" s="56"/>
    </row>
    <row r="18" spans="3:15" ht="15">
      <c r="C18" s="57"/>
      <c r="D18" s="24"/>
      <c r="E18" s="24"/>
      <c r="F18" s="23"/>
      <c r="G18" s="23"/>
      <c r="H18" s="23"/>
      <c r="I18" s="56"/>
      <c r="J18" s="56"/>
      <c r="K18" s="56"/>
      <c r="L18" s="56" t="s">
        <v>47</v>
      </c>
      <c r="M18" s="56"/>
      <c r="N18" s="68" t="s">
        <v>44</v>
      </c>
      <c r="O18" s="69">
        <f>AVERAGE(O12:O16)</f>
        <v>0.00647671514247949</v>
      </c>
    </row>
    <row r="19" spans="2:15" ht="15.75" thickBot="1">
      <c r="B19" t="s">
        <v>5</v>
      </c>
      <c r="C19" s="70">
        <v>1.16</v>
      </c>
      <c r="E19" s="62"/>
      <c r="F19" s="23"/>
      <c r="G19" s="23"/>
      <c r="H19" s="23"/>
      <c r="I19" s="117"/>
      <c r="J19" s="56"/>
      <c r="K19" s="56"/>
      <c r="L19" s="56" t="s">
        <v>47</v>
      </c>
      <c r="M19" s="56"/>
      <c r="N19" s="68" t="s">
        <v>45</v>
      </c>
      <c r="O19" s="69">
        <f>MEDIAN(O12:O16)</f>
        <v>0.008587368734859989</v>
      </c>
    </row>
    <row r="20" spans="1:12" ht="15.75" thickBot="1">
      <c r="A20" t="s">
        <v>26</v>
      </c>
      <c r="B20" t="s">
        <v>8</v>
      </c>
      <c r="C20" s="71">
        <f>C22+C19*(E22-C22)</f>
        <v>0.114508</v>
      </c>
      <c r="D20" s="33"/>
      <c r="E20" s="62"/>
      <c r="F20" s="62"/>
      <c r="H20" s="21"/>
      <c r="I20" s="21"/>
      <c r="J20" s="21"/>
      <c r="K20" s="21"/>
      <c r="L20" s="21"/>
    </row>
    <row r="21" spans="6:15" ht="15">
      <c r="F21" s="62"/>
      <c r="G21" s="35"/>
      <c r="I21" s="21"/>
      <c r="J21" s="21"/>
      <c r="K21" s="21"/>
      <c r="L21" s="21"/>
      <c r="M21" s="87"/>
      <c r="N21" s="24"/>
      <c r="O21" s="88"/>
    </row>
    <row r="22" spans="2:5" ht="15">
      <c r="B22" s="37" t="s">
        <v>6</v>
      </c>
      <c r="C22" s="38">
        <v>0.0202</v>
      </c>
      <c r="D22" s="37" t="s">
        <v>7</v>
      </c>
      <c r="E22" s="38">
        <v>0.1015</v>
      </c>
    </row>
    <row r="25" ht="18.75">
      <c r="B25" s="73" t="s">
        <v>56</v>
      </c>
    </row>
    <row r="26" spans="2:3" ht="15">
      <c r="B26" s="70" t="s">
        <v>48</v>
      </c>
      <c r="C26" s="76">
        <v>0.6</v>
      </c>
    </row>
    <row r="27" spans="2:3" ht="15">
      <c r="B27" s="74" t="s">
        <v>57</v>
      </c>
      <c r="C27" s="77">
        <v>0.19</v>
      </c>
    </row>
    <row r="28" spans="2:3" ht="15">
      <c r="B28" s="75" t="s">
        <v>53</v>
      </c>
      <c r="C28" s="78">
        <v>0.07</v>
      </c>
    </row>
    <row r="29" ht="15">
      <c r="D29" s="68" t="s">
        <v>51</v>
      </c>
    </row>
    <row r="30" spans="2:5" ht="15">
      <c r="B30" s="72" t="s">
        <v>49</v>
      </c>
      <c r="C30" s="72" t="s">
        <v>50</v>
      </c>
      <c r="D30" s="68" t="s">
        <v>52</v>
      </c>
      <c r="E30" s="68" t="s">
        <v>55</v>
      </c>
    </row>
    <row r="31" spans="1:5" ht="15">
      <c r="A31" t="s">
        <v>23</v>
      </c>
      <c r="B31" s="79">
        <v>2012</v>
      </c>
      <c r="C31" s="80">
        <v>1</v>
      </c>
      <c r="D31" s="92">
        <f>I$6</f>
        <v>0.12</v>
      </c>
      <c r="E31" s="89">
        <f>D31/(1+$C$20)^C31</f>
        <v>0.10767082874236882</v>
      </c>
    </row>
    <row r="32" spans="1:5" ht="15">
      <c r="A32" t="s">
        <v>23</v>
      </c>
      <c r="B32" s="81">
        <f>B31+1</f>
        <v>2013</v>
      </c>
      <c r="C32" s="82">
        <f>C31+1</f>
        <v>2</v>
      </c>
      <c r="D32" s="93">
        <f>$D$31*(1+$C$26)^(C32-$C$31)</f>
        <v>0.192</v>
      </c>
      <c r="E32" s="90">
        <f aca="true" t="shared" si="3" ref="E32:E40">D32/(1+$C$20)^C32</f>
        <v>0.15457343149424688</v>
      </c>
    </row>
    <row r="33" spans="1:5" ht="15">
      <c r="A33" t="s">
        <v>23</v>
      </c>
      <c r="B33" s="81">
        <f aca="true" t="shared" si="4" ref="B33:B40">B32+1</f>
        <v>2014</v>
      </c>
      <c r="C33" s="82">
        <f aca="true" t="shared" si="5" ref="C33:C40">C32+1</f>
        <v>3</v>
      </c>
      <c r="D33" s="93">
        <f>$D$31*(1+$C$26)^(C33-$C$31)</f>
        <v>0.30720000000000003</v>
      </c>
      <c r="E33" s="90">
        <f t="shared" si="3"/>
        <v>0.22190732627383114</v>
      </c>
    </row>
    <row r="34" spans="1:5" ht="15">
      <c r="A34" t="s">
        <v>23</v>
      </c>
      <c r="B34" s="81">
        <f t="shared" si="4"/>
        <v>2015</v>
      </c>
      <c r="C34" s="82">
        <f t="shared" si="5"/>
        <v>4</v>
      </c>
      <c r="D34" s="93">
        <f>$D$31*(1+$C$26)^(C34-$C$31)</f>
        <v>0.4915200000000001</v>
      </c>
      <c r="E34" s="90">
        <f t="shared" si="3"/>
        <v>0.31857260965208856</v>
      </c>
    </row>
    <row r="35" spans="1:5" ht="15">
      <c r="A35" t="s">
        <v>23</v>
      </c>
      <c r="B35" s="83">
        <f t="shared" si="4"/>
        <v>2016</v>
      </c>
      <c r="C35" s="84">
        <f t="shared" si="5"/>
        <v>5</v>
      </c>
      <c r="D35" s="93">
        <f>$D$34*(1+$C$27)^(C35-$C$34)</f>
        <v>0.5849088000000001</v>
      </c>
      <c r="E35" s="90">
        <f t="shared" si="3"/>
        <v>0.34015135421727377</v>
      </c>
    </row>
    <row r="36" spans="1:5" ht="15">
      <c r="A36" t="s">
        <v>23</v>
      </c>
      <c r="B36" s="83">
        <f t="shared" si="4"/>
        <v>2017</v>
      </c>
      <c r="C36" s="84">
        <f t="shared" si="5"/>
        <v>6</v>
      </c>
      <c r="D36" s="93">
        <f>$D$34*(1+$C$27)^(C36-$C$34)</f>
        <v>0.6960414720000001</v>
      </c>
      <c r="E36" s="90">
        <f t="shared" si="3"/>
        <v>0.3631917505469281</v>
      </c>
    </row>
    <row r="37" spans="1:5" ht="15">
      <c r="A37" t="s">
        <v>23</v>
      </c>
      <c r="B37" s="83">
        <f t="shared" si="4"/>
        <v>2018</v>
      </c>
      <c r="C37" s="84">
        <f t="shared" si="5"/>
        <v>7</v>
      </c>
      <c r="D37" s="93">
        <f>$D$34*(1+$C$27)^(C37-$C$34)</f>
        <v>0.8282893516800002</v>
      </c>
      <c r="E37" s="90">
        <f t="shared" si="3"/>
        <v>0.3877928046733127</v>
      </c>
    </row>
    <row r="38" spans="1:5" ht="15">
      <c r="A38" t="s">
        <v>23</v>
      </c>
      <c r="B38" s="83">
        <f t="shared" si="4"/>
        <v>2019</v>
      </c>
      <c r="C38" s="84">
        <f t="shared" si="5"/>
        <v>8</v>
      </c>
      <c r="D38" s="93">
        <f>$D$34*(1+$C$27)^(C38-$C$34)</f>
        <v>0.9856643284992002</v>
      </c>
      <c r="E38" s="90">
        <f t="shared" si="3"/>
        <v>0.41406022887340616</v>
      </c>
    </row>
    <row r="39" spans="1:5" ht="15">
      <c r="A39" t="s">
        <v>23</v>
      </c>
      <c r="B39" s="83">
        <f t="shared" si="4"/>
        <v>2020</v>
      </c>
      <c r="C39" s="84">
        <f t="shared" si="5"/>
        <v>9</v>
      </c>
      <c r="D39" s="93">
        <f>$D$34*(1+$C$27)^(C39-$C$34)</f>
        <v>1.1729405509140483</v>
      </c>
      <c r="E39" s="90">
        <f t="shared" si="3"/>
        <v>0.4421068959212077</v>
      </c>
    </row>
    <row r="40" spans="1:5" ht="15">
      <c r="A40" t="s">
        <v>23</v>
      </c>
      <c r="B40" s="83">
        <f t="shared" si="4"/>
        <v>2021</v>
      </c>
      <c r="C40" s="84">
        <f t="shared" si="5"/>
        <v>10</v>
      </c>
      <c r="D40" s="93">
        <f>$D$34*(1+$C$27)^(C40-$C$34)</f>
        <v>1.3957992555877172</v>
      </c>
      <c r="E40" s="90">
        <f t="shared" si="3"/>
        <v>0.47205332410914685</v>
      </c>
    </row>
    <row r="41" spans="1:5" ht="15">
      <c r="A41" t="s">
        <v>23</v>
      </c>
      <c r="B41" s="85">
        <v>2021</v>
      </c>
      <c r="C41" s="86" t="s">
        <v>54</v>
      </c>
      <c r="D41" s="94">
        <f>D40*(1+C28)/(C20-C28)</f>
        <v>33.55588216677582</v>
      </c>
      <c r="E41" s="91">
        <f>D41/(1+$C$20)^C40</f>
        <v>11.348455486581903</v>
      </c>
    </row>
    <row r="42" ht="15.75" thickBot="1">
      <c r="E42" s="57"/>
    </row>
    <row r="43" spans="1:7" ht="15.75" thickBot="1">
      <c r="A43" t="s">
        <v>26</v>
      </c>
      <c r="D43" t="s">
        <v>60</v>
      </c>
      <c r="E43" s="114">
        <f>SUM(E31:E41)</f>
        <v>14.570536041085713</v>
      </c>
      <c r="G43" s="96" t="s">
        <v>58</v>
      </c>
    </row>
    <row r="46" spans="1:18" ht="15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</row>
    <row r="48" ht="15">
      <c r="B48" s="1" t="s">
        <v>59</v>
      </c>
    </row>
    <row r="50" ht="15">
      <c r="B50" s="1" t="s">
        <v>61</v>
      </c>
    </row>
    <row r="51" ht="15">
      <c r="B51" s="113" t="s">
        <v>63</v>
      </c>
    </row>
    <row r="52" ht="15">
      <c r="B52" s="113" t="s">
        <v>65</v>
      </c>
    </row>
    <row r="53" ht="15">
      <c r="B53" s="113" t="s">
        <v>66</v>
      </c>
    </row>
    <row r="55" ht="15">
      <c r="B55" s="1" t="s">
        <v>69</v>
      </c>
    </row>
    <row r="56" ht="15">
      <c r="B56" s="113" t="s">
        <v>67</v>
      </c>
    </row>
    <row r="57" ht="15">
      <c r="B57" t="s">
        <v>68</v>
      </c>
    </row>
    <row r="58" ht="15">
      <c r="B58" t="s">
        <v>70</v>
      </c>
    </row>
    <row r="59" ht="15">
      <c r="B59" t="s">
        <v>71</v>
      </c>
    </row>
  </sheetData>
  <sheetProtection/>
  <mergeCells count="1">
    <mergeCell ref="B12:B16"/>
  </mergeCells>
  <printOptions/>
  <pageMargins left="0.42" right="0.24" top="0.32" bottom="0.44" header="0.3" footer="0.3"/>
  <pageSetup fitToHeight="1" fitToWidth="1" horizontalDpi="600" verticalDpi="600" orientation="landscape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Rutgers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Ng, Kim</dc:creator>
  <cp:keywords/>
  <dc:description/>
  <cp:lastModifiedBy>RJ Maharaj</cp:lastModifiedBy>
  <cp:lastPrinted>2016-01-27T19:01:03Z</cp:lastPrinted>
  <dcterms:created xsi:type="dcterms:W3CDTF">2016-01-22T18:05:59Z</dcterms:created>
  <dcterms:modified xsi:type="dcterms:W3CDTF">2016-02-19T17:31:20Z</dcterms:modified>
  <cp:category/>
  <cp:version/>
  <cp:contentType/>
  <cp:contentStatus/>
</cp:coreProperties>
</file>