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4"/>
  </bookViews>
  <sheets>
    <sheet name="Hist. IS" sheetId="2" r:id="rId1"/>
    <sheet name="Hist. BS" sheetId="1" r:id="rId2"/>
    <sheet name="Hist. CF" sheetId="3" r:id="rId3"/>
    <sheet name="IS Pro" sheetId="6" r:id="rId4"/>
    <sheet name="BS Pro" sheetId="5" r:id="rId5"/>
    <sheet name="CF Pro" sheetId="7" r:id="rId6"/>
    <sheet name="DCF" sheetId="8" r:id="rId7"/>
  </sheets>
  <calcPr calcId="144525"/>
</workbook>
</file>

<file path=xl/sharedStrings.xml><?xml version="1.0" encoding="utf-8"?>
<sst xmlns="http://schemas.openxmlformats.org/spreadsheetml/2006/main" count="153">
  <si>
    <t>Dalam Miliaran Rupiah</t>
  </si>
  <si>
    <t>Income Statement %er</t>
  </si>
  <si>
    <t>Revenue</t>
  </si>
  <si>
    <t>Revenue (YoY Growth)</t>
  </si>
  <si>
    <t>COGS</t>
  </si>
  <si>
    <t>COGS (%Rev)</t>
  </si>
  <si>
    <t>Gross Profit</t>
  </si>
  <si>
    <t>Sales Ex (%Rev)</t>
  </si>
  <si>
    <t>G&amp;A (%Rev)</t>
  </si>
  <si>
    <t>Sales Expense</t>
  </si>
  <si>
    <t>Other Ex (%Rev)</t>
  </si>
  <si>
    <t>G&amp;A Expense</t>
  </si>
  <si>
    <t>Tax Rate</t>
  </si>
  <si>
    <t>Operating Profit</t>
  </si>
  <si>
    <t>Dividend</t>
  </si>
  <si>
    <t>Other/Other Cash</t>
  </si>
  <si>
    <t>Other Cash Income / Expense</t>
  </si>
  <si>
    <t>Other Income / Expense</t>
  </si>
  <si>
    <t>EBIT</t>
  </si>
  <si>
    <t>Tax</t>
  </si>
  <si>
    <t>Net Income</t>
  </si>
  <si>
    <t>What To Do</t>
  </si>
  <si>
    <t>Rekonsiliasi CapEx di CF dengan CapEx di PP&amp;E Schedule</t>
  </si>
  <si>
    <t>Masukin Payable dan Receivable yang belum ke CF Pro</t>
  </si>
  <si>
    <t>Dalam Miliar Rupiah</t>
  </si>
  <si>
    <t>Balance Sheet Ratios &amp; Assumptions</t>
  </si>
  <si>
    <t>Average</t>
  </si>
  <si>
    <t>Aset</t>
  </si>
  <si>
    <t>Account Receivable Days</t>
  </si>
  <si>
    <t>Kas</t>
  </si>
  <si>
    <t>Inventory Days</t>
  </si>
  <si>
    <t>Deposito</t>
  </si>
  <si>
    <t>-</t>
  </si>
  <si>
    <t>Account Payable Days</t>
  </si>
  <si>
    <t>Piutang Usaha</t>
  </si>
  <si>
    <t>Accrued Expense (%Rev)</t>
  </si>
  <si>
    <t>Piutang Lain-lain</t>
  </si>
  <si>
    <t>Other Receivable Days</t>
  </si>
  <si>
    <t>Persediaan</t>
  </si>
  <si>
    <t>Other Payable Days</t>
  </si>
  <si>
    <t>Others</t>
  </si>
  <si>
    <t>Other Current Assets (%OpEx)</t>
  </si>
  <si>
    <t>Total Aset Lancar</t>
  </si>
  <si>
    <t>Other Current Assets (%COGS)</t>
  </si>
  <si>
    <t>Other Non-Current Assets (%OpEx)</t>
  </si>
  <si>
    <t>Pajak Tangguhan</t>
  </si>
  <si>
    <t>Other Non-Current Assets (%COGS)</t>
  </si>
  <si>
    <t>Investasi Pada Entitas Anak</t>
  </si>
  <si>
    <t>Tax Payable (%EBIT)</t>
  </si>
  <si>
    <t>Goodwill</t>
  </si>
  <si>
    <t>Fixed asset</t>
  </si>
  <si>
    <t>Total Aset Tidak Lancar</t>
  </si>
  <si>
    <t>Total Aset</t>
  </si>
  <si>
    <t>PP&amp;E Schedule</t>
  </si>
  <si>
    <t>Beginning Balance</t>
  </si>
  <si>
    <t>Liabilitas</t>
  </si>
  <si>
    <t>Depreciation</t>
  </si>
  <si>
    <t>Utang Bank Jangka Pendek</t>
  </si>
  <si>
    <t>Capital Expenditure</t>
  </si>
  <si>
    <t>Account Payable</t>
  </si>
  <si>
    <t>Ending Balance</t>
  </si>
  <si>
    <t>Other Payable</t>
  </si>
  <si>
    <t>Tax Payable</t>
  </si>
  <si>
    <t>Depreciation (%PP&amp;E)</t>
  </si>
  <si>
    <t>Accrued Expense</t>
  </si>
  <si>
    <t>CapEx (%PP&amp;E)</t>
  </si>
  <si>
    <t>Total Liabilitas Jangka Pendek</t>
  </si>
  <si>
    <t>Liabilitas Pajak Tangguhan</t>
  </si>
  <si>
    <t>Employee Benefits Liabilities</t>
  </si>
  <si>
    <t>Total Liabilitas Jangka Panjang</t>
  </si>
  <si>
    <t>Total Liabilitas</t>
  </si>
  <si>
    <t>Ekuitas</t>
  </si>
  <si>
    <t>Modal Saham</t>
  </si>
  <si>
    <t>Tambahan Modal Disetor</t>
  </si>
  <si>
    <t>Saldo Laba</t>
  </si>
  <si>
    <t>Treasury Stock</t>
  </si>
  <si>
    <t>Total Ekuitas</t>
  </si>
  <si>
    <t>Total Liabilitas &amp; Ekuitas</t>
  </si>
  <si>
    <t>Cek</t>
  </si>
  <si>
    <t>Arus Kas dari Operasi</t>
  </si>
  <si>
    <t>Penerimaan Dari Pelanggan</t>
  </si>
  <si>
    <t>Pembayaran Ke Supplier</t>
  </si>
  <si>
    <t>Pembayaran Ke Karyawan</t>
  </si>
  <si>
    <t>Pembayaran Beban Operasional</t>
  </si>
  <si>
    <t>Pembayaran Pajak</t>
  </si>
  <si>
    <t>Penerimaan Pajak</t>
  </si>
  <si>
    <t>Penerimaan Giro dan Deposito</t>
  </si>
  <si>
    <t>Pembayaran Beban Keuangan</t>
  </si>
  <si>
    <t>Penerimaan lain-lain</t>
  </si>
  <si>
    <t>Total Arus Kas dari Operasi</t>
  </si>
  <si>
    <t>Arus Kas dari Investasi</t>
  </si>
  <si>
    <t>Penerimaan Piutang Lain-lain</t>
  </si>
  <si>
    <t>Perolehan Aset Tetap</t>
  </si>
  <si>
    <t>Perolehan Aset Tak Lancar</t>
  </si>
  <si>
    <t>Hasil Penjualan Aset Tetap</t>
  </si>
  <si>
    <t>Uang Muka Perolehan Aset Tetap</t>
  </si>
  <si>
    <t>Penarikan / (Penempatan) Deposito</t>
  </si>
  <si>
    <t>Investasi</t>
  </si>
  <si>
    <t>Pelepasan Investasi</t>
  </si>
  <si>
    <t>Pembayaran Akuisisi</t>
  </si>
  <si>
    <t>Hasil Pelepasan Entitas Anak</t>
  </si>
  <si>
    <t>Total Arus Kas dari Investasi</t>
  </si>
  <si>
    <t>Arus Kas dari Pendanaan</t>
  </si>
  <si>
    <t>Penerimaan Pinjaman Bank</t>
  </si>
  <si>
    <t>Pembayaran Pinjaman Bank</t>
  </si>
  <si>
    <t>Penerimaan Pinjaman dari Pemegang Saham</t>
  </si>
  <si>
    <t>Pembayaran Pinjaman dari Pemegang Saham</t>
  </si>
  <si>
    <t>Pembayaran Dividen Kas</t>
  </si>
  <si>
    <t>Penambahan Modal</t>
  </si>
  <si>
    <t>Penerimaan dari Penerbitan Modal Saham</t>
  </si>
  <si>
    <t>Penerimaan Hasil Penjualan Saham Tresuri</t>
  </si>
  <si>
    <t>Buyback</t>
  </si>
  <si>
    <t xml:space="preserve">Biaya Penawaran Saham </t>
  </si>
  <si>
    <t>Total Arus Kas dari Pendanaan</t>
  </si>
  <si>
    <t>Kas Awal</t>
  </si>
  <si>
    <t>Perubahan</t>
  </si>
  <si>
    <t>Kas Akhir</t>
  </si>
  <si>
    <t>in Rp1 Bill.</t>
  </si>
  <si>
    <t>Income Statement Assumptions</t>
  </si>
  <si>
    <t xml:space="preserve">Dividend </t>
  </si>
  <si>
    <t>Retained Earnings</t>
  </si>
  <si>
    <t>Balance Sheet Ratios Assumptions</t>
  </si>
  <si>
    <t>Cash</t>
  </si>
  <si>
    <t>Account Receivable</t>
  </si>
  <si>
    <t>Other Receivable</t>
  </si>
  <si>
    <t>Inventory</t>
  </si>
  <si>
    <t>Total Current Assets</t>
  </si>
  <si>
    <t>PP&amp;E</t>
  </si>
  <si>
    <t>Total Non-Current Assets</t>
  </si>
  <si>
    <t>Liability</t>
  </si>
  <si>
    <t>Total ST Liabilities</t>
  </si>
  <si>
    <t>Total LT Liabilities</t>
  </si>
  <si>
    <t>Paid in capital</t>
  </si>
  <si>
    <t>Additional Capital</t>
  </si>
  <si>
    <t>Op Cash Flow</t>
  </si>
  <si>
    <t>D&amp;A</t>
  </si>
  <si>
    <t>Changes In Working Capital</t>
  </si>
  <si>
    <t>Decrease / (Increase) Account Receivable</t>
  </si>
  <si>
    <t>Decrease / (Increase) in Other Receivable</t>
  </si>
  <si>
    <t>Decrease / (Increase) in Inventory</t>
  </si>
  <si>
    <t>Increase / (Decrease) Other Payable</t>
  </si>
  <si>
    <t>Increase / (Decrease) in Tax Payable</t>
  </si>
  <si>
    <t>Increase / (Decrease) in Account Payable</t>
  </si>
  <si>
    <t>Total Op Cash Flow</t>
  </si>
  <si>
    <t>Inv. Cash Flow</t>
  </si>
  <si>
    <t>Capital Expenditures</t>
  </si>
  <si>
    <t>Total Inv. Cash Flow</t>
  </si>
  <si>
    <t>Fin. Cash Flow</t>
  </si>
  <si>
    <t>Cash Dividend Payment</t>
  </si>
  <si>
    <t>Total Fin. Cash Flow</t>
  </si>
  <si>
    <t>Beginning Cash</t>
  </si>
  <si>
    <t>Changes</t>
  </si>
  <si>
    <t>Ending Cash</t>
  </si>
</sst>
</file>

<file path=xl/styles.xml><?xml version="1.0" encoding="utf-8"?>
<styleSheet xmlns="http://schemas.openxmlformats.org/spreadsheetml/2006/main">
  <numFmts count="6">
    <numFmt numFmtId="176" formatCode="0_ "/>
    <numFmt numFmtId="177" formatCode="_(* #,##0_);_(* \(#,##0\);_(* &quot;-&quot;_);_(@_)"/>
    <numFmt numFmtId="178" formatCode="_(&quot;Rp&quot;* #,##0_);_(&quot;Rp&quot;* \(#,##0\);_(&quot;Rp&quot;* &quot;-&quot;_);_(@_)"/>
    <numFmt numFmtId="179" formatCode="_(* #,##0.00_);_(* \(#,##0.00\);_(* &quot;-&quot;??_);_(@_)"/>
    <numFmt numFmtId="180" formatCode="_(&quot;Rp&quot;* #,##0.00_);_(&quot;Rp&quot;* \(#,##0.00\);_(&quot;Rp&quot;* &quot;-&quot;??_);_(@_)"/>
    <numFmt numFmtId="181" formatCode="0.0"/>
  </numFmts>
  <fonts count="27">
    <font>
      <sz val="11"/>
      <color theme="1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B050"/>
      <name val="Calibri"/>
      <charset val="134"/>
      <scheme val="minor"/>
    </font>
    <font>
      <sz val="11"/>
      <color rgb="FF0070C0"/>
      <name val="Calibri"/>
      <charset val="134"/>
      <scheme val="minor"/>
    </font>
    <font>
      <sz val="11"/>
      <color theme="5" tint="-0.249977111117893"/>
      <name val="Calibri"/>
      <charset val="134"/>
      <scheme val="minor"/>
    </font>
    <font>
      <sz val="9.75"/>
      <name val="ProximaNovaRg"/>
      <charset val="134"/>
    </font>
    <font>
      <sz val="9.75"/>
      <color rgb="FF0070C0"/>
      <name val="ProximaNovaRg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35"/>
        <bgColor theme="5" tint="0.799981688894314"/>
      </patternFill>
    </fill>
    <fill>
      <patternFill patternType="solid">
        <fgColor theme="5" tint="0.799981688894314"/>
        <bgColor theme="5" tint="0.799981688894314"/>
      </patternFill>
    </fill>
    <fill>
      <patternFill patternType="solid">
        <fgColor theme="5" tint="0.8"/>
        <bgColor indexed="64"/>
      </patternFill>
    </fill>
    <fill>
      <patternFill patternType="solid">
        <fgColor theme="0" tint="-0.15"/>
        <bgColor theme="5" tint="0.799981688894314"/>
      </patternFill>
    </fill>
    <fill>
      <patternFill patternType="solid">
        <fgColor theme="0" tint="-0.15"/>
        <bgColor indexed="64"/>
      </patternFill>
    </fill>
    <fill>
      <patternFill patternType="solid">
        <fgColor theme="5" tint="0.799981688894314"/>
        <bgColor theme="5" tint="0.799981688894314"/>
      </patternFill>
    </fill>
    <fill>
      <patternFill patternType="solid">
        <fgColor theme="0" tint="-0.35"/>
        <bgColor indexed="64"/>
      </patternFill>
    </fill>
    <fill>
      <patternFill patternType="solid">
        <fgColor theme="0" tint="-0.25"/>
        <bgColor theme="5" tint="0.799981688894314"/>
      </patternFill>
    </fill>
    <fill>
      <patternFill patternType="solid">
        <fgColor theme="0" tint="-0.05"/>
        <bgColor indexed="64"/>
      </patternFill>
    </fill>
    <fill>
      <patternFill patternType="solid">
        <fgColor theme="0" tint="-0.05"/>
        <bgColor theme="5" tint="0.799981688894314"/>
      </patternFill>
    </fill>
    <fill>
      <patternFill patternType="solid">
        <fgColor theme="0" tint="-0.2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/>
      <top/>
      <bottom style="thin">
        <color theme="5"/>
      </bottom>
      <diagonal/>
    </border>
    <border>
      <left/>
      <right style="medium">
        <color rgb="FFDADADA"/>
      </right>
      <top/>
      <bottom style="medium">
        <color rgb="FFDADADA"/>
      </bottom>
      <diagonal/>
    </border>
    <border>
      <left/>
      <right/>
      <top/>
      <bottom style="medium">
        <color rgb="FFDADADA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42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23" borderId="10" applyNumberFormat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0" fillId="39" borderId="1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35" borderId="12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4" fillId="30" borderId="15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30" borderId="12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" fontId="3" fillId="4" borderId="2" xfId="4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" fontId="3" fillId="0" borderId="0" xfId="4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1" fontId="3" fillId="4" borderId="0" xfId="4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1" fontId="3" fillId="4" borderId="0" xfId="4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" fontId="3" fillId="0" borderId="0" xfId="4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" fontId="3" fillId="0" borderId="0" xfId="4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1" fontId="3" fillId="5" borderId="0" xfId="4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176" fontId="3" fillId="5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/>
    </xf>
    <xf numFmtId="1" fontId="2" fillId="6" borderId="0" xfId="4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" fontId="2" fillId="0" borderId="0" xfId="4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1" fontId="2" fillId="3" borderId="0" xfId="4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" fontId="3" fillId="0" borderId="0" xfId="4" applyNumberFormat="1" applyFont="1" applyFill="1" applyBorder="1" applyAlignment="1">
      <alignment horizontal="center" vertical="center"/>
    </xf>
    <xf numFmtId="0" fontId="2" fillId="7" borderId="0" xfId="0" applyFont="1" applyFill="1" applyBorder="1" applyAlignment="1">
      <alignment vertical="center"/>
    </xf>
    <xf numFmtId="1" fontId="2" fillId="7" borderId="0" xfId="4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vertical="center"/>
    </xf>
    <xf numFmtId="1" fontId="2" fillId="8" borderId="0" xfId="4" applyNumberFormat="1" applyFont="1" applyFill="1" applyBorder="1" applyAlignment="1">
      <alignment horizontal="center" vertical="center"/>
    </xf>
    <xf numFmtId="0" fontId="2" fillId="9" borderId="0" xfId="0" applyFont="1" applyFill="1" applyBorder="1" applyAlignment="1">
      <alignment vertical="center"/>
    </xf>
    <xf numFmtId="1" fontId="2" fillId="9" borderId="0" xfId="4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right" vertical="center"/>
    </xf>
    <xf numFmtId="1" fontId="3" fillId="8" borderId="0" xfId="4" applyNumberFormat="1" applyFont="1" applyFill="1" applyBorder="1" applyAlignment="1">
      <alignment horizontal="center" vertical="center"/>
    </xf>
    <xf numFmtId="1" fontId="2" fillId="5" borderId="0" xfId="4" applyNumberFormat="1" applyFont="1" applyFill="1" applyAlignment="1">
      <alignment horizontal="center" vertical="center"/>
    </xf>
    <xf numFmtId="2" fontId="2" fillId="0" borderId="0" xfId="4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vertical="center"/>
    </xf>
    <xf numFmtId="1" fontId="2" fillId="8" borderId="4" xfId="4" applyNumberFormat="1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left" vertical="center"/>
    </xf>
    <xf numFmtId="0" fontId="2" fillId="10" borderId="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176" fontId="3" fillId="5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2" fillId="8" borderId="0" xfId="0" applyNumberFormat="1" applyFont="1" applyFill="1" applyBorder="1" applyAlignment="1">
      <alignment horizontal="center" vertical="center"/>
    </xf>
    <xf numFmtId="0" fontId="2" fillId="11" borderId="0" xfId="0" applyFont="1" applyFill="1" applyBorder="1">
      <alignment vertical="center"/>
    </xf>
    <xf numFmtId="176" fontId="2" fillId="11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8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12" borderId="0" xfId="0" applyFont="1" applyFill="1" applyBorder="1">
      <alignment vertical="center"/>
    </xf>
    <xf numFmtId="176" fontId="2" fillId="12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>
      <alignment vertical="center"/>
    </xf>
    <xf numFmtId="176" fontId="2" fillId="6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10" borderId="0" xfId="0" applyFont="1" applyFill="1" applyBorder="1">
      <alignment vertical="center"/>
    </xf>
    <xf numFmtId="176" fontId="2" fillId="10" borderId="0" xfId="0" applyNumberFormat="1" applyFont="1" applyFill="1" applyBorder="1" applyAlignment="1">
      <alignment horizontal="center" vertical="center"/>
    </xf>
    <xf numFmtId="176" fontId="3" fillId="8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7" borderId="0" xfId="0" applyFont="1" applyFill="1" applyBorder="1">
      <alignment vertical="center"/>
    </xf>
    <xf numFmtId="176" fontId="2" fillId="7" borderId="0" xfId="0" applyNumberFormat="1" applyFont="1" applyFill="1" applyBorder="1" applyAlignment="1">
      <alignment horizontal="center" vertical="center"/>
    </xf>
    <xf numFmtId="0" fontId="2" fillId="13" borderId="0" xfId="0" applyFont="1" applyFill="1" applyBorder="1">
      <alignment vertical="center"/>
    </xf>
    <xf numFmtId="176" fontId="2" fillId="13" borderId="0" xfId="0" applyNumberFormat="1" applyFont="1" applyFill="1" applyBorder="1" applyAlignment="1">
      <alignment horizontal="center" vertical="center"/>
    </xf>
    <xf numFmtId="176" fontId="4" fillId="5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2" fillId="6" borderId="4" xfId="0" applyFont="1" applyFill="1" applyBorder="1">
      <alignment vertical="center"/>
    </xf>
    <xf numFmtId="176" fontId="2" fillId="6" borderId="4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2" fillId="8" borderId="2" xfId="0" applyFont="1" applyFill="1" applyBorder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0" fontId="2" fillId="5" borderId="4" xfId="0" applyFont="1" applyFill="1" applyBorder="1" applyAlignment="1">
      <alignment horizontal="right" vertical="center"/>
    </xf>
    <xf numFmtId="9" fontId="4" fillId="5" borderId="0" xfId="0" applyNumberFormat="1" applyFont="1" applyFill="1" applyAlignment="1">
      <alignment horizontal="center" vertical="center"/>
    </xf>
    <xf numFmtId="0" fontId="0" fillId="5" borderId="0" xfId="0" applyFill="1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5" fillId="8" borderId="2" xfId="0" applyFont="1" applyFill="1" applyBorder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5" borderId="5" xfId="0" applyNumberFormat="1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>
      <alignment horizontal="center" vertical="center"/>
    </xf>
    <xf numFmtId="0" fontId="2" fillId="13" borderId="4" xfId="0" applyFont="1" applyFill="1" applyBorder="1">
      <alignment vertical="center"/>
    </xf>
    <xf numFmtId="176" fontId="2" fillId="13" borderId="4" xfId="0" applyNumberFormat="1" applyFont="1" applyFill="1" applyBorder="1" applyAlignment="1">
      <alignment horizontal="center" vertical="center"/>
    </xf>
    <xf numFmtId="9" fontId="4" fillId="0" borderId="0" xfId="6" applyNumberFormat="1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9" fontId="3" fillId="8" borderId="0" xfId="6" applyFont="1" applyFill="1" applyBorder="1" applyAlignment="1">
      <alignment horizontal="center" vertical="center"/>
    </xf>
    <xf numFmtId="9" fontId="2" fillId="8" borderId="0" xfId="6" applyFont="1" applyFill="1" applyBorder="1" applyAlignment="1">
      <alignment horizontal="center" vertical="center"/>
    </xf>
    <xf numFmtId="9" fontId="4" fillId="8" borderId="0" xfId="6" applyNumberFormat="1" applyFont="1" applyFill="1" applyBorder="1" applyAlignment="1">
      <alignment horizontal="center" vertical="center"/>
    </xf>
    <xf numFmtId="9" fontId="4" fillId="8" borderId="0" xfId="6" applyFont="1" applyFill="1" applyBorder="1" applyAlignment="1">
      <alignment horizontal="center" vertical="center"/>
    </xf>
    <xf numFmtId="0" fontId="2" fillId="8" borderId="4" xfId="0" applyFont="1" applyFill="1" applyBorder="1">
      <alignment vertical="center"/>
    </xf>
    <xf numFmtId="9" fontId="4" fillId="8" borderId="4" xfId="6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" fontId="4" fillId="0" borderId="0" xfId="4" applyNumberFormat="1" applyFont="1" applyFill="1" applyBorder="1" applyAlignment="1">
      <alignment horizontal="center" vertical="center"/>
    </xf>
    <xf numFmtId="1" fontId="4" fillId="8" borderId="0" xfId="4" applyNumberFormat="1" applyFont="1" applyFill="1" applyBorder="1" applyAlignment="1">
      <alignment horizontal="center" vertical="center"/>
    </xf>
    <xf numFmtId="181" fontId="2" fillId="6" borderId="0" xfId="4" applyNumberFormat="1" applyFont="1" applyFill="1" applyBorder="1" applyAlignment="1">
      <alignment horizontal="center" vertical="center"/>
    </xf>
    <xf numFmtId="181" fontId="4" fillId="8" borderId="0" xfId="4" applyNumberFormat="1" applyFont="1" applyFill="1" applyBorder="1" applyAlignment="1">
      <alignment horizontal="center" vertical="center"/>
    </xf>
    <xf numFmtId="181" fontId="4" fillId="0" borderId="0" xfId="4" applyNumberFormat="1" applyFont="1" applyFill="1" applyBorder="1" applyAlignment="1">
      <alignment horizontal="center" vertical="center"/>
    </xf>
    <xf numFmtId="1" fontId="4" fillId="5" borderId="0" xfId="4" applyNumberFormat="1" applyFont="1" applyFill="1" applyAlignment="1">
      <alignment horizontal="center"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4" fillId="8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176" fontId="2" fillId="11" borderId="0" xfId="0" applyNumberFormat="1" applyFont="1" applyFill="1" applyBorder="1">
      <alignment vertical="center"/>
    </xf>
    <xf numFmtId="0" fontId="4" fillId="14" borderId="0" xfId="0" applyFont="1" applyFill="1" applyBorder="1" applyAlignment="1">
      <alignment horizontal="right" vertical="center"/>
    </xf>
    <xf numFmtId="176" fontId="2" fillId="6" borderId="0" xfId="0" applyNumberFormat="1" applyFont="1" applyFill="1" applyBorder="1">
      <alignment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1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176" fontId="2" fillId="4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right" vertical="center"/>
    </xf>
    <xf numFmtId="9" fontId="2" fillId="4" borderId="0" xfId="6" applyFont="1" applyFill="1" applyBorder="1" applyAlignment="1">
      <alignment horizontal="center" vertical="center"/>
    </xf>
    <xf numFmtId="9" fontId="2" fillId="0" borderId="0" xfId="6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9" fontId="2" fillId="4" borderId="0" xfId="6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9" fontId="2" fillId="0" borderId="4" xfId="6" applyFont="1" applyFill="1" applyBorder="1" applyAlignment="1">
      <alignment horizontal="center" vertical="center"/>
    </xf>
    <xf numFmtId="9" fontId="0" fillId="0" borderId="0" xfId="6" applyAlignment="1">
      <alignment horizontal="center" vertical="center"/>
    </xf>
    <xf numFmtId="0" fontId="1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2" fillId="4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4" borderId="0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2" fillId="13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2" fillId="5" borderId="0" xfId="0" applyFont="1" applyFill="1" applyBorder="1">
      <alignment vertical="center"/>
    </xf>
    <xf numFmtId="0" fontId="2" fillId="5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0" fontId="2" fillId="0" borderId="0" xfId="6" applyNumberFormat="1" applyFont="1" applyFill="1" applyBorder="1" applyAlignment="1">
      <alignment horizontal="center" vertical="center"/>
    </xf>
    <xf numFmtId="9" fontId="2" fillId="0" borderId="0" xfId="6" applyFont="1" applyFill="1" applyBorder="1" applyAlignment="1">
      <alignment horizontal="center" vertical="center"/>
    </xf>
    <xf numFmtId="9" fontId="2" fillId="8" borderId="4" xfId="6" applyFont="1" applyFill="1" applyBorder="1" applyAlignment="1">
      <alignment horizontal="center" vertical="center"/>
    </xf>
    <xf numFmtId="9" fontId="0" fillId="0" borderId="0" xfId="6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FA5D5D"/>
        </patternFill>
      </fill>
    </dxf>
  </dxfs>
  <tableStyles count="0" defaultTableStyle="TableStyleMedium2" defaultPivotStyle="PivotStyleLight16"/>
  <colors>
    <mruColors>
      <color rgb="00001000"/>
      <color rgb="00FA5D5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23"/>
  <sheetViews>
    <sheetView workbookViewId="0">
      <selection activeCell="M11" sqref="M11:P11"/>
    </sheetView>
  </sheetViews>
  <sheetFormatPr defaultColWidth="9.14285714285714" defaultRowHeight="15"/>
  <cols>
    <col min="1" max="1" width="4.28571428571429" customWidth="1"/>
    <col min="2" max="2" width="27.2857142857143" customWidth="1"/>
    <col min="8" max="8" width="9.57142857142857"/>
    <col min="9" max="9" width="4.14285714285714" customWidth="1"/>
    <col min="10" max="10" width="29.2857142857143" customWidth="1"/>
    <col min="11" max="16" width="7.42857142857143" customWidth="1"/>
  </cols>
  <sheetData>
    <row r="2" spans="2:16">
      <c r="B2" s="1" t="s">
        <v>0</v>
      </c>
      <c r="C2" s="169">
        <v>2017</v>
      </c>
      <c r="D2" s="169">
        <v>2016</v>
      </c>
      <c r="E2" s="169">
        <v>2015</v>
      </c>
      <c r="F2" s="169">
        <v>2014</v>
      </c>
      <c r="G2" s="169">
        <v>2013</v>
      </c>
      <c r="H2" s="170">
        <v>2012</v>
      </c>
      <c r="J2" s="1" t="s">
        <v>1</v>
      </c>
      <c r="K2" s="169">
        <v>2017</v>
      </c>
      <c r="L2" s="169">
        <v>2016</v>
      </c>
      <c r="M2" s="169">
        <v>2015</v>
      </c>
      <c r="N2" s="169">
        <v>2014</v>
      </c>
      <c r="O2" s="169">
        <v>2013</v>
      </c>
      <c r="P2" s="170">
        <v>2012</v>
      </c>
    </row>
    <row r="3" spans="2:16">
      <c r="B3" s="105"/>
      <c r="C3" s="105"/>
      <c r="D3" s="105"/>
      <c r="E3" s="105"/>
      <c r="F3" s="105"/>
      <c r="G3" s="105"/>
      <c r="H3" s="105"/>
      <c r="J3" s="105"/>
      <c r="K3" s="105"/>
      <c r="L3" s="105"/>
      <c r="M3" s="105"/>
      <c r="N3" s="105"/>
      <c r="O3" s="105"/>
      <c r="P3" s="105"/>
    </row>
    <row r="4" spans="2:16">
      <c r="B4" s="28" t="s">
        <v>2</v>
      </c>
      <c r="C4" s="171">
        <v>2574</v>
      </c>
      <c r="D4" s="171">
        <v>2562</v>
      </c>
      <c r="E4" s="171">
        <v>2219</v>
      </c>
      <c r="F4" s="171">
        <v>2198</v>
      </c>
      <c r="G4" s="171">
        <v>2372</v>
      </c>
      <c r="H4" s="171">
        <v>2392</v>
      </c>
      <c r="J4" s="58" t="s">
        <v>3</v>
      </c>
      <c r="K4" s="185">
        <f>((C4-D4)/D4)</f>
        <v>0.00468384074941452</v>
      </c>
      <c r="L4" s="185">
        <f>((D4-E4)/E4)</f>
        <v>0.154574132492114</v>
      </c>
      <c r="M4" s="185">
        <f>((E4-F4)/F4)</f>
        <v>0.00955414012738853</v>
      </c>
      <c r="N4" s="185">
        <f>((F4-G4)/G4)</f>
        <v>-0.0733558178752108</v>
      </c>
      <c r="O4" s="185">
        <f>((G4-H4)/H4)</f>
        <v>-0.00836120401337793</v>
      </c>
      <c r="P4" s="182"/>
    </row>
    <row r="5" spans="2:16">
      <c r="B5" s="36" t="s">
        <v>4</v>
      </c>
      <c r="C5" s="172">
        <v>1412</v>
      </c>
      <c r="D5" s="172">
        <v>1494</v>
      </c>
      <c r="E5" s="172">
        <v>1335</v>
      </c>
      <c r="F5" s="172">
        <v>1358</v>
      </c>
      <c r="G5" s="172">
        <v>1362</v>
      </c>
      <c r="H5" s="172">
        <v>1471</v>
      </c>
      <c r="J5" s="50" t="s">
        <v>5</v>
      </c>
      <c r="K5" s="115">
        <f t="shared" ref="K5:P5" si="0">C5/C4</f>
        <v>0.548562548562549</v>
      </c>
      <c r="L5" s="115">
        <f t="shared" si="0"/>
        <v>0.583138173302108</v>
      </c>
      <c r="M5" s="115">
        <f t="shared" si="0"/>
        <v>0.601622352410996</v>
      </c>
      <c r="N5" s="115">
        <f t="shared" si="0"/>
        <v>0.617834394904459</v>
      </c>
      <c r="O5" s="115">
        <f t="shared" si="0"/>
        <v>0.574198988195616</v>
      </c>
      <c r="P5" s="115">
        <f t="shared" si="0"/>
        <v>0.614966555183946</v>
      </c>
    </row>
    <row r="6" spans="2:16">
      <c r="B6" s="68" t="s">
        <v>6</v>
      </c>
      <c r="C6" s="173">
        <f>C4-C5</f>
        <v>1162</v>
      </c>
      <c r="D6" s="173">
        <f t="shared" ref="C6:H6" si="1">D4-D5</f>
        <v>1068</v>
      </c>
      <c r="E6" s="173">
        <f t="shared" si="1"/>
        <v>884</v>
      </c>
      <c r="F6" s="173">
        <f t="shared" si="1"/>
        <v>840</v>
      </c>
      <c r="G6" s="173">
        <f t="shared" si="1"/>
        <v>1010</v>
      </c>
      <c r="H6" s="173">
        <f t="shared" si="1"/>
        <v>921</v>
      </c>
      <c r="J6" s="58" t="s">
        <v>7</v>
      </c>
      <c r="K6" s="186">
        <f t="shared" ref="K6:P6" si="2">C8/C4</f>
        <v>0.141414141414141</v>
      </c>
      <c r="L6" s="186">
        <f t="shared" si="2"/>
        <v>0.144418423106948</v>
      </c>
      <c r="M6" s="186">
        <f t="shared" si="2"/>
        <v>0.136547994592159</v>
      </c>
      <c r="N6" s="186">
        <f t="shared" si="2"/>
        <v>0.136942675159236</v>
      </c>
      <c r="O6" s="186">
        <f t="shared" si="2"/>
        <v>0.143760539629005</v>
      </c>
      <c r="P6" s="186">
        <f t="shared" si="2"/>
        <v>0.140886287625418</v>
      </c>
    </row>
    <row r="7" spans="2:16">
      <c r="B7" s="50"/>
      <c r="C7" s="174"/>
      <c r="D7" s="174"/>
      <c r="E7" s="174"/>
      <c r="F7" s="174"/>
      <c r="G7" s="174"/>
      <c r="H7" s="174"/>
      <c r="J7" s="50" t="s">
        <v>8</v>
      </c>
      <c r="K7" s="115">
        <f t="shared" ref="K7:P7" si="3">C9/C4</f>
        <v>0.0668220668220668</v>
      </c>
      <c r="L7" s="115">
        <f t="shared" si="3"/>
        <v>0.053864168618267</v>
      </c>
      <c r="M7" s="115">
        <f t="shared" si="3"/>
        <v>0.0459666516448851</v>
      </c>
      <c r="N7" s="115">
        <f t="shared" si="3"/>
        <v>0.0454959053685168</v>
      </c>
      <c r="O7" s="115">
        <f t="shared" si="3"/>
        <v>0.0645025295109612</v>
      </c>
      <c r="P7" s="115">
        <f t="shared" si="3"/>
        <v>0.0334448160535117</v>
      </c>
    </row>
    <row r="8" ht="15.75" spans="2:16">
      <c r="B8" s="28" t="s">
        <v>9</v>
      </c>
      <c r="C8" s="175">
        <v>364</v>
      </c>
      <c r="D8" s="175">
        <v>370</v>
      </c>
      <c r="E8" s="175">
        <v>303</v>
      </c>
      <c r="F8" s="175">
        <v>301</v>
      </c>
      <c r="G8" s="175">
        <v>341</v>
      </c>
      <c r="H8" s="176">
        <v>337</v>
      </c>
      <c r="J8" s="58" t="s">
        <v>10</v>
      </c>
      <c r="K8" s="186">
        <f t="shared" ref="K8:P8" si="4">C13/C4</f>
        <v>0.00259401709401709</v>
      </c>
      <c r="L8" s="186">
        <f t="shared" si="4"/>
        <v>0.00500429352068696</v>
      </c>
      <c r="M8" s="186">
        <f t="shared" si="4"/>
        <v>0.0369535826949076</v>
      </c>
      <c r="N8" s="186">
        <f t="shared" si="4"/>
        <v>0.048680618744313</v>
      </c>
      <c r="O8" s="186">
        <f t="shared" si="4"/>
        <v>0.0278246205733558</v>
      </c>
      <c r="P8" s="186">
        <f t="shared" si="4"/>
        <v>0.00376254180602007</v>
      </c>
    </row>
    <row r="9" ht="15.75" spans="2:16">
      <c r="B9" s="44" t="s">
        <v>11</v>
      </c>
      <c r="C9" s="177">
        <v>172</v>
      </c>
      <c r="D9" s="177">
        <v>138</v>
      </c>
      <c r="E9" s="177">
        <v>102</v>
      </c>
      <c r="F9" s="177">
        <v>100</v>
      </c>
      <c r="G9" s="177">
        <v>153</v>
      </c>
      <c r="H9" s="178">
        <v>80</v>
      </c>
      <c r="J9" s="118" t="s">
        <v>12</v>
      </c>
      <c r="K9" s="187">
        <f>C16/C14</f>
        <v>0.217008797653959</v>
      </c>
      <c r="L9" s="187">
        <f t="shared" ref="K9:P9" si="5">D16/D14</f>
        <v>0.236507936507937</v>
      </c>
      <c r="M9" s="187">
        <f t="shared" si="5"/>
        <v>0.219251336898396</v>
      </c>
      <c r="N9" s="187">
        <f t="shared" si="5"/>
        <v>0.238095238095238</v>
      </c>
      <c r="O9" s="187">
        <f t="shared" si="5"/>
        <v>0.304123711340206</v>
      </c>
      <c r="P9" s="187">
        <f t="shared" si="5"/>
        <v>0.245614035087719</v>
      </c>
    </row>
    <row r="10" spans="2:12">
      <c r="B10" s="68" t="s">
        <v>13</v>
      </c>
      <c r="C10" s="173">
        <f t="shared" ref="C10:H10" si="6">C6-C9-C8</f>
        <v>626</v>
      </c>
      <c r="D10" s="173">
        <f t="shared" si="6"/>
        <v>560</v>
      </c>
      <c r="E10" s="173">
        <f t="shared" si="6"/>
        <v>479</v>
      </c>
      <c r="F10" s="173">
        <f t="shared" si="6"/>
        <v>439</v>
      </c>
      <c r="G10" s="173">
        <f t="shared" si="6"/>
        <v>516</v>
      </c>
      <c r="H10" s="173">
        <f t="shared" si="6"/>
        <v>504</v>
      </c>
      <c r="J10" t="s">
        <v>14</v>
      </c>
      <c r="K10" s="149">
        <f>C18/C17</f>
        <v>0.722846441947566</v>
      </c>
      <c r="L10" s="149">
        <f>D18/D17</f>
        <v>0.765072765072765</v>
      </c>
    </row>
    <row r="11" spans="2:16">
      <c r="B11" s="179"/>
      <c r="C11" s="180"/>
      <c r="D11" s="180"/>
      <c r="E11" s="180"/>
      <c r="F11" s="180"/>
      <c r="G11" s="180"/>
      <c r="H11" s="180"/>
      <c r="J11" t="s">
        <v>15</v>
      </c>
      <c r="K11" s="188">
        <f>C13/C12</f>
        <v>0.135372949739472</v>
      </c>
      <c r="L11" s="188">
        <f>D13/D12</f>
        <v>0.224225677259134</v>
      </c>
      <c r="M11" s="188"/>
      <c r="N11" s="188"/>
      <c r="O11" s="188"/>
      <c r="P11" s="188"/>
    </row>
    <row r="12" spans="2:8">
      <c r="B12" s="181" t="s">
        <v>16</v>
      </c>
      <c r="C12" s="59">
        <f>6.78+0.89+42.241-0.588</f>
        <v>49.323</v>
      </c>
      <c r="D12" s="59">
        <f>50.945-0.14+6.311+0.063</f>
        <v>57.179</v>
      </c>
      <c r="E12" s="182"/>
      <c r="F12" s="182"/>
      <c r="G12" s="182"/>
      <c r="H12" s="182"/>
    </row>
    <row r="13" spans="2:8">
      <c r="B13" s="36" t="s">
        <v>17</v>
      </c>
      <c r="C13" s="52">
        <f>56-C12</f>
        <v>6.677</v>
      </c>
      <c r="D13" s="52">
        <f>70-D12</f>
        <v>12.821</v>
      </c>
      <c r="E13" s="172">
        <v>82</v>
      </c>
      <c r="F13" s="172">
        <v>107</v>
      </c>
      <c r="G13" s="172">
        <v>66</v>
      </c>
      <c r="H13" s="172">
        <v>9</v>
      </c>
    </row>
    <row r="14" spans="2:8">
      <c r="B14" s="68" t="s">
        <v>18</v>
      </c>
      <c r="C14" s="69">
        <f t="shared" ref="C14:H14" si="7">C13+C10+C12</f>
        <v>682</v>
      </c>
      <c r="D14" s="69">
        <f t="shared" si="7"/>
        <v>630</v>
      </c>
      <c r="E14" s="173">
        <f t="shared" si="7"/>
        <v>561</v>
      </c>
      <c r="F14" s="173">
        <f t="shared" si="7"/>
        <v>546</v>
      </c>
      <c r="G14" s="173">
        <f t="shared" si="7"/>
        <v>582</v>
      </c>
      <c r="H14" s="173">
        <f t="shared" si="7"/>
        <v>513</v>
      </c>
    </row>
    <row r="15" spans="2:8">
      <c r="B15" s="50"/>
      <c r="C15" s="47"/>
      <c r="D15" s="47"/>
      <c r="E15" s="174"/>
      <c r="F15" s="174"/>
      <c r="G15" s="174"/>
      <c r="H15" s="174"/>
    </row>
    <row r="16" spans="2:8">
      <c r="B16" s="28" t="s">
        <v>19</v>
      </c>
      <c r="C16" s="51">
        <v>148</v>
      </c>
      <c r="D16" s="51">
        <v>149</v>
      </c>
      <c r="E16" s="171">
        <v>123</v>
      </c>
      <c r="F16" s="171">
        <v>130</v>
      </c>
      <c r="G16" s="171">
        <v>177</v>
      </c>
      <c r="H16" s="171">
        <v>126</v>
      </c>
    </row>
    <row r="17" spans="2:8">
      <c r="B17" s="110" t="s">
        <v>20</v>
      </c>
      <c r="C17" s="111">
        <f t="shared" ref="C17:H17" si="8">C14-C16</f>
        <v>534</v>
      </c>
      <c r="D17" s="111">
        <f t="shared" si="8"/>
        <v>481</v>
      </c>
      <c r="E17" s="183">
        <f t="shared" si="8"/>
        <v>438</v>
      </c>
      <c r="F17" s="183">
        <f t="shared" si="8"/>
        <v>416</v>
      </c>
      <c r="G17" s="183">
        <f t="shared" si="8"/>
        <v>405</v>
      </c>
      <c r="H17" s="183">
        <f t="shared" si="8"/>
        <v>387</v>
      </c>
    </row>
    <row r="18" spans="2:4">
      <c r="B18" t="s">
        <v>14</v>
      </c>
      <c r="C18" s="184">
        <v>386</v>
      </c>
      <c r="D18" s="184">
        <v>368</v>
      </c>
    </row>
    <row r="19" spans="3:3">
      <c r="C19" s="75">
        <f>C17-C18</f>
        <v>148</v>
      </c>
    </row>
    <row r="21" spans="2:2">
      <c r="B21" t="s">
        <v>21</v>
      </c>
    </row>
    <row r="22" spans="2:2">
      <c r="B22" t="s">
        <v>22</v>
      </c>
    </row>
    <row r="23" spans="2:2">
      <c r="B23" t="s">
        <v>23</v>
      </c>
    </row>
  </sheetData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Q42"/>
  <sheetViews>
    <sheetView zoomScale="85" zoomScaleNormal="85" topLeftCell="B13" workbookViewId="0">
      <selection activeCell="C15" sqref="C15"/>
    </sheetView>
  </sheetViews>
  <sheetFormatPr defaultColWidth="9.14285714285714" defaultRowHeight="15"/>
  <cols>
    <col min="2" max="2" width="28.4285714285714" customWidth="1"/>
    <col min="7" max="7" width="9.57142857142857"/>
    <col min="9" max="9" width="3.71428571428571" customWidth="1"/>
    <col min="10" max="10" width="32.8571428571429" customWidth="1"/>
    <col min="11" max="17" width="14"/>
  </cols>
  <sheetData>
    <row r="2" spans="2:17">
      <c r="B2" s="1" t="s">
        <v>24</v>
      </c>
      <c r="C2" s="127">
        <v>2017</v>
      </c>
      <c r="D2" s="127">
        <v>2016</v>
      </c>
      <c r="E2" s="127">
        <v>2015</v>
      </c>
      <c r="F2" s="127">
        <v>2014</v>
      </c>
      <c r="G2" s="127">
        <v>2013</v>
      </c>
      <c r="H2" s="128">
        <v>2012</v>
      </c>
      <c r="J2" s="1" t="s">
        <v>25</v>
      </c>
      <c r="K2" s="2">
        <v>2017</v>
      </c>
      <c r="L2" s="2">
        <v>2016</v>
      </c>
      <c r="M2" s="2">
        <v>2015</v>
      </c>
      <c r="N2" s="2">
        <v>2014</v>
      </c>
      <c r="O2" s="2">
        <v>2013</v>
      </c>
      <c r="P2" s="3">
        <v>2012</v>
      </c>
      <c r="Q2" s="162" t="s">
        <v>26</v>
      </c>
    </row>
    <row r="3" spans="2:17">
      <c r="B3" s="42" t="s">
        <v>27</v>
      </c>
      <c r="C3" s="43"/>
      <c r="D3" s="43"/>
      <c r="E3" s="43"/>
      <c r="F3" s="43"/>
      <c r="G3" s="43"/>
      <c r="H3" s="43"/>
      <c r="J3" s="6" t="s">
        <v>28</v>
      </c>
      <c r="K3" s="135">
        <f>365*(C6/'Hist. IS'!C4)</f>
        <v>60.549728049728</v>
      </c>
      <c r="L3" s="135">
        <f>365*(D6/'Hist. IS'!D4)</f>
        <v>52.2853239656518</v>
      </c>
      <c r="M3" s="135">
        <f>365*(E6/'Hist. IS'!E4)</f>
        <v>55.2681388012618</v>
      </c>
      <c r="N3" s="135">
        <f>365*(F6/'Hist. IS'!F4)</f>
        <v>53.6373976342129</v>
      </c>
      <c r="O3" s="135">
        <f>365*(G6/'Hist. IS'!G4)</f>
        <v>50.7799325463744</v>
      </c>
      <c r="P3" s="135">
        <f>365*(H6/'Hist. IS'!H4)</f>
        <v>39.8265050167224</v>
      </c>
      <c r="Q3" s="135">
        <f>AVERAGE(K3:P3)</f>
        <v>52.0578376689919</v>
      </c>
    </row>
    <row r="4" spans="2:17">
      <c r="B4" s="28" t="s">
        <v>29</v>
      </c>
      <c r="C4" s="129">
        <f>'Hist. CF'!C43</f>
        <v>900.445</v>
      </c>
      <c r="D4" s="129">
        <f>'Hist. CF'!D43</f>
        <v>995.145</v>
      </c>
      <c r="E4" s="129">
        <f>'Hist. CF'!E43</f>
        <v>835</v>
      </c>
      <c r="F4" s="129">
        <f>'Hist. CF'!F43</f>
        <v>865</v>
      </c>
      <c r="G4" s="129">
        <f>'Hist. CF'!G43</f>
        <v>1351</v>
      </c>
      <c r="H4" s="129">
        <f>'Hist. CF'!H43</f>
        <v>412</v>
      </c>
      <c r="J4" s="8" t="s">
        <v>30</v>
      </c>
      <c r="K4" s="136">
        <f>ABS(365*(C8/'Hist. IS'!C5))</f>
        <v>69.2776203966006</v>
      </c>
      <c r="L4" s="136">
        <f>ABS(365*(D8/'Hist. IS'!D5))</f>
        <v>77.446452476573</v>
      </c>
      <c r="M4" s="136">
        <f>ABS(365*(E8/'Hist. IS'!E5))</f>
        <v>72.4531835205993</v>
      </c>
      <c r="N4" s="136">
        <f>ABS(365*(F8/'Hist. IS'!F5))</f>
        <v>62.0876288659794</v>
      </c>
      <c r="O4" s="136">
        <f>ABS(365*(G8/'Hist. IS'!G5))</f>
        <v>77.1806167400881</v>
      </c>
      <c r="P4" s="136">
        <f>ABS(365*(H8/'Hist. IS'!H5))</f>
        <v>58.5588035350102</v>
      </c>
      <c r="Q4" s="136">
        <f>AVERAGE(K4:P4)</f>
        <v>69.5007175891418</v>
      </c>
    </row>
    <row r="5" spans="2:17">
      <c r="B5" s="36" t="s">
        <v>31</v>
      </c>
      <c r="C5" s="130" t="s">
        <v>32</v>
      </c>
      <c r="D5" s="130">
        <v>5</v>
      </c>
      <c r="E5" s="130">
        <v>190</v>
      </c>
      <c r="F5" s="130">
        <v>390</v>
      </c>
      <c r="G5" s="130">
        <v>200</v>
      </c>
      <c r="H5" s="130" t="s">
        <v>32</v>
      </c>
      <c r="J5" s="137" t="s">
        <v>33</v>
      </c>
      <c r="K5" s="138">
        <f>ABS(365*(C22/'Hist. IS'!C5))</f>
        <v>32.3123229461756</v>
      </c>
      <c r="L5" s="138">
        <f>ABS(365*(D22/'Hist. IS'!D5))</f>
        <v>43.4872824631861</v>
      </c>
      <c r="M5" s="138">
        <f>ABS(365*(E22/'Hist. IS'!E5))</f>
        <v>40.4644194756554</v>
      </c>
      <c r="N5" s="138">
        <f>ABS(365*(F22/'Hist. IS'!F5))</f>
        <v>36.8225331369661</v>
      </c>
      <c r="O5" s="138">
        <f>ABS(365*(G22/'Hist. IS'!G5))</f>
        <v>46.8979441997063</v>
      </c>
      <c r="P5" s="138">
        <f>ABS(365*(H22/'Hist. IS'!H5))</f>
        <v>47.8891910265126</v>
      </c>
      <c r="Q5" s="138">
        <f>AVERAGE(K5:P5)</f>
        <v>41.3122822080337</v>
      </c>
    </row>
    <row r="6" spans="2:17">
      <c r="B6" s="28" t="s">
        <v>34</v>
      </c>
      <c r="C6" s="131">
        <v>427</v>
      </c>
      <c r="D6" s="131">
        <v>367</v>
      </c>
      <c r="E6" s="131">
        <v>336</v>
      </c>
      <c r="F6" s="131">
        <v>323</v>
      </c>
      <c r="G6" s="131">
        <v>330</v>
      </c>
      <c r="H6" s="131">
        <v>261</v>
      </c>
      <c r="J6" s="8" t="s">
        <v>35</v>
      </c>
      <c r="K6" s="136">
        <f>(C25/'Hist. IS'!C4)</f>
        <v>0.0143745143745144</v>
      </c>
      <c r="L6" s="136">
        <f>(D25/'Hist. IS'!D4)</f>
        <v>0.00117096018735363</v>
      </c>
      <c r="M6" s="136">
        <f>(E25/'Hist. IS'!E4)</f>
        <v>0.00135196034249662</v>
      </c>
      <c r="N6" s="136">
        <f>(F25/'Hist. IS'!F4)</f>
        <v>0.00773430391264786</v>
      </c>
      <c r="O6" s="136">
        <f>(G25/'Hist. IS'!G4)</f>
        <v>0.0160202360876897</v>
      </c>
      <c r="P6" s="136">
        <f>(H25/'Hist. IS'!H4)</f>
        <v>0.00794314381270903</v>
      </c>
      <c r="Q6" s="136">
        <f>AVERAGE(K6:P6)</f>
        <v>0.00809918645290187</v>
      </c>
    </row>
    <row r="7" spans="2:17">
      <c r="B7" s="36" t="s">
        <v>36</v>
      </c>
      <c r="C7" s="130">
        <v>4</v>
      </c>
      <c r="D7" s="130">
        <v>20</v>
      </c>
      <c r="E7" s="130">
        <v>12</v>
      </c>
      <c r="F7" s="130">
        <v>12</v>
      </c>
      <c r="G7" s="130">
        <v>132</v>
      </c>
      <c r="H7" s="130">
        <v>666</v>
      </c>
      <c r="J7" s="139" t="s">
        <v>37</v>
      </c>
      <c r="K7" s="140">
        <f>365*(C7/'Hist. IS'!C4)</f>
        <v>0.567210567210567</v>
      </c>
      <c r="L7" s="140">
        <f>365*(D7/'Hist. IS'!D4)</f>
        <v>2.84933645589383</v>
      </c>
      <c r="M7" s="140">
        <f>365*(E7/'Hist. IS'!E4)</f>
        <v>1.97386210004507</v>
      </c>
      <c r="N7" s="140">
        <f>365*(F7/'Hist. IS'!F4)</f>
        <v>1.99272065514104</v>
      </c>
      <c r="O7" s="140">
        <f>365*(G7/'Hist. IS'!G4)</f>
        <v>20.3119730185497</v>
      </c>
      <c r="P7" s="140">
        <f>365*(H7/'Hist. IS'!H4)</f>
        <v>101.626254180602</v>
      </c>
      <c r="Q7" s="163"/>
    </row>
    <row r="8" spans="2:17">
      <c r="B8" s="28" t="s">
        <v>38</v>
      </c>
      <c r="C8" s="131">
        <v>268</v>
      </c>
      <c r="D8" s="131">
        <v>317</v>
      </c>
      <c r="E8" s="131">
        <v>265</v>
      </c>
      <c r="F8" s="131">
        <v>231</v>
      </c>
      <c r="G8" s="131">
        <v>288</v>
      </c>
      <c r="H8" s="131">
        <v>236</v>
      </c>
      <c r="J8" s="141" t="s">
        <v>39</v>
      </c>
      <c r="K8" s="96">
        <f>365*(C23/'Hist. IS'!C5)</f>
        <v>2.84348441926346</v>
      </c>
      <c r="L8" s="96">
        <f>365*(D23/'Hist. IS'!D5)</f>
        <v>1.22155287817938</v>
      </c>
      <c r="M8" s="96">
        <f>365*(E23/'Hist. IS'!E5)</f>
        <v>3.00749063670412</v>
      </c>
      <c r="N8" s="96">
        <f>365*(F23/'Hist. IS'!F5)</f>
        <v>3.22533136966127</v>
      </c>
      <c r="O8" s="96">
        <f>365*(G23/'Hist. IS'!G5)</f>
        <v>4.01982378854626</v>
      </c>
      <c r="P8" s="96">
        <f>365*(H23/'Hist. IS'!H5)</f>
        <v>21.5873555404487</v>
      </c>
      <c r="Q8" s="164"/>
    </row>
    <row r="9" spans="2:17">
      <c r="B9" s="36" t="s">
        <v>40</v>
      </c>
      <c r="C9" s="36">
        <f>27+2.9</f>
        <v>29.9</v>
      </c>
      <c r="D9" s="36">
        <f>88+2.1</f>
        <v>90.1</v>
      </c>
      <c r="E9" s="36">
        <f>68+1</f>
        <v>69</v>
      </c>
      <c r="F9" s="36">
        <f>41-3</f>
        <v>38</v>
      </c>
      <c r="G9" s="36">
        <f>68-3</f>
        <v>65</v>
      </c>
      <c r="H9" s="36">
        <f>12-3</f>
        <v>9</v>
      </c>
      <c r="J9" s="142" t="s">
        <v>41</v>
      </c>
      <c r="K9" s="143">
        <f>C9/('Hist. IS'!C8+'Hist. IS'!C9)</f>
        <v>0.0557835820895522</v>
      </c>
      <c r="L9" s="143">
        <f>D9/('Hist. IS'!D8+'Hist. IS'!D9)</f>
        <v>0.177362204724409</v>
      </c>
      <c r="M9" s="143">
        <f>E9/('Hist. IS'!E8+'Hist. IS'!E9)</f>
        <v>0.17037037037037</v>
      </c>
      <c r="N9" s="143">
        <f>F9/('Hist. IS'!F8+'Hist. IS'!F9)</f>
        <v>0.0947630922693267</v>
      </c>
      <c r="O9" s="143">
        <f>G9/('Hist. IS'!G8+'Hist. IS'!G9)</f>
        <v>0.131578947368421</v>
      </c>
      <c r="P9" s="143">
        <f>H9/('Hist. IS'!H8+'Hist. IS'!H9)</f>
        <v>0.0215827338129496</v>
      </c>
      <c r="Q9" s="165"/>
    </row>
    <row r="10" spans="2:17">
      <c r="B10" s="48" t="s">
        <v>42</v>
      </c>
      <c r="C10" s="132">
        <f t="shared" ref="C10:H10" si="0">SUM(C4:C9)</f>
        <v>1629.345</v>
      </c>
      <c r="D10" s="132">
        <f t="shared" si="0"/>
        <v>1794.245</v>
      </c>
      <c r="E10" s="48">
        <f t="shared" si="0"/>
        <v>1707</v>
      </c>
      <c r="F10" s="48">
        <f t="shared" si="0"/>
        <v>1859</v>
      </c>
      <c r="G10" s="48">
        <f t="shared" si="0"/>
        <v>2366</v>
      </c>
      <c r="H10" s="48">
        <f t="shared" si="0"/>
        <v>1584</v>
      </c>
      <c r="J10" s="83" t="s">
        <v>43</v>
      </c>
      <c r="K10" s="144">
        <f>C9/'Hist. IS'!C5</f>
        <v>0.0211756373937677</v>
      </c>
      <c r="L10" s="144">
        <f>D9/'Hist. IS'!D5</f>
        <v>0.0603078982597055</v>
      </c>
      <c r="M10" s="144">
        <f>E9/'Hist. IS'!E5</f>
        <v>0.051685393258427</v>
      </c>
      <c r="N10" s="144">
        <f>F9/'Hist. IS'!F5</f>
        <v>0.0279823269513991</v>
      </c>
      <c r="O10" s="144">
        <f>G9/'Hist. IS'!G5</f>
        <v>0.0477239353891336</v>
      </c>
      <c r="P10" s="144">
        <f>H9/'Hist. IS'!H5</f>
        <v>0.00611828687967369</v>
      </c>
      <c r="Q10" s="166"/>
    </row>
    <row r="11" spans="2:17">
      <c r="B11" s="50"/>
      <c r="C11" s="50"/>
      <c r="D11" s="50"/>
      <c r="E11" s="50"/>
      <c r="F11" s="50"/>
      <c r="G11" s="50"/>
      <c r="H11" s="50"/>
      <c r="J11" s="145" t="s">
        <v>44</v>
      </c>
      <c r="K11" s="146">
        <f>C16/('Hist. IS'!C8+'Hist. IS'!C9)</f>
        <v>0.330223880597015</v>
      </c>
      <c r="L11" s="146">
        <f>D16/('Hist. IS'!D8+'Hist. IS'!D9)</f>
        <v>0.0846456692913386</v>
      </c>
      <c r="M11" s="146">
        <f>E16/('Hist. IS'!E8+'Hist. IS'!E9)</f>
        <v>0.0864197530864197</v>
      </c>
      <c r="N11" s="146">
        <f>F16/('Hist. IS'!F8+'Hist. IS'!F9)</f>
        <v>0.197007481296758</v>
      </c>
      <c r="O11" s="146">
        <f>G16/('Hist. IS'!G8+'Hist. IS'!G9)</f>
        <v>0.0526315789473684</v>
      </c>
      <c r="P11" s="146">
        <f>H16/('Hist. IS'!H8+'Hist. IS'!H9)</f>
        <v>0.0407673860911271</v>
      </c>
      <c r="Q11" s="167"/>
    </row>
    <row r="12" spans="2:17">
      <c r="B12" s="28" t="s">
        <v>45</v>
      </c>
      <c r="C12" s="131">
        <v>46</v>
      </c>
      <c r="D12" s="131">
        <v>8</v>
      </c>
      <c r="E12" s="131" t="s">
        <v>32</v>
      </c>
      <c r="F12" s="131" t="s">
        <v>32</v>
      </c>
      <c r="G12" s="131">
        <v>2</v>
      </c>
      <c r="H12" s="131">
        <v>5</v>
      </c>
      <c r="J12" s="147" t="s">
        <v>46</v>
      </c>
      <c r="K12" s="148">
        <f>C16/'Hist. IS'!C5</f>
        <v>0.125354107648725</v>
      </c>
      <c r="L12" s="148">
        <f>D16/'Hist. IS'!D5</f>
        <v>0.0287817938420348</v>
      </c>
      <c r="M12" s="148">
        <f>E16/'Hist. IS'!E5</f>
        <v>0.0262172284644195</v>
      </c>
      <c r="N12" s="148">
        <f>F16/'Hist. IS'!F5</f>
        <v>0.0581737849779087</v>
      </c>
      <c r="O12" s="148">
        <f>G16/'Hist. IS'!G5</f>
        <v>0.0190895741556534</v>
      </c>
      <c r="P12" s="148">
        <f>H16/'Hist. IS'!H5</f>
        <v>0.0115567641060503</v>
      </c>
      <c r="Q12" s="168"/>
    </row>
    <row r="13" spans="2:16">
      <c r="B13" s="36" t="s">
        <v>47</v>
      </c>
      <c r="C13" s="130" t="s">
        <v>32</v>
      </c>
      <c r="D13" s="130" t="s">
        <v>32</v>
      </c>
      <c r="E13" s="130" t="s">
        <v>32</v>
      </c>
      <c r="F13" s="130" t="s">
        <v>32</v>
      </c>
      <c r="G13" s="130" t="s">
        <v>32</v>
      </c>
      <c r="H13" s="130">
        <v>102</v>
      </c>
      <c r="J13" t="s">
        <v>48</v>
      </c>
      <c r="K13" s="149">
        <f>C24/'Hist. IS'!C14</f>
        <v>0.0498533724340176</v>
      </c>
      <c r="L13" s="149">
        <f>D24/'Hist. IS'!D14</f>
        <v>0.0444444444444444</v>
      </c>
      <c r="M13" s="149">
        <f>E24/'Hist. IS'!E14</f>
        <v>0.0374331550802139</v>
      </c>
      <c r="N13" s="149">
        <f>F24/'Hist. IS'!F14</f>
        <v>0.0238095238095238</v>
      </c>
      <c r="O13" s="149">
        <f>G24/'Hist. IS'!G14</f>
        <v>0.166666666666667</v>
      </c>
      <c r="P13" s="149">
        <f>H24/'Hist. IS'!H14</f>
        <v>0.463937621832359</v>
      </c>
    </row>
    <row r="14" spans="2:8">
      <c r="B14" s="28" t="s">
        <v>49</v>
      </c>
      <c r="C14" s="133">
        <v>91</v>
      </c>
      <c r="D14" s="133">
        <v>91</v>
      </c>
      <c r="E14" s="133">
        <v>91</v>
      </c>
      <c r="F14" s="133">
        <v>91</v>
      </c>
      <c r="G14" s="133" t="s">
        <v>32</v>
      </c>
      <c r="H14" s="133" t="s">
        <v>32</v>
      </c>
    </row>
    <row r="15" spans="2:8">
      <c r="B15" s="36" t="s">
        <v>50</v>
      </c>
      <c r="C15" s="133">
        <v>1215</v>
      </c>
      <c r="D15" s="133">
        <v>1051</v>
      </c>
      <c r="E15" s="133">
        <v>962</v>
      </c>
      <c r="F15" s="133">
        <v>791</v>
      </c>
      <c r="G15" s="133">
        <v>556</v>
      </c>
      <c r="H15" s="133">
        <v>442</v>
      </c>
    </row>
    <row r="16" spans="2:8">
      <c r="B16" s="28" t="s">
        <v>40</v>
      </c>
      <c r="C16" s="131">
        <v>177</v>
      </c>
      <c r="D16" s="131">
        <v>43</v>
      </c>
      <c r="E16" s="131">
        <v>35</v>
      </c>
      <c r="F16" s="131">
        <v>79</v>
      </c>
      <c r="G16" s="131">
        <v>26</v>
      </c>
      <c r="H16" s="131">
        <v>17</v>
      </c>
    </row>
    <row r="17" spans="2:8">
      <c r="B17" s="54" t="s">
        <v>51</v>
      </c>
      <c r="C17" s="54">
        <f t="shared" ref="C17:H17" si="1">SUM(C12:C16)</f>
        <v>1529</v>
      </c>
      <c r="D17" s="54">
        <f t="shared" si="1"/>
        <v>1193</v>
      </c>
      <c r="E17" s="54">
        <f t="shared" si="1"/>
        <v>1088</v>
      </c>
      <c r="F17" s="54">
        <f t="shared" si="1"/>
        <v>961</v>
      </c>
      <c r="G17" s="54">
        <f t="shared" si="1"/>
        <v>584</v>
      </c>
      <c r="H17" s="54">
        <f t="shared" si="1"/>
        <v>566</v>
      </c>
    </row>
    <row r="18" spans="2:16">
      <c r="B18" s="56" t="s">
        <v>52</v>
      </c>
      <c r="C18" s="134">
        <f t="shared" ref="C18:H18" si="2">C17+C10</f>
        <v>3158.345</v>
      </c>
      <c r="D18" s="134">
        <f t="shared" si="2"/>
        <v>2987.245</v>
      </c>
      <c r="E18" s="56">
        <f t="shared" si="2"/>
        <v>2795</v>
      </c>
      <c r="F18" s="56">
        <f t="shared" si="2"/>
        <v>2820</v>
      </c>
      <c r="G18" s="56">
        <f t="shared" si="2"/>
        <v>2950</v>
      </c>
      <c r="H18" s="56">
        <f t="shared" si="2"/>
        <v>2150</v>
      </c>
      <c r="J18" s="88" t="s">
        <v>53</v>
      </c>
      <c r="K18" s="150">
        <v>2017</v>
      </c>
      <c r="L18" s="150">
        <v>2016</v>
      </c>
      <c r="M18" s="150">
        <v>2015</v>
      </c>
      <c r="N18" s="150">
        <v>2014</v>
      </c>
      <c r="O18" s="150">
        <v>2013</v>
      </c>
      <c r="P18" s="151">
        <v>2012</v>
      </c>
    </row>
    <row r="19" spans="2:16">
      <c r="B19" s="58"/>
      <c r="C19" s="58"/>
      <c r="D19" s="58"/>
      <c r="E19" s="58"/>
      <c r="F19" s="58"/>
      <c r="G19" s="58"/>
      <c r="H19" s="58"/>
      <c r="J19" s="152" t="s">
        <v>54</v>
      </c>
      <c r="K19" s="153">
        <f>D15</f>
        <v>1051</v>
      </c>
      <c r="L19" s="153">
        <f>E15</f>
        <v>962</v>
      </c>
      <c r="M19" s="153">
        <f>F15</f>
        <v>791</v>
      </c>
      <c r="N19" s="153">
        <f>G15</f>
        <v>556</v>
      </c>
      <c r="O19" s="153">
        <f>H15</f>
        <v>442</v>
      </c>
      <c r="P19" s="154"/>
    </row>
    <row r="20" spans="2:16">
      <c r="B20" s="60" t="s">
        <v>55</v>
      </c>
      <c r="C20" s="60"/>
      <c r="D20" s="60"/>
      <c r="E20" s="60"/>
      <c r="F20" s="60"/>
      <c r="G20" s="60"/>
      <c r="H20" s="60"/>
      <c r="J20" s="155" t="s">
        <v>56</v>
      </c>
      <c r="K20" s="156">
        <v>60</v>
      </c>
      <c r="L20" s="156">
        <v>53</v>
      </c>
      <c r="M20" s="156"/>
      <c r="N20" s="156"/>
      <c r="O20" s="156"/>
      <c r="P20" s="157"/>
    </row>
    <row r="21" spans="2:16">
      <c r="B21" s="28" t="s">
        <v>57</v>
      </c>
      <c r="C21" s="131" t="s">
        <v>32</v>
      </c>
      <c r="D21" s="131" t="s">
        <v>32</v>
      </c>
      <c r="E21" s="131" t="s">
        <v>32</v>
      </c>
      <c r="F21" s="131" t="s">
        <v>32</v>
      </c>
      <c r="G21" s="131" t="s">
        <v>32</v>
      </c>
      <c r="H21" s="131">
        <v>299</v>
      </c>
      <c r="J21" s="158" t="s">
        <v>58</v>
      </c>
      <c r="K21" s="99">
        <v>224.9</v>
      </c>
      <c r="L21" s="99">
        <v>142.7</v>
      </c>
      <c r="M21" s="99"/>
      <c r="N21" s="99"/>
      <c r="O21" s="99"/>
      <c r="P21" s="100"/>
    </row>
    <row r="22" spans="2:16">
      <c r="B22" s="36" t="s">
        <v>59</v>
      </c>
      <c r="C22" s="130">
        <v>125</v>
      </c>
      <c r="D22" s="130">
        <v>178</v>
      </c>
      <c r="E22" s="130">
        <v>148</v>
      </c>
      <c r="F22" s="130">
        <v>137</v>
      </c>
      <c r="G22" s="130">
        <v>175</v>
      </c>
      <c r="H22" s="130">
        <v>193</v>
      </c>
      <c r="J22" s="159" t="s">
        <v>60</v>
      </c>
      <c r="K22" s="160">
        <f t="shared" ref="K22:P22" si="3">K19+K21-K20</f>
        <v>1215.9</v>
      </c>
      <c r="L22" s="160">
        <f t="shared" si="3"/>
        <v>1051.7</v>
      </c>
      <c r="M22" s="160">
        <f t="shared" si="3"/>
        <v>791</v>
      </c>
      <c r="N22" s="160">
        <f t="shared" si="3"/>
        <v>556</v>
      </c>
      <c r="O22" s="160">
        <f t="shared" si="3"/>
        <v>442</v>
      </c>
      <c r="P22" s="161">
        <f t="shared" si="3"/>
        <v>0</v>
      </c>
    </row>
    <row r="23" spans="2:8">
      <c r="B23" s="28" t="s">
        <v>61</v>
      </c>
      <c r="C23" s="131">
        <v>11</v>
      </c>
      <c r="D23" s="131">
        <v>5</v>
      </c>
      <c r="E23" s="131">
        <v>11</v>
      </c>
      <c r="F23" s="131">
        <v>12</v>
      </c>
      <c r="G23" s="131">
        <v>15</v>
      </c>
      <c r="H23" s="131">
        <v>87</v>
      </c>
    </row>
    <row r="24" spans="2:16">
      <c r="B24" s="36" t="s">
        <v>62</v>
      </c>
      <c r="C24" s="130">
        <v>34</v>
      </c>
      <c r="D24" s="130">
        <v>28</v>
      </c>
      <c r="E24" s="130">
        <v>21</v>
      </c>
      <c r="F24" s="130">
        <v>13</v>
      </c>
      <c r="G24" s="130">
        <v>97</v>
      </c>
      <c r="H24" s="130">
        <v>238</v>
      </c>
      <c r="J24" t="s">
        <v>63</v>
      </c>
      <c r="K24" s="149">
        <f t="shared" ref="K24:P24" si="4">K20/K19</f>
        <v>0.0570884871550904</v>
      </c>
      <c r="L24" s="149">
        <f t="shared" si="4"/>
        <v>0.0550935550935551</v>
      </c>
      <c r="M24" s="149">
        <f t="shared" si="4"/>
        <v>0</v>
      </c>
      <c r="N24" s="149">
        <f t="shared" si="4"/>
        <v>0</v>
      </c>
      <c r="O24" s="149">
        <f t="shared" si="4"/>
        <v>0</v>
      </c>
      <c r="P24" s="149" t="e">
        <f t="shared" si="4"/>
        <v>#DIV/0!</v>
      </c>
    </row>
    <row r="25" spans="2:16">
      <c r="B25" s="28" t="s">
        <v>64</v>
      </c>
      <c r="C25" s="131">
        <v>37</v>
      </c>
      <c r="D25" s="131">
        <v>3</v>
      </c>
      <c r="E25" s="131">
        <v>3</v>
      </c>
      <c r="F25" s="131">
        <v>17</v>
      </c>
      <c r="G25" s="131">
        <v>38</v>
      </c>
      <c r="H25" s="131">
        <v>19</v>
      </c>
      <c r="J25" t="s">
        <v>65</v>
      </c>
      <c r="K25" s="149">
        <f t="shared" ref="K25:P25" si="5">K21/K19</f>
        <v>0.213986679352997</v>
      </c>
      <c r="L25" s="149">
        <f t="shared" si="5"/>
        <v>0.148336798336798</v>
      </c>
      <c r="M25" s="149">
        <f t="shared" si="5"/>
        <v>0</v>
      </c>
      <c r="N25" s="149">
        <f t="shared" si="5"/>
        <v>0</v>
      </c>
      <c r="O25" s="149">
        <f t="shared" si="5"/>
        <v>0</v>
      </c>
      <c r="P25" s="149" t="e">
        <f t="shared" si="5"/>
        <v>#DIV/0!</v>
      </c>
    </row>
    <row r="26" spans="2:8">
      <c r="B26" s="36" t="s">
        <v>40</v>
      </c>
      <c r="C26" s="130">
        <v>2</v>
      </c>
      <c r="D26" s="130">
        <v>2</v>
      </c>
      <c r="E26" s="130">
        <v>1</v>
      </c>
      <c r="F26" s="130">
        <v>2</v>
      </c>
      <c r="G26" s="130">
        <v>0</v>
      </c>
      <c r="H26" s="130">
        <v>1</v>
      </c>
    </row>
    <row r="27" spans="2:8">
      <c r="B27" s="48" t="s">
        <v>66</v>
      </c>
      <c r="C27" s="48">
        <f t="shared" ref="C27:H27" si="6">SUM(C21:C26)</f>
        <v>209</v>
      </c>
      <c r="D27" s="48">
        <f t="shared" si="6"/>
        <v>216</v>
      </c>
      <c r="E27" s="48">
        <f t="shared" si="6"/>
        <v>184</v>
      </c>
      <c r="F27" s="48">
        <f t="shared" si="6"/>
        <v>181</v>
      </c>
      <c r="G27" s="48">
        <f t="shared" si="6"/>
        <v>325</v>
      </c>
      <c r="H27" s="48">
        <f t="shared" si="6"/>
        <v>837</v>
      </c>
    </row>
    <row r="28" spans="2:8">
      <c r="B28" s="50"/>
      <c r="C28" s="50"/>
      <c r="D28" s="50"/>
      <c r="E28" s="50"/>
      <c r="F28" s="50"/>
      <c r="G28" s="50"/>
      <c r="H28" s="50"/>
    </row>
    <row r="29" spans="2:8">
      <c r="B29" s="28" t="s">
        <v>67</v>
      </c>
      <c r="C29" s="131">
        <v>9</v>
      </c>
      <c r="D29" s="131"/>
      <c r="E29" s="131">
        <v>0</v>
      </c>
      <c r="F29" s="131">
        <v>5</v>
      </c>
      <c r="G29" s="131"/>
      <c r="H29" s="131"/>
    </row>
    <row r="30" spans="2:8">
      <c r="B30" s="36" t="s">
        <v>68</v>
      </c>
      <c r="C30" s="130">
        <v>45</v>
      </c>
      <c r="D30" s="130">
        <v>14</v>
      </c>
      <c r="E30" s="130">
        <v>14</v>
      </c>
      <c r="F30" s="130"/>
      <c r="G30" s="130">
        <v>1</v>
      </c>
      <c r="H30" s="130">
        <v>9</v>
      </c>
    </row>
    <row r="31" spans="2:8">
      <c r="B31" s="48" t="s">
        <v>69</v>
      </c>
      <c r="C31" s="48">
        <f t="shared" ref="C31:H31" si="7">C29+C30</f>
        <v>54</v>
      </c>
      <c r="D31" s="48">
        <f t="shared" si="7"/>
        <v>14</v>
      </c>
      <c r="E31" s="48">
        <f t="shared" si="7"/>
        <v>14</v>
      </c>
      <c r="F31" s="48">
        <f t="shared" si="7"/>
        <v>5</v>
      </c>
      <c r="G31" s="48">
        <f t="shared" si="7"/>
        <v>1</v>
      </c>
      <c r="H31" s="48">
        <f t="shared" si="7"/>
        <v>9</v>
      </c>
    </row>
    <row r="32" spans="2:8">
      <c r="B32" s="66" t="s">
        <v>70</v>
      </c>
      <c r="C32" s="66">
        <f t="shared" ref="C32:H32" si="8">C31+C27</f>
        <v>263</v>
      </c>
      <c r="D32" s="66">
        <f t="shared" si="8"/>
        <v>230</v>
      </c>
      <c r="E32" s="66">
        <f t="shared" si="8"/>
        <v>198</v>
      </c>
      <c r="F32" s="66">
        <f t="shared" si="8"/>
        <v>186</v>
      </c>
      <c r="G32" s="66">
        <f t="shared" si="8"/>
        <v>326</v>
      </c>
      <c r="H32" s="66">
        <f t="shared" si="8"/>
        <v>846</v>
      </c>
    </row>
    <row r="33" spans="2:8">
      <c r="B33" s="50"/>
      <c r="C33" s="50"/>
      <c r="D33" s="50"/>
      <c r="E33" s="50"/>
      <c r="F33" s="50"/>
      <c r="G33" s="50"/>
      <c r="H33" s="50"/>
    </row>
    <row r="34" spans="2:8">
      <c r="B34" s="68" t="s">
        <v>71</v>
      </c>
      <c r="C34" s="68"/>
      <c r="D34" s="68"/>
      <c r="E34" s="68"/>
      <c r="F34" s="68"/>
      <c r="G34" s="68"/>
      <c r="H34" s="68"/>
    </row>
    <row r="35" spans="2:8">
      <c r="B35" s="36" t="s">
        <v>72</v>
      </c>
      <c r="C35" s="130">
        <v>1500</v>
      </c>
      <c r="D35" s="130">
        <v>1500</v>
      </c>
      <c r="E35" s="130">
        <v>1500</v>
      </c>
      <c r="F35" s="130">
        <v>1500</v>
      </c>
      <c r="G35" s="130">
        <v>1500</v>
      </c>
      <c r="H35" s="130">
        <v>1130</v>
      </c>
    </row>
    <row r="36" spans="2:8">
      <c r="B36" s="28" t="s">
        <v>73</v>
      </c>
      <c r="C36" s="131">
        <v>706</v>
      </c>
      <c r="D36" s="131">
        <v>706</v>
      </c>
      <c r="E36" s="131">
        <v>692</v>
      </c>
      <c r="F36" s="131">
        <v>692</v>
      </c>
      <c r="G36" s="131">
        <v>692</v>
      </c>
      <c r="H36" s="131"/>
    </row>
    <row r="37" spans="2:8">
      <c r="B37" s="36" t="s">
        <v>74</v>
      </c>
      <c r="C37" s="130">
        <v>750</v>
      </c>
      <c r="D37" s="130">
        <v>614</v>
      </c>
      <c r="E37" s="130">
        <v>511</v>
      </c>
      <c r="F37" s="130">
        <v>442</v>
      </c>
      <c r="G37" s="130">
        <v>432</v>
      </c>
      <c r="H37" s="130">
        <v>176</v>
      </c>
    </row>
    <row r="38" spans="2:8">
      <c r="B38" s="28" t="s">
        <v>75</v>
      </c>
      <c r="C38" s="131">
        <v>60</v>
      </c>
      <c r="D38" s="131">
        <v>62</v>
      </c>
      <c r="E38" s="131">
        <v>105</v>
      </c>
      <c r="F38" s="131"/>
      <c r="G38" s="131">
        <v>1</v>
      </c>
      <c r="H38" s="131">
        <v>2</v>
      </c>
    </row>
    <row r="39" spans="2:8">
      <c r="B39" s="72" t="s">
        <v>76</v>
      </c>
      <c r="C39" s="72">
        <f t="shared" ref="C39:H39" si="9">C35+C36+C37-C38</f>
        <v>2896</v>
      </c>
      <c r="D39" s="72">
        <f t="shared" si="9"/>
        <v>2758</v>
      </c>
      <c r="E39" s="72">
        <f t="shared" si="9"/>
        <v>2598</v>
      </c>
      <c r="F39" s="72">
        <f t="shared" si="9"/>
        <v>2634</v>
      </c>
      <c r="G39" s="72">
        <f>G35+G36+G37-G38</f>
        <v>2623</v>
      </c>
      <c r="H39" s="72">
        <f t="shared" si="9"/>
        <v>1304</v>
      </c>
    </row>
    <row r="40" spans="2:8">
      <c r="B40" t="s">
        <v>77</v>
      </c>
      <c r="C40">
        <f t="shared" ref="C40:H40" si="10">C39+C32</f>
        <v>3159</v>
      </c>
      <c r="D40">
        <f t="shared" si="10"/>
        <v>2988</v>
      </c>
      <c r="E40">
        <f t="shared" si="10"/>
        <v>2796</v>
      </c>
      <c r="F40">
        <f t="shared" si="10"/>
        <v>2820</v>
      </c>
      <c r="G40">
        <f t="shared" si="10"/>
        <v>2949</v>
      </c>
      <c r="H40">
        <f t="shared" si="10"/>
        <v>2150</v>
      </c>
    </row>
    <row r="42" spans="2:8">
      <c r="B42" t="s">
        <v>78</v>
      </c>
      <c r="C42" s="75">
        <f t="shared" ref="C42:H42" si="11">C40-C18</f>
        <v>0.654999999999745</v>
      </c>
      <c r="D42" s="75">
        <f t="shared" si="11"/>
        <v>0.755000000000109</v>
      </c>
      <c r="E42">
        <f t="shared" si="11"/>
        <v>1</v>
      </c>
      <c r="F42">
        <f t="shared" si="11"/>
        <v>0</v>
      </c>
      <c r="G42">
        <f t="shared" si="11"/>
        <v>-1</v>
      </c>
      <c r="H42">
        <f t="shared" si="11"/>
        <v>0</v>
      </c>
    </row>
  </sheetData>
  <mergeCells count="1">
    <mergeCell ref="C3:H3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43"/>
  <sheetViews>
    <sheetView zoomScale="85" zoomScaleNormal="85" workbookViewId="0">
      <selection activeCell="J26" sqref="J26"/>
    </sheetView>
  </sheetViews>
  <sheetFormatPr defaultColWidth="9.14285714285714" defaultRowHeight="15" outlineLevelCol="7"/>
  <cols>
    <col min="1" max="1" width="3.71428571428571" customWidth="1"/>
    <col min="2" max="2" width="40.7142857142857" customWidth="1"/>
    <col min="3" max="8" width="10.2857142857143"/>
  </cols>
  <sheetData>
    <row r="2" spans="2:8">
      <c r="B2" s="120" t="s">
        <v>0</v>
      </c>
      <c r="C2" s="2">
        <v>2017</v>
      </c>
      <c r="D2" s="2">
        <v>2016</v>
      </c>
      <c r="E2" s="2">
        <v>2015</v>
      </c>
      <c r="F2" s="2">
        <v>2014</v>
      </c>
      <c r="G2" s="2">
        <v>2013</v>
      </c>
      <c r="H2" s="3">
        <v>2012</v>
      </c>
    </row>
    <row r="3" spans="2:8">
      <c r="B3" s="4" t="s">
        <v>79</v>
      </c>
      <c r="C3" s="5"/>
      <c r="D3" s="5"/>
      <c r="E3" s="5"/>
      <c r="F3" s="5"/>
      <c r="G3" s="5"/>
      <c r="H3" s="5"/>
    </row>
    <row r="4" spans="2:8">
      <c r="B4" s="28" t="s">
        <v>80</v>
      </c>
      <c r="C4" s="121">
        <v>2526</v>
      </c>
      <c r="D4" s="121">
        <v>2474</v>
      </c>
      <c r="E4" s="121">
        <v>2220</v>
      </c>
      <c r="F4" s="121">
        <v>2227</v>
      </c>
      <c r="G4" s="121">
        <v>2290</v>
      </c>
      <c r="H4" s="121">
        <v>1780</v>
      </c>
    </row>
    <row r="5" spans="2:8">
      <c r="B5" s="36" t="s">
        <v>81</v>
      </c>
      <c r="C5" s="122">
        <v>-1272</v>
      </c>
      <c r="D5" s="122">
        <v>-1533.6</v>
      </c>
      <c r="E5" s="122">
        <v>-1466</v>
      </c>
      <c r="F5" s="122">
        <v>-1488</v>
      </c>
      <c r="G5" s="122">
        <v>-1607</v>
      </c>
      <c r="H5" s="122">
        <v>-1741</v>
      </c>
    </row>
    <row r="6" spans="2:8">
      <c r="B6" s="28" t="s">
        <v>82</v>
      </c>
      <c r="C6" s="121">
        <v>-187</v>
      </c>
      <c r="D6" s="121">
        <v>-227.8</v>
      </c>
      <c r="E6" s="121">
        <v>-253</v>
      </c>
      <c r="F6" s="121">
        <v>-228</v>
      </c>
      <c r="G6" s="121">
        <v>-165</v>
      </c>
      <c r="H6" s="121">
        <v>-126</v>
      </c>
    </row>
    <row r="7" spans="2:8">
      <c r="B7" s="36" t="s">
        <v>83</v>
      </c>
      <c r="C7" s="122">
        <v>-319</v>
      </c>
      <c r="D7" s="122">
        <v>-173.2</v>
      </c>
      <c r="E7" s="122">
        <v>-7</v>
      </c>
      <c r="F7" s="122">
        <v>-3</v>
      </c>
      <c r="G7" s="122" t="s">
        <v>32</v>
      </c>
      <c r="H7" s="122" t="s">
        <v>32</v>
      </c>
    </row>
    <row r="8" spans="2:8">
      <c r="B8" s="28" t="s">
        <v>84</v>
      </c>
      <c r="C8" s="121">
        <v>-147</v>
      </c>
      <c r="D8" s="121">
        <v>-135.6</v>
      </c>
      <c r="E8" s="121">
        <v>-135</v>
      </c>
      <c r="F8" s="121">
        <v>-241</v>
      </c>
      <c r="G8" s="121">
        <v>-562</v>
      </c>
      <c r="H8" s="121">
        <v>-2</v>
      </c>
    </row>
    <row r="9" spans="2:8">
      <c r="B9" s="36" t="s">
        <v>85</v>
      </c>
      <c r="C9" s="122" t="s">
        <v>32</v>
      </c>
      <c r="D9" s="122" t="s">
        <v>32</v>
      </c>
      <c r="E9" s="122" t="s">
        <v>32</v>
      </c>
      <c r="F9" s="122" t="s">
        <v>32</v>
      </c>
      <c r="G9" s="122">
        <v>1</v>
      </c>
      <c r="H9" s="122">
        <v>6</v>
      </c>
    </row>
    <row r="10" spans="2:8">
      <c r="B10" s="28" t="s">
        <v>86</v>
      </c>
      <c r="C10" s="121">
        <v>40</v>
      </c>
      <c r="D10" s="121">
        <v>59</v>
      </c>
      <c r="E10" s="121">
        <v>73</v>
      </c>
      <c r="F10" s="121">
        <v>102</v>
      </c>
      <c r="G10" s="121">
        <v>3</v>
      </c>
      <c r="H10" s="121">
        <v>6</v>
      </c>
    </row>
    <row r="11" spans="2:8">
      <c r="B11" s="36" t="s">
        <v>87</v>
      </c>
      <c r="C11" s="122">
        <v>-1</v>
      </c>
      <c r="D11" s="122">
        <v>0</v>
      </c>
      <c r="E11" s="122">
        <v>0</v>
      </c>
      <c r="F11" s="122">
        <v>-1</v>
      </c>
      <c r="G11" s="122">
        <v>-13</v>
      </c>
      <c r="H11" s="122">
        <v>-1</v>
      </c>
    </row>
    <row r="12" spans="2:8">
      <c r="B12" s="28" t="s">
        <v>88</v>
      </c>
      <c r="C12" s="121" t="s">
        <v>32</v>
      </c>
      <c r="D12" s="121" t="s">
        <v>32</v>
      </c>
      <c r="E12" s="121" t="s">
        <v>32</v>
      </c>
      <c r="F12" s="121" t="s">
        <v>32</v>
      </c>
      <c r="G12" s="121" t="s">
        <v>32</v>
      </c>
      <c r="H12" s="121">
        <v>61</v>
      </c>
    </row>
    <row r="13" spans="2:8">
      <c r="B13" s="22" t="s">
        <v>89</v>
      </c>
      <c r="C13" s="23">
        <f t="shared" ref="C13:H13" si="0">SUM(C4:C12)</f>
        <v>640</v>
      </c>
      <c r="D13" s="123">
        <f t="shared" si="0"/>
        <v>462.8</v>
      </c>
      <c r="E13" s="23">
        <f t="shared" si="0"/>
        <v>432</v>
      </c>
      <c r="F13" s="23">
        <f t="shared" si="0"/>
        <v>368</v>
      </c>
      <c r="G13" s="23">
        <f t="shared" si="0"/>
        <v>-53</v>
      </c>
      <c r="H13" s="23">
        <f t="shared" si="0"/>
        <v>-17</v>
      </c>
    </row>
    <row r="14" spans="2:8">
      <c r="B14" s="24"/>
      <c r="C14" s="25"/>
      <c r="D14" s="25"/>
      <c r="E14" s="25"/>
      <c r="F14" s="25"/>
      <c r="G14" s="25"/>
      <c r="H14" s="25"/>
    </row>
    <row r="15" spans="2:8">
      <c r="B15" s="26" t="s">
        <v>90</v>
      </c>
      <c r="C15" s="27"/>
      <c r="D15" s="27"/>
      <c r="E15" s="27"/>
      <c r="F15" s="27"/>
      <c r="G15" s="27"/>
      <c r="H15" s="27"/>
    </row>
    <row r="16" spans="2:8">
      <c r="B16" s="28" t="s">
        <v>91</v>
      </c>
      <c r="C16" s="121" t="s">
        <v>32</v>
      </c>
      <c r="D16" s="121">
        <v>-0.08</v>
      </c>
      <c r="E16" s="121">
        <v>-5</v>
      </c>
      <c r="F16" s="121">
        <v>125</v>
      </c>
      <c r="G16" s="121" t="s">
        <v>32</v>
      </c>
      <c r="H16" s="121" t="s">
        <v>32</v>
      </c>
    </row>
    <row r="17" spans="2:8">
      <c r="B17" s="36" t="s">
        <v>92</v>
      </c>
      <c r="C17" s="122">
        <v>-216</v>
      </c>
      <c r="D17" s="124">
        <v>-106.9</v>
      </c>
      <c r="E17" s="122">
        <v>-122</v>
      </c>
      <c r="F17" s="122">
        <v>-248</v>
      </c>
      <c r="G17" s="122">
        <v>-175</v>
      </c>
      <c r="H17" s="122">
        <v>-173</v>
      </c>
    </row>
    <row r="18" spans="2:8">
      <c r="B18" s="28" t="s">
        <v>93</v>
      </c>
      <c r="C18" s="121">
        <v>-11</v>
      </c>
      <c r="D18" s="121">
        <v>0.125</v>
      </c>
      <c r="E18" s="121"/>
      <c r="F18" s="121"/>
      <c r="G18" s="121"/>
      <c r="H18" s="121"/>
    </row>
    <row r="19" spans="2:8">
      <c r="B19" s="36" t="s">
        <v>94</v>
      </c>
      <c r="C19" s="122">
        <v>1</v>
      </c>
      <c r="D19" s="122"/>
      <c r="E19" s="122">
        <v>0</v>
      </c>
      <c r="F19" s="122">
        <v>0</v>
      </c>
      <c r="G19" s="122">
        <v>33</v>
      </c>
      <c r="H19" s="122">
        <v>2</v>
      </c>
    </row>
    <row r="20" spans="2:8">
      <c r="B20" s="28" t="s">
        <v>95</v>
      </c>
      <c r="C20" s="121">
        <v>-129</v>
      </c>
      <c r="D20" s="125">
        <v>-68.7</v>
      </c>
      <c r="E20" s="121">
        <v>-75</v>
      </c>
      <c r="F20" s="121">
        <v>-52</v>
      </c>
      <c r="G20" s="121">
        <v>-35</v>
      </c>
      <c r="H20" s="121">
        <v>-8</v>
      </c>
    </row>
    <row r="21" spans="2:8">
      <c r="B21" s="36" t="s">
        <v>96</v>
      </c>
      <c r="C21" s="122">
        <v>5</v>
      </c>
      <c r="D21" s="122">
        <v>185</v>
      </c>
      <c r="E21" s="122">
        <v>200</v>
      </c>
      <c r="F21" s="122">
        <v>-190</v>
      </c>
      <c r="G21" s="122">
        <v>-200</v>
      </c>
      <c r="H21" s="122" t="s">
        <v>32</v>
      </c>
    </row>
    <row r="22" spans="2:8">
      <c r="B22" s="28" t="s">
        <v>97</v>
      </c>
      <c r="C22" s="121" t="s">
        <v>32</v>
      </c>
      <c r="D22" s="121" t="s">
        <v>32</v>
      </c>
      <c r="E22" s="121" t="s">
        <v>32</v>
      </c>
      <c r="F22" s="121" t="s">
        <v>32</v>
      </c>
      <c r="G22" s="121">
        <v>-576</v>
      </c>
      <c r="H22" s="121" t="s">
        <v>32</v>
      </c>
    </row>
    <row r="23" spans="2:8">
      <c r="B23" s="36" t="s">
        <v>98</v>
      </c>
      <c r="C23" s="122" t="s">
        <v>32</v>
      </c>
      <c r="D23" s="122" t="s">
        <v>32</v>
      </c>
      <c r="E23" s="122" t="s">
        <v>32</v>
      </c>
      <c r="F23" s="122">
        <v>62</v>
      </c>
      <c r="G23" s="122">
        <v>658</v>
      </c>
      <c r="H23" s="122"/>
    </row>
    <row r="24" spans="2:8">
      <c r="B24" s="28" t="s">
        <v>99</v>
      </c>
      <c r="C24" s="121" t="s">
        <v>32</v>
      </c>
      <c r="D24" s="121" t="s">
        <v>32</v>
      </c>
      <c r="E24" s="121" t="s">
        <v>32</v>
      </c>
      <c r="F24" s="121">
        <v>-121</v>
      </c>
      <c r="G24" s="121"/>
      <c r="H24" s="121"/>
    </row>
    <row r="25" spans="2:8">
      <c r="B25" s="36" t="s">
        <v>100</v>
      </c>
      <c r="C25" s="122" t="s">
        <v>32</v>
      </c>
      <c r="D25" s="122" t="s">
        <v>32</v>
      </c>
      <c r="E25" s="122" t="s">
        <v>32</v>
      </c>
      <c r="F25" s="122" t="s">
        <v>32</v>
      </c>
      <c r="G25" s="122">
        <v>101</v>
      </c>
      <c r="H25" s="122"/>
    </row>
    <row r="26" spans="2:8">
      <c r="B26" s="30" t="s">
        <v>101</v>
      </c>
      <c r="C26" s="31">
        <f t="shared" ref="C26:H26" si="1">SUM(C16:C25)</f>
        <v>-350</v>
      </c>
      <c r="D26" s="31">
        <f t="shared" si="1"/>
        <v>9.44499999999999</v>
      </c>
      <c r="E26" s="31">
        <f t="shared" si="1"/>
        <v>-2</v>
      </c>
      <c r="F26" s="31">
        <f t="shared" si="1"/>
        <v>-424</v>
      </c>
      <c r="G26" s="31">
        <f t="shared" si="1"/>
        <v>-194</v>
      </c>
      <c r="H26" s="31">
        <f t="shared" si="1"/>
        <v>-179</v>
      </c>
    </row>
    <row r="27" spans="2:8">
      <c r="B27" s="32"/>
      <c r="C27" s="33"/>
      <c r="D27" s="33"/>
      <c r="E27" s="33"/>
      <c r="F27" s="33"/>
      <c r="G27" s="33"/>
      <c r="H27" s="33"/>
    </row>
    <row r="28" spans="2:8">
      <c r="B28" s="34" t="s">
        <v>102</v>
      </c>
      <c r="C28" s="35"/>
      <c r="D28" s="35"/>
      <c r="E28" s="35"/>
      <c r="F28" s="35"/>
      <c r="G28" s="35"/>
      <c r="H28" s="35"/>
    </row>
    <row r="29" spans="2:8">
      <c r="B29" s="36" t="s">
        <v>103</v>
      </c>
      <c r="C29" s="122" t="s">
        <v>32</v>
      </c>
      <c r="D29" s="122" t="s">
        <v>32</v>
      </c>
      <c r="E29" s="122" t="s">
        <v>32</v>
      </c>
      <c r="F29" s="122" t="s">
        <v>32</v>
      </c>
      <c r="G29" s="122" t="s">
        <v>32</v>
      </c>
      <c r="H29" s="122">
        <v>299</v>
      </c>
    </row>
    <row r="30" spans="2:8">
      <c r="B30" s="28" t="s">
        <v>104</v>
      </c>
      <c r="C30" s="121" t="s">
        <v>32</v>
      </c>
      <c r="D30" s="121" t="s">
        <v>32</v>
      </c>
      <c r="E30" s="121" t="s">
        <v>32</v>
      </c>
      <c r="F30" s="121">
        <v>-19</v>
      </c>
      <c r="G30" s="121">
        <v>-299</v>
      </c>
      <c r="H30" s="121">
        <v>-1</v>
      </c>
    </row>
    <row r="31" spans="2:8">
      <c r="B31" s="36" t="s">
        <v>105</v>
      </c>
      <c r="C31" s="122" t="s">
        <v>32</v>
      </c>
      <c r="D31" s="122" t="s">
        <v>32</v>
      </c>
      <c r="E31" s="122" t="s">
        <v>32</v>
      </c>
      <c r="F31" s="122" t="s">
        <v>32</v>
      </c>
      <c r="G31" s="122">
        <v>574</v>
      </c>
      <c r="H31" s="122"/>
    </row>
    <row r="32" spans="2:8">
      <c r="B32" s="28" t="s">
        <v>106</v>
      </c>
      <c r="C32" s="121" t="s">
        <v>32</v>
      </c>
      <c r="D32" s="121" t="s">
        <v>32</v>
      </c>
      <c r="E32" s="121" t="s">
        <v>32</v>
      </c>
      <c r="F32" s="121" t="s">
        <v>32</v>
      </c>
      <c r="G32" s="121">
        <v>-10</v>
      </c>
      <c r="H32" s="121">
        <v>-255</v>
      </c>
    </row>
    <row r="33" spans="2:8">
      <c r="B33" s="36" t="s">
        <v>107</v>
      </c>
      <c r="C33" s="122">
        <v>-386.9</v>
      </c>
      <c r="D33" s="122">
        <v>-368.5</v>
      </c>
      <c r="E33" s="122">
        <v>-360</v>
      </c>
      <c r="F33" s="122">
        <v>-405</v>
      </c>
      <c r="G33" s="122">
        <v>-150</v>
      </c>
      <c r="H33" s="122">
        <v>-651</v>
      </c>
    </row>
    <row r="34" spans="2:8">
      <c r="B34" s="28" t="s">
        <v>108</v>
      </c>
      <c r="C34" s="121" t="s">
        <v>32</v>
      </c>
      <c r="D34" s="121" t="s">
        <v>32</v>
      </c>
      <c r="E34" s="121" t="s">
        <v>32</v>
      </c>
      <c r="F34" s="121" t="s">
        <v>32</v>
      </c>
      <c r="G34" s="121">
        <v>220</v>
      </c>
      <c r="H34" s="121">
        <v>1094</v>
      </c>
    </row>
    <row r="35" spans="2:8">
      <c r="B35" s="36" t="s">
        <v>109</v>
      </c>
      <c r="C35" s="122" t="s">
        <v>32</v>
      </c>
      <c r="D35" s="122" t="s">
        <v>32</v>
      </c>
      <c r="E35" s="122" t="s">
        <v>32</v>
      </c>
      <c r="F35" s="122" t="s">
        <v>32</v>
      </c>
      <c r="G35" s="122">
        <v>870</v>
      </c>
      <c r="H35" s="122"/>
    </row>
    <row r="36" spans="2:8">
      <c r="B36" s="28" t="s">
        <v>110</v>
      </c>
      <c r="C36" s="121">
        <v>2.2</v>
      </c>
      <c r="D36" s="121">
        <v>84.8</v>
      </c>
      <c r="E36" s="121"/>
      <c r="F36" s="121"/>
      <c r="G36" s="121"/>
      <c r="H36" s="121"/>
    </row>
    <row r="37" spans="2:8">
      <c r="B37" s="36" t="s">
        <v>111</v>
      </c>
      <c r="C37" s="122"/>
      <c r="D37" s="122">
        <v>-28.4</v>
      </c>
      <c r="E37" s="122">
        <v>-100</v>
      </c>
      <c r="F37" s="122"/>
      <c r="G37" s="122"/>
      <c r="H37" s="122"/>
    </row>
    <row r="38" spans="2:8">
      <c r="B38" s="28" t="s">
        <v>112</v>
      </c>
      <c r="C38" s="121"/>
      <c r="D38" s="121"/>
      <c r="E38" s="121"/>
      <c r="F38" s="121">
        <v>-6</v>
      </c>
      <c r="G38" s="121">
        <v>-19</v>
      </c>
      <c r="H38" s="121"/>
    </row>
    <row r="39" spans="2:8">
      <c r="B39" s="22" t="s">
        <v>113</v>
      </c>
      <c r="C39" s="23">
        <f t="shared" ref="C39:H39" si="2">SUM(C29:C38)</f>
        <v>-384.7</v>
      </c>
      <c r="D39" s="23">
        <f t="shared" si="2"/>
        <v>-312.1</v>
      </c>
      <c r="E39" s="23">
        <f t="shared" si="2"/>
        <v>-460</v>
      </c>
      <c r="F39" s="23">
        <f t="shared" si="2"/>
        <v>-430</v>
      </c>
      <c r="G39" s="23">
        <f t="shared" si="2"/>
        <v>1186</v>
      </c>
      <c r="H39" s="23">
        <f t="shared" si="2"/>
        <v>486</v>
      </c>
    </row>
    <row r="40" spans="2:8">
      <c r="B40" s="24"/>
      <c r="C40" s="25"/>
      <c r="D40" s="25"/>
      <c r="E40" s="25"/>
      <c r="F40" s="25"/>
      <c r="G40" s="25"/>
      <c r="H40" s="25"/>
    </row>
    <row r="41" spans="2:8">
      <c r="B41" s="32" t="s">
        <v>114</v>
      </c>
      <c r="C41" s="33">
        <f>D43</f>
        <v>995.145</v>
      </c>
      <c r="D41" s="33">
        <f>E43</f>
        <v>835</v>
      </c>
      <c r="E41" s="33">
        <f>F43</f>
        <v>865</v>
      </c>
      <c r="F41" s="33">
        <f>G43</f>
        <v>1351</v>
      </c>
      <c r="G41" s="33">
        <f>H43</f>
        <v>412</v>
      </c>
      <c r="H41" s="126">
        <v>122</v>
      </c>
    </row>
    <row r="42" spans="2:8">
      <c r="B42" s="24" t="s">
        <v>115</v>
      </c>
      <c r="C42" s="25">
        <f t="shared" ref="C42:H42" si="3">C13+C26+C39</f>
        <v>-94.7</v>
      </c>
      <c r="D42" s="39">
        <f t="shared" si="3"/>
        <v>160.145</v>
      </c>
      <c r="E42" s="25">
        <f t="shared" si="3"/>
        <v>-30</v>
      </c>
      <c r="F42" s="25">
        <f t="shared" si="3"/>
        <v>-486</v>
      </c>
      <c r="G42" s="25">
        <f t="shared" si="3"/>
        <v>939</v>
      </c>
      <c r="H42" s="25">
        <f t="shared" si="3"/>
        <v>290</v>
      </c>
    </row>
    <row r="43" spans="2:8">
      <c r="B43" s="40" t="s">
        <v>116</v>
      </c>
      <c r="C43" s="41">
        <f t="shared" ref="C43:H43" si="4">C41+C42</f>
        <v>900.445</v>
      </c>
      <c r="D43" s="41">
        <f t="shared" si="4"/>
        <v>995.145</v>
      </c>
      <c r="E43" s="41">
        <f t="shared" si="4"/>
        <v>835</v>
      </c>
      <c r="F43" s="41">
        <f t="shared" si="4"/>
        <v>865</v>
      </c>
      <c r="G43" s="41">
        <f t="shared" si="4"/>
        <v>1351</v>
      </c>
      <c r="H43" s="41">
        <f t="shared" si="4"/>
        <v>412</v>
      </c>
    </row>
  </sheetData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18"/>
  <sheetViews>
    <sheetView zoomScale="85" zoomScaleNormal="85" workbookViewId="0">
      <selection activeCell="K5" sqref="K5:P5"/>
    </sheetView>
  </sheetViews>
  <sheetFormatPr defaultColWidth="9.14285714285714" defaultRowHeight="15"/>
  <cols>
    <col min="1" max="1" width="3.71428571428571" customWidth="1"/>
    <col min="2" max="2" width="23.7142857142857" customWidth="1"/>
    <col min="3" max="8" width="11.7619047619048" customWidth="1"/>
    <col min="9" max="9" width="3.71428571428571" customWidth="1"/>
    <col min="10" max="10" width="29.8571428571429" customWidth="1"/>
  </cols>
  <sheetData>
    <row r="2" spans="2:16">
      <c r="B2" s="1" t="s">
        <v>117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3">
        <v>2023</v>
      </c>
      <c r="J2" s="1" t="s">
        <v>118</v>
      </c>
      <c r="K2" s="2">
        <v>2018</v>
      </c>
      <c r="L2" s="2">
        <v>2019</v>
      </c>
      <c r="M2" s="2">
        <v>2020</v>
      </c>
      <c r="N2" s="2">
        <v>2021</v>
      </c>
      <c r="O2" s="2">
        <v>2022</v>
      </c>
      <c r="P2" s="3">
        <v>2023</v>
      </c>
    </row>
    <row r="3" spans="2:16">
      <c r="B3" s="105"/>
      <c r="C3" s="105"/>
      <c r="D3" s="105"/>
      <c r="E3" s="105"/>
      <c r="F3" s="105"/>
      <c r="G3" s="105"/>
      <c r="H3" s="105"/>
      <c r="J3" s="105"/>
      <c r="K3" s="105"/>
      <c r="L3" s="105"/>
      <c r="M3" s="105"/>
      <c r="N3" s="105"/>
      <c r="O3" s="105"/>
      <c r="P3" s="105"/>
    </row>
    <row r="4" spans="2:16">
      <c r="B4" s="28" t="s">
        <v>2</v>
      </c>
      <c r="C4" s="46">
        <f>(K4+1)*'Hist. IS'!C4</f>
        <v>2599.74</v>
      </c>
      <c r="D4" s="59">
        <f>C4*(L4+1)</f>
        <v>2625.7374</v>
      </c>
      <c r="E4" s="59">
        <f>D4*(M4+1)</f>
        <v>2651.994774</v>
      </c>
      <c r="F4" s="59">
        <f>E4*(N4+1)</f>
        <v>2678.51472174</v>
      </c>
      <c r="G4" s="59">
        <f>F4*(O4+1)</f>
        <v>2705.2998689574</v>
      </c>
      <c r="H4" s="59">
        <f>G4*(P4+1)</f>
        <v>2732.35286764698</v>
      </c>
      <c r="J4" s="58" t="s">
        <v>3</v>
      </c>
      <c r="K4" s="112">
        <v>0.01</v>
      </c>
      <c r="L4" s="112">
        <v>0.01</v>
      </c>
      <c r="M4" s="112">
        <v>0.01</v>
      </c>
      <c r="N4" s="112">
        <v>0.01</v>
      </c>
      <c r="O4" s="112">
        <v>0.01</v>
      </c>
      <c r="P4" s="113">
        <v>0.01</v>
      </c>
    </row>
    <row r="5" spans="2:16">
      <c r="B5" s="36" t="s">
        <v>4</v>
      </c>
      <c r="C5" s="47">
        <f t="shared" ref="C5:H5" si="0">C4*K5</f>
        <v>1400.1226</v>
      </c>
      <c r="D5" s="47">
        <f t="shared" si="0"/>
        <v>1387.866452</v>
      </c>
      <c r="E5" s="47">
        <f t="shared" si="0"/>
        <v>1375.22516878</v>
      </c>
      <c r="F5" s="47">
        <f t="shared" si="0"/>
        <v>1362.1922732504</v>
      </c>
      <c r="G5" s="47">
        <f t="shared" si="0"/>
        <v>1348.76119729333</v>
      </c>
      <c r="H5" s="47">
        <f t="shared" si="0"/>
        <v>1334.9252805898</v>
      </c>
      <c r="J5" s="50" t="s">
        <v>5</v>
      </c>
      <c r="K5" s="114">
        <f>'Hist. IS'!K5-1%</f>
        <v>0.538562548562549</v>
      </c>
      <c r="L5" s="115">
        <f>K5-1%</f>
        <v>0.528562548562549</v>
      </c>
      <c r="M5" s="115">
        <f>L5-1%</f>
        <v>0.518562548562549</v>
      </c>
      <c r="N5" s="115">
        <f>M5-1%</f>
        <v>0.508562548562549</v>
      </c>
      <c r="O5" s="115">
        <f>N5-1%</f>
        <v>0.498562548562549</v>
      </c>
      <c r="P5" s="115">
        <f>O5-1%</f>
        <v>0.488562548562549</v>
      </c>
    </row>
    <row r="6" spans="2:16">
      <c r="B6" s="68" t="s">
        <v>6</v>
      </c>
      <c r="C6" s="69">
        <f t="shared" ref="C6:H6" si="1">C4-C5</f>
        <v>1199.6174</v>
      </c>
      <c r="D6" s="69">
        <f t="shared" si="1"/>
        <v>1237.870948</v>
      </c>
      <c r="E6" s="69">
        <f t="shared" si="1"/>
        <v>1276.76960522</v>
      </c>
      <c r="F6" s="69">
        <f t="shared" si="1"/>
        <v>1316.3224484896</v>
      </c>
      <c r="G6" s="69">
        <f t="shared" si="1"/>
        <v>1356.53867166407</v>
      </c>
      <c r="H6" s="69">
        <f t="shared" si="1"/>
        <v>1397.42758705718</v>
      </c>
      <c r="J6" s="58" t="s">
        <v>7</v>
      </c>
      <c r="K6" s="112">
        <v>0.14</v>
      </c>
      <c r="L6" s="112">
        <v>0.14</v>
      </c>
      <c r="M6" s="112">
        <v>0.14</v>
      </c>
      <c r="N6" s="112">
        <v>0.14</v>
      </c>
      <c r="O6" s="112">
        <v>0.14</v>
      </c>
      <c r="P6" s="112">
        <v>0.14</v>
      </c>
    </row>
    <row r="7" spans="2:16">
      <c r="B7" s="50"/>
      <c r="C7" s="47"/>
      <c r="D7" s="47"/>
      <c r="E7" s="47"/>
      <c r="F7" s="47"/>
      <c r="G7" s="47"/>
      <c r="H7" s="47"/>
      <c r="J7" s="50" t="s">
        <v>8</v>
      </c>
      <c r="K7" s="116">
        <v>0.05</v>
      </c>
      <c r="L7" s="117">
        <f>K7+0.5%</f>
        <v>0.055</v>
      </c>
      <c r="M7" s="117">
        <f>L7+0.5%</f>
        <v>0.06</v>
      </c>
      <c r="N7" s="117">
        <f>M7+0.5%</f>
        <v>0.065</v>
      </c>
      <c r="O7" s="117">
        <f>N7+0.5%</f>
        <v>0.07</v>
      </c>
      <c r="P7" s="117">
        <f>O7+0.5%</f>
        <v>0.075</v>
      </c>
    </row>
    <row r="8" spans="2:16">
      <c r="B8" s="28" t="s">
        <v>9</v>
      </c>
      <c r="C8" s="106">
        <f t="shared" ref="C8:H8" si="2">C4*K6</f>
        <v>363.9636</v>
      </c>
      <c r="D8" s="106">
        <f t="shared" si="2"/>
        <v>367.603236</v>
      </c>
      <c r="E8" s="106">
        <f t="shared" si="2"/>
        <v>371.27926836</v>
      </c>
      <c r="F8" s="106">
        <f t="shared" si="2"/>
        <v>374.9920610436</v>
      </c>
      <c r="G8" s="106">
        <f t="shared" si="2"/>
        <v>378.741981654036</v>
      </c>
      <c r="H8" s="107">
        <f t="shared" si="2"/>
        <v>382.529401470577</v>
      </c>
      <c r="J8" s="58" t="s">
        <v>10</v>
      </c>
      <c r="K8" s="112">
        <v>0.02</v>
      </c>
      <c r="L8" s="112">
        <v>0.02</v>
      </c>
      <c r="M8" s="112">
        <v>0.02</v>
      </c>
      <c r="N8" s="112">
        <v>0.02</v>
      </c>
      <c r="O8" s="112">
        <v>0.02</v>
      </c>
      <c r="P8" s="112">
        <v>0.02</v>
      </c>
    </row>
    <row r="9" ht="15.75" spans="2:16">
      <c r="B9" s="44" t="s">
        <v>11</v>
      </c>
      <c r="C9" s="108">
        <f t="shared" ref="C9:H9" si="3">C4*K7</f>
        <v>129.987</v>
      </c>
      <c r="D9" s="108">
        <f t="shared" si="3"/>
        <v>144.415557</v>
      </c>
      <c r="E9" s="108">
        <f t="shared" si="3"/>
        <v>159.11968644</v>
      </c>
      <c r="F9" s="108">
        <f t="shared" si="3"/>
        <v>174.1034569131</v>
      </c>
      <c r="G9" s="108">
        <f t="shared" si="3"/>
        <v>189.370990827018</v>
      </c>
      <c r="H9" s="109">
        <f t="shared" si="3"/>
        <v>204.926465073523</v>
      </c>
      <c r="J9" s="118" t="s">
        <v>12</v>
      </c>
      <c r="K9" s="119">
        <v>0.17</v>
      </c>
      <c r="L9" s="119">
        <v>0.17</v>
      </c>
      <c r="M9" s="119">
        <v>0.17</v>
      </c>
      <c r="N9" s="119">
        <v>0.17</v>
      </c>
      <c r="O9" s="119">
        <v>0.17</v>
      </c>
      <c r="P9" s="119">
        <v>0.17</v>
      </c>
    </row>
    <row r="10" spans="2:16">
      <c r="B10" s="68" t="s">
        <v>13</v>
      </c>
      <c r="C10" s="69">
        <f>C6-C8-C9</f>
        <v>705.666799999999</v>
      </c>
      <c r="D10" s="69">
        <f t="shared" ref="C10:H10" si="4">D6-D8-D9</f>
        <v>725.852154999999</v>
      </c>
      <c r="E10" s="69">
        <f t="shared" si="4"/>
        <v>746.370650419999</v>
      </c>
      <c r="F10" s="69">
        <f t="shared" si="4"/>
        <v>767.226930532899</v>
      </c>
      <c r="G10" s="69">
        <f t="shared" si="4"/>
        <v>788.425699183015</v>
      </c>
      <c r="H10" s="69">
        <f t="shared" si="4"/>
        <v>809.97172051308</v>
      </c>
      <c r="J10" t="s">
        <v>119</v>
      </c>
      <c r="K10" s="84">
        <v>0.7</v>
      </c>
      <c r="L10" s="84">
        <v>0.7</v>
      </c>
      <c r="M10" s="84">
        <v>0.7</v>
      </c>
      <c r="N10" s="84">
        <v>0.7</v>
      </c>
      <c r="O10" s="84">
        <v>0.7</v>
      </c>
      <c r="P10" s="84">
        <v>0.7</v>
      </c>
    </row>
    <row r="11" spans="2:8">
      <c r="B11" s="58"/>
      <c r="C11" s="59"/>
      <c r="D11" s="59"/>
      <c r="E11" s="59"/>
      <c r="F11" s="59"/>
      <c r="G11" s="59"/>
      <c r="H11" s="59"/>
    </row>
    <row r="12" spans="2:8">
      <c r="B12" s="36" t="s">
        <v>17</v>
      </c>
      <c r="C12" s="47">
        <f t="shared" ref="C12:H12" si="5">C4*K8</f>
        <v>51.9948</v>
      </c>
      <c r="D12" s="47">
        <f t="shared" si="5"/>
        <v>52.514748</v>
      </c>
      <c r="E12" s="47">
        <f t="shared" si="5"/>
        <v>53.03989548</v>
      </c>
      <c r="F12" s="47">
        <f t="shared" si="5"/>
        <v>53.5702944348</v>
      </c>
      <c r="G12" s="47">
        <f t="shared" si="5"/>
        <v>54.105997379148</v>
      </c>
      <c r="H12" s="47">
        <f t="shared" si="5"/>
        <v>54.6470573529395</v>
      </c>
    </row>
    <row r="13" spans="2:8">
      <c r="B13" s="68" t="s">
        <v>18</v>
      </c>
      <c r="C13" s="69">
        <f>C10-C12</f>
        <v>653.671999999999</v>
      </c>
      <c r="D13" s="69">
        <f t="shared" ref="C13:H13" si="6">D10-D12</f>
        <v>673.337406999999</v>
      </c>
      <c r="E13" s="69">
        <f t="shared" si="6"/>
        <v>693.330754939999</v>
      </c>
      <c r="F13" s="69">
        <f t="shared" si="6"/>
        <v>713.656636098099</v>
      </c>
      <c r="G13" s="69">
        <f t="shared" si="6"/>
        <v>734.319701803867</v>
      </c>
      <c r="H13" s="69">
        <f t="shared" si="6"/>
        <v>755.324663160141</v>
      </c>
    </row>
    <row r="14" spans="2:8">
      <c r="B14" s="50"/>
      <c r="C14" s="47"/>
      <c r="D14" s="47"/>
      <c r="E14" s="47"/>
      <c r="F14" s="47"/>
      <c r="G14" s="47"/>
      <c r="H14" s="47"/>
    </row>
    <row r="15" spans="2:8">
      <c r="B15" s="28" t="s">
        <v>19</v>
      </c>
      <c r="C15" s="59">
        <f t="shared" ref="C15:H15" si="7">C13*K9</f>
        <v>111.12424</v>
      </c>
      <c r="D15" s="59">
        <f t="shared" si="7"/>
        <v>114.46735919</v>
      </c>
      <c r="E15" s="59">
        <f t="shared" si="7"/>
        <v>117.8662283398</v>
      </c>
      <c r="F15" s="59">
        <f t="shared" si="7"/>
        <v>121.321628136677</v>
      </c>
      <c r="G15" s="59">
        <f t="shared" si="7"/>
        <v>124.834349306657</v>
      </c>
      <c r="H15" s="59">
        <f t="shared" si="7"/>
        <v>128.405192737224</v>
      </c>
    </row>
    <row r="16" spans="2:8">
      <c r="B16" s="110" t="s">
        <v>20</v>
      </c>
      <c r="C16" s="111">
        <f>C13-C15</f>
        <v>542.547759999999</v>
      </c>
      <c r="D16" s="111">
        <f t="shared" ref="C16:H16" si="8">D13-D15</f>
        <v>558.870047809999</v>
      </c>
      <c r="E16" s="111">
        <f t="shared" si="8"/>
        <v>575.464526600199</v>
      </c>
      <c r="F16" s="111">
        <f t="shared" si="8"/>
        <v>592.335007961422</v>
      </c>
      <c r="G16" s="111">
        <f t="shared" si="8"/>
        <v>609.48535249721</v>
      </c>
      <c r="H16" s="111">
        <f t="shared" si="8"/>
        <v>626.919470422917</v>
      </c>
    </row>
    <row r="17" spans="2:8">
      <c r="B17" t="s">
        <v>14</v>
      </c>
      <c r="C17" s="76">
        <f t="shared" ref="C17:H17" si="9">K10*C16</f>
        <v>379.783431999999</v>
      </c>
      <c r="D17" s="76">
        <f t="shared" si="9"/>
        <v>391.209033466999</v>
      </c>
      <c r="E17" s="76">
        <f t="shared" si="9"/>
        <v>402.825168620139</v>
      </c>
      <c r="F17" s="76">
        <f t="shared" si="9"/>
        <v>414.634505572996</v>
      </c>
      <c r="G17" s="76">
        <f t="shared" si="9"/>
        <v>426.639746748047</v>
      </c>
      <c r="H17" s="76">
        <f t="shared" si="9"/>
        <v>438.843629296042</v>
      </c>
    </row>
    <row r="18" spans="2:8">
      <c r="B18" t="s">
        <v>120</v>
      </c>
      <c r="C18" s="76">
        <f t="shared" ref="C18:H18" si="10">C16-C17</f>
        <v>162.764328</v>
      </c>
      <c r="D18" s="76">
        <f t="shared" si="10"/>
        <v>167.661014343</v>
      </c>
      <c r="E18" s="76">
        <f t="shared" si="10"/>
        <v>172.63935798006</v>
      </c>
      <c r="F18" s="76">
        <f t="shared" si="10"/>
        <v>177.700502388427</v>
      </c>
      <c r="G18" s="76">
        <f t="shared" si="10"/>
        <v>182.845605749163</v>
      </c>
      <c r="H18" s="76">
        <f t="shared" si="10"/>
        <v>188.075841126875</v>
      </c>
    </row>
  </sheetData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U36"/>
  <sheetViews>
    <sheetView tabSelected="1" zoomScale="85" zoomScaleNormal="85" topLeftCell="A10" workbookViewId="0">
      <selection activeCell="C36" sqref="C36:H36"/>
    </sheetView>
  </sheetViews>
  <sheetFormatPr defaultColWidth="9.14285714285714" defaultRowHeight="15"/>
  <cols>
    <col min="1" max="1" width="3.71428571428571" customWidth="1"/>
    <col min="2" max="2" width="25.2857142857143" customWidth="1"/>
    <col min="3" max="3" width="14"/>
    <col min="4" max="7" width="12.8571428571429"/>
    <col min="8" max="8" width="14"/>
    <col min="9" max="9" width="3.71428571428571" customWidth="1"/>
    <col min="10" max="10" width="35" customWidth="1"/>
    <col min="11" max="16" width="9.85714285714286" customWidth="1"/>
  </cols>
  <sheetData>
    <row r="2" spans="2:16">
      <c r="B2" s="1" t="s">
        <v>117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3">
        <v>2023</v>
      </c>
      <c r="J2" s="1" t="s">
        <v>121</v>
      </c>
      <c r="K2" s="2">
        <v>2018</v>
      </c>
      <c r="L2" s="2">
        <v>2019</v>
      </c>
      <c r="M2" s="2">
        <v>2020</v>
      </c>
      <c r="N2" s="2">
        <v>2021</v>
      </c>
      <c r="O2" s="2">
        <v>2022</v>
      </c>
      <c r="P2" s="3">
        <v>2023</v>
      </c>
    </row>
    <row r="3" spans="2:16">
      <c r="B3" s="42" t="s">
        <v>27</v>
      </c>
      <c r="C3" s="43"/>
      <c r="D3" s="43"/>
      <c r="E3" s="43"/>
      <c r="F3" s="43"/>
      <c r="G3" s="43"/>
      <c r="H3" s="43"/>
      <c r="J3" s="77" t="s">
        <v>28</v>
      </c>
      <c r="K3" s="78">
        <v>52.0578376689919</v>
      </c>
      <c r="L3" s="78">
        <v>52.0578376689919</v>
      </c>
      <c r="M3" s="78">
        <v>52.0578376689919</v>
      </c>
      <c r="N3" s="78">
        <v>52.0578376689919</v>
      </c>
      <c r="O3" s="78">
        <v>52.0578376689919</v>
      </c>
      <c r="P3" s="78">
        <v>52.0578376689919</v>
      </c>
    </row>
    <row r="4" spans="2:16">
      <c r="B4" s="44" t="s">
        <v>122</v>
      </c>
      <c r="C4" s="45">
        <f>'CF Pro'!C26</f>
        <v>1012.94417200736</v>
      </c>
      <c r="D4" s="45">
        <f>'CF Pro'!D26</f>
        <v>1059.06884622187</v>
      </c>
      <c r="E4" s="45">
        <f>'CF Pro'!E26</f>
        <v>1117.34021838648</v>
      </c>
      <c r="F4" s="45">
        <f>'CF Pro'!F26</f>
        <v>1187.41143611676</v>
      </c>
      <c r="G4" s="45">
        <f>'CF Pro'!G26</f>
        <v>1268.96260574336</v>
      </c>
      <c r="H4" s="45">
        <f>'CF Pro'!H26</f>
        <v>1361.69925954561</v>
      </c>
      <c r="J4" s="28" t="s">
        <v>30</v>
      </c>
      <c r="K4" s="51">
        <v>69.5007175891418</v>
      </c>
      <c r="L4" s="51">
        <v>69.5007175891418</v>
      </c>
      <c r="M4" s="51">
        <v>69.5007175891418</v>
      </c>
      <c r="N4" s="51">
        <v>69.5007175891418</v>
      </c>
      <c r="O4" s="51">
        <v>69.5007175891418</v>
      </c>
      <c r="P4" s="51">
        <v>69.5007175891418</v>
      </c>
    </row>
    <row r="5" spans="2:16">
      <c r="B5" s="28" t="s">
        <v>123</v>
      </c>
      <c r="C5" s="46">
        <f>(K3*'IS Pro'!C4)/365</f>
        <v>370.785870963247</v>
      </c>
      <c r="D5" s="46">
        <f>(L3*'IS Pro'!D4)/365</f>
        <v>374.493729672879</v>
      </c>
      <c r="E5" s="46">
        <f>(M3*'IS Pro'!E4)/365</f>
        <v>378.238666969608</v>
      </c>
      <c r="F5" s="46">
        <f>(N3*'IS Pro'!F4)/365</f>
        <v>382.021053639304</v>
      </c>
      <c r="G5" s="46">
        <f>(O3*'IS Pro'!G4)/365</f>
        <v>385.841264175697</v>
      </c>
      <c r="H5" s="46">
        <f>(P3*'IS Pro'!H4)/365</f>
        <v>389.699676817454</v>
      </c>
      <c r="J5" s="36" t="s">
        <v>33</v>
      </c>
      <c r="K5" s="52">
        <v>41.3122822080337</v>
      </c>
      <c r="L5" s="52">
        <v>41.3122822080337</v>
      </c>
      <c r="M5" s="52">
        <v>41.3122822080337</v>
      </c>
      <c r="N5" s="52">
        <v>41.3122822080337</v>
      </c>
      <c r="O5" s="52">
        <v>41.3122822080337</v>
      </c>
      <c r="P5" s="52">
        <v>41.3122822080337</v>
      </c>
    </row>
    <row r="6" spans="2:16">
      <c r="B6" s="36" t="s">
        <v>124</v>
      </c>
      <c r="C6" s="47">
        <f>(K6*'IS Pro'!C4)/365</f>
        <v>7.12257534246575</v>
      </c>
      <c r="D6" s="47">
        <f>(L6*'IS Pro'!D4)/365</f>
        <v>7.19380109589041</v>
      </c>
      <c r="E6" s="47">
        <f>(M6*'IS Pro'!E4)/365</f>
        <v>7.26573910684932</v>
      </c>
      <c r="F6" s="47">
        <f>(N6*'IS Pro'!F4)/365</f>
        <v>7.33839649791781</v>
      </c>
      <c r="G6" s="47">
        <f>(O6*'IS Pro'!G4)/365</f>
        <v>7.41178046289699</v>
      </c>
      <c r="H6" s="47">
        <f>(P6*'IS Pro'!H4)/365</f>
        <v>7.48589826752596</v>
      </c>
      <c r="J6" s="79" t="s">
        <v>37</v>
      </c>
      <c r="K6" s="80">
        <v>1</v>
      </c>
      <c r="L6" s="80">
        <v>1</v>
      </c>
      <c r="M6" s="80">
        <v>1</v>
      </c>
      <c r="N6" s="80">
        <v>1</v>
      </c>
      <c r="O6" s="80">
        <v>1</v>
      </c>
      <c r="P6" s="80">
        <v>1</v>
      </c>
    </row>
    <row r="7" spans="2:16">
      <c r="B7" s="28" t="s">
        <v>125</v>
      </c>
      <c r="C7" s="46">
        <f>ABS(K4*'IS Pro'!C5)/365</f>
        <v>266.601439487055</v>
      </c>
      <c r="D7" s="46">
        <f>ABS(L4*'IS Pro'!D5)/365</f>
        <v>264.267710498346</v>
      </c>
      <c r="E7" s="46">
        <f>ABS(M4*'IS Pro'!E5)/365</f>
        <v>261.860646785914</v>
      </c>
      <c r="F7" s="46">
        <f>ABS(N4*'IS Pro'!F5)/365</f>
        <v>259.379015028184</v>
      </c>
      <c r="G7" s="46">
        <f>ABS(O4*'IS Pro'!G5)/365</f>
        <v>256.821564570621</v>
      </c>
      <c r="H7" s="46">
        <f>ABS(P4*'IS Pro'!H5)/365</f>
        <v>254.187027202403</v>
      </c>
      <c r="J7" s="81" t="s">
        <v>39</v>
      </c>
      <c r="K7" s="82">
        <v>2</v>
      </c>
      <c r="L7" s="82">
        <v>2</v>
      </c>
      <c r="M7" s="82">
        <v>2</v>
      </c>
      <c r="N7" s="82">
        <v>2</v>
      </c>
      <c r="O7" s="82">
        <v>2</v>
      </c>
      <c r="P7" s="82">
        <v>2</v>
      </c>
    </row>
    <row r="8" spans="2:16">
      <c r="B8" s="36" t="s">
        <v>40</v>
      </c>
      <c r="C8" s="45">
        <f>K8*'IS Pro'!C5</f>
        <v>42.003678</v>
      </c>
      <c r="D8" s="45">
        <f>L8*'IS Pro'!D5</f>
        <v>41.63599356</v>
      </c>
      <c r="E8" s="45">
        <f>M8*'IS Pro'!E5</f>
        <v>41.2567550634</v>
      </c>
      <c r="F8" s="45">
        <f>N8*'IS Pro'!F5</f>
        <v>40.865768197512</v>
      </c>
      <c r="G8" s="45">
        <f>O8*'IS Pro'!G5</f>
        <v>40.4628359187999</v>
      </c>
      <c r="H8" s="45">
        <f>P8*'IS Pro'!H5</f>
        <v>40.0477584176939</v>
      </c>
      <c r="J8" s="83" t="s">
        <v>43</v>
      </c>
      <c r="K8" s="84">
        <v>0.03</v>
      </c>
      <c r="L8" s="84">
        <v>0.03</v>
      </c>
      <c r="M8" s="84">
        <v>0.03</v>
      </c>
      <c r="N8" s="84">
        <v>0.03</v>
      </c>
      <c r="O8" s="84">
        <v>0.03</v>
      </c>
      <c r="P8" s="84">
        <v>0.03</v>
      </c>
    </row>
    <row r="9" spans="2:16">
      <c r="B9" s="48" t="s">
        <v>126</v>
      </c>
      <c r="C9" s="49">
        <f>SUM(C4:C8)</f>
        <v>1699.45773580013</v>
      </c>
      <c r="D9" s="49">
        <f>SUM(D4:D8)</f>
        <v>1746.66008104899</v>
      </c>
      <c r="E9" s="49">
        <f>SUM(E4:E8)</f>
        <v>1805.96202631225</v>
      </c>
      <c r="F9" s="49">
        <f>SUM(F4:F8)</f>
        <v>1877.01566947967</v>
      </c>
      <c r="G9" s="49">
        <f>SUM(G4:G8)</f>
        <v>1959.50005087137</v>
      </c>
      <c r="H9" s="49">
        <f>SUM(H4:H8)</f>
        <v>2053.11962025068</v>
      </c>
      <c r="J9" s="85" t="s">
        <v>46</v>
      </c>
      <c r="K9" s="86">
        <v>0.03</v>
      </c>
      <c r="L9" s="86">
        <v>0.03</v>
      </c>
      <c r="M9" s="86">
        <v>0.03</v>
      </c>
      <c r="N9" s="86">
        <v>0.03</v>
      </c>
      <c r="O9" s="86">
        <v>0.03</v>
      </c>
      <c r="P9" s="86">
        <v>0.03</v>
      </c>
    </row>
    <row r="10" spans="2:16">
      <c r="B10" s="50"/>
      <c r="C10" s="47"/>
      <c r="D10" s="47"/>
      <c r="E10" s="47"/>
      <c r="F10" s="47"/>
      <c r="G10" s="47"/>
      <c r="H10" s="47"/>
      <c r="J10" s="79" t="s">
        <v>48</v>
      </c>
      <c r="K10" s="84">
        <v>0.04</v>
      </c>
      <c r="L10" s="84">
        <v>0.04</v>
      </c>
      <c r="M10" s="84">
        <v>0.04</v>
      </c>
      <c r="N10" s="84">
        <v>0.04</v>
      </c>
      <c r="O10" s="84">
        <v>0.04</v>
      </c>
      <c r="P10" s="84">
        <v>0.04</v>
      </c>
    </row>
    <row r="11" spans="2:16">
      <c r="B11" s="28" t="s">
        <v>127</v>
      </c>
      <c r="C11" s="51">
        <f t="shared" ref="C11:H11" si="0">K16</f>
        <v>1342.946</v>
      </c>
      <c r="D11" s="51">
        <f t="shared" si="0"/>
        <v>1462.36924</v>
      </c>
      <c r="E11" s="51">
        <f t="shared" si="0"/>
        <v>1574.6270856</v>
      </c>
      <c r="F11" s="51">
        <f t="shared" si="0"/>
        <v>1680.149460464</v>
      </c>
      <c r="G11" s="51">
        <f t="shared" si="0"/>
        <v>1779.34049283616</v>
      </c>
      <c r="H11" s="51">
        <f t="shared" si="0"/>
        <v>1872.58006326599</v>
      </c>
      <c r="J11" s="87"/>
      <c r="K11" s="87"/>
      <c r="L11" s="87"/>
      <c r="M11" s="87"/>
      <c r="N11" s="87"/>
      <c r="O11" s="87"/>
      <c r="P11" s="87"/>
    </row>
    <row r="12" spans="2:16">
      <c r="B12" s="36" t="s">
        <v>49</v>
      </c>
      <c r="C12" s="52">
        <v>91</v>
      </c>
      <c r="D12" s="52">
        <v>91</v>
      </c>
      <c r="E12" s="52">
        <v>91</v>
      </c>
      <c r="F12" s="52">
        <v>91</v>
      </c>
      <c r="G12" s="52">
        <v>91</v>
      </c>
      <c r="H12" s="52">
        <v>91</v>
      </c>
      <c r="J12" s="88" t="s">
        <v>53</v>
      </c>
      <c r="K12" s="89">
        <v>2018</v>
      </c>
      <c r="L12" s="89">
        <v>2019</v>
      </c>
      <c r="M12" s="89">
        <v>2020</v>
      </c>
      <c r="N12" s="89">
        <v>2021</v>
      </c>
      <c r="O12" s="89">
        <v>2022</v>
      </c>
      <c r="P12" s="90">
        <v>2023</v>
      </c>
    </row>
    <row r="13" spans="2:16">
      <c r="B13" s="28" t="s">
        <v>40</v>
      </c>
      <c r="C13" s="53">
        <f>K9*'IS Pro'!C5</f>
        <v>42.003678</v>
      </c>
      <c r="D13" s="53">
        <f>L9*'IS Pro'!D5</f>
        <v>41.63599356</v>
      </c>
      <c r="E13" s="53">
        <f>M9*'IS Pro'!E5</f>
        <v>41.2567550634</v>
      </c>
      <c r="F13" s="53">
        <f>N9*'IS Pro'!F5</f>
        <v>40.865768197512</v>
      </c>
      <c r="G13" s="53">
        <f>O9*'IS Pro'!G5</f>
        <v>40.4628359187999</v>
      </c>
      <c r="H13" s="53">
        <f>P9*'IS Pro'!H5</f>
        <v>40.0477584176939</v>
      </c>
      <c r="J13" s="91" t="s">
        <v>54</v>
      </c>
      <c r="K13" s="92">
        <v>1215.9</v>
      </c>
      <c r="L13" s="93">
        <f>K16</f>
        <v>1342.946</v>
      </c>
      <c r="M13" s="93">
        <f>L16</f>
        <v>1462.36924</v>
      </c>
      <c r="N13" s="93">
        <f>M16</f>
        <v>1574.6270856</v>
      </c>
      <c r="O13" s="93">
        <f>N16</f>
        <v>1680.149460464</v>
      </c>
      <c r="P13" s="94">
        <f>O16</f>
        <v>1779.34049283616</v>
      </c>
    </row>
    <row r="14" spans="2:16">
      <c r="B14" s="54" t="s">
        <v>128</v>
      </c>
      <c r="C14" s="55">
        <f>SUM(C11:C13)</f>
        <v>1475.949678</v>
      </c>
      <c r="D14" s="55">
        <f>SUM(D11:D13)</f>
        <v>1595.00523356</v>
      </c>
      <c r="E14" s="55">
        <f>SUM(E11:E13)</f>
        <v>1706.8838406634</v>
      </c>
      <c r="F14" s="55">
        <f>SUM(F11:F13)</f>
        <v>1812.01522866151</v>
      </c>
      <c r="G14" s="55">
        <f>SUM(G11:G13)</f>
        <v>1910.80332875496</v>
      </c>
      <c r="H14" s="55">
        <f>SUM(H11:H13)</f>
        <v>2003.62782168368</v>
      </c>
      <c r="J14" s="95" t="s">
        <v>56</v>
      </c>
      <c r="K14" s="96">
        <f>K18*K13</f>
        <v>-72.954</v>
      </c>
      <c r="L14" s="96">
        <f t="shared" ref="K14:P14" si="1">L18*L13</f>
        <v>-80.57676</v>
      </c>
      <c r="M14" s="96">
        <f t="shared" si="1"/>
        <v>-87.7421544</v>
      </c>
      <c r="N14" s="96">
        <f t="shared" si="1"/>
        <v>-94.477625136</v>
      </c>
      <c r="O14" s="96">
        <f t="shared" si="1"/>
        <v>-100.80896762784</v>
      </c>
      <c r="P14" s="97">
        <f t="shared" si="1"/>
        <v>-106.76042957017</v>
      </c>
    </row>
    <row r="15" spans="2:16">
      <c r="B15" s="56" t="s">
        <v>52</v>
      </c>
      <c r="C15" s="57">
        <f>C14+C9</f>
        <v>3175.40741380013</v>
      </c>
      <c r="D15" s="57">
        <f t="shared" ref="C15:H15" si="2">D14+D9</f>
        <v>3341.66531460899</v>
      </c>
      <c r="E15" s="57">
        <f t="shared" si="2"/>
        <v>3512.84586697565</v>
      </c>
      <c r="F15" s="57">
        <f t="shared" si="2"/>
        <v>3689.03089814119</v>
      </c>
      <c r="G15" s="57">
        <f t="shared" si="2"/>
        <v>3870.30337962633</v>
      </c>
      <c r="H15" s="57">
        <f t="shared" si="2"/>
        <v>4056.74744193437</v>
      </c>
      <c r="J15" s="98" t="s">
        <v>58</v>
      </c>
      <c r="K15" s="99">
        <v>200</v>
      </c>
      <c r="L15" s="99">
        <v>200</v>
      </c>
      <c r="M15" s="99">
        <v>200</v>
      </c>
      <c r="N15" s="99">
        <v>200</v>
      </c>
      <c r="O15" s="99">
        <v>200</v>
      </c>
      <c r="P15" s="100">
        <v>200</v>
      </c>
    </row>
    <row r="16" spans="2:16">
      <c r="B16" s="58"/>
      <c r="C16" s="59"/>
      <c r="D16" s="59"/>
      <c r="E16" s="59"/>
      <c r="F16" s="59"/>
      <c r="G16" s="59"/>
      <c r="H16" s="59"/>
      <c r="J16" s="101" t="s">
        <v>60</v>
      </c>
      <c r="K16" s="102">
        <f t="shared" ref="K16:P16" si="3">SUM(K13:K15)</f>
        <v>1342.946</v>
      </c>
      <c r="L16" s="102">
        <f t="shared" si="3"/>
        <v>1462.36924</v>
      </c>
      <c r="M16" s="102">
        <f t="shared" si="3"/>
        <v>1574.6270856</v>
      </c>
      <c r="N16" s="102">
        <f t="shared" si="3"/>
        <v>1680.149460464</v>
      </c>
      <c r="O16" s="102">
        <f t="shared" si="3"/>
        <v>1779.34049283616</v>
      </c>
      <c r="P16" s="103">
        <f t="shared" si="3"/>
        <v>1872.58006326599</v>
      </c>
    </row>
    <row r="17" spans="2:21">
      <c r="B17" s="60" t="s">
        <v>129</v>
      </c>
      <c r="C17" s="61"/>
      <c r="D17" s="61"/>
      <c r="E17" s="61"/>
      <c r="F17" s="61"/>
      <c r="G17" s="61"/>
      <c r="H17" s="61"/>
      <c r="J17" s="87"/>
      <c r="K17" s="87"/>
      <c r="L17" s="87"/>
      <c r="M17" s="87"/>
      <c r="N17" s="87"/>
      <c r="O17" s="87"/>
      <c r="P17" s="87"/>
      <c r="U17" s="104"/>
    </row>
    <row r="18" spans="2:16">
      <c r="B18" s="36" t="s">
        <v>59</v>
      </c>
      <c r="C18" s="62">
        <f>(K5*'IS Pro'!C5)/365</f>
        <v>158.471945142592</v>
      </c>
      <c r="D18" s="62">
        <f>(L5*'IS Pro'!D5)/365</f>
        <v>157.084741183799</v>
      </c>
      <c r="E18" s="62">
        <f>(M5*'IS Pro'!E5)/365</f>
        <v>155.653945951316</v>
      </c>
      <c r="F18" s="62">
        <f>(N5*'IS Pro'!F5)/365</f>
        <v>154.178826340064</v>
      </c>
      <c r="G18" s="62">
        <f>(O5*'IS Pro'!G5)/365</f>
        <v>152.658638941993</v>
      </c>
      <c r="H18" s="62">
        <f>(P5*'IS Pro'!H5)/365</f>
        <v>151.092629913327</v>
      </c>
      <c r="J18" t="s">
        <v>63</v>
      </c>
      <c r="K18" s="84">
        <v>-0.06</v>
      </c>
      <c r="L18" s="84">
        <v>-0.06</v>
      </c>
      <c r="M18" s="84">
        <v>-0.06</v>
      </c>
      <c r="N18" s="84">
        <v>-0.06</v>
      </c>
      <c r="O18" s="84">
        <v>-0.06</v>
      </c>
      <c r="P18" s="84">
        <v>-0.06</v>
      </c>
    </row>
    <row r="19" spans="2:8">
      <c r="B19" s="28" t="s">
        <v>61</v>
      </c>
      <c r="C19" s="46">
        <f>(K7*'IS Pro'!C5)/365</f>
        <v>7.67190465753425</v>
      </c>
      <c r="D19" s="46">
        <f>(L7*'IS Pro'!D5)/365</f>
        <v>7.60474768219179</v>
      </c>
      <c r="E19" s="46">
        <f>(M7*'IS Pro'!E5)/365</f>
        <v>7.53548037687672</v>
      </c>
      <c r="F19" s="46">
        <f>(N7*'IS Pro'!F5)/365</f>
        <v>7.46406725068713</v>
      </c>
      <c r="G19" s="46">
        <f>(O7*'IS Pro'!G5)/365</f>
        <v>7.39047231393606</v>
      </c>
      <c r="H19" s="46">
        <f>(P7*'IS Pro'!H5)/365</f>
        <v>7.3146590717249</v>
      </c>
    </row>
    <row r="20" spans="2:8">
      <c r="B20" s="36" t="s">
        <v>62</v>
      </c>
      <c r="C20" s="62">
        <f>K10*'IS Pro'!C13</f>
        <v>26.14688</v>
      </c>
      <c r="D20" s="62">
        <f>L10*'IS Pro'!D13</f>
        <v>26.93349628</v>
      </c>
      <c r="E20" s="62">
        <f>M10*'IS Pro'!E13</f>
        <v>27.7332301976</v>
      </c>
      <c r="F20" s="62">
        <f>N10*'IS Pro'!F13</f>
        <v>28.546265443924</v>
      </c>
      <c r="G20" s="62">
        <f>O10*'IS Pro'!G13</f>
        <v>29.3727880721547</v>
      </c>
      <c r="H20" s="62">
        <f>P10*'IS Pro'!H13</f>
        <v>30.2129865264056</v>
      </c>
    </row>
    <row r="21" spans="2:8">
      <c r="B21" s="14" t="s">
        <v>40</v>
      </c>
      <c r="C21" s="63">
        <v>2</v>
      </c>
      <c r="D21" s="63">
        <v>2</v>
      </c>
      <c r="E21" s="63">
        <v>2</v>
      </c>
      <c r="F21" s="63">
        <v>2</v>
      </c>
      <c r="G21" s="63">
        <v>2</v>
      </c>
      <c r="H21" s="63">
        <v>2</v>
      </c>
    </row>
    <row r="22" spans="2:8">
      <c r="B22" s="48" t="s">
        <v>130</v>
      </c>
      <c r="C22" s="49">
        <f>SUM(C18:C21)</f>
        <v>194.290729800126</v>
      </c>
      <c r="D22" s="49">
        <f>SUM(D18:D21)</f>
        <v>193.62298514599</v>
      </c>
      <c r="E22" s="49">
        <f>SUM(E18:E21)</f>
        <v>192.922656525792</v>
      </c>
      <c r="F22" s="49">
        <f>SUM(F18:F21)</f>
        <v>192.189159034676</v>
      </c>
      <c r="G22" s="49">
        <f>SUM(G18:G21)</f>
        <v>191.421899328084</v>
      </c>
      <c r="H22" s="49">
        <f>SUM(H18:H21)</f>
        <v>190.620275511457</v>
      </c>
    </row>
    <row r="23" spans="2:8">
      <c r="B23" s="64"/>
      <c r="C23" s="65"/>
      <c r="D23" s="65"/>
      <c r="E23" s="65"/>
      <c r="F23" s="65"/>
      <c r="G23" s="65"/>
      <c r="H23" s="65"/>
    </row>
    <row r="24" spans="2:8">
      <c r="B24" s="36" t="s">
        <v>40</v>
      </c>
      <c r="C24" s="52">
        <v>45</v>
      </c>
      <c r="D24" s="52">
        <v>45</v>
      </c>
      <c r="E24" s="52">
        <v>45</v>
      </c>
      <c r="F24" s="52">
        <v>45</v>
      </c>
      <c r="G24" s="52">
        <v>45</v>
      </c>
      <c r="H24" s="52">
        <v>45</v>
      </c>
    </row>
    <row r="25" spans="2:8">
      <c r="B25" s="48" t="s">
        <v>131</v>
      </c>
      <c r="C25" s="49">
        <f>C24</f>
        <v>45</v>
      </c>
      <c r="D25" s="49">
        <f>D24</f>
        <v>45</v>
      </c>
      <c r="E25" s="49">
        <f>E24</f>
        <v>45</v>
      </c>
      <c r="F25" s="49">
        <f>F24</f>
        <v>45</v>
      </c>
      <c r="G25" s="49">
        <f>G24</f>
        <v>45</v>
      </c>
      <c r="H25" s="49">
        <f>H24</f>
        <v>45</v>
      </c>
    </row>
    <row r="26" spans="2:8">
      <c r="B26" s="66" t="s">
        <v>70</v>
      </c>
      <c r="C26" s="67">
        <f>C25+C22</f>
        <v>239.290729800126</v>
      </c>
      <c r="D26" s="67">
        <f t="shared" ref="C26:H26" si="4">D25+D22</f>
        <v>238.62298514599</v>
      </c>
      <c r="E26" s="67">
        <f t="shared" si="4"/>
        <v>237.922656525792</v>
      </c>
      <c r="F26" s="67">
        <f t="shared" si="4"/>
        <v>237.189159034676</v>
      </c>
      <c r="G26" s="67">
        <f t="shared" si="4"/>
        <v>236.421899328084</v>
      </c>
      <c r="H26" s="67">
        <f t="shared" si="4"/>
        <v>235.620275511457</v>
      </c>
    </row>
    <row r="27" spans="2:8">
      <c r="B27" s="64"/>
      <c r="C27" s="65"/>
      <c r="D27" s="65"/>
      <c r="E27" s="65"/>
      <c r="F27" s="65"/>
      <c r="G27" s="65"/>
      <c r="H27" s="65"/>
    </row>
    <row r="28" spans="2:8">
      <c r="B28" s="68" t="s">
        <v>71</v>
      </c>
      <c r="C28" s="69"/>
      <c r="D28" s="69"/>
      <c r="E28" s="69"/>
      <c r="F28" s="69"/>
      <c r="G28" s="69"/>
      <c r="H28" s="69"/>
    </row>
    <row r="29" spans="2:8">
      <c r="B29" s="14" t="s">
        <v>132</v>
      </c>
      <c r="C29" s="63">
        <v>1500</v>
      </c>
      <c r="D29" s="63">
        <v>1500</v>
      </c>
      <c r="E29" s="63">
        <v>1500</v>
      </c>
      <c r="F29" s="63">
        <v>1500</v>
      </c>
      <c r="G29" s="63">
        <v>1500</v>
      </c>
      <c r="H29" s="63">
        <v>1500</v>
      </c>
    </row>
    <row r="30" spans="2:8">
      <c r="B30" s="44" t="s">
        <v>133</v>
      </c>
      <c r="C30" s="70">
        <v>706</v>
      </c>
      <c r="D30" s="70">
        <v>706</v>
      </c>
      <c r="E30" s="70">
        <v>706</v>
      </c>
      <c r="F30" s="70">
        <v>706</v>
      </c>
      <c r="G30" s="70">
        <v>706</v>
      </c>
      <c r="H30" s="70">
        <v>706</v>
      </c>
    </row>
    <row r="31" spans="2:8">
      <c r="B31" s="14" t="s">
        <v>120</v>
      </c>
      <c r="C31" s="71">
        <f>'Hist. BS'!C37+'IS Pro'!C18</f>
        <v>912.764328</v>
      </c>
      <c r="D31" s="71">
        <f>C31+'IS Pro'!D18</f>
        <v>1080.425342343</v>
      </c>
      <c r="E31" s="71">
        <f>D31+'IS Pro'!E18</f>
        <v>1253.06470032306</v>
      </c>
      <c r="F31" s="71">
        <f>E31+'IS Pro'!F18</f>
        <v>1430.76520271149</v>
      </c>
      <c r="G31" s="71">
        <f>F31+'IS Pro'!G18</f>
        <v>1613.61080846065</v>
      </c>
      <c r="H31" s="71">
        <f>G31+'IS Pro'!H18</f>
        <v>1801.68664958752</v>
      </c>
    </row>
    <row r="32" spans="2:8">
      <c r="B32" s="44" t="s">
        <v>75</v>
      </c>
      <c r="C32" s="70">
        <v>60</v>
      </c>
      <c r="D32" s="70">
        <v>60</v>
      </c>
      <c r="E32" s="70">
        <v>60</v>
      </c>
      <c r="F32" s="70">
        <v>60</v>
      </c>
      <c r="G32" s="70">
        <v>60</v>
      </c>
      <c r="H32" s="70">
        <v>60</v>
      </c>
    </row>
    <row r="33" spans="2:8">
      <c r="B33" s="72" t="s">
        <v>76</v>
      </c>
      <c r="C33" s="73">
        <f>C29+C30+C31-C32</f>
        <v>3058.764328</v>
      </c>
      <c r="D33" s="73">
        <f t="shared" ref="C33:H33" si="5">D29+D30+D31-D32</f>
        <v>3226.425342343</v>
      </c>
      <c r="E33" s="73">
        <f t="shared" si="5"/>
        <v>3399.06470032306</v>
      </c>
      <c r="F33" s="73">
        <f t="shared" si="5"/>
        <v>3576.76520271149</v>
      </c>
      <c r="G33" s="73">
        <f>G29+G30+G31-G32</f>
        <v>3759.61080846065</v>
      </c>
      <c r="H33" s="73">
        <f t="shared" si="5"/>
        <v>3947.68664958752</v>
      </c>
    </row>
    <row r="34" spans="2:8">
      <c r="B34" t="s">
        <v>77</v>
      </c>
      <c r="C34" s="74">
        <f>C33+C26</f>
        <v>3298.05505780013</v>
      </c>
      <c r="D34" s="74">
        <f t="shared" ref="C34:H34" si="6">D33+D26</f>
        <v>3465.04832748899</v>
      </c>
      <c r="E34" s="74">
        <f t="shared" si="6"/>
        <v>3636.98735684885</v>
      </c>
      <c r="F34" s="74">
        <f t="shared" si="6"/>
        <v>3813.95436174616</v>
      </c>
      <c r="G34" s="74">
        <f t="shared" si="6"/>
        <v>3996.03270778873</v>
      </c>
      <c r="H34" s="74">
        <f t="shared" si="6"/>
        <v>4183.30692509898</v>
      </c>
    </row>
    <row r="35" spans="3:8">
      <c r="C35" s="75"/>
      <c r="D35" s="75"/>
      <c r="E35" s="75"/>
      <c r="F35" s="75"/>
      <c r="G35" s="75"/>
      <c r="H35" s="75"/>
    </row>
    <row r="36" spans="2:8">
      <c r="B36" t="s">
        <v>78</v>
      </c>
      <c r="C36" s="76">
        <f t="shared" ref="C36:H36" si="7">C34-C15</f>
        <v>122.647644</v>
      </c>
      <c r="D36" s="76">
        <f t="shared" si="7"/>
        <v>123.38301288</v>
      </c>
      <c r="E36" s="76">
        <f t="shared" si="7"/>
        <v>124.141489873199</v>
      </c>
      <c r="F36" s="76">
        <f t="shared" si="7"/>
        <v>124.923463604975</v>
      </c>
      <c r="G36" s="76">
        <f t="shared" si="7"/>
        <v>125.7293281624</v>
      </c>
      <c r="H36" s="76">
        <f t="shared" si="7"/>
        <v>126.559483164612</v>
      </c>
    </row>
  </sheetData>
  <mergeCells count="1">
    <mergeCell ref="C3:H3"/>
  </mergeCells>
  <conditionalFormatting sqref="C36:H36">
    <cfRule type="cellIs" dxfId="0" priority="1" operator="notEqual">
      <formula>0</formula>
    </cfRule>
    <cfRule type="cellIs" priority="2" operator="notEqual">
      <formula>0</formula>
    </cfRule>
  </conditionalFormatting>
  <pageMargins left="0.75" right="0.75" top="1" bottom="1" header="0.511805555555556" footer="0.511805555555556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26"/>
  <sheetViews>
    <sheetView workbookViewId="0">
      <selection activeCell="J11" sqref="J11"/>
    </sheetView>
  </sheetViews>
  <sheetFormatPr defaultColWidth="9.14285714285714" defaultRowHeight="15" outlineLevelCol="7"/>
  <cols>
    <col min="1" max="1" width="3.71428571428571" customWidth="1"/>
    <col min="2" max="2" width="42" customWidth="1"/>
    <col min="3" max="8" width="9.57142857142857" customWidth="1"/>
  </cols>
  <sheetData>
    <row r="2" spans="2:8">
      <c r="B2" s="1" t="s">
        <v>117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3">
        <v>2023</v>
      </c>
    </row>
    <row r="3" spans="2:8">
      <c r="B3" s="4" t="s">
        <v>134</v>
      </c>
      <c r="C3" s="5"/>
      <c r="D3" s="5"/>
      <c r="E3" s="5"/>
      <c r="F3" s="5"/>
      <c r="G3" s="5"/>
      <c r="H3" s="5"/>
    </row>
    <row r="4" spans="2:8">
      <c r="B4" s="6" t="s">
        <v>20</v>
      </c>
      <c r="C4" s="7">
        <f>'IS Pro'!C16</f>
        <v>542.547759999999</v>
      </c>
      <c r="D4" s="7">
        <f>'IS Pro'!D16</f>
        <v>558.870047809999</v>
      </c>
      <c r="E4" s="7">
        <f>'IS Pro'!E16</f>
        <v>575.464526600199</v>
      </c>
      <c r="F4" s="7">
        <f>'IS Pro'!F16</f>
        <v>592.335007961422</v>
      </c>
      <c r="G4" s="7">
        <f>'IS Pro'!G16</f>
        <v>609.48535249721</v>
      </c>
      <c r="H4" s="7">
        <f>'IS Pro'!H16</f>
        <v>626.919470422917</v>
      </c>
    </row>
    <row r="5" spans="2:8">
      <c r="B5" s="8" t="s">
        <v>135</v>
      </c>
      <c r="C5" s="9">
        <f>-('BS Pro'!K14)</f>
        <v>72.954</v>
      </c>
      <c r="D5" s="9">
        <f>-('BS Pro'!L14)</f>
        <v>80.57676</v>
      </c>
      <c r="E5" s="9">
        <f>-('BS Pro'!M14)</f>
        <v>87.7421544</v>
      </c>
      <c r="F5" s="9">
        <f>-('BS Pro'!N14)</f>
        <v>94.477625136</v>
      </c>
      <c r="G5" s="9">
        <f>-('BS Pro'!O14)</f>
        <v>100.80896762784</v>
      </c>
      <c r="H5" s="9">
        <f>-('BS Pro'!P14)</f>
        <v>106.76042957017</v>
      </c>
    </row>
    <row r="6" spans="2:8">
      <c r="B6" s="10" t="s">
        <v>136</v>
      </c>
      <c r="C6" s="11"/>
      <c r="D6" s="11"/>
      <c r="E6" s="11"/>
      <c r="F6" s="11"/>
      <c r="G6" s="11"/>
      <c r="H6" s="11"/>
    </row>
    <row r="7" spans="2:8">
      <c r="B7" s="8" t="s">
        <v>137</v>
      </c>
      <c r="C7" s="9">
        <f>'Hist. BS'!C6-'BS Pro'!C5</f>
        <v>56.2141290367534</v>
      </c>
      <c r="D7" s="9">
        <f>'BS Pro'!C5-'BS Pro'!D5</f>
        <v>-3.70785870963249</v>
      </c>
      <c r="E7" s="9">
        <f>'BS Pro'!D5-'BS Pro'!E5</f>
        <v>-3.74493729672889</v>
      </c>
      <c r="F7" s="9">
        <f>'BS Pro'!E5-'BS Pro'!F5</f>
        <v>-3.78238666969605</v>
      </c>
      <c r="G7" s="9">
        <f>'BS Pro'!F5-'BS Pro'!G5</f>
        <v>-3.82021053639306</v>
      </c>
      <c r="H7" s="9">
        <f>'BS Pro'!G5-'BS Pro'!H5</f>
        <v>-3.85841264175696</v>
      </c>
    </row>
    <row r="8" spans="2:8">
      <c r="B8" s="12" t="s">
        <v>138</v>
      </c>
      <c r="C8" s="13">
        <f>'Hist. BS'!C7-'BS Pro'!C6</f>
        <v>-3.12257534246575</v>
      </c>
      <c r="D8" s="13">
        <f>'BS Pro'!C6-'BS Pro'!D6</f>
        <v>-0.0712257534246579</v>
      </c>
      <c r="E8" s="13">
        <f>'BS Pro'!D6-'BS Pro'!E6</f>
        <v>-0.0719380109589052</v>
      </c>
      <c r="F8" s="13">
        <f>'BS Pro'!E6-'BS Pro'!F6</f>
        <v>-0.0726573910684936</v>
      </c>
      <c r="G8" s="13">
        <f>'BS Pro'!F6-'BS Pro'!G6</f>
        <v>-0.073383964979179</v>
      </c>
      <c r="H8" s="13">
        <f>'BS Pro'!G6-'BS Pro'!H6</f>
        <v>-0.0741178046289699</v>
      </c>
    </row>
    <row r="9" spans="2:8">
      <c r="B9" s="14" t="s">
        <v>139</v>
      </c>
      <c r="C9" s="15">
        <f>'Hist. BS'!C8-'BS Pro'!C7</f>
        <v>1.3985605129451</v>
      </c>
      <c r="D9" s="15">
        <f>'BS Pro'!C7-'BS Pro'!D7</f>
        <v>2.3337289887088</v>
      </c>
      <c r="E9" s="15">
        <f>'BS Pro'!D7-'BS Pro'!E7</f>
        <v>2.40706371243175</v>
      </c>
      <c r="F9" s="15">
        <f>'BS Pro'!E7-'BS Pro'!F7</f>
        <v>2.48163175773016</v>
      </c>
      <c r="G9" s="15">
        <f>'BS Pro'!F7-'BS Pro'!G7</f>
        <v>2.55745045756333</v>
      </c>
      <c r="H9" s="15">
        <f>'BS Pro'!G7-'BS Pro'!H7</f>
        <v>2.63453736821748</v>
      </c>
    </row>
    <row r="10" spans="2:8">
      <c r="B10" s="16"/>
      <c r="C10" s="17"/>
      <c r="D10" s="17"/>
      <c r="E10" s="17"/>
      <c r="F10" s="17"/>
      <c r="G10" s="17"/>
      <c r="H10" s="17"/>
    </row>
    <row r="11" spans="2:8">
      <c r="B11" s="18" t="s">
        <v>140</v>
      </c>
      <c r="C11" s="19">
        <f>'BS Pro'!C19-'Hist. BS'!C23</f>
        <v>-3.32809534246575</v>
      </c>
      <c r="D11" s="19">
        <f>'BS Pro'!D19-'BS Pro'!C19</f>
        <v>-0.0671569753424652</v>
      </c>
      <c r="E11" s="19">
        <f>'BS Pro'!E19-'BS Pro'!D19</f>
        <v>-0.0692673053150674</v>
      </c>
      <c r="F11" s="19">
        <f>'BS Pro'!F19-'BS Pro'!E19</f>
        <v>-0.0714131261895892</v>
      </c>
      <c r="G11" s="19">
        <f>'BS Pro'!G19-'BS Pro'!F19</f>
        <v>-0.0735949367510678</v>
      </c>
      <c r="H11" s="19">
        <f>'BS Pro'!H19-'BS Pro'!G19</f>
        <v>-0.0758132422111588</v>
      </c>
    </row>
    <row r="12" spans="2:8">
      <c r="B12" s="16" t="s">
        <v>141</v>
      </c>
      <c r="C12" s="17">
        <f>'BS Pro'!C20-'Hist. BS'!C24</f>
        <v>-7.85312000000005</v>
      </c>
      <c r="D12" s="17">
        <f>'BS Pro'!D20-'BS Pro'!C20</f>
        <v>0.786616280000001</v>
      </c>
      <c r="E12" s="17">
        <f>'BS Pro'!E20-'BS Pro'!D20</f>
        <v>0.799733917600012</v>
      </c>
      <c r="F12" s="17">
        <f>'BS Pro'!F20-'BS Pro'!E20</f>
        <v>0.813035246324002</v>
      </c>
      <c r="G12" s="17">
        <f>'BS Pro'!G20-'BS Pro'!F20</f>
        <v>0.82652262823072</v>
      </c>
      <c r="H12" s="17">
        <f>'BS Pro'!H20-'BS Pro'!G20</f>
        <v>0.840198454250935</v>
      </c>
    </row>
    <row r="13" spans="2:8">
      <c r="B13" s="20" t="s">
        <v>142</v>
      </c>
      <c r="C13" s="21">
        <f>'BS Pro'!C18-'Hist. BS'!C22</f>
        <v>33.4719451425916</v>
      </c>
      <c r="D13" s="21">
        <f>'BS Pro'!D18-'BS Pro'!C18</f>
        <v>-1.38720395879295</v>
      </c>
      <c r="E13" s="21">
        <f>'BS Pro'!E18-'BS Pro'!D18</f>
        <v>-1.43079523248304</v>
      </c>
      <c r="F13" s="21">
        <f>'BS Pro'!F18-'BS Pro'!E18</f>
        <v>-1.47511961125113</v>
      </c>
      <c r="G13" s="21">
        <f>'BS Pro'!G18-'BS Pro'!F18</f>
        <v>-1.52018739807124</v>
      </c>
      <c r="H13" s="21">
        <f>'BS Pro'!H18-'BS Pro'!G18</f>
        <v>-1.56600902866668</v>
      </c>
    </row>
    <row r="14" spans="2:8">
      <c r="B14" s="22" t="s">
        <v>143</v>
      </c>
      <c r="C14" s="23">
        <f t="shared" ref="C14:H14" si="0">SUM(C4:C13)</f>
        <v>692.282604007357</v>
      </c>
      <c r="D14" s="23">
        <f t="shared" si="0"/>
        <v>637.333707681515</v>
      </c>
      <c r="E14" s="23">
        <f t="shared" si="0"/>
        <v>661.096540784745</v>
      </c>
      <c r="F14" s="23">
        <f t="shared" si="0"/>
        <v>684.705723303271</v>
      </c>
      <c r="G14" s="23">
        <f t="shared" si="0"/>
        <v>708.190916374649</v>
      </c>
      <c r="H14" s="23">
        <f t="shared" si="0"/>
        <v>731.580283098291</v>
      </c>
    </row>
    <row r="15" spans="2:8">
      <c r="B15" s="24"/>
      <c r="C15" s="25"/>
      <c r="D15" s="25"/>
      <c r="E15" s="25"/>
      <c r="F15" s="25"/>
      <c r="G15" s="25"/>
      <c r="H15" s="25"/>
    </row>
    <row r="16" spans="2:8">
      <c r="B16" s="26" t="s">
        <v>144</v>
      </c>
      <c r="C16" s="27"/>
      <c r="D16" s="27"/>
      <c r="E16" s="27"/>
      <c r="F16" s="27"/>
      <c r="G16" s="27"/>
      <c r="H16" s="27"/>
    </row>
    <row r="17" spans="2:8">
      <c r="B17" s="28" t="s">
        <v>145</v>
      </c>
      <c r="C17" s="29">
        <f>-('BS Pro'!K15)</f>
        <v>-200</v>
      </c>
      <c r="D17" s="29">
        <f>-('BS Pro'!L15)</f>
        <v>-200</v>
      </c>
      <c r="E17" s="29">
        <f>-('BS Pro'!M15)</f>
        <v>-200</v>
      </c>
      <c r="F17" s="29">
        <f>-('BS Pro'!N15)</f>
        <v>-200</v>
      </c>
      <c r="G17" s="29">
        <f>-('BS Pro'!O15)</f>
        <v>-200</v>
      </c>
      <c r="H17" s="29">
        <f>-('BS Pro'!P15)</f>
        <v>-200</v>
      </c>
    </row>
    <row r="18" spans="2:8">
      <c r="B18" s="30" t="s">
        <v>146</v>
      </c>
      <c r="C18" s="31">
        <f t="shared" ref="C18:H18" si="1">SUM(C17:C17)</f>
        <v>-200</v>
      </c>
      <c r="D18" s="31">
        <f t="shared" si="1"/>
        <v>-200</v>
      </c>
      <c r="E18" s="31">
        <f t="shared" si="1"/>
        <v>-200</v>
      </c>
      <c r="F18" s="31">
        <f t="shared" si="1"/>
        <v>-200</v>
      </c>
      <c r="G18" s="31">
        <f t="shared" si="1"/>
        <v>-200</v>
      </c>
      <c r="H18" s="31">
        <f t="shared" si="1"/>
        <v>-200</v>
      </c>
    </row>
    <row r="19" spans="2:8">
      <c r="B19" s="32"/>
      <c r="C19" s="33"/>
      <c r="D19" s="33"/>
      <c r="E19" s="33"/>
      <c r="F19" s="33"/>
      <c r="G19" s="33"/>
      <c r="H19" s="33"/>
    </row>
    <row r="20" spans="2:8">
      <c r="B20" s="34" t="s">
        <v>147</v>
      </c>
      <c r="C20" s="35"/>
      <c r="D20" s="35"/>
      <c r="E20" s="35"/>
      <c r="F20" s="35"/>
      <c r="G20" s="35"/>
      <c r="H20" s="35"/>
    </row>
    <row r="21" spans="2:8">
      <c r="B21" s="36" t="s">
        <v>148</v>
      </c>
      <c r="C21" s="37">
        <f>'IS Pro'!C17</f>
        <v>379.783431999999</v>
      </c>
      <c r="D21" s="37">
        <f>'IS Pro'!D17</f>
        <v>391.209033466999</v>
      </c>
      <c r="E21" s="37">
        <f>'IS Pro'!E17</f>
        <v>402.825168620139</v>
      </c>
      <c r="F21" s="37">
        <f>'IS Pro'!F17</f>
        <v>414.634505572996</v>
      </c>
      <c r="G21" s="37">
        <f>'IS Pro'!G17</f>
        <v>426.639746748047</v>
      </c>
      <c r="H21" s="37">
        <f>'IS Pro'!H17</f>
        <v>438.843629296042</v>
      </c>
    </row>
    <row r="22" spans="2:8">
      <c r="B22" s="22" t="s">
        <v>149</v>
      </c>
      <c r="C22" s="23">
        <f t="shared" ref="C22:H22" si="2">-C21</f>
        <v>-379.783431999999</v>
      </c>
      <c r="D22" s="23">
        <f t="shared" si="2"/>
        <v>-391.209033466999</v>
      </c>
      <c r="E22" s="23">
        <f t="shared" si="2"/>
        <v>-402.825168620139</v>
      </c>
      <c r="F22" s="23">
        <f t="shared" si="2"/>
        <v>-414.634505572996</v>
      </c>
      <c r="G22" s="23">
        <f t="shared" si="2"/>
        <v>-426.639746748047</v>
      </c>
      <c r="H22" s="23">
        <f t="shared" si="2"/>
        <v>-438.843629296042</v>
      </c>
    </row>
    <row r="23" spans="2:8">
      <c r="B23" s="24"/>
      <c r="C23" s="25"/>
      <c r="D23" s="25"/>
      <c r="E23" s="25"/>
      <c r="F23" s="25"/>
      <c r="G23" s="25"/>
      <c r="H23" s="25"/>
    </row>
    <row r="24" spans="2:8">
      <c r="B24" s="32" t="s">
        <v>150</v>
      </c>
      <c r="C24" s="33">
        <f>'Hist. BS'!C4</f>
        <v>900.445</v>
      </c>
      <c r="D24" s="33">
        <f>C26</f>
        <v>1012.94417200736</v>
      </c>
      <c r="E24" s="33">
        <f>D26</f>
        <v>1059.06884622187</v>
      </c>
      <c r="F24" s="33">
        <f>E26</f>
        <v>1117.34021838648</v>
      </c>
      <c r="G24" s="33">
        <f>F26</f>
        <v>1187.41143611676</v>
      </c>
      <c r="H24" s="38">
        <f>G26</f>
        <v>1268.96260574336</v>
      </c>
    </row>
    <row r="25" spans="2:8">
      <c r="B25" s="24" t="s">
        <v>151</v>
      </c>
      <c r="C25" s="25">
        <f>C14+C18+C22</f>
        <v>112.499172007358</v>
      </c>
      <c r="D25" s="39">
        <f>D14+D18+D22</f>
        <v>46.1246742145161</v>
      </c>
      <c r="E25" s="25">
        <f t="shared" ref="C25:H25" si="3">E14+E18+E22</f>
        <v>58.2713721646057</v>
      </c>
      <c r="F25" s="25">
        <f t="shared" si="3"/>
        <v>70.0712177302758</v>
      </c>
      <c r="G25" s="25">
        <f t="shared" si="3"/>
        <v>81.5511696266025</v>
      </c>
      <c r="H25" s="25">
        <f t="shared" si="3"/>
        <v>92.7366538022493</v>
      </c>
    </row>
    <row r="26" spans="2:8">
      <c r="B26" s="40" t="s">
        <v>152</v>
      </c>
      <c r="C26" s="41">
        <f>C24+C25</f>
        <v>1012.94417200736</v>
      </c>
      <c r="D26" s="41">
        <f>D24+D25</f>
        <v>1059.06884622187</v>
      </c>
      <c r="E26" s="41">
        <f>E24+E25</f>
        <v>1117.34021838648</v>
      </c>
      <c r="F26" s="41">
        <f>F24+F25</f>
        <v>1187.41143611676</v>
      </c>
      <c r="G26" s="41">
        <f>G24+G25</f>
        <v>1268.96260574336</v>
      </c>
      <c r="H26" s="41">
        <f>H24+H25</f>
        <v>1361.69925954561</v>
      </c>
    </row>
  </sheetData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Hist. IS</vt:lpstr>
      <vt:lpstr>Hist. BS</vt:lpstr>
      <vt:lpstr>Hist. CF</vt:lpstr>
      <vt:lpstr>IS Pro</vt:lpstr>
      <vt:lpstr>BS Pro</vt:lpstr>
      <vt:lpstr>CF Pro</vt:lpstr>
      <vt:lpstr>DCF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Pengguna</dc:creator>
  <cp:lastModifiedBy>Pengguna</cp:lastModifiedBy>
  <dcterms:created xsi:type="dcterms:W3CDTF">2018-06-08T16:04:00Z</dcterms:created>
  <dcterms:modified xsi:type="dcterms:W3CDTF">2018-06-10T17:43:45Z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1033-10.2.0.6080</vt:lpwstr>
  </property>
  <property fmtid="{D5CDD505-2E9C-101B-9397-08002B2CF9AE}" pid="3" name="KSOReadingLayout">
    <vt:bool>false</vt:bool>
  </property>
</Properties>
</file>