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xl/charts/chart6.xml" ContentType="application/vnd.openxmlformats-officedocument.drawingml.chart+xml"/>
  <Override PartName="/xl/drawings/drawing10.xml" ContentType="application/vnd.openxmlformats-officedocument.drawingml.chartsha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10" yWindow="-110" windowWidth="22780" windowHeight="14660" activeTab="2"/>
  </bookViews>
  <sheets>
    <sheet name="Index" sheetId="4" r:id="rId1"/>
    <sheet name="1.Input --&gt;" sheetId="17" r:id="rId2"/>
    <sheet name="P&amp;L assumptions" sheetId="8" r:id="rId3"/>
    <sheet name="BS assumptions" sheetId="9" r:id="rId4"/>
    <sheet name="WACC Calculation" sheetId="20" r:id="rId5"/>
    <sheet name="2.Output--&gt;" sheetId="18" r:id="rId6"/>
    <sheet name="P&amp;L" sheetId="5" r:id="rId7"/>
    <sheet name="BS" sheetId="7" r:id="rId8"/>
    <sheet name="Cash Flow" sheetId="6" r:id="rId9"/>
    <sheet name="DCF valuation" sheetId="11" r:id="rId10"/>
    <sheet name="3.Charts  --&gt;" sheetId="12" r:id="rId11"/>
    <sheet name="Revenues&amp;Ebitda" sheetId="13" r:id="rId12"/>
    <sheet name="Cash flows" sheetId="14" r:id="rId13"/>
    <sheet name="Working capital" sheetId="19" r:id="rId14"/>
    <sheet name="DCF results" sheetId="15" r:id="rId15"/>
    <sheet name="4.Sources --&gt;" sheetId="1" r:id="rId16"/>
    <sheet name="P&amp;L source" sheetId="2" r:id="rId17"/>
    <sheet name="BS source" sheetId="3" r:id="rId18"/>
    <sheet name="Risk free rate" sheetId="22" r:id="rId19"/>
    <sheet name="Risk premium" sheetId="25" r:id="rId20"/>
    <sheet name="Betas" sheetId="26" r:id="rId21"/>
    <sheet name="Size risk premium" sheetId="27" r:id="rId22"/>
  </sheets>
  <externalReferences>
    <externalReference r:id="rId23"/>
    <externalReference r:id="rId24"/>
    <externalReference r:id="rId25"/>
  </externalReferences>
  <definedNames>
    <definedName name="_xlnm._FilterDatabase" localSheetId="18" hidden="1">'Risk free rate'!$B$14:$C$709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" i="11" l="1"/>
  <c r="C5" i="11"/>
  <c r="D26" i="20"/>
  <c r="B9" i="4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H17" i="7" l="1"/>
  <c r="I17" i="7"/>
  <c r="J17" i="7"/>
  <c r="K17" i="7"/>
  <c r="G17" i="7"/>
  <c r="D17" i="7"/>
  <c r="E17" i="7"/>
  <c r="C17" i="7"/>
  <c r="H26" i="8"/>
  <c r="I26" i="8"/>
  <c r="J26" i="8"/>
  <c r="K26" i="8"/>
  <c r="H27" i="8"/>
  <c r="I27" i="8"/>
  <c r="J27" i="8"/>
  <c r="K27" i="8"/>
  <c r="H28" i="8"/>
  <c r="I28" i="8"/>
  <c r="J28" i="8"/>
  <c r="K28" i="8"/>
  <c r="G28" i="8"/>
  <c r="G26" i="8"/>
  <c r="H20" i="8"/>
  <c r="I20" i="8"/>
  <c r="J20" i="8"/>
  <c r="K20" i="8"/>
  <c r="H21" i="8"/>
  <c r="I21" i="8"/>
  <c r="J21" i="8"/>
  <c r="K21" i="8"/>
  <c r="H22" i="8"/>
  <c r="I22" i="8"/>
  <c r="J22" i="8"/>
  <c r="K22" i="8"/>
  <c r="G22" i="8"/>
  <c r="G20" i="8"/>
  <c r="H38" i="8"/>
  <c r="I38" i="8"/>
  <c r="J38" i="8"/>
  <c r="K38" i="8"/>
  <c r="H39" i="8"/>
  <c r="I39" i="8"/>
  <c r="J39" i="8"/>
  <c r="K39" i="8"/>
  <c r="H40" i="8"/>
  <c r="I40" i="8"/>
  <c r="J40" i="8"/>
  <c r="K40" i="8"/>
  <c r="G38" i="8"/>
  <c r="G40" i="8"/>
  <c r="H32" i="8"/>
  <c r="I32" i="8"/>
  <c r="J32" i="8"/>
  <c r="K32" i="8"/>
  <c r="H33" i="8"/>
  <c r="I33" i="8"/>
  <c r="J33" i="8"/>
  <c r="K33" i="8"/>
  <c r="H34" i="8"/>
  <c r="I34" i="8"/>
  <c r="J34" i="8"/>
  <c r="K34" i="8"/>
  <c r="G34" i="8"/>
  <c r="G32" i="8"/>
  <c r="N7" i="15"/>
  <c r="H7" i="15"/>
  <c r="C7" i="15"/>
  <c r="H44" i="8"/>
  <c r="I44" i="8"/>
  <c r="J44" i="8"/>
  <c r="K44" i="8"/>
  <c r="H45" i="8"/>
  <c r="I45" i="8"/>
  <c r="J45" i="8"/>
  <c r="K45" i="8"/>
  <c r="G44" i="8"/>
  <c r="H50" i="8"/>
  <c r="I50" i="8"/>
  <c r="J50" i="8"/>
  <c r="K50" i="8"/>
  <c r="H51" i="8"/>
  <c r="I51" i="8"/>
  <c r="J51" i="8"/>
  <c r="K51" i="8"/>
  <c r="H52" i="8"/>
  <c r="I52" i="8"/>
  <c r="J52" i="8"/>
  <c r="K52" i="8"/>
  <c r="G50" i="8"/>
  <c r="G51" i="8"/>
  <c r="G52" i="8"/>
  <c r="B6" i="19"/>
  <c r="B5" i="19"/>
  <c r="B4" i="19"/>
  <c r="B3" i="19"/>
  <c r="B4" i="13"/>
  <c r="B3" i="13"/>
  <c r="C21" i="11"/>
  <c r="D39" i="6"/>
  <c r="H35" i="5"/>
  <c r="I35" i="5"/>
  <c r="J35" i="5"/>
  <c r="K35" i="5"/>
  <c r="G35" i="5"/>
  <c r="C22" i="5" l="1"/>
  <c r="D21" i="5"/>
  <c r="E21" i="5"/>
  <c r="C21" i="5"/>
  <c r="D17" i="5" l="1"/>
  <c r="D28" i="6" s="1"/>
  <c r="E39" i="6"/>
  <c r="G36" i="6"/>
  <c r="E36" i="6"/>
  <c r="D36" i="6"/>
  <c r="D8" i="20"/>
  <c r="D16" i="20"/>
  <c r="D11" i="20"/>
  <c r="Q106" i="26"/>
  <c r="G106" i="26"/>
  <c r="Q105" i="26"/>
  <c r="G105" i="26"/>
  <c r="Q104" i="26"/>
  <c r="G104" i="26"/>
  <c r="Q103" i="26"/>
  <c r="G103" i="26"/>
  <c r="Q102" i="26"/>
  <c r="G102" i="26"/>
  <c r="Q101" i="26"/>
  <c r="G101" i="26"/>
  <c r="Q100" i="26"/>
  <c r="G100" i="26"/>
  <c r="Q99" i="26"/>
  <c r="G99" i="26"/>
  <c r="Q98" i="26"/>
  <c r="G98" i="26"/>
  <c r="Q97" i="26"/>
  <c r="G97" i="26"/>
  <c r="Q96" i="26"/>
  <c r="G96" i="26"/>
  <c r="Q95" i="26"/>
  <c r="G95" i="26"/>
  <c r="Q94" i="26"/>
  <c r="G94" i="26"/>
  <c r="Q93" i="26"/>
  <c r="G93" i="26"/>
  <c r="Q92" i="26"/>
  <c r="G92" i="26"/>
  <c r="Q91" i="26"/>
  <c r="G91" i="26"/>
  <c r="Q90" i="26"/>
  <c r="G90" i="26"/>
  <c r="Q89" i="26"/>
  <c r="G89" i="26"/>
  <c r="Q88" i="26"/>
  <c r="G88" i="26"/>
  <c r="Q87" i="26"/>
  <c r="G87" i="26"/>
  <c r="Q86" i="26"/>
  <c r="G86" i="26"/>
  <c r="Q85" i="26"/>
  <c r="G85" i="26"/>
  <c r="Q84" i="26"/>
  <c r="G84" i="26"/>
  <c r="Q83" i="26"/>
  <c r="G83" i="26"/>
  <c r="Q82" i="26"/>
  <c r="G82" i="26"/>
  <c r="Q81" i="26"/>
  <c r="G81" i="26"/>
  <c r="Q80" i="26"/>
  <c r="G80" i="26"/>
  <c r="Q79" i="26"/>
  <c r="G79" i="26"/>
  <c r="Q78" i="26"/>
  <c r="G78" i="26"/>
  <c r="Q77" i="26"/>
  <c r="G77" i="26"/>
  <c r="Q76" i="26"/>
  <c r="G76" i="26"/>
  <c r="Q75" i="26"/>
  <c r="G75" i="26"/>
  <c r="Q74" i="26"/>
  <c r="G74" i="26"/>
  <c r="Q73" i="26"/>
  <c r="G73" i="26"/>
  <c r="Q72" i="26"/>
  <c r="G72" i="26"/>
  <c r="Q71" i="26"/>
  <c r="G71" i="26"/>
  <c r="Q70" i="26"/>
  <c r="G70" i="26"/>
  <c r="Q69" i="26"/>
  <c r="G69" i="26"/>
  <c r="Q68" i="26"/>
  <c r="G68" i="26"/>
  <c r="Q67" i="26"/>
  <c r="G67" i="26"/>
  <c r="Q66" i="26"/>
  <c r="G66" i="26"/>
  <c r="Q65" i="26"/>
  <c r="G65" i="26"/>
  <c r="Q64" i="26"/>
  <c r="G64" i="26"/>
  <c r="Q63" i="26"/>
  <c r="G63" i="26"/>
  <c r="Q62" i="26"/>
  <c r="G62" i="26"/>
  <c r="Q61" i="26"/>
  <c r="G61" i="26"/>
  <c r="Q60" i="26"/>
  <c r="G60" i="26"/>
  <c r="Q59" i="26"/>
  <c r="G59" i="26"/>
  <c r="Q58" i="26"/>
  <c r="G58" i="26"/>
  <c r="Q57" i="26"/>
  <c r="G57" i="26"/>
  <c r="Q56" i="26"/>
  <c r="G56" i="26"/>
  <c r="Q55" i="26"/>
  <c r="G55" i="26"/>
  <c r="Q54" i="26"/>
  <c r="G54" i="26"/>
  <c r="Q53" i="26"/>
  <c r="G53" i="26"/>
  <c r="Q52" i="26"/>
  <c r="G52" i="26"/>
  <c r="Q51" i="26"/>
  <c r="G51" i="26"/>
  <c r="Q50" i="26"/>
  <c r="G50" i="26"/>
  <c r="Q49" i="26"/>
  <c r="G49" i="26"/>
  <c r="Q48" i="26"/>
  <c r="G48" i="26"/>
  <c r="Q47" i="26"/>
  <c r="G47" i="26"/>
  <c r="Q46" i="26"/>
  <c r="G46" i="26"/>
  <c r="Q45" i="26"/>
  <c r="G45" i="26"/>
  <c r="Q44" i="26"/>
  <c r="G44" i="26"/>
  <c r="Q43" i="26"/>
  <c r="G43" i="26"/>
  <c r="Q42" i="26"/>
  <c r="G42" i="26"/>
  <c r="Q41" i="26"/>
  <c r="G41" i="26"/>
  <c r="Q40" i="26"/>
  <c r="G40" i="26"/>
  <c r="Q39" i="26"/>
  <c r="G39" i="26"/>
  <c r="Q38" i="26"/>
  <c r="G38" i="26"/>
  <c r="Q37" i="26"/>
  <c r="G37" i="26"/>
  <c r="Q36" i="26"/>
  <c r="G36" i="26"/>
  <c r="Q35" i="26"/>
  <c r="G35" i="26"/>
  <c r="Q34" i="26"/>
  <c r="G34" i="26"/>
  <c r="Q33" i="26"/>
  <c r="G33" i="26"/>
  <c r="Q32" i="26"/>
  <c r="G32" i="26"/>
  <c r="Q31" i="26"/>
  <c r="G31" i="26"/>
  <c r="Q30" i="26"/>
  <c r="G30" i="26"/>
  <c r="Q29" i="26"/>
  <c r="G29" i="26"/>
  <c r="Q28" i="26"/>
  <c r="G28" i="26"/>
  <c r="Q27" i="26"/>
  <c r="G27" i="26"/>
  <c r="Q26" i="26"/>
  <c r="G26" i="26"/>
  <c r="Q25" i="26"/>
  <c r="G25" i="26"/>
  <c r="Q24" i="26"/>
  <c r="G24" i="26"/>
  <c r="Q23" i="26"/>
  <c r="G23" i="26"/>
  <c r="Q22" i="26"/>
  <c r="G22" i="26"/>
  <c r="Q21" i="26"/>
  <c r="G21" i="26"/>
  <c r="Q20" i="26"/>
  <c r="G20" i="26"/>
  <c r="Q19" i="26"/>
  <c r="G19" i="26"/>
  <c r="Q18" i="26"/>
  <c r="G18" i="26"/>
  <c r="Q17" i="26"/>
  <c r="G17" i="26"/>
  <c r="Q16" i="26"/>
  <c r="G16" i="26"/>
  <c r="Q15" i="26"/>
  <c r="G15" i="26"/>
  <c r="Q14" i="26"/>
  <c r="G14" i="26"/>
  <c r="Q13" i="26"/>
  <c r="G13" i="26"/>
  <c r="Q12" i="26"/>
  <c r="G12" i="26"/>
  <c r="Q11" i="26"/>
  <c r="G11" i="26"/>
  <c r="D209" i="25"/>
  <c r="D208" i="25"/>
  <c r="D207" i="25"/>
  <c r="L26" i="25" s="1"/>
  <c r="D206" i="25"/>
  <c r="D204" i="25"/>
  <c r="D203" i="25"/>
  <c r="D202" i="25"/>
  <c r="L22" i="25" s="1"/>
  <c r="D201" i="25"/>
  <c r="L21" i="25" s="1"/>
  <c r="D200" i="25"/>
  <c r="D199" i="25"/>
  <c r="D198" i="25"/>
  <c r="L18" i="25" s="1"/>
  <c r="D197" i="25"/>
  <c r="L17" i="25" s="1"/>
  <c r="D196" i="25"/>
  <c r="D195" i="25"/>
  <c r="D194" i="25"/>
  <c r="D193" i="25"/>
  <c r="L13" i="25" s="1"/>
  <c r="D192" i="25"/>
  <c r="D191" i="25"/>
  <c r="D190" i="25"/>
  <c r="L10" i="25" s="1"/>
  <c r="D189" i="25"/>
  <c r="L9" i="25" s="1"/>
  <c r="F186" i="25"/>
  <c r="E186" i="25"/>
  <c r="D186" i="25"/>
  <c r="C186" i="25"/>
  <c r="B186" i="25"/>
  <c r="F185" i="25"/>
  <c r="E185" i="25"/>
  <c r="D185" i="25"/>
  <c r="C185" i="25"/>
  <c r="B185" i="25"/>
  <c r="F184" i="25"/>
  <c r="E184" i="25"/>
  <c r="D184" i="25"/>
  <c r="C184" i="25"/>
  <c r="B184" i="25"/>
  <c r="F183" i="25"/>
  <c r="E183" i="25"/>
  <c r="D183" i="25"/>
  <c r="C183" i="25"/>
  <c r="B183" i="25"/>
  <c r="F182" i="25"/>
  <c r="E182" i="25"/>
  <c r="D182" i="25"/>
  <c r="C182" i="25"/>
  <c r="B182" i="25"/>
  <c r="F181" i="25"/>
  <c r="E181" i="25"/>
  <c r="D181" i="25"/>
  <c r="C181" i="25"/>
  <c r="B181" i="25"/>
  <c r="F180" i="25"/>
  <c r="E180" i="25"/>
  <c r="D180" i="25"/>
  <c r="C180" i="25"/>
  <c r="B180" i="25"/>
  <c r="F179" i="25"/>
  <c r="E179" i="25"/>
  <c r="D179" i="25"/>
  <c r="C179" i="25"/>
  <c r="B179" i="25"/>
  <c r="F178" i="25"/>
  <c r="E178" i="25"/>
  <c r="D178" i="25"/>
  <c r="C178" i="25"/>
  <c r="B178" i="25"/>
  <c r="F177" i="25"/>
  <c r="E177" i="25"/>
  <c r="D177" i="25"/>
  <c r="C177" i="25"/>
  <c r="B177" i="25"/>
  <c r="F176" i="25"/>
  <c r="E176" i="25"/>
  <c r="D176" i="25"/>
  <c r="C176" i="25"/>
  <c r="B176" i="25"/>
  <c r="F175" i="25"/>
  <c r="E175" i="25"/>
  <c r="D175" i="25"/>
  <c r="C175" i="25"/>
  <c r="B175" i="25"/>
  <c r="F174" i="25"/>
  <c r="E174" i="25"/>
  <c r="D174" i="25"/>
  <c r="C174" i="25"/>
  <c r="B174" i="25"/>
  <c r="F173" i="25"/>
  <c r="E173" i="25"/>
  <c r="D173" i="25"/>
  <c r="C173" i="25"/>
  <c r="B173" i="25"/>
  <c r="F172" i="25"/>
  <c r="E172" i="25"/>
  <c r="D172" i="25"/>
  <c r="C172" i="25"/>
  <c r="B172" i="25"/>
  <c r="F171" i="25"/>
  <c r="E171" i="25"/>
  <c r="D171" i="25"/>
  <c r="C171" i="25"/>
  <c r="B171" i="25"/>
  <c r="F170" i="25"/>
  <c r="E170" i="25"/>
  <c r="D170" i="25"/>
  <c r="C170" i="25"/>
  <c r="B170" i="25"/>
  <c r="F169" i="25"/>
  <c r="E169" i="25"/>
  <c r="D169" i="25"/>
  <c r="C169" i="25"/>
  <c r="B169" i="25"/>
  <c r="F168" i="25"/>
  <c r="E168" i="25"/>
  <c r="D168" i="25"/>
  <c r="C168" i="25"/>
  <c r="B168" i="25"/>
  <c r="F167" i="25"/>
  <c r="E167" i="25"/>
  <c r="D167" i="25"/>
  <c r="C167" i="25"/>
  <c r="B167" i="25"/>
  <c r="F166" i="25"/>
  <c r="E166" i="25"/>
  <c r="D166" i="25"/>
  <c r="C166" i="25"/>
  <c r="B166" i="25"/>
  <c r="F165" i="25"/>
  <c r="E165" i="25"/>
  <c r="D165" i="25"/>
  <c r="C165" i="25"/>
  <c r="B165" i="25"/>
  <c r="F164" i="25"/>
  <c r="E164" i="25"/>
  <c r="D164" i="25"/>
  <c r="C164" i="25"/>
  <c r="B164" i="25"/>
  <c r="D159" i="25"/>
  <c r="B159" i="25"/>
  <c r="D158" i="25"/>
  <c r="B158" i="25"/>
  <c r="C158" i="25" s="1"/>
  <c r="D157" i="25"/>
  <c r="B157" i="25"/>
  <c r="C157" i="25" s="1"/>
  <c r="D156" i="25"/>
  <c r="B156" i="25"/>
  <c r="H156" i="25" s="1"/>
  <c r="J156" i="25" s="1"/>
  <c r="I156" i="25" s="1"/>
  <c r="D155" i="25"/>
  <c r="B155" i="25"/>
  <c r="D154" i="25"/>
  <c r="B154" i="25"/>
  <c r="H154" i="25" s="1"/>
  <c r="D153" i="25"/>
  <c r="B153" i="25"/>
  <c r="C153" i="25" s="1"/>
  <c r="D152" i="25"/>
  <c r="B152" i="25"/>
  <c r="C152" i="25" s="1"/>
  <c r="D151" i="25"/>
  <c r="B151" i="25"/>
  <c r="D150" i="25"/>
  <c r="C150" i="25"/>
  <c r="B150" i="25"/>
  <c r="H150" i="25" s="1"/>
  <c r="J150" i="25" s="1"/>
  <c r="I150" i="25" s="1"/>
  <c r="D149" i="25"/>
  <c r="B149" i="25"/>
  <c r="C149" i="25" s="1"/>
  <c r="D148" i="25"/>
  <c r="B148" i="25"/>
  <c r="C148" i="25" s="1"/>
  <c r="D147" i="25"/>
  <c r="B147" i="25"/>
  <c r="D146" i="25"/>
  <c r="B146" i="25"/>
  <c r="D145" i="25"/>
  <c r="B145" i="25"/>
  <c r="H145" i="25" s="1"/>
  <c r="J145" i="25" s="1"/>
  <c r="I145" i="25" s="1"/>
  <c r="D144" i="25"/>
  <c r="B144" i="25"/>
  <c r="C144" i="25" s="1"/>
  <c r="D143" i="25"/>
  <c r="B143" i="25"/>
  <c r="D142" i="25"/>
  <c r="C142" i="25"/>
  <c r="B142" i="25"/>
  <c r="H142" i="25" s="1"/>
  <c r="D141" i="25"/>
  <c r="B141" i="25"/>
  <c r="H141" i="25" s="1"/>
  <c r="D140" i="25"/>
  <c r="B140" i="25"/>
  <c r="C140" i="25" s="1"/>
  <c r="D139" i="25"/>
  <c r="B139" i="25"/>
  <c r="D138" i="25"/>
  <c r="B138" i="25"/>
  <c r="D137" i="25"/>
  <c r="B137" i="25"/>
  <c r="H137" i="25" s="1"/>
  <c r="J137" i="25" s="1"/>
  <c r="I137" i="25" s="1"/>
  <c r="D136" i="25"/>
  <c r="B136" i="25"/>
  <c r="C136" i="25" s="1"/>
  <c r="D135" i="25"/>
  <c r="B135" i="25"/>
  <c r="D134" i="25"/>
  <c r="B134" i="25"/>
  <c r="D133" i="25"/>
  <c r="B133" i="25"/>
  <c r="H133" i="25" s="1"/>
  <c r="J133" i="25" s="1"/>
  <c r="I133" i="25" s="1"/>
  <c r="D132" i="25"/>
  <c r="B132" i="25"/>
  <c r="C132" i="25" s="1"/>
  <c r="D131" i="25"/>
  <c r="B131" i="25"/>
  <c r="D130" i="25"/>
  <c r="B130" i="25"/>
  <c r="D129" i="25"/>
  <c r="B129" i="25"/>
  <c r="H129" i="25" s="1"/>
  <c r="J129" i="25" s="1"/>
  <c r="I129" i="25" s="1"/>
  <c r="D128" i="25"/>
  <c r="B128" i="25"/>
  <c r="C128" i="25" s="1"/>
  <c r="D127" i="25"/>
  <c r="B127" i="25"/>
  <c r="H127" i="25" s="1"/>
  <c r="D126" i="25"/>
  <c r="B126" i="25"/>
  <c r="C126" i="25" s="1"/>
  <c r="D125" i="25"/>
  <c r="B125" i="25"/>
  <c r="C125" i="25" s="1"/>
  <c r="D124" i="25"/>
  <c r="B124" i="25"/>
  <c r="C124" i="25" s="1"/>
  <c r="D123" i="25"/>
  <c r="B123" i="25"/>
  <c r="H123" i="25" s="1"/>
  <c r="D122" i="25"/>
  <c r="B122" i="25"/>
  <c r="H122" i="25" s="1"/>
  <c r="D121" i="25"/>
  <c r="B121" i="25"/>
  <c r="C121" i="25" s="1"/>
  <c r="D120" i="25"/>
  <c r="B120" i="25"/>
  <c r="C120" i="25" s="1"/>
  <c r="D119" i="25"/>
  <c r="B119" i="25"/>
  <c r="D118" i="25"/>
  <c r="B118" i="25"/>
  <c r="C118" i="25" s="1"/>
  <c r="D117" i="25"/>
  <c r="B117" i="25"/>
  <c r="C117" i="25" s="1"/>
  <c r="D116" i="25"/>
  <c r="B116" i="25"/>
  <c r="C116" i="25" s="1"/>
  <c r="D115" i="25"/>
  <c r="B115" i="25"/>
  <c r="H115" i="25" s="1"/>
  <c r="J115" i="25" s="1"/>
  <c r="I115" i="25" s="1"/>
  <c r="D114" i="25"/>
  <c r="B114" i="25"/>
  <c r="D113" i="25"/>
  <c r="B113" i="25"/>
  <c r="H113" i="25" s="1"/>
  <c r="D112" i="25"/>
  <c r="B112" i="25"/>
  <c r="C112" i="25" s="1"/>
  <c r="D111" i="25"/>
  <c r="B111" i="25"/>
  <c r="D110" i="25"/>
  <c r="B110" i="25"/>
  <c r="C110" i="25" s="1"/>
  <c r="D109" i="25"/>
  <c r="B109" i="25"/>
  <c r="C109" i="25" s="1"/>
  <c r="D108" i="25"/>
  <c r="B108" i="25"/>
  <c r="H108" i="25" s="1"/>
  <c r="D107" i="25"/>
  <c r="B107" i="25"/>
  <c r="C107" i="25" s="1"/>
  <c r="D106" i="25"/>
  <c r="B106" i="25"/>
  <c r="H106" i="25" s="1"/>
  <c r="J106" i="25" s="1"/>
  <c r="I106" i="25" s="1"/>
  <c r="D105" i="25"/>
  <c r="B105" i="25"/>
  <c r="C105" i="25" s="1"/>
  <c r="D104" i="25"/>
  <c r="C104" i="25"/>
  <c r="B104" i="25"/>
  <c r="H104" i="25" s="1"/>
  <c r="D103" i="25"/>
  <c r="B103" i="25"/>
  <c r="H103" i="25" s="1"/>
  <c r="J103" i="25" s="1"/>
  <c r="I103" i="25" s="1"/>
  <c r="D102" i="25"/>
  <c r="B102" i="25"/>
  <c r="H102" i="25" s="1"/>
  <c r="J102" i="25" s="1"/>
  <c r="I102" i="25" s="1"/>
  <c r="D101" i="25"/>
  <c r="B101" i="25"/>
  <c r="C101" i="25" s="1"/>
  <c r="D100" i="25"/>
  <c r="B100" i="25"/>
  <c r="D99" i="25"/>
  <c r="B99" i="25"/>
  <c r="H99" i="25" s="1"/>
  <c r="D98" i="25"/>
  <c r="B98" i="25"/>
  <c r="C98" i="25" s="1"/>
  <c r="D97" i="25"/>
  <c r="B97" i="25"/>
  <c r="C97" i="25" s="1"/>
  <c r="D96" i="25"/>
  <c r="B96" i="25"/>
  <c r="H96" i="25" s="1"/>
  <c r="J96" i="25" s="1"/>
  <c r="I96" i="25" s="1"/>
  <c r="D95" i="25"/>
  <c r="B95" i="25"/>
  <c r="D94" i="25"/>
  <c r="B94" i="25"/>
  <c r="C94" i="25" s="1"/>
  <c r="D93" i="25"/>
  <c r="B93" i="25"/>
  <c r="C93" i="25" s="1"/>
  <c r="D92" i="25"/>
  <c r="B92" i="25"/>
  <c r="D91" i="25"/>
  <c r="B91" i="25"/>
  <c r="H91" i="25" s="1"/>
  <c r="D90" i="25"/>
  <c r="B90" i="25"/>
  <c r="H90" i="25" s="1"/>
  <c r="J90" i="25" s="1"/>
  <c r="I90" i="25" s="1"/>
  <c r="D89" i="25"/>
  <c r="B89" i="25"/>
  <c r="D88" i="25"/>
  <c r="B88" i="25"/>
  <c r="H88" i="25" s="1"/>
  <c r="D87" i="25"/>
  <c r="B87" i="25"/>
  <c r="C87" i="25" s="1"/>
  <c r="D86" i="25"/>
  <c r="B86" i="25"/>
  <c r="H86" i="25" s="1"/>
  <c r="D85" i="25"/>
  <c r="B85" i="25"/>
  <c r="C85" i="25" s="1"/>
  <c r="D84" i="25"/>
  <c r="B84" i="25"/>
  <c r="H84" i="25" s="1"/>
  <c r="D83" i="25"/>
  <c r="B83" i="25"/>
  <c r="C83" i="25" s="1"/>
  <c r="D82" i="25"/>
  <c r="B82" i="25"/>
  <c r="H82" i="25" s="1"/>
  <c r="J82" i="25" s="1"/>
  <c r="I82" i="25" s="1"/>
  <c r="D81" i="25"/>
  <c r="B81" i="25"/>
  <c r="C81" i="25" s="1"/>
  <c r="D80" i="25"/>
  <c r="B80" i="25"/>
  <c r="H80" i="25" s="1"/>
  <c r="D79" i="25"/>
  <c r="B79" i="25"/>
  <c r="H79" i="25" s="1"/>
  <c r="J79" i="25" s="1"/>
  <c r="I79" i="25" s="1"/>
  <c r="D78" i="25"/>
  <c r="B78" i="25"/>
  <c r="H78" i="25" s="1"/>
  <c r="D77" i="25"/>
  <c r="B77" i="25"/>
  <c r="C77" i="25" s="1"/>
  <c r="D76" i="25"/>
  <c r="B76" i="25"/>
  <c r="H76" i="25" s="1"/>
  <c r="J76" i="25" s="1"/>
  <c r="I76" i="25" s="1"/>
  <c r="D75" i="25"/>
  <c r="B75" i="25"/>
  <c r="H75" i="25" s="1"/>
  <c r="D74" i="25"/>
  <c r="B74" i="25"/>
  <c r="C74" i="25" s="1"/>
  <c r="D73" i="25"/>
  <c r="B73" i="25"/>
  <c r="H73" i="25" s="1"/>
  <c r="D72" i="25"/>
  <c r="B72" i="25"/>
  <c r="H72" i="25" s="1"/>
  <c r="D71" i="25"/>
  <c r="B71" i="25"/>
  <c r="H71" i="25" s="1"/>
  <c r="D70" i="25"/>
  <c r="B70" i="25"/>
  <c r="C70" i="25" s="1"/>
  <c r="D69" i="25"/>
  <c r="B69" i="25"/>
  <c r="H69" i="25" s="1"/>
  <c r="D68" i="25"/>
  <c r="B68" i="25"/>
  <c r="H68" i="25" s="1"/>
  <c r="J68" i="25" s="1"/>
  <c r="I68" i="25" s="1"/>
  <c r="D67" i="25"/>
  <c r="B67" i="25"/>
  <c r="C67" i="25" s="1"/>
  <c r="D66" i="25"/>
  <c r="B66" i="25"/>
  <c r="C66" i="25" s="1"/>
  <c r="D65" i="25"/>
  <c r="B65" i="25"/>
  <c r="H65" i="25" s="1"/>
  <c r="D64" i="25"/>
  <c r="B64" i="25"/>
  <c r="D63" i="25"/>
  <c r="B63" i="25"/>
  <c r="H63" i="25" s="1"/>
  <c r="D62" i="25"/>
  <c r="B62" i="25"/>
  <c r="C62" i="25" s="1"/>
  <c r="D61" i="25"/>
  <c r="B61" i="25"/>
  <c r="H61" i="25" s="1"/>
  <c r="J61" i="25" s="1"/>
  <c r="I61" i="25" s="1"/>
  <c r="D60" i="25"/>
  <c r="B60" i="25"/>
  <c r="D59" i="25"/>
  <c r="B59" i="25"/>
  <c r="C59" i="25" s="1"/>
  <c r="D58" i="25"/>
  <c r="B58" i="25"/>
  <c r="C58" i="25" s="1"/>
  <c r="D57" i="25"/>
  <c r="B57" i="25"/>
  <c r="H57" i="25" s="1"/>
  <c r="J57" i="25" s="1"/>
  <c r="I57" i="25" s="1"/>
  <c r="D56" i="25"/>
  <c r="B56" i="25"/>
  <c r="D55" i="25"/>
  <c r="B55" i="25"/>
  <c r="C55" i="25" s="1"/>
  <c r="D54" i="25"/>
  <c r="B54" i="25"/>
  <c r="C54" i="25" s="1"/>
  <c r="D53" i="25"/>
  <c r="B53" i="25"/>
  <c r="H53" i="25" s="1"/>
  <c r="J53" i="25" s="1"/>
  <c r="I53" i="25" s="1"/>
  <c r="D52" i="25"/>
  <c r="B52" i="25"/>
  <c r="D51" i="25"/>
  <c r="B51" i="25"/>
  <c r="C51" i="25" s="1"/>
  <c r="D50" i="25"/>
  <c r="B50" i="25"/>
  <c r="C50" i="25" s="1"/>
  <c r="D49" i="25"/>
  <c r="B49" i="25"/>
  <c r="H49" i="25" s="1"/>
  <c r="D48" i="25"/>
  <c r="B48" i="25"/>
  <c r="D47" i="25"/>
  <c r="B47" i="25"/>
  <c r="C47" i="25" s="1"/>
  <c r="D46" i="25"/>
  <c r="B46" i="25"/>
  <c r="C46" i="25" s="1"/>
  <c r="D45" i="25"/>
  <c r="B45" i="25"/>
  <c r="H45" i="25" s="1"/>
  <c r="J45" i="25" s="1"/>
  <c r="I45" i="25" s="1"/>
  <c r="D44" i="25"/>
  <c r="B44" i="25"/>
  <c r="D43" i="25"/>
  <c r="C43" i="25"/>
  <c r="B43" i="25"/>
  <c r="H43" i="25" s="1"/>
  <c r="J43" i="25" s="1"/>
  <c r="I43" i="25" s="1"/>
  <c r="D42" i="25"/>
  <c r="B42" i="25"/>
  <c r="C42" i="25" s="1"/>
  <c r="D41" i="25"/>
  <c r="B41" i="25"/>
  <c r="H41" i="25" s="1"/>
  <c r="J41" i="25" s="1"/>
  <c r="I41" i="25" s="1"/>
  <c r="D40" i="25"/>
  <c r="B40" i="25"/>
  <c r="D39" i="25"/>
  <c r="B39" i="25"/>
  <c r="H39" i="25" s="1"/>
  <c r="D38" i="25"/>
  <c r="E38" i="25" s="1"/>
  <c r="B38" i="25"/>
  <c r="C38" i="25" s="1"/>
  <c r="D37" i="25"/>
  <c r="B37" i="25"/>
  <c r="H37" i="25" s="1"/>
  <c r="D36" i="25"/>
  <c r="E36" i="25" s="1"/>
  <c r="B36" i="25"/>
  <c r="D35" i="25"/>
  <c r="B35" i="25"/>
  <c r="H35" i="25" s="1"/>
  <c r="J35" i="25" s="1"/>
  <c r="I35" i="25" s="1"/>
  <c r="D34" i="25"/>
  <c r="E34" i="25" s="1"/>
  <c r="B34" i="25"/>
  <c r="C34" i="25" s="1"/>
  <c r="D33" i="25"/>
  <c r="B33" i="25"/>
  <c r="H33" i="25" s="1"/>
  <c r="D32" i="25"/>
  <c r="E32" i="25" s="1"/>
  <c r="B32" i="25"/>
  <c r="D31" i="25"/>
  <c r="B31" i="25"/>
  <c r="H31" i="25" s="1"/>
  <c r="D30" i="25"/>
  <c r="B30" i="25"/>
  <c r="C30" i="25" s="1"/>
  <c r="L29" i="25"/>
  <c r="D29" i="25"/>
  <c r="B29" i="25"/>
  <c r="L28" i="25"/>
  <c r="K28" i="25"/>
  <c r="D28" i="25"/>
  <c r="B28" i="25"/>
  <c r="H28" i="25" s="1"/>
  <c r="J28" i="25" s="1"/>
  <c r="I28" i="25" s="1"/>
  <c r="L27" i="25"/>
  <c r="K27" i="25"/>
  <c r="D27" i="25"/>
  <c r="E27" i="25" s="1"/>
  <c r="B27" i="25"/>
  <c r="C27" i="25" s="1"/>
  <c r="K26" i="25"/>
  <c r="D26" i="25"/>
  <c r="B26" i="25"/>
  <c r="C26" i="25" s="1"/>
  <c r="D25" i="25"/>
  <c r="B25" i="25"/>
  <c r="C25" i="25" s="1"/>
  <c r="L24" i="25"/>
  <c r="E112" i="25" s="1"/>
  <c r="D24" i="25"/>
  <c r="B24" i="25"/>
  <c r="L23" i="25"/>
  <c r="E156" i="25" s="1"/>
  <c r="D23" i="25"/>
  <c r="B23" i="25"/>
  <c r="H23" i="25" s="1"/>
  <c r="D22" i="25"/>
  <c r="B22" i="25"/>
  <c r="D21" i="25"/>
  <c r="B21" i="25"/>
  <c r="H21" i="25" s="1"/>
  <c r="J21" i="25" s="1"/>
  <c r="I21" i="25" s="1"/>
  <c r="L20" i="25"/>
  <c r="D20" i="25"/>
  <c r="B20" i="25"/>
  <c r="L19" i="25"/>
  <c r="E147" i="25" s="1"/>
  <c r="D19" i="25"/>
  <c r="B19" i="25"/>
  <c r="H19" i="25" s="1"/>
  <c r="D18" i="25"/>
  <c r="B18" i="25"/>
  <c r="D17" i="25"/>
  <c r="E17" i="25" s="1"/>
  <c r="B17" i="25"/>
  <c r="C17" i="25" s="1"/>
  <c r="L16" i="25"/>
  <c r="E102" i="25" s="1"/>
  <c r="D16" i="25"/>
  <c r="B16" i="25"/>
  <c r="L15" i="25"/>
  <c r="D15" i="25"/>
  <c r="B15" i="25"/>
  <c r="C15" i="25" s="1"/>
  <c r="L14" i="25"/>
  <c r="D14" i="25"/>
  <c r="B14" i="25"/>
  <c r="D13" i="25"/>
  <c r="B13" i="25"/>
  <c r="C13" i="25" s="1"/>
  <c r="L12" i="25"/>
  <c r="D12" i="25"/>
  <c r="B12" i="25"/>
  <c r="L11" i="25"/>
  <c r="E88" i="25" s="1"/>
  <c r="D11" i="25"/>
  <c r="B11" i="25"/>
  <c r="C11" i="25" s="1"/>
  <c r="D10" i="25"/>
  <c r="E10" i="25" s="1"/>
  <c r="B10" i="25"/>
  <c r="D9" i="25"/>
  <c r="B9" i="25"/>
  <c r="C9" i="25" s="1"/>
  <c r="E8" i="25"/>
  <c r="D8" i="25"/>
  <c r="B8" i="25"/>
  <c r="C8" i="25" s="1"/>
  <c r="F5" i="25"/>
  <c r="H66" i="25" l="1"/>
  <c r="E16" i="25"/>
  <c r="H15" i="25"/>
  <c r="H93" i="25"/>
  <c r="J93" i="25" s="1"/>
  <c r="I93" i="25" s="1"/>
  <c r="H149" i="25"/>
  <c r="E37" i="25"/>
  <c r="C63" i="25"/>
  <c r="C123" i="25"/>
  <c r="E40" i="25"/>
  <c r="C99" i="25"/>
  <c r="E49" i="25"/>
  <c r="H26" i="25"/>
  <c r="J26" i="25" s="1"/>
  <c r="I26" i="25" s="1"/>
  <c r="C35" i="25"/>
  <c r="E50" i="25"/>
  <c r="E52" i="25"/>
  <c r="E56" i="25"/>
  <c r="E58" i="25"/>
  <c r="E60" i="25"/>
  <c r="J71" i="25"/>
  <c r="I71" i="25" s="1"/>
  <c r="H158" i="25"/>
  <c r="C141" i="25"/>
  <c r="H9" i="25"/>
  <c r="J9" i="25" s="1"/>
  <c r="I9" i="25" s="1"/>
  <c r="H25" i="25"/>
  <c r="J25" i="25" s="1"/>
  <c r="I25" i="25" s="1"/>
  <c r="E39" i="25"/>
  <c r="H67" i="25"/>
  <c r="J67" i="25" s="1"/>
  <c r="I67" i="25" s="1"/>
  <c r="E73" i="25"/>
  <c r="C115" i="25"/>
  <c r="H153" i="25"/>
  <c r="J153" i="25" s="1"/>
  <c r="I153" i="25" s="1"/>
  <c r="H8" i="25"/>
  <c r="C23" i="25"/>
  <c r="C39" i="25"/>
  <c r="E46" i="25"/>
  <c r="G46" i="25" s="1"/>
  <c r="F46" i="25" s="1"/>
  <c r="C78" i="25"/>
  <c r="C79" i="25"/>
  <c r="E82" i="25"/>
  <c r="G82" i="25" s="1"/>
  <c r="F82" i="25" s="1"/>
  <c r="C84" i="25"/>
  <c r="C91" i="25"/>
  <c r="C106" i="25"/>
  <c r="C113" i="25"/>
  <c r="C133" i="25"/>
  <c r="E136" i="25"/>
  <c r="H13" i="25"/>
  <c r="J13" i="25" s="1"/>
  <c r="I13" i="25" s="1"/>
  <c r="H62" i="25"/>
  <c r="J62" i="25" s="1"/>
  <c r="I62" i="25" s="1"/>
  <c r="C88" i="25"/>
  <c r="H136" i="25"/>
  <c r="J136" i="25" s="1"/>
  <c r="I136" i="25" s="1"/>
  <c r="C154" i="25"/>
  <c r="H157" i="25"/>
  <c r="J157" i="25" s="1"/>
  <c r="I157" i="25" s="1"/>
  <c r="H11" i="25"/>
  <c r="J11" i="25" s="1"/>
  <c r="I11" i="25" s="1"/>
  <c r="H17" i="25"/>
  <c r="J17" i="25" s="1"/>
  <c r="I17" i="25" s="1"/>
  <c r="E51" i="25"/>
  <c r="E81" i="25"/>
  <c r="E41" i="25"/>
  <c r="E53" i="25"/>
  <c r="E65" i="25"/>
  <c r="E135" i="25"/>
  <c r="G135" i="25" s="1"/>
  <c r="F135" i="25" s="1"/>
  <c r="E14" i="25"/>
  <c r="G14" i="25" s="1"/>
  <c r="F14" i="25" s="1"/>
  <c r="E28" i="25"/>
  <c r="J15" i="25"/>
  <c r="I15" i="25" s="1"/>
  <c r="E25" i="25"/>
  <c r="G25" i="25" s="1"/>
  <c r="F25" i="25" s="1"/>
  <c r="G36" i="25"/>
  <c r="F36" i="25" s="1"/>
  <c r="G51" i="25"/>
  <c r="F51" i="25" s="1"/>
  <c r="E54" i="25"/>
  <c r="G54" i="25" s="1"/>
  <c r="F54" i="25" s="1"/>
  <c r="E59" i="25"/>
  <c r="G59" i="25" s="1"/>
  <c r="F59" i="25" s="1"/>
  <c r="E98" i="25"/>
  <c r="C19" i="25"/>
  <c r="C21" i="25"/>
  <c r="E23" i="25"/>
  <c r="G23" i="25" s="1"/>
  <c r="F23" i="25" s="1"/>
  <c r="E24" i="25"/>
  <c r="G27" i="25"/>
  <c r="F27" i="25" s="1"/>
  <c r="C31" i="25"/>
  <c r="G32" i="25"/>
  <c r="F32" i="25" s="1"/>
  <c r="G34" i="25"/>
  <c r="F34" i="25" s="1"/>
  <c r="E35" i="25"/>
  <c r="G35" i="25" s="1"/>
  <c r="F35" i="25" s="1"/>
  <c r="G38" i="25"/>
  <c r="F38" i="25" s="1"/>
  <c r="G39" i="25"/>
  <c r="F39" i="25" s="1"/>
  <c r="E42" i="25"/>
  <c r="G42" i="25" s="1"/>
  <c r="F42" i="25" s="1"/>
  <c r="E43" i="25"/>
  <c r="G43" i="25" s="1"/>
  <c r="F43" i="25" s="1"/>
  <c r="H46" i="25"/>
  <c r="J46" i="25" s="1"/>
  <c r="I46" i="25" s="1"/>
  <c r="H47" i="25"/>
  <c r="J47" i="25" s="1"/>
  <c r="I47" i="25" s="1"/>
  <c r="H50" i="25"/>
  <c r="H51" i="25"/>
  <c r="H54" i="25"/>
  <c r="J54" i="25" s="1"/>
  <c r="I54" i="25" s="1"/>
  <c r="H55" i="25"/>
  <c r="J55" i="25" s="1"/>
  <c r="I55" i="25" s="1"/>
  <c r="H58" i="25"/>
  <c r="J58" i="25" s="1"/>
  <c r="I58" i="25" s="1"/>
  <c r="H59" i="25"/>
  <c r="J59" i="25" s="1"/>
  <c r="I59" i="25" s="1"/>
  <c r="C71" i="25"/>
  <c r="E72" i="25"/>
  <c r="E75" i="25"/>
  <c r="E78" i="25"/>
  <c r="G78" i="25" s="1"/>
  <c r="F78" i="25" s="1"/>
  <c r="C82" i="25"/>
  <c r="C86" i="25"/>
  <c r="C90" i="25"/>
  <c r="H94" i="25"/>
  <c r="C96" i="25"/>
  <c r="E97" i="25"/>
  <c r="G97" i="25" s="1"/>
  <c r="F97" i="25" s="1"/>
  <c r="H98" i="25"/>
  <c r="J98" i="25" s="1"/>
  <c r="I98" i="25" s="1"/>
  <c r="C102" i="25"/>
  <c r="H107" i="25"/>
  <c r="J107" i="25" s="1"/>
  <c r="I107" i="25" s="1"/>
  <c r="H110" i="25"/>
  <c r="J110" i="25" s="1"/>
  <c r="I110" i="25" s="1"/>
  <c r="H117" i="25"/>
  <c r="H118" i="25"/>
  <c r="J118" i="25" s="1"/>
  <c r="I118" i="25" s="1"/>
  <c r="H121" i="25"/>
  <c r="J121" i="25" s="1"/>
  <c r="I121" i="25" s="1"/>
  <c r="H125" i="25"/>
  <c r="H126" i="25"/>
  <c r="C129" i="25"/>
  <c r="C137" i="25"/>
  <c r="C145" i="25"/>
  <c r="E21" i="25"/>
  <c r="G21" i="25" s="1"/>
  <c r="F21" i="25" s="1"/>
  <c r="E61" i="25"/>
  <c r="G61" i="25" s="1"/>
  <c r="F61" i="25" s="1"/>
  <c r="H27" i="25"/>
  <c r="J27" i="25" s="1"/>
  <c r="I27" i="25" s="1"/>
  <c r="E30" i="25"/>
  <c r="G30" i="25" s="1"/>
  <c r="F30" i="25" s="1"/>
  <c r="E31" i="25"/>
  <c r="G31" i="25" s="1"/>
  <c r="F31" i="25" s="1"/>
  <c r="H34" i="25"/>
  <c r="H38" i="25"/>
  <c r="J38" i="25" s="1"/>
  <c r="I38" i="25" s="1"/>
  <c r="H42" i="25"/>
  <c r="J42" i="25" s="1"/>
  <c r="I42" i="25" s="1"/>
  <c r="E57" i="25"/>
  <c r="E64" i="25"/>
  <c r="G64" i="25" s="1"/>
  <c r="F64" i="25" s="1"/>
  <c r="E68" i="25"/>
  <c r="G68" i="25" s="1"/>
  <c r="F68" i="25" s="1"/>
  <c r="E70" i="25"/>
  <c r="G70" i="25" s="1"/>
  <c r="F70" i="25" s="1"/>
  <c r="E71" i="25"/>
  <c r="H87" i="25"/>
  <c r="J87" i="25" s="1"/>
  <c r="I87" i="25" s="1"/>
  <c r="E90" i="25"/>
  <c r="G90" i="25" s="1"/>
  <c r="F90" i="25" s="1"/>
  <c r="E104" i="25"/>
  <c r="H132" i="25"/>
  <c r="H140" i="25"/>
  <c r="J140" i="25" s="1"/>
  <c r="I140" i="25" s="1"/>
  <c r="H144" i="25"/>
  <c r="J144" i="25" s="1"/>
  <c r="I144" i="25" s="1"/>
  <c r="H148" i="25"/>
  <c r="J148" i="25" s="1"/>
  <c r="I148" i="25" s="1"/>
  <c r="H152" i="25"/>
  <c r="E26" i="25"/>
  <c r="G26" i="25" s="1"/>
  <c r="F26" i="25" s="1"/>
  <c r="G40" i="25"/>
  <c r="F40" i="25" s="1"/>
  <c r="E44" i="25"/>
  <c r="G44" i="25" s="1"/>
  <c r="F44" i="25" s="1"/>
  <c r="E47" i="25"/>
  <c r="G47" i="25" s="1"/>
  <c r="F47" i="25" s="1"/>
  <c r="G50" i="25"/>
  <c r="F50" i="25" s="1"/>
  <c r="E55" i="25"/>
  <c r="G55" i="25" s="1"/>
  <c r="F55" i="25" s="1"/>
  <c r="G58" i="25"/>
  <c r="F58" i="25" s="1"/>
  <c r="G8" i="25"/>
  <c r="F8" i="25" s="1"/>
  <c r="E9" i="25"/>
  <c r="G9" i="25" s="1"/>
  <c r="F9" i="25" s="1"/>
  <c r="E11" i="25"/>
  <c r="G11" i="25" s="1"/>
  <c r="F11" i="25" s="1"/>
  <c r="E13" i="25"/>
  <c r="G13" i="25" s="1"/>
  <c r="F13" i="25" s="1"/>
  <c r="E15" i="25"/>
  <c r="G15" i="25" s="1"/>
  <c r="F15" i="25" s="1"/>
  <c r="E29" i="25"/>
  <c r="G29" i="25" s="1"/>
  <c r="F29" i="25" s="1"/>
  <c r="H30" i="25"/>
  <c r="J30" i="25" s="1"/>
  <c r="I30" i="25" s="1"/>
  <c r="E48" i="25"/>
  <c r="G48" i="25" s="1"/>
  <c r="F48" i="25" s="1"/>
  <c r="G52" i="25"/>
  <c r="F52" i="25" s="1"/>
  <c r="G56" i="25"/>
  <c r="F56" i="25" s="1"/>
  <c r="G60" i="25"/>
  <c r="F60" i="25" s="1"/>
  <c r="E62" i="25"/>
  <c r="G62" i="25" s="1"/>
  <c r="F62" i="25" s="1"/>
  <c r="E63" i="25"/>
  <c r="G63" i="25" s="1"/>
  <c r="F63" i="25" s="1"/>
  <c r="E66" i="25"/>
  <c r="G66" i="25" s="1"/>
  <c r="F66" i="25" s="1"/>
  <c r="E67" i="25"/>
  <c r="G67" i="25" s="1"/>
  <c r="F67" i="25" s="1"/>
  <c r="J69" i="25"/>
  <c r="I69" i="25" s="1"/>
  <c r="H70" i="25"/>
  <c r="J70" i="25" s="1"/>
  <c r="I70" i="25" s="1"/>
  <c r="H74" i="25"/>
  <c r="J74" i="25" s="1"/>
  <c r="I74" i="25" s="1"/>
  <c r="J80" i="25"/>
  <c r="I80" i="25" s="1"/>
  <c r="H101" i="25"/>
  <c r="J101" i="25" s="1"/>
  <c r="I101" i="25" s="1"/>
  <c r="C122" i="25"/>
  <c r="C127" i="25"/>
  <c r="H128" i="25"/>
  <c r="J128" i="25" s="1"/>
  <c r="I128" i="25" s="1"/>
  <c r="E80" i="25"/>
  <c r="G80" i="25" s="1"/>
  <c r="F80" i="25" s="1"/>
  <c r="H24" i="25"/>
  <c r="J24" i="25" s="1"/>
  <c r="I24" i="25" s="1"/>
  <c r="C24" i="25"/>
  <c r="E86" i="25"/>
  <c r="G86" i="25" s="1"/>
  <c r="F86" i="25" s="1"/>
  <c r="E76" i="25"/>
  <c r="G76" i="25" s="1"/>
  <c r="F76" i="25" s="1"/>
  <c r="E69" i="25"/>
  <c r="G69" i="25" s="1"/>
  <c r="F69" i="25" s="1"/>
  <c r="E151" i="25"/>
  <c r="G151" i="25" s="1"/>
  <c r="F151" i="25" s="1"/>
  <c r="E140" i="25"/>
  <c r="G140" i="25" s="1"/>
  <c r="F140" i="25" s="1"/>
  <c r="E148" i="25"/>
  <c r="G148" i="25" s="1"/>
  <c r="F148" i="25" s="1"/>
  <c r="E139" i="25"/>
  <c r="G139" i="25" s="1"/>
  <c r="F139" i="25" s="1"/>
  <c r="E115" i="25"/>
  <c r="G115" i="25" s="1"/>
  <c r="F115" i="25" s="1"/>
  <c r="E96" i="25"/>
  <c r="G96" i="25" s="1"/>
  <c r="F96" i="25" s="1"/>
  <c r="E12" i="25"/>
  <c r="G12" i="25" s="1"/>
  <c r="F12" i="25" s="1"/>
  <c r="E109" i="25"/>
  <c r="G109" i="25" s="1"/>
  <c r="F109" i="25" s="1"/>
  <c r="E110" i="25"/>
  <c r="G110" i="25" s="1"/>
  <c r="F110" i="25" s="1"/>
  <c r="E84" i="25"/>
  <c r="G84" i="25" s="1"/>
  <c r="F84" i="25" s="1"/>
  <c r="E127" i="25"/>
  <c r="G127" i="25" s="1"/>
  <c r="F127" i="25" s="1"/>
  <c r="E20" i="25"/>
  <c r="G20" i="25" s="1"/>
  <c r="F20" i="25" s="1"/>
  <c r="E94" i="25"/>
  <c r="G94" i="25" s="1"/>
  <c r="F94" i="25" s="1"/>
  <c r="J123" i="25"/>
  <c r="I123" i="25" s="1"/>
  <c r="J104" i="25"/>
  <c r="I104" i="25" s="1"/>
  <c r="J8" i="25"/>
  <c r="I8" i="25" s="1"/>
  <c r="G10" i="25"/>
  <c r="F10" i="25" s="1"/>
  <c r="G88" i="25"/>
  <c r="F88" i="25" s="1"/>
  <c r="G17" i="25"/>
  <c r="F17" i="25" s="1"/>
  <c r="H20" i="25"/>
  <c r="J20" i="25" s="1"/>
  <c r="I20" i="25" s="1"/>
  <c r="C20" i="25"/>
  <c r="G24" i="25"/>
  <c r="F24" i="25" s="1"/>
  <c r="E33" i="25"/>
  <c r="G33" i="25" s="1"/>
  <c r="F33" i="25" s="1"/>
  <c r="J34" i="25"/>
  <c r="I34" i="25" s="1"/>
  <c r="G37" i="25"/>
  <c r="F37" i="25" s="1"/>
  <c r="G41" i="25"/>
  <c r="F41" i="25" s="1"/>
  <c r="E45" i="25"/>
  <c r="G45" i="25" s="1"/>
  <c r="F45" i="25" s="1"/>
  <c r="G49" i="25"/>
  <c r="F49" i="25" s="1"/>
  <c r="J50" i="25"/>
  <c r="I50" i="25" s="1"/>
  <c r="G53" i="25"/>
  <c r="F53" i="25" s="1"/>
  <c r="G57" i="25"/>
  <c r="F57" i="25" s="1"/>
  <c r="G65" i="25"/>
  <c r="F65" i="25" s="1"/>
  <c r="J66" i="25"/>
  <c r="I66" i="25" s="1"/>
  <c r="J72" i="25"/>
  <c r="I72" i="25" s="1"/>
  <c r="G73" i="25"/>
  <c r="F73" i="25" s="1"/>
  <c r="J75" i="25"/>
  <c r="I75" i="25" s="1"/>
  <c r="H12" i="25"/>
  <c r="J12" i="25" s="1"/>
  <c r="I12" i="25" s="1"/>
  <c r="C12" i="25"/>
  <c r="G16" i="25"/>
  <c r="F16" i="25" s="1"/>
  <c r="H16" i="25"/>
  <c r="J16" i="25" s="1"/>
  <c r="I16" i="25" s="1"/>
  <c r="C16" i="25"/>
  <c r="E19" i="25"/>
  <c r="G19" i="25" s="1"/>
  <c r="F19" i="25" s="1"/>
  <c r="H22" i="25"/>
  <c r="J22" i="25" s="1"/>
  <c r="I22" i="25" s="1"/>
  <c r="C22" i="25"/>
  <c r="J23" i="25"/>
  <c r="I23" i="25" s="1"/>
  <c r="G28" i="25"/>
  <c r="F28" i="25" s="1"/>
  <c r="H29" i="25"/>
  <c r="J29" i="25" s="1"/>
  <c r="I29" i="25" s="1"/>
  <c r="C29" i="25"/>
  <c r="J31" i="25"/>
  <c r="I31" i="25" s="1"/>
  <c r="J39" i="25"/>
  <c r="I39" i="25" s="1"/>
  <c r="J51" i="25"/>
  <c r="I51" i="25" s="1"/>
  <c r="J63" i="25"/>
  <c r="I63" i="25" s="1"/>
  <c r="G72" i="25"/>
  <c r="F72" i="25" s="1"/>
  <c r="G75" i="25"/>
  <c r="F75" i="25" s="1"/>
  <c r="H10" i="25"/>
  <c r="J10" i="25" s="1"/>
  <c r="I10" i="25" s="1"/>
  <c r="C10" i="25"/>
  <c r="H14" i="25"/>
  <c r="J14" i="25" s="1"/>
  <c r="I14" i="25" s="1"/>
  <c r="C14" i="25"/>
  <c r="H18" i="25"/>
  <c r="J18" i="25" s="1"/>
  <c r="I18" i="25" s="1"/>
  <c r="C18" i="25"/>
  <c r="J19" i="25"/>
  <c r="I19" i="25" s="1"/>
  <c r="H32" i="25"/>
  <c r="J32" i="25" s="1"/>
  <c r="I32" i="25" s="1"/>
  <c r="C32" i="25"/>
  <c r="J33" i="25"/>
  <c r="I33" i="25" s="1"/>
  <c r="H36" i="25"/>
  <c r="J36" i="25" s="1"/>
  <c r="I36" i="25" s="1"/>
  <c r="C36" i="25"/>
  <c r="J37" i="25"/>
  <c r="I37" i="25" s="1"/>
  <c r="H40" i="25"/>
  <c r="J40" i="25" s="1"/>
  <c r="I40" i="25" s="1"/>
  <c r="C40" i="25"/>
  <c r="H44" i="25"/>
  <c r="J44" i="25" s="1"/>
  <c r="I44" i="25" s="1"/>
  <c r="C44" i="25"/>
  <c r="H48" i="25"/>
  <c r="J48" i="25" s="1"/>
  <c r="I48" i="25" s="1"/>
  <c r="C48" i="25"/>
  <c r="J49" i="25"/>
  <c r="I49" i="25" s="1"/>
  <c r="H52" i="25"/>
  <c r="J52" i="25" s="1"/>
  <c r="I52" i="25" s="1"/>
  <c r="C52" i="25"/>
  <c r="H56" i="25"/>
  <c r="J56" i="25" s="1"/>
  <c r="I56" i="25" s="1"/>
  <c r="C56" i="25"/>
  <c r="H60" i="25"/>
  <c r="J60" i="25" s="1"/>
  <c r="I60" i="25" s="1"/>
  <c r="C60" i="25"/>
  <c r="H64" i="25"/>
  <c r="J64" i="25" s="1"/>
  <c r="I64" i="25" s="1"/>
  <c r="C64" i="25"/>
  <c r="J65" i="25"/>
  <c r="I65" i="25" s="1"/>
  <c r="G71" i="25"/>
  <c r="F71" i="25" s="1"/>
  <c r="J73" i="25"/>
  <c r="I73" i="25" s="1"/>
  <c r="E74" i="25"/>
  <c r="G74" i="25" s="1"/>
  <c r="F74" i="25" s="1"/>
  <c r="E77" i="25"/>
  <c r="G77" i="25" s="1"/>
  <c r="F77" i="25" s="1"/>
  <c r="G81" i="25"/>
  <c r="F81" i="25" s="1"/>
  <c r="J88" i="25"/>
  <c r="I88" i="25" s="1"/>
  <c r="H100" i="25"/>
  <c r="J100" i="25" s="1"/>
  <c r="I100" i="25" s="1"/>
  <c r="C100" i="25"/>
  <c r="G104" i="25"/>
  <c r="F104" i="25" s="1"/>
  <c r="G112" i="25"/>
  <c r="F112" i="25" s="1"/>
  <c r="E128" i="25"/>
  <c r="G128" i="25" s="1"/>
  <c r="F128" i="25" s="1"/>
  <c r="H134" i="25"/>
  <c r="J134" i="25" s="1"/>
  <c r="I134" i="25" s="1"/>
  <c r="C134" i="25"/>
  <c r="E157" i="25"/>
  <c r="G157" i="25" s="1"/>
  <c r="F157" i="25" s="1"/>
  <c r="E131" i="25"/>
  <c r="G131" i="25" s="1"/>
  <c r="F131" i="25" s="1"/>
  <c r="E119" i="25"/>
  <c r="G119" i="25" s="1"/>
  <c r="F119" i="25" s="1"/>
  <c r="E143" i="25"/>
  <c r="G143" i="25" s="1"/>
  <c r="F143" i="25" s="1"/>
  <c r="E121" i="25"/>
  <c r="G121" i="25" s="1"/>
  <c r="F121" i="25" s="1"/>
  <c r="G102" i="25"/>
  <c r="F102" i="25" s="1"/>
  <c r="E100" i="25"/>
  <c r="G100" i="25" s="1"/>
  <c r="F100" i="25" s="1"/>
  <c r="E101" i="25"/>
  <c r="G101" i="25" s="1"/>
  <c r="F101" i="25" s="1"/>
  <c r="E120" i="25"/>
  <c r="G120" i="25" s="1"/>
  <c r="F120" i="25" s="1"/>
  <c r="E123" i="25"/>
  <c r="G123" i="25" s="1"/>
  <c r="F123" i="25" s="1"/>
  <c r="C68" i="25"/>
  <c r="C72" i="25"/>
  <c r="H77" i="25"/>
  <c r="J77" i="25" s="1"/>
  <c r="I77" i="25" s="1"/>
  <c r="J78" i="25"/>
  <c r="I78" i="25" s="1"/>
  <c r="E79" i="25"/>
  <c r="G79" i="25" s="1"/>
  <c r="F79" i="25" s="1"/>
  <c r="E83" i="25"/>
  <c r="G83" i="25" s="1"/>
  <c r="F83" i="25" s="1"/>
  <c r="J84" i="25"/>
  <c r="I84" i="25" s="1"/>
  <c r="J86" i="25"/>
  <c r="I86" i="25" s="1"/>
  <c r="H92" i="25"/>
  <c r="J92" i="25" s="1"/>
  <c r="I92" i="25" s="1"/>
  <c r="C92" i="25"/>
  <c r="E124" i="25"/>
  <c r="G124" i="25" s="1"/>
  <c r="F124" i="25" s="1"/>
  <c r="H139" i="25"/>
  <c r="J139" i="25" s="1"/>
  <c r="I139" i="25" s="1"/>
  <c r="C139" i="25"/>
  <c r="E141" i="25"/>
  <c r="G141" i="25" s="1"/>
  <c r="F141" i="25" s="1"/>
  <c r="E85" i="25"/>
  <c r="G85" i="25" s="1"/>
  <c r="F85" i="25" s="1"/>
  <c r="G98" i="25"/>
  <c r="F98" i="25" s="1"/>
  <c r="E158" i="25"/>
  <c r="G158" i="25" s="1"/>
  <c r="F158" i="25" s="1"/>
  <c r="C28" i="25"/>
  <c r="C33" i="25"/>
  <c r="C37" i="25"/>
  <c r="C41" i="25"/>
  <c r="C45" i="25"/>
  <c r="C49" i="25"/>
  <c r="C53" i="25"/>
  <c r="C57" i="25"/>
  <c r="C61" i="25"/>
  <c r="C65" i="25"/>
  <c r="C69" i="25"/>
  <c r="C73" i="25"/>
  <c r="C76" i="25"/>
  <c r="H81" i="25"/>
  <c r="J81" i="25" s="1"/>
  <c r="I81" i="25" s="1"/>
  <c r="H85" i="25"/>
  <c r="J85" i="25" s="1"/>
  <c r="I85" i="25" s="1"/>
  <c r="H89" i="25"/>
  <c r="J89" i="25" s="1"/>
  <c r="I89" i="25" s="1"/>
  <c r="C89" i="25"/>
  <c r="J94" i="25"/>
  <c r="I94" i="25" s="1"/>
  <c r="J126" i="25"/>
  <c r="I126" i="25" s="1"/>
  <c r="E132" i="25"/>
  <c r="G132" i="25" s="1"/>
  <c r="F132" i="25" s="1"/>
  <c r="H143" i="25"/>
  <c r="J143" i="25" s="1"/>
  <c r="I143" i="25" s="1"/>
  <c r="C143" i="25"/>
  <c r="E144" i="25"/>
  <c r="G144" i="25" s="1"/>
  <c r="F144" i="25" s="1"/>
  <c r="E146" i="25"/>
  <c r="G146" i="25" s="1"/>
  <c r="F146" i="25" s="1"/>
  <c r="J152" i="25"/>
  <c r="I152" i="25" s="1"/>
  <c r="H155" i="25"/>
  <c r="J155" i="25" s="1"/>
  <c r="I155" i="25" s="1"/>
  <c r="C155" i="25"/>
  <c r="E87" i="25"/>
  <c r="G87" i="25" s="1"/>
  <c r="F87" i="25" s="1"/>
  <c r="J91" i="25"/>
  <c r="I91" i="25" s="1"/>
  <c r="J113" i="25"/>
  <c r="I113" i="25" s="1"/>
  <c r="E125" i="25"/>
  <c r="G125" i="25" s="1"/>
  <c r="F125" i="25" s="1"/>
  <c r="G136" i="25"/>
  <c r="F136" i="25" s="1"/>
  <c r="J149" i="25"/>
  <c r="I149" i="25" s="1"/>
  <c r="E155" i="25"/>
  <c r="G155" i="25" s="1"/>
  <c r="F155" i="25" s="1"/>
  <c r="D7" i="20" s="1"/>
  <c r="E108" i="25"/>
  <c r="G108" i="25" s="1"/>
  <c r="F108" i="25" s="1"/>
  <c r="E92" i="25"/>
  <c r="G92" i="25" s="1"/>
  <c r="F92" i="25" s="1"/>
  <c r="E18" i="25"/>
  <c r="G18" i="25" s="1"/>
  <c r="F18" i="25" s="1"/>
  <c r="G147" i="25"/>
  <c r="F147" i="25" s="1"/>
  <c r="E22" i="25"/>
  <c r="G22" i="25" s="1"/>
  <c r="F22" i="25" s="1"/>
  <c r="G156" i="25"/>
  <c r="F156" i="25" s="1"/>
  <c r="E152" i="25"/>
  <c r="G152" i="25" s="1"/>
  <c r="F152" i="25" s="1"/>
  <c r="C75" i="25"/>
  <c r="C80" i="25"/>
  <c r="H83" i="25"/>
  <c r="J83" i="25" s="1"/>
  <c r="I83" i="25" s="1"/>
  <c r="E89" i="25"/>
  <c r="G89" i="25" s="1"/>
  <c r="F89" i="25" s="1"/>
  <c r="E93" i="25"/>
  <c r="G93" i="25" s="1"/>
  <c r="F93" i="25" s="1"/>
  <c r="H95" i="25"/>
  <c r="J95" i="25" s="1"/>
  <c r="I95" i="25" s="1"/>
  <c r="C95" i="25"/>
  <c r="J99" i="25"/>
  <c r="I99" i="25" s="1"/>
  <c r="E103" i="25"/>
  <c r="G103" i="25" s="1"/>
  <c r="F103" i="25" s="1"/>
  <c r="E105" i="25"/>
  <c r="G105" i="25" s="1"/>
  <c r="F105" i="25" s="1"/>
  <c r="E106" i="25"/>
  <c r="G106" i="25" s="1"/>
  <c r="F106" i="25" s="1"/>
  <c r="J108" i="25"/>
  <c r="I108" i="25" s="1"/>
  <c r="H111" i="25"/>
  <c r="J111" i="25" s="1"/>
  <c r="I111" i="25" s="1"/>
  <c r="C111" i="25"/>
  <c r="E113" i="25"/>
  <c r="G113" i="25" s="1"/>
  <c r="F113" i="25" s="1"/>
  <c r="J122" i="25"/>
  <c r="I122" i="25" s="1"/>
  <c r="H138" i="25"/>
  <c r="J138" i="25" s="1"/>
  <c r="I138" i="25" s="1"/>
  <c r="C138" i="25"/>
  <c r="J142" i="25"/>
  <c r="I142" i="25" s="1"/>
  <c r="E91" i="25"/>
  <c r="G91" i="25" s="1"/>
  <c r="F91" i="25" s="1"/>
  <c r="H105" i="25"/>
  <c r="J105" i="25" s="1"/>
  <c r="I105" i="25" s="1"/>
  <c r="E107" i="25"/>
  <c r="G107" i="25" s="1"/>
  <c r="F107" i="25" s="1"/>
  <c r="H112" i="25"/>
  <c r="J112" i="25" s="1"/>
  <c r="I112" i="25" s="1"/>
  <c r="H116" i="25"/>
  <c r="J116" i="25" s="1"/>
  <c r="I116" i="25" s="1"/>
  <c r="E117" i="25"/>
  <c r="G117" i="25" s="1"/>
  <c r="F117" i="25" s="1"/>
  <c r="H120" i="25"/>
  <c r="J120" i="25" s="1"/>
  <c r="I120" i="25" s="1"/>
  <c r="J127" i="25"/>
  <c r="I127" i="25" s="1"/>
  <c r="H130" i="25"/>
  <c r="J130" i="25" s="1"/>
  <c r="I130" i="25" s="1"/>
  <c r="C130" i="25"/>
  <c r="H131" i="25"/>
  <c r="J131" i="25" s="1"/>
  <c r="I131" i="25" s="1"/>
  <c r="C131" i="25"/>
  <c r="J132" i="25"/>
  <c r="I132" i="25" s="1"/>
  <c r="E133" i="25"/>
  <c r="G133" i="25" s="1"/>
  <c r="F133" i="25" s="1"/>
  <c r="H135" i="25"/>
  <c r="J135" i="25" s="1"/>
  <c r="I135" i="25" s="1"/>
  <c r="C135" i="25"/>
  <c r="E138" i="25"/>
  <c r="G138" i="25" s="1"/>
  <c r="F138" i="25" s="1"/>
  <c r="E142" i="25"/>
  <c r="G142" i="25" s="1"/>
  <c r="F142" i="25" s="1"/>
  <c r="J154" i="25"/>
  <c r="I154" i="25" s="1"/>
  <c r="J158" i="25"/>
  <c r="I158" i="25" s="1"/>
  <c r="E95" i="25"/>
  <c r="G95" i="25" s="1"/>
  <c r="F95" i="25" s="1"/>
  <c r="H109" i="25"/>
  <c r="J109" i="25" s="1"/>
  <c r="I109" i="25" s="1"/>
  <c r="E111" i="25"/>
  <c r="G111" i="25" s="1"/>
  <c r="F111" i="25" s="1"/>
  <c r="H114" i="25"/>
  <c r="J114" i="25" s="1"/>
  <c r="I114" i="25" s="1"/>
  <c r="C114" i="25"/>
  <c r="E130" i="25"/>
  <c r="G130" i="25" s="1"/>
  <c r="F130" i="25" s="1"/>
  <c r="E134" i="25"/>
  <c r="G134" i="25" s="1"/>
  <c r="F134" i="25" s="1"/>
  <c r="H159" i="25"/>
  <c r="J159" i="25" s="1"/>
  <c r="I159" i="25" s="1"/>
  <c r="C159" i="25"/>
  <c r="H97" i="25"/>
  <c r="J97" i="25" s="1"/>
  <c r="I97" i="25" s="1"/>
  <c r="E99" i="25"/>
  <c r="G99" i="25" s="1"/>
  <c r="F99" i="25" s="1"/>
  <c r="C103" i="25"/>
  <c r="C108" i="25"/>
  <c r="E114" i="25"/>
  <c r="G114" i="25" s="1"/>
  <c r="F114" i="25" s="1"/>
  <c r="E116" i="25"/>
  <c r="G116" i="25" s="1"/>
  <c r="F116" i="25" s="1"/>
  <c r="J117" i="25"/>
  <c r="I117" i="25" s="1"/>
  <c r="E118" i="25"/>
  <c r="G118" i="25" s="1"/>
  <c r="F118" i="25" s="1"/>
  <c r="H119" i="25"/>
  <c r="J119" i="25" s="1"/>
  <c r="I119" i="25" s="1"/>
  <c r="C119" i="25"/>
  <c r="E122" i="25"/>
  <c r="G122" i="25" s="1"/>
  <c r="F122" i="25" s="1"/>
  <c r="H146" i="25"/>
  <c r="J146" i="25" s="1"/>
  <c r="I146" i="25" s="1"/>
  <c r="C146" i="25"/>
  <c r="H147" i="25"/>
  <c r="J147" i="25" s="1"/>
  <c r="I147" i="25" s="1"/>
  <c r="C147" i="25"/>
  <c r="E149" i="25"/>
  <c r="G149" i="25" s="1"/>
  <c r="F149" i="25" s="1"/>
  <c r="E150" i="25"/>
  <c r="G150" i="25" s="1"/>
  <c r="F150" i="25" s="1"/>
  <c r="E153" i="25"/>
  <c r="G153" i="25" s="1"/>
  <c r="F153" i="25" s="1"/>
  <c r="E154" i="25"/>
  <c r="G154" i="25" s="1"/>
  <c r="F154" i="25" s="1"/>
  <c r="E159" i="25"/>
  <c r="G159" i="25" s="1"/>
  <c r="F159" i="25" s="1"/>
  <c r="H124" i="25"/>
  <c r="J124" i="25" s="1"/>
  <c r="I124" i="25" s="1"/>
  <c r="J125" i="25"/>
  <c r="I125" i="25" s="1"/>
  <c r="E126" i="25"/>
  <c r="G126" i="25" s="1"/>
  <c r="F126" i="25" s="1"/>
  <c r="E129" i="25"/>
  <c r="G129" i="25" s="1"/>
  <c r="F129" i="25" s="1"/>
  <c r="E137" i="25"/>
  <c r="G137" i="25" s="1"/>
  <c r="F137" i="25" s="1"/>
  <c r="J141" i="25"/>
  <c r="I141" i="25" s="1"/>
  <c r="E145" i="25"/>
  <c r="G145" i="25" s="1"/>
  <c r="F145" i="25" s="1"/>
  <c r="H151" i="25"/>
  <c r="J151" i="25" s="1"/>
  <c r="I151" i="25" s="1"/>
  <c r="C151" i="25"/>
  <c r="C156" i="25"/>
  <c r="D6" i="20" l="1"/>
  <c r="D17" i="20"/>
  <c r="D10" i="20"/>
  <c r="D9" i="20" l="1"/>
  <c r="D13" i="20" s="1"/>
  <c r="C35" i="5" l="1"/>
  <c r="D35" i="5"/>
  <c r="D36" i="5" s="1"/>
  <c r="E35" i="5"/>
  <c r="E36" i="5" s="1"/>
  <c r="D30" i="9"/>
  <c r="E30" i="9"/>
  <c r="C30" i="9"/>
  <c r="D22" i="7"/>
  <c r="E22" i="7"/>
  <c r="C22" i="7"/>
  <c r="I36" i="5" l="1"/>
  <c r="H36" i="5"/>
  <c r="J36" i="5"/>
  <c r="K36" i="5"/>
  <c r="C36" i="5"/>
  <c r="G36" i="5"/>
  <c r="D18" i="7" l="1"/>
  <c r="E18" i="7"/>
  <c r="C18" i="7"/>
  <c r="D11" i="7"/>
  <c r="E11" i="7"/>
  <c r="C11" i="7"/>
  <c r="D21" i="9"/>
  <c r="D10" i="7" s="1"/>
  <c r="D18" i="6" s="1"/>
  <c r="E21" i="9"/>
  <c r="E10" i="7" s="1"/>
  <c r="C21" i="9"/>
  <c r="C10" i="7" s="1"/>
  <c r="D18" i="9"/>
  <c r="D7" i="7" s="1"/>
  <c r="E18" i="9"/>
  <c r="E7" i="7" s="1"/>
  <c r="C18" i="9"/>
  <c r="C7" i="7" s="1"/>
  <c r="F12" i="5"/>
  <c r="F15" i="5" s="1"/>
  <c r="F19" i="5" s="1"/>
  <c r="D6" i="9"/>
  <c r="D9" i="7" s="1"/>
  <c r="E6" i="9"/>
  <c r="E9" i="7" s="1"/>
  <c r="D9" i="9"/>
  <c r="D8" i="7" s="1"/>
  <c r="E9" i="9"/>
  <c r="E8" i="7" s="1"/>
  <c r="D12" i="9"/>
  <c r="D15" i="7" s="1"/>
  <c r="E12" i="9"/>
  <c r="E15" i="7" s="1"/>
  <c r="D15" i="9"/>
  <c r="D5" i="7" s="1"/>
  <c r="E15" i="9"/>
  <c r="E5" i="7" s="1"/>
  <c r="D24" i="9"/>
  <c r="D6" i="7" s="1"/>
  <c r="E24" i="9"/>
  <c r="E6" i="7" s="1"/>
  <c r="D27" i="9"/>
  <c r="D16" i="7" s="1"/>
  <c r="E27" i="9"/>
  <c r="E16" i="7" s="1"/>
  <c r="C27" i="9"/>
  <c r="C16" i="7" s="1"/>
  <c r="C24" i="9"/>
  <c r="C6" i="7" s="1"/>
  <c r="C15" i="9"/>
  <c r="C5" i="7" s="1"/>
  <c r="C12" i="9"/>
  <c r="C15" i="7" s="1"/>
  <c r="C6" i="19" s="1"/>
  <c r="C9" i="9"/>
  <c r="C8" i="7" s="1"/>
  <c r="C4" i="19" s="1"/>
  <c r="C6" i="9"/>
  <c r="C9" i="7" s="1"/>
  <c r="C5" i="19" s="1"/>
  <c r="D24" i="8"/>
  <c r="D11" i="5" s="1"/>
  <c r="E24" i="8"/>
  <c r="E11" i="5" s="1"/>
  <c r="C24" i="8"/>
  <c r="C11" i="5" s="1"/>
  <c r="E48" i="8"/>
  <c r="D48" i="8"/>
  <c r="C48" i="8"/>
  <c r="E42" i="8"/>
  <c r="E18" i="5" s="1"/>
  <c r="E24" i="6" s="1"/>
  <c r="D42" i="8"/>
  <c r="D18" i="5" s="1"/>
  <c r="D24" i="6" s="1"/>
  <c r="C42" i="8"/>
  <c r="C18" i="5" s="1"/>
  <c r="E36" i="8"/>
  <c r="E17" i="5" s="1"/>
  <c r="E28" i="6" s="1"/>
  <c r="D36" i="8"/>
  <c r="C36" i="8"/>
  <c r="E30" i="8"/>
  <c r="E14" i="5" s="1"/>
  <c r="E10" i="6" s="1"/>
  <c r="D30" i="8"/>
  <c r="D14" i="5" s="1"/>
  <c r="D10" i="6" s="1"/>
  <c r="C30" i="8"/>
  <c r="C14" i="5" s="1"/>
  <c r="D6" i="8"/>
  <c r="D31" i="9" s="1"/>
  <c r="E6" i="8"/>
  <c r="C6" i="8"/>
  <c r="C31" i="9" s="1"/>
  <c r="D18" i="8"/>
  <c r="D8" i="5" s="1"/>
  <c r="E18" i="8"/>
  <c r="E8" i="5" s="1"/>
  <c r="C18" i="8"/>
  <c r="C8" i="5" s="1"/>
  <c r="D12" i="8"/>
  <c r="D6" i="5" s="1"/>
  <c r="E12" i="8"/>
  <c r="E6" i="5" s="1"/>
  <c r="C12" i="8"/>
  <c r="F9" i="3"/>
  <c r="E9" i="3"/>
  <c r="D9" i="3"/>
  <c r="J18" i="3"/>
  <c r="J9" i="3"/>
  <c r="L18" i="3"/>
  <c r="K18" i="3"/>
  <c r="J7" i="7" l="1"/>
  <c r="K7" i="7"/>
  <c r="H7" i="7"/>
  <c r="G7" i="7"/>
  <c r="I7" i="7"/>
  <c r="D20" i="6"/>
  <c r="E18" i="6"/>
  <c r="D4" i="19"/>
  <c r="D13" i="6"/>
  <c r="E22" i="9"/>
  <c r="J22" i="9" s="1"/>
  <c r="C20" i="11"/>
  <c r="E30" i="6"/>
  <c r="E15" i="6"/>
  <c r="E6" i="19"/>
  <c r="E5" i="19"/>
  <c r="E14" i="6"/>
  <c r="E22" i="6"/>
  <c r="D30" i="6"/>
  <c r="D6" i="19"/>
  <c r="D15" i="6"/>
  <c r="D5" i="19"/>
  <c r="D14" i="6"/>
  <c r="D22" i="6"/>
  <c r="C7" i="19"/>
  <c r="E20" i="6"/>
  <c r="E4" i="19"/>
  <c r="E13" i="6"/>
  <c r="D13" i="8"/>
  <c r="J15" i="8" s="1"/>
  <c r="J13" i="8" s="1"/>
  <c r="C6" i="5"/>
  <c r="E13" i="8"/>
  <c r="K15" i="8" s="1"/>
  <c r="K13" i="8" s="1"/>
  <c r="D13" i="9"/>
  <c r="D11" i="19" s="1"/>
  <c r="D22" i="9"/>
  <c r="D37" i="8"/>
  <c r="E43" i="8"/>
  <c r="E25" i="9"/>
  <c r="J25" i="9" s="1"/>
  <c r="E13" i="9"/>
  <c r="E7" i="9"/>
  <c r="C20" i="7"/>
  <c r="C24" i="7" s="1"/>
  <c r="E25" i="8"/>
  <c r="E5" i="5"/>
  <c r="E37" i="8"/>
  <c r="C16" i="9"/>
  <c r="E28" i="9"/>
  <c r="J28" i="9" s="1"/>
  <c r="D25" i="9"/>
  <c r="D7" i="9"/>
  <c r="D9" i="19" s="1"/>
  <c r="C19" i="9"/>
  <c r="C25" i="8"/>
  <c r="C22" i="9"/>
  <c r="C5" i="5"/>
  <c r="C4" i="13" s="1"/>
  <c r="K22" i="9"/>
  <c r="H22" i="9"/>
  <c r="C37" i="8"/>
  <c r="D43" i="8"/>
  <c r="C43" i="8"/>
  <c r="C7" i="9"/>
  <c r="C9" i="19" s="1"/>
  <c r="C25" i="9"/>
  <c r="E31" i="9"/>
  <c r="I31" i="9" s="1"/>
  <c r="D5" i="5"/>
  <c r="C17" i="5"/>
  <c r="E19" i="9"/>
  <c r="I19" i="9" s="1"/>
  <c r="E20" i="7"/>
  <c r="C10" i="9"/>
  <c r="C10" i="19" s="1"/>
  <c r="C28" i="9"/>
  <c r="E16" i="9"/>
  <c r="I16" i="9" s="1"/>
  <c r="E10" i="9"/>
  <c r="C13" i="9"/>
  <c r="C11" i="19" s="1"/>
  <c r="D28" i="9"/>
  <c r="D16" i="9"/>
  <c r="D10" i="9"/>
  <c r="D10" i="19" s="1"/>
  <c r="D19" i="9"/>
  <c r="D20" i="7"/>
  <c r="D24" i="7" s="1"/>
  <c r="E13" i="7"/>
  <c r="C13" i="7"/>
  <c r="D13" i="7"/>
  <c r="I22" i="9"/>
  <c r="H19" i="9"/>
  <c r="J31" i="9"/>
  <c r="C31" i="8"/>
  <c r="E19" i="8"/>
  <c r="D19" i="8"/>
  <c r="E31" i="8"/>
  <c r="D31" i="8"/>
  <c r="C19" i="8"/>
  <c r="E7" i="8"/>
  <c r="D25" i="8"/>
  <c r="D7" i="8"/>
  <c r="J20" i="3"/>
  <c r="E7" i="5" l="1"/>
  <c r="E9" i="5" s="1"/>
  <c r="E4" i="13"/>
  <c r="D7" i="5"/>
  <c r="D9" i="5" s="1"/>
  <c r="D4" i="13"/>
  <c r="E17" i="6"/>
  <c r="G22" i="9"/>
  <c r="J10" i="9"/>
  <c r="J10" i="19" s="1"/>
  <c r="E10" i="19"/>
  <c r="I7" i="9"/>
  <c r="I9" i="19" s="1"/>
  <c r="E9" i="19"/>
  <c r="D17" i="6"/>
  <c r="E7" i="19"/>
  <c r="I13" i="9"/>
  <c r="I11" i="19" s="1"/>
  <c r="E11" i="19"/>
  <c r="D7" i="19"/>
  <c r="E24" i="7"/>
  <c r="E29" i="7" s="1"/>
  <c r="I15" i="8"/>
  <c r="I13" i="8" s="1"/>
  <c r="H7" i="9"/>
  <c r="H9" i="19" s="1"/>
  <c r="C29" i="7"/>
  <c r="G31" i="9"/>
  <c r="I10" i="9"/>
  <c r="I10" i="19" s="1"/>
  <c r="C7" i="5"/>
  <c r="C9" i="5" s="1"/>
  <c r="G25" i="9"/>
  <c r="K10" i="9"/>
  <c r="K10" i="19" s="1"/>
  <c r="K31" i="9"/>
  <c r="K25" i="9"/>
  <c r="G15" i="8"/>
  <c r="G13" i="8" s="1"/>
  <c r="G12" i="8" s="1"/>
  <c r="J7" i="9"/>
  <c r="J9" i="19" s="1"/>
  <c r="H15" i="8"/>
  <c r="H13" i="8" s="1"/>
  <c r="G13" i="9"/>
  <c r="G11" i="19" s="1"/>
  <c r="K13" i="9"/>
  <c r="K11" i="19" s="1"/>
  <c r="J13" i="9"/>
  <c r="J11" i="19" s="1"/>
  <c r="H13" i="9"/>
  <c r="H11" i="19" s="1"/>
  <c r="G45" i="8"/>
  <c r="G7" i="9"/>
  <c r="G9" i="19" s="1"/>
  <c r="K7" i="9"/>
  <c r="K9" i="19" s="1"/>
  <c r="J16" i="9"/>
  <c r="H10" i="9"/>
  <c r="H10" i="19" s="1"/>
  <c r="I28" i="9"/>
  <c r="I25" i="9"/>
  <c r="D29" i="7"/>
  <c r="G10" i="9"/>
  <c r="G10" i="19" s="1"/>
  <c r="H31" i="9"/>
  <c r="H25" i="9"/>
  <c r="J19" i="8"/>
  <c r="H19" i="8"/>
  <c r="K19" i="8"/>
  <c r="I19" i="8"/>
  <c r="G21" i="8"/>
  <c r="H9" i="8"/>
  <c r="H7" i="8" s="1"/>
  <c r="G9" i="8"/>
  <c r="G7" i="8" s="1"/>
  <c r="G6" i="8" s="1"/>
  <c r="K9" i="8"/>
  <c r="K7" i="8" s="1"/>
  <c r="I9" i="8"/>
  <c r="I7" i="8" s="1"/>
  <c r="J9" i="8"/>
  <c r="J7" i="8" s="1"/>
  <c r="I31" i="8"/>
  <c r="J31" i="8"/>
  <c r="K31" i="8"/>
  <c r="H31" i="8"/>
  <c r="G33" i="8"/>
  <c r="G19" i="9"/>
  <c r="K19" i="9"/>
  <c r="I37" i="8"/>
  <c r="H37" i="8"/>
  <c r="G39" i="8"/>
  <c r="K37" i="8"/>
  <c r="J37" i="8"/>
  <c r="K16" i="9"/>
  <c r="H16" i="9"/>
  <c r="G16" i="9"/>
  <c r="J19" i="9"/>
  <c r="K25" i="8"/>
  <c r="G27" i="8"/>
  <c r="J25" i="8"/>
  <c r="H25" i="8"/>
  <c r="I25" i="8"/>
  <c r="G28" i="9"/>
  <c r="K28" i="9"/>
  <c r="H28" i="9"/>
  <c r="K43" i="8"/>
  <c r="H43" i="8"/>
  <c r="I43" i="8"/>
  <c r="J43" i="8"/>
  <c r="D12" i="5" l="1"/>
  <c r="D27" i="5"/>
  <c r="C12" i="5"/>
  <c r="C27" i="5"/>
  <c r="E12" i="5"/>
  <c r="E27" i="5"/>
  <c r="D29" i="20"/>
  <c r="D19" i="20" s="1"/>
  <c r="G30" i="9"/>
  <c r="G18" i="7" s="1"/>
  <c r="G6" i="5"/>
  <c r="H12" i="8"/>
  <c r="G43" i="8"/>
  <c r="G27" i="9"/>
  <c r="G16" i="7" s="1"/>
  <c r="G30" i="6"/>
  <c r="G24" i="9"/>
  <c r="G6" i="7" s="1"/>
  <c r="G6" i="9"/>
  <c r="G9" i="7" s="1"/>
  <c r="G15" i="9"/>
  <c r="G5" i="7" s="1"/>
  <c r="G25" i="8"/>
  <c r="G24" i="8" s="1"/>
  <c r="G11" i="5" s="1"/>
  <c r="G37" i="8"/>
  <c r="G36" i="8" s="1"/>
  <c r="G17" i="5" s="1"/>
  <c r="G28" i="6" s="1"/>
  <c r="G31" i="8"/>
  <c r="G30" i="8" s="1"/>
  <c r="G14" i="5" s="1"/>
  <c r="G18" i="9"/>
  <c r="G5" i="5"/>
  <c r="G21" i="9"/>
  <c r="G10" i="7" s="1"/>
  <c r="H6" i="8"/>
  <c r="H24" i="8" s="1"/>
  <c r="H11" i="5" s="1"/>
  <c r="G19" i="8"/>
  <c r="G18" i="8" s="1"/>
  <c r="E15" i="5" l="1"/>
  <c r="E5" i="13"/>
  <c r="E6" i="13" s="1"/>
  <c r="E28" i="5"/>
  <c r="C15" i="5"/>
  <c r="C5" i="13"/>
  <c r="C6" i="13" s="1"/>
  <c r="C28" i="5"/>
  <c r="D15" i="5"/>
  <c r="D5" i="13"/>
  <c r="D6" i="13" s="1"/>
  <c r="D28" i="5"/>
  <c r="D20" i="20"/>
  <c r="D21" i="20" s="1"/>
  <c r="D22" i="20" s="1"/>
  <c r="G42" i="8"/>
  <c r="G18" i="5" s="1"/>
  <c r="G24" i="6" s="1"/>
  <c r="G22" i="6"/>
  <c r="G7" i="5"/>
  <c r="G4" i="13"/>
  <c r="G5" i="19"/>
  <c r="G14" i="6"/>
  <c r="G18" i="6"/>
  <c r="G20" i="6"/>
  <c r="G10" i="6"/>
  <c r="I12" i="8"/>
  <c r="H6" i="5"/>
  <c r="H27" i="9"/>
  <c r="H16" i="7" s="1"/>
  <c r="H15" i="9"/>
  <c r="H5" i="7" s="1"/>
  <c r="H36" i="8"/>
  <c r="H17" i="5" s="1"/>
  <c r="H28" i="6" s="1"/>
  <c r="H21" i="9"/>
  <c r="H10" i="7" s="1"/>
  <c r="H18" i="9"/>
  <c r="H5" i="5"/>
  <c r="H4" i="13" s="1"/>
  <c r="H30" i="6"/>
  <c r="H18" i="8"/>
  <c r="H6" i="9"/>
  <c r="H9" i="7" s="1"/>
  <c r="H24" i="9"/>
  <c r="H6" i="7" s="1"/>
  <c r="H30" i="9"/>
  <c r="H18" i="7" s="1"/>
  <c r="I6" i="8"/>
  <c r="H30" i="8"/>
  <c r="H14" i="5" s="1"/>
  <c r="G8" i="5"/>
  <c r="G9" i="9"/>
  <c r="G8" i="7" s="1"/>
  <c r="G12" i="9"/>
  <c r="G15" i="7" s="1"/>
  <c r="H42" i="8"/>
  <c r="H18" i="5" s="1"/>
  <c r="H24" i="6" s="1"/>
  <c r="C19" i="5" l="1"/>
  <c r="C29" i="5"/>
  <c r="D19" i="5"/>
  <c r="D5" i="6"/>
  <c r="D29" i="5"/>
  <c r="E19" i="5"/>
  <c r="E5" i="6"/>
  <c r="E29" i="5"/>
  <c r="G11" i="11"/>
  <c r="K11" i="11"/>
  <c r="J11" i="11"/>
  <c r="I11" i="11"/>
  <c r="H11" i="11"/>
  <c r="G9" i="5"/>
  <c r="G27" i="5" s="1"/>
  <c r="H5" i="19"/>
  <c r="H14" i="6"/>
  <c r="H22" i="6"/>
  <c r="G20" i="7"/>
  <c r="G6" i="19"/>
  <c r="G15" i="6"/>
  <c r="H18" i="6"/>
  <c r="G4" i="19"/>
  <c r="G13" i="6"/>
  <c r="H20" i="6"/>
  <c r="H10" i="6"/>
  <c r="G12" i="5"/>
  <c r="G5" i="13" s="1"/>
  <c r="G6" i="13" s="1"/>
  <c r="H7" i="5"/>
  <c r="J12" i="8"/>
  <c r="I6" i="5"/>
  <c r="I21" i="9"/>
  <c r="I10" i="7" s="1"/>
  <c r="I18" i="9"/>
  <c r="I5" i="5"/>
  <c r="I4" i="13" s="1"/>
  <c r="I24" i="9"/>
  <c r="I6" i="7" s="1"/>
  <c r="I6" i="9"/>
  <c r="I9" i="7" s="1"/>
  <c r="I30" i="9"/>
  <c r="I18" i="7" s="1"/>
  <c r="I27" i="9"/>
  <c r="I16" i="7" s="1"/>
  <c r="I15" i="9"/>
  <c r="I5" i="7" s="1"/>
  <c r="I30" i="6"/>
  <c r="I42" i="8"/>
  <c r="I18" i="5" s="1"/>
  <c r="I24" i="6" s="1"/>
  <c r="I30" i="8"/>
  <c r="I14" i="5" s="1"/>
  <c r="J6" i="8"/>
  <c r="I24" i="8"/>
  <c r="I11" i="5" s="1"/>
  <c r="I36" i="8"/>
  <c r="I17" i="5" s="1"/>
  <c r="I28" i="6" s="1"/>
  <c r="I18" i="8"/>
  <c r="H8" i="5"/>
  <c r="H12" i="9"/>
  <c r="H15" i="7" s="1"/>
  <c r="H9" i="9"/>
  <c r="H8" i="7" s="1"/>
  <c r="D24" i="5" l="1"/>
  <c r="D30" i="5"/>
  <c r="E24" i="5"/>
  <c r="E30" i="5"/>
  <c r="C24" i="5"/>
  <c r="C30" i="5"/>
  <c r="G7" i="19"/>
  <c r="H4" i="19"/>
  <c r="H13" i="6"/>
  <c r="I22" i="6"/>
  <c r="H20" i="7"/>
  <c r="H15" i="6"/>
  <c r="H6" i="19"/>
  <c r="I5" i="19"/>
  <c r="I14" i="6"/>
  <c r="I18" i="6"/>
  <c r="G17" i="6"/>
  <c r="I20" i="6"/>
  <c r="I10" i="6"/>
  <c r="G15" i="5"/>
  <c r="G28" i="5"/>
  <c r="I7" i="5"/>
  <c r="H9" i="5"/>
  <c r="K12" i="8"/>
  <c r="K6" i="5" s="1"/>
  <c r="J6" i="5"/>
  <c r="J21" i="9"/>
  <c r="J10" i="7" s="1"/>
  <c r="J5" i="5"/>
  <c r="J4" i="13" s="1"/>
  <c r="J18" i="9"/>
  <c r="J15" i="9"/>
  <c r="J5" i="7" s="1"/>
  <c r="J27" i="9"/>
  <c r="J16" i="7" s="1"/>
  <c r="J6" i="9"/>
  <c r="J9" i="7" s="1"/>
  <c r="J30" i="9"/>
  <c r="J18" i="7" s="1"/>
  <c r="J24" i="9"/>
  <c r="J6" i="7" s="1"/>
  <c r="J30" i="6"/>
  <c r="J18" i="8"/>
  <c r="J24" i="8"/>
  <c r="J11" i="5" s="1"/>
  <c r="K6" i="8"/>
  <c r="J36" i="8"/>
  <c r="J17" i="5" s="1"/>
  <c r="J28" i="6" s="1"/>
  <c r="J30" i="8"/>
  <c r="J14" i="5" s="1"/>
  <c r="J42" i="8"/>
  <c r="J18" i="5" s="1"/>
  <c r="J24" i="6" s="1"/>
  <c r="I8" i="5"/>
  <c r="I9" i="9"/>
  <c r="I8" i="7" s="1"/>
  <c r="I12" i="9"/>
  <c r="I15" i="7" s="1"/>
  <c r="D43" i="5" l="1"/>
  <c r="D31" i="6"/>
  <c r="D37" i="5"/>
  <c r="D38" i="5" s="1"/>
  <c r="D31" i="5"/>
  <c r="C31" i="5"/>
  <c r="C43" i="5"/>
  <c r="C37" i="5"/>
  <c r="C38" i="5" s="1"/>
  <c r="E43" i="5"/>
  <c r="E31" i="5"/>
  <c r="E31" i="6"/>
  <c r="E37" i="5"/>
  <c r="E38" i="5" s="1"/>
  <c r="H17" i="6"/>
  <c r="J18" i="6"/>
  <c r="J22" i="6"/>
  <c r="H7" i="19"/>
  <c r="I4" i="19"/>
  <c r="I13" i="6"/>
  <c r="I9" i="5"/>
  <c r="I27" i="5" s="1"/>
  <c r="I20" i="7"/>
  <c r="I15" i="6"/>
  <c r="I6" i="19"/>
  <c r="J5" i="19"/>
  <c r="J14" i="6"/>
  <c r="J10" i="6"/>
  <c r="J20" i="6"/>
  <c r="H12" i="5"/>
  <c r="H5" i="13" s="1"/>
  <c r="H6" i="13" s="1"/>
  <c r="H27" i="5"/>
  <c r="G19" i="5"/>
  <c r="G5" i="6"/>
  <c r="G29" i="5"/>
  <c r="J7" i="5"/>
  <c r="K18" i="9"/>
  <c r="K5" i="5"/>
  <c r="K21" i="9"/>
  <c r="K10" i="7" s="1"/>
  <c r="K24" i="9"/>
  <c r="K6" i="7" s="1"/>
  <c r="K30" i="9"/>
  <c r="K18" i="7" s="1"/>
  <c r="K6" i="9"/>
  <c r="K9" i="7" s="1"/>
  <c r="K27" i="9"/>
  <c r="K16" i="7" s="1"/>
  <c r="K15" i="9"/>
  <c r="K5" i="7" s="1"/>
  <c r="K30" i="6"/>
  <c r="K30" i="8"/>
  <c r="K14" i="5" s="1"/>
  <c r="K42" i="8"/>
  <c r="K18" i="5" s="1"/>
  <c r="K24" i="6" s="1"/>
  <c r="K24" i="8"/>
  <c r="K11" i="5" s="1"/>
  <c r="K36" i="8"/>
  <c r="K17" i="5" s="1"/>
  <c r="K28" i="6" s="1"/>
  <c r="K18" i="8"/>
  <c r="J8" i="5"/>
  <c r="J9" i="9"/>
  <c r="J8" i="7" s="1"/>
  <c r="J12" i="9"/>
  <c r="J15" i="7" s="1"/>
  <c r="B6" i="4"/>
  <c r="B7" i="4" s="1"/>
  <c r="B8" i="4" s="1"/>
  <c r="K22" i="6" l="1"/>
  <c r="I7" i="19"/>
  <c r="K7" i="5"/>
  <c r="K4" i="13"/>
  <c r="J20" i="7"/>
  <c r="J6" i="19"/>
  <c r="J15" i="6"/>
  <c r="K18" i="6"/>
  <c r="I12" i="5"/>
  <c r="I5" i="13" s="1"/>
  <c r="I6" i="13" s="1"/>
  <c r="I17" i="6"/>
  <c r="K5" i="19"/>
  <c r="K14" i="6"/>
  <c r="J4" i="19"/>
  <c r="J13" i="6"/>
  <c r="H15" i="5"/>
  <c r="H28" i="5"/>
  <c r="J9" i="5"/>
  <c r="K10" i="6"/>
  <c r="K20" i="6"/>
  <c r="G30" i="5"/>
  <c r="K8" i="5"/>
  <c r="K9" i="9"/>
  <c r="K8" i="7" s="1"/>
  <c r="K12" i="9"/>
  <c r="K15" i="7" s="1"/>
  <c r="F6" i="2"/>
  <c r="F11" i="2" s="1"/>
  <c r="F15" i="2" s="1"/>
  <c r="F20" i="2" s="1"/>
  <c r="F24" i="2" s="1"/>
  <c r="E6" i="2"/>
  <c r="E11" i="2" s="1"/>
  <c r="E15" i="2" s="1"/>
  <c r="E20" i="2" s="1"/>
  <c r="E24" i="2" s="1"/>
  <c r="D6" i="2"/>
  <c r="D11" i="2" s="1"/>
  <c r="D15" i="2" s="1"/>
  <c r="D20" i="2" s="1"/>
  <c r="J17" i="6" l="1"/>
  <c r="K9" i="5"/>
  <c r="K12" i="5" s="1"/>
  <c r="K5" i="13" s="1"/>
  <c r="K6" i="13" s="1"/>
  <c r="K20" i="7"/>
  <c r="K6" i="19"/>
  <c r="K15" i="6"/>
  <c r="I28" i="5"/>
  <c r="K4" i="19"/>
  <c r="K13" i="6"/>
  <c r="I15" i="5"/>
  <c r="I5" i="6" s="1"/>
  <c r="J7" i="19"/>
  <c r="J12" i="5"/>
  <c r="J5" i="13" s="1"/>
  <c r="J6" i="13" s="1"/>
  <c r="J27" i="5"/>
  <c r="H19" i="5"/>
  <c r="H5" i="6"/>
  <c r="H29" i="5"/>
  <c r="D24" i="2"/>
  <c r="D49" i="8"/>
  <c r="D22" i="5" s="1"/>
  <c r="D7" i="6" s="1"/>
  <c r="D6" i="6" s="1"/>
  <c r="E49" i="8"/>
  <c r="E22" i="5" s="1"/>
  <c r="E7" i="6" s="1"/>
  <c r="E6" i="6" s="1"/>
  <c r="C49" i="8"/>
  <c r="E28" i="2"/>
  <c r="E27" i="2"/>
  <c r="F28" i="2"/>
  <c r="F27" i="2"/>
  <c r="D16" i="3"/>
  <c r="F16" i="3"/>
  <c r="E16" i="3"/>
  <c r="L9" i="3"/>
  <c r="K9" i="3"/>
  <c r="E29" i="6" l="1"/>
  <c r="E8" i="6"/>
  <c r="E11" i="6" s="1"/>
  <c r="E26" i="6" s="1"/>
  <c r="E33" i="6" s="1"/>
  <c r="E37" i="6" s="1"/>
  <c r="E40" i="6" s="1"/>
  <c r="D29" i="6"/>
  <c r="D8" i="6"/>
  <c r="D11" i="6" s="1"/>
  <c r="D26" i="6" s="1"/>
  <c r="D33" i="6" s="1"/>
  <c r="D37" i="6" s="1"/>
  <c r="D40" i="6" s="1"/>
  <c r="K27" i="5"/>
  <c r="I29" i="5"/>
  <c r="I19" i="5"/>
  <c r="I30" i="5" s="1"/>
  <c r="K17" i="6"/>
  <c r="K7" i="19"/>
  <c r="J15" i="5"/>
  <c r="J28" i="5"/>
  <c r="H30" i="5"/>
  <c r="K15" i="5"/>
  <c r="K28" i="5"/>
  <c r="D27" i="2"/>
  <c r="D28" i="2"/>
  <c r="D20" i="3"/>
  <c r="F20" i="3"/>
  <c r="L20" i="3"/>
  <c r="K20" i="3"/>
  <c r="E20" i="3"/>
  <c r="I49" i="8" l="1"/>
  <c r="J19" i="5"/>
  <c r="J5" i="6"/>
  <c r="J29" i="5"/>
  <c r="K19" i="5"/>
  <c r="K5" i="6"/>
  <c r="K29" i="5"/>
  <c r="H49" i="8"/>
  <c r="G49" i="8"/>
  <c r="G22" i="5" s="1"/>
  <c r="L23" i="3"/>
  <c r="K23" i="3"/>
  <c r="J23" i="3"/>
  <c r="I22" i="5" l="1"/>
  <c r="I21" i="5" s="1"/>
  <c r="K49" i="8"/>
  <c r="K22" i="5" s="1"/>
  <c r="K7" i="6" s="1"/>
  <c r="K6" i="6" s="1"/>
  <c r="K8" i="6" s="1"/>
  <c r="K11" i="6" s="1"/>
  <c r="K26" i="6" s="1"/>
  <c r="K9" i="11" s="1"/>
  <c r="H22" i="5"/>
  <c r="H7" i="6" s="1"/>
  <c r="H6" i="6" s="1"/>
  <c r="H8" i="6" s="1"/>
  <c r="H11" i="6" s="1"/>
  <c r="H26" i="6" s="1"/>
  <c r="H9" i="11" s="1"/>
  <c r="J49" i="8"/>
  <c r="J22" i="5" s="1"/>
  <c r="J7" i="6" s="1"/>
  <c r="J6" i="6" s="1"/>
  <c r="J8" i="6" s="1"/>
  <c r="J11" i="6" s="1"/>
  <c r="J26" i="6" s="1"/>
  <c r="J9" i="11" s="1"/>
  <c r="I7" i="6"/>
  <c r="I6" i="6" s="1"/>
  <c r="I8" i="6" s="1"/>
  <c r="I11" i="6" s="1"/>
  <c r="I26" i="6" s="1"/>
  <c r="I9" i="11" s="1"/>
  <c r="G7" i="6"/>
  <c r="G6" i="6" s="1"/>
  <c r="G8" i="6" s="1"/>
  <c r="G11" i="6" s="1"/>
  <c r="G26" i="6" s="1"/>
  <c r="G9" i="11" s="1"/>
  <c r="G21" i="5"/>
  <c r="J30" i="5"/>
  <c r="K30" i="5"/>
  <c r="J21" i="5" l="1"/>
  <c r="J29" i="6" s="1"/>
  <c r="H21" i="5"/>
  <c r="H24" i="5" s="1"/>
  <c r="H31" i="5" s="1"/>
  <c r="K21" i="5"/>
  <c r="K29" i="6" s="1"/>
  <c r="D4" i="14"/>
  <c r="D5" i="14" s="1"/>
  <c r="H12" i="11"/>
  <c r="I29" i="6"/>
  <c r="I24" i="5"/>
  <c r="I31" i="5" s="1"/>
  <c r="E4" i="14"/>
  <c r="E5" i="14" s="1"/>
  <c r="I12" i="11"/>
  <c r="G4" i="14"/>
  <c r="G5" i="14" s="1"/>
  <c r="K12" i="11"/>
  <c r="G29" i="6"/>
  <c r="G24" i="5"/>
  <c r="F4" i="14"/>
  <c r="F5" i="14" s="1"/>
  <c r="J12" i="11"/>
  <c r="C4" i="14"/>
  <c r="C5" i="14" s="1"/>
  <c r="G12" i="11"/>
  <c r="J24" i="5"/>
  <c r="J31" i="5" s="1"/>
  <c r="K24" i="5" l="1"/>
  <c r="K31" i="5" s="1"/>
  <c r="H29" i="6"/>
  <c r="C16" i="11"/>
  <c r="G22" i="7"/>
  <c r="G31" i="5"/>
  <c r="H22" i="7" l="1"/>
  <c r="G31" i="6"/>
  <c r="G33" i="6" s="1"/>
  <c r="G24" i="7"/>
  <c r="G37" i="5" s="1"/>
  <c r="G38" i="5" s="1"/>
  <c r="G11" i="7" l="1"/>
  <c r="G37" i="6"/>
  <c r="H24" i="7"/>
  <c r="H37" i="5" s="1"/>
  <c r="H38" i="5" s="1"/>
  <c r="H31" i="6"/>
  <c r="H33" i="6" s="1"/>
  <c r="I22" i="7"/>
  <c r="I31" i="6" l="1"/>
  <c r="I33" i="6" s="1"/>
  <c r="I24" i="7"/>
  <c r="I37" i="5" s="1"/>
  <c r="I38" i="5" s="1"/>
  <c r="J22" i="7"/>
  <c r="G39" i="6"/>
  <c r="G40" i="6" s="1"/>
  <c r="H36" i="6"/>
  <c r="H37" i="6" s="1"/>
  <c r="H11" i="7"/>
  <c r="G13" i="7"/>
  <c r="G29" i="7" s="1"/>
  <c r="J24" i="7" l="1"/>
  <c r="J37" i="5" s="1"/>
  <c r="J38" i="5" s="1"/>
  <c r="K22" i="7"/>
  <c r="J31" i="6"/>
  <c r="J33" i="6" s="1"/>
  <c r="H39" i="6"/>
  <c r="H40" i="6" s="1"/>
  <c r="I36" i="6"/>
  <c r="I37" i="6" s="1"/>
  <c r="H13" i="7"/>
  <c r="H29" i="7" s="1"/>
  <c r="I11" i="7"/>
  <c r="I39" i="6" l="1"/>
  <c r="I40" i="6" s="1"/>
  <c r="I13" i="7"/>
  <c r="I29" i="7" s="1"/>
  <c r="J11" i="7"/>
  <c r="J36" i="6"/>
  <c r="J37" i="6" s="1"/>
  <c r="K24" i="7"/>
  <c r="K37" i="5" s="1"/>
  <c r="K38" i="5" s="1"/>
  <c r="K31" i="6"/>
  <c r="K33" i="6" s="1"/>
  <c r="C17" i="11" l="1"/>
  <c r="C18" i="11" s="1"/>
  <c r="J39" i="6"/>
  <c r="J40" i="6" s="1"/>
  <c r="J13" i="7"/>
  <c r="J29" i="7" s="1"/>
  <c r="K36" i="6"/>
  <c r="K37" i="6" s="1"/>
  <c r="K11" i="7"/>
  <c r="C19" i="11" l="1"/>
  <c r="K39" i="6"/>
  <c r="K40" i="6" s="1"/>
  <c r="K13" i="7"/>
  <c r="K29" i="7" s="1"/>
  <c r="E18" i="11" l="1"/>
  <c r="M26" i="11"/>
  <c r="C22" i="11"/>
  <c r="E16" i="11"/>
</calcChain>
</file>

<file path=xl/comments1.xml><?xml version="1.0" encoding="utf-8"?>
<comments xmlns="http://schemas.openxmlformats.org/spreadsheetml/2006/main">
  <authors>
    <author>Author</author>
  </authors>
  <commentList>
    <comment ref="F5" authorId="0" shapeId="0">
      <text>
        <r>
          <rPr>
            <b/>
            <sz val="10"/>
            <color indexed="8"/>
            <rFont val="Calibri"/>
            <family val="2"/>
          </rPr>
          <t>Author:</t>
        </r>
        <r>
          <rPr>
            <sz val="10"/>
            <color indexed="8"/>
            <rFont val="Calibri"/>
            <family val="2"/>
          </rPr>
          <t xml:space="preserve">
See worksheet on relative equity market volatility.</t>
        </r>
      </text>
    </comment>
  </commentList>
</comments>
</file>

<file path=xl/sharedStrings.xml><?xml version="1.0" encoding="utf-8"?>
<sst xmlns="http://schemas.openxmlformats.org/spreadsheetml/2006/main" count="620" uniqueCount="406">
  <si>
    <t>BS source</t>
  </si>
  <si>
    <t>P&amp;L source</t>
  </si>
  <si>
    <t xml:space="preserve">#                </t>
  </si>
  <si>
    <t>Worksheet</t>
  </si>
  <si>
    <t>DCF Valuation</t>
  </si>
  <si>
    <t>Sheet index</t>
  </si>
  <si>
    <t>P&amp;L</t>
  </si>
  <si>
    <t>Other revenue</t>
  </si>
  <si>
    <t>Revenue</t>
  </si>
  <si>
    <t>EBITDA</t>
  </si>
  <si>
    <t>D&amp;A</t>
  </si>
  <si>
    <t>EBIT</t>
  </si>
  <si>
    <t>Extraordinary income</t>
  </si>
  <si>
    <t>EBT</t>
  </si>
  <si>
    <t>Taxes</t>
  </si>
  <si>
    <t>Net Income</t>
  </si>
  <si>
    <t>BS</t>
  </si>
  <si>
    <t>P&amp;L assumptions</t>
  </si>
  <si>
    <t>BS assumptions</t>
  </si>
  <si>
    <t>Cash Flow</t>
  </si>
  <si>
    <t>Intangible assets</t>
  </si>
  <si>
    <t>Other assets</t>
  </si>
  <si>
    <t>Inventory</t>
  </si>
  <si>
    <t>Cash and equivalents</t>
  </si>
  <si>
    <t>Total Assets</t>
  </si>
  <si>
    <t>Share Capital</t>
  </si>
  <si>
    <t>Retained earnings</t>
  </si>
  <si>
    <t>Total Equity</t>
  </si>
  <si>
    <t>PP&amp;E</t>
  </si>
  <si>
    <t>Other liabilities</t>
  </si>
  <si>
    <t>Bank borrowings</t>
  </si>
  <si>
    <t>Total Liabilities</t>
  </si>
  <si>
    <t>Total Liabilities &amp; Equity</t>
  </si>
  <si>
    <t>Deferred taxes</t>
  </si>
  <si>
    <t>DCF valuation</t>
  </si>
  <si>
    <t>Note</t>
  </si>
  <si>
    <t>Balance Sheet</t>
  </si>
  <si>
    <t>Revenues &amp; EBITDA</t>
  </si>
  <si>
    <t>Cash flows</t>
  </si>
  <si>
    <t>1.Input --&gt;</t>
  </si>
  <si>
    <t>2.Output --&gt;</t>
  </si>
  <si>
    <t>Revenue&amp;Ebitda</t>
  </si>
  <si>
    <t>Working capital</t>
  </si>
  <si>
    <t>DCF results</t>
  </si>
  <si>
    <t>4. Sources --&gt;</t>
  </si>
  <si>
    <t>3.Charts --&gt;</t>
  </si>
  <si>
    <t>4.Sources --&gt;</t>
  </si>
  <si>
    <t>.</t>
  </si>
  <si>
    <t>WACC Calculation</t>
  </si>
  <si>
    <t>Optimistic scenario</t>
  </si>
  <si>
    <t>Base scenario</t>
  </si>
  <si>
    <t>Pesimistic scenario</t>
  </si>
  <si>
    <t>Chosen scenario:</t>
  </si>
  <si>
    <t>FY16
Actual</t>
  </si>
  <si>
    <t>FY17
Actual</t>
  </si>
  <si>
    <t>FY18
Actual</t>
  </si>
  <si>
    <t>FY19
Forecast</t>
  </si>
  <si>
    <t>FY20
Forecast</t>
  </si>
  <si>
    <t>FY21
Forecast</t>
  </si>
  <si>
    <t>FY22
Forecast</t>
  </si>
  <si>
    <t>FY23
Forecast</t>
  </si>
  <si>
    <t>2016
Act</t>
  </si>
  <si>
    <t>2017
Act</t>
  </si>
  <si>
    <t>2018
Act</t>
  </si>
  <si>
    <t>Weighted average cost of capital</t>
  </si>
  <si>
    <t>Reinsurance</t>
  </si>
  <si>
    <t>03Feb16
Act</t>
  </si>
  <si>
    <t>03Feb17
Act</t>
  </si>
  <si>
    <t>03Feb18
Act</t>
  </si>
  <si>
    <t>Notes</t>
  </si>
  <si>
    <t>**All data has been sourced from audited financial statements</t>
  </si>
  <si>
    <t>USD in millions</t>
  </si>
  <si>
    <t>$ in millions</t>
  </si>
  <si>
    <t>*Target's financial year cycle ends on February the 2nd</t>
  </si>
  <si>
    <t>Operating lease assets</t>
  </si>
  <si>
    <t>Other noncurrent assets</t>
  </si>
  <si>
    <t>Noncurrent assets</t>
  </si>
  <si>
    <t>Current assets</t>
  </si>
  <si>
    <t>Receivables</t>
  </si>
  <si>
    <t>Accounts payable</t>
  </si>
  <si>
    <t>Other current liabilities</t>
  </si>
  <si>
    <t>Operating lease liabilities</t>
  </si>
  <si>
    <t>Other noncurrent liabilities</t>
  </si>
  <si>
    <t>Accumulated comprehensive loss</t>
  </si>
  <si>
    <t>Revenue from sales</t>
  </si>
  <si>
    <t>Selling, general and administrative expenses</t>
  </si>
  <si>
    <t>Basic earnings per share</t>
  </si>
  <si>
    <t>Diluted earnings per share</t>
  </si>
  <si>
    <t>Weighted average common shares outstanding</t>
  </si>
  <si>
    <t>Basic</t>
  </si>
  <si>
    <t>Diluted</t>
  </si>
  <si>
    <t>***Operating lease assets represent capitalization of operating lease assets and reclassification of leasehold acquisition costs, straightline rent accrual, and tenant incentives</t>
  </si>
  <si>
    <t>****Intangible assets are driven by the acquisition of Shipt, Inc in 2018 which significantly accelerated Target's ability to provide same-day delivery services</t>
  </si>
  <si>
    <t>y-o-y growth</t>
  </si>
  <si>
    <t>Other revenues</t>
  </si>
  <si>
    <t>Cost of goods sold</t>
  </si>
  <si>
    <t>% of revenues</t>
  </si>
  <si>
    <t>Operating expenses</t>
  </si>
  <si>
    <t>Extraordinary items</t>
  </si>
  <si>
    <t>% of EBT</t>
  </si>
  <si>
    <t>Interest expense</t>
  </si>
  <si>
    <t>Days receivables</t>
  </si>
  <si>
    <t>Days of inventory</t>
  </si>
  <si>
    <t>Payables</t>
  </si>
  <si>
    <t>Days payable</t>
  </si>
  <si>
    <t>% of revenue</t>
  </si>
  <si>
    <t>*Other liabilities are comprised of total current and noncurrent other liabilities, and deffered taxes</t>
  </si>
  <si>
    <t>Total revenues</t>
  </si>
  <si>
    <t>Gross profit</t>
  </si>
  <si>
    <t>Tax rate</t>
  </si>
  <si>
    <t>Net income</t>
  </si>
  <si>
    <t>Other current assets</t>
  </si>
  <si>
    <t>**Other assets are comprised of total current and noncurrent other assets, and deffered income</t>
  </si>
  <si>
    <t>Total assets</t>
  </si>
  <si>
    <t>Check</t>
  </si>
  <si>
    <t>Dividend payout ratio</t>
  </si>
  <si>
    <t>Dividend</t>
  </si>
  <si>
    <t>Retention rate</t>
  </si>
  <si>
    <t>ROE</t>
  </si>
  <si>
    <t>Sustainable growth rate</t>
  </si>
  <si>
    <t>Gross profit margin</t>
  </si>
  <si>
    <t>EBITDA margin</t>
  </si>
  <si>
    <t>EBIT margin</t>
  </si>
  <si>
    <t>EBT margin</t>
  </si>
  <si>
    <t>Net income margin</t>
  </si>
  <si>
    <t>Beta</t>
  </si>
  <si>
    <t>Damodoran</t>
  </si>
  <si>
    <t>D/E</t>
  </si>
  <si>
    <t>1/(1+D/E)</t>
  </si>
  <si>
    <t>Based on book D/E</t>
  </si>
  <si>
    <t>Risk-free rate</t>
  </si>
  <si>
    <t>5 year US treasury yield</t>
  </si>
  <si>
    <t>Macrotrends Data Download</t>
  </si>
  <si>
    <t>5 Year Treasury Rate - 54 Year Historical Chart</t>
  </si>
  <si>
    <t>DISCLAIMER AND TERMS OF USE: HISTORICAL DATA IS PROVIDED "AS IS" AND SOLELY</t>
  </si>
  <si>
    <t>FOR INFORMATIONAL PURPOSES - NOT FOR TRADING PURPOSES OR ADVICE.</t>
  </si>
  <si>
    <t>NEITHER MACROTRENDS LLC NOR ANY OF OUR INFORMATION PROVIDERS WILL BE LIABLE</t>
  </si>
  <si>
    <t>FOR ANY DAMAGES RELATING TO YOUR USE OF THE DATA PROVIDED.</t>
  </si>
  <si>
    <t>ATTRIBUTION: Proper attribution requires clear indication of the data source as "www.macrotrends.net".</t>
  </si>
  <si>
    <t>A "dofollow" backlink to the originating page is also required if the data is displayed on a web page.</t>
  </si>
  <si>
    <t>date</t>
  </si>
  <si>
    <t xml:space="preserve"> value</t>
  </si>
  <si>
    <t>Market risk premium</t>
  </si>
  <si>
    <t>Estimating Country Risk Premiums</t>
  </si>
  <si>
    <t>Enter the current risk premium for a mature equity market</t>
  </si>
  <si>
    <t>Updated January 1, 2019</t>
  </si>
  <si>
    <t>Do you want to adjust the country default spread for the additional volatility of the equity market to get to a country premium?</t>
  </si>
  <si>
    <t>Yes</t>
  </si>
  <si>
    <t>If yes, enter the multiplier to use on the default spread (See worksheet for volatility numbers for selected emerging markets)</t>
  </si>
  <si>
    <t>Country</t>
  </si>
  <si>
    <t>Africa</t>
  </si>
  <si>
    <t>Moody's rating</t>
  </si>
  <si>
    <t>Rating-based Default Spread</t>
  </si>
  <si>
    <t>Total Equity Risk Premium</t>
  </si>
  <si>
    <t>Country Risk Premium</t>
  </si>
  <si>
    <t>Sovereign CDS, net of US</t>
  </si>
  <si>
    <t>Total Equity Risk Premium2</t>
  </si>
  <si>
    <t>Country Risk Premium3</t>
  </si>
  <si>
    <t>Has to be sorted in ascending order</t>
  </si>
  <si>
    <t>Rating</t>
  </si>
  <si>
    <t>Default spread in basis points</t>
  </si>
  <si>
    <t>A1</t>
  </si>
  <si>
    <t>A2</t>
  </si>
  <si>
    <t>A3</t>
  </si>
  <si>
    <t>Aa1</t>
  </si>
  <si>
    <t>Aa2</t>
  </si>
  <si>
    <t>Aa3</t>
  </si>
  <si>
    <t>Aaa</t>
  </si>
  <si>
    <t>B1</t>
  </si>
  <si>
    <t>B2</t>
  </si>
  <si>
    <t>B3</t>
  </si>
  <si>
    <t>Ba1</t>
  </si>
  <si>
    <t>Ba2</t>
  </si>
  <si>
    <t>Ba3</t>
  </si>
  <si>
    <t>Baa1</t>
  </si>
  <si>
    <t>Baa2</t>
  </si>
  <si>
    <t>Baa3</t>
  </si>
  <si>
    <t>C</t>
  </si>
  <si>
    <t>NR</t>
  </si>
  <si>
    <t>Frontier Markets (no sovereign ratings)</t>
  </si>
  <si>
    <t>PRS Composite Risk Score</t>
  </si>
  <si>
    <t>ERP</t>
  </si>
  <si>
    <t>CRP</t>
  </si>
  <si>
    <t>Default Spread</t>
  </si>
  <si>
    <t>Ca</t>
  </si>
  <si>
    <t>Caa1</t>
  </si>
  <si>
    <t>Caa2</t>
  </si>
  <si>
    <t>Caa3</t>
  </si>
  <si>
    <t>NA</t>
  </si>
  <si>
    <t>Damodaran</t>
  </si>
  <si>
    <t>Country risk premium</t>
  </si>
  <si>
    <t>Date updated:</t>
  </si>
  <si>
    <t>YouTube Video explaining estimation choices and process.</t>
  </si>
  <si>
    <t>Created by:</t>
  </si>
  <si>
    <t>Aswath Damodaran, adamodar@stern.nyu.edu</t>
  </si>
  <si>
    <t>if you are looking for a pure-play beta, i.e., a beta for a  business, the unlevered beta corrected for cash is your best bet. Since even sector betas can move over time, I have also reported the average of the this sector beta across time in the last column. This number, for obvious reasons, is less likely to be volatile over time.</t>
  </si>
  <si>
    <t>What is this data?</t>
  </si>
  <si>
    <t>Beta, Unlevered beta and other risk measures</t>
  </si>
  <si>
    <t>US companies</t>
  </si>
  <si>
    <t>Home Page:</t>
  </si>
  <si>
    <t>http://www.damodaran.com</t>
  </si>
  <si>
    <t>Data website:</t>
  </si>
  <si>
    <t>http://www.stern.nyu.edu/~adamodar/New_Home_Page/data.html</t>
  </si>
  <si>
    <t>Companies in each industry:</t>
  </si>
  <si>
    <t>http://www.stern.nyu.edu/~adamodar/pc/datasets/indname.xls</t>
  </si>
  <si>
    <t>Variable definitions:</t>
  </si>
  <si>
    <t>http://www.stern.nyu.edu/~adamodar/New_Home_Page/datafile/variable.htm</t>
  </si>
  <si>
    <t>Do you want to use marginal or effective tax rates in unlevering betas?</t>
  </si>
  <si>
    <t>Marginal</t>
  </si>
  <si>
    <t>If marginal tax rate, enter the marginal tax rate to use</t>
  </si>
  <si>
    <t>Unlevered beta corrected for cash - Over time</t>
  </si>
  <si>
    <t>Industry Name</t>
  </si>
  <si>
    <t>Number of firms</t>
  </si>
  <si>
    <t xml:space="preserve">Beta </t>
  </si>
  <si>
    <t>D/E Ratio</t>
  </si>
  <si>
    <t>Effective Tax rate</t>
  </si>
  <si>
    <t>Unlevered beta</t>
    <phoneticPr fontId="0" type="noConversion"/>
  </si>
  <si>
    <t>Cash/Firm value</t>
  </si>
  <si>
    <t>Unlevered beta corrected for cash</t>
  </si>
  <si>
    <t>HiLo Risk</t>
  </si>
  <si>
    <t>Standard deviation of equity</t>
  </si>
  <si>
    <t>Standard deviation in operating income (last 10 years)</t>
  </si>
  <si>
    <t>2015</t>
  </si>
  <si>
    <t>2016</t>
  </si>
  <si>
    <t>2017</t>
  </si>
  <si>
    <t>2018</t>
  </si>
  <si>
    <t>Average (2015-19)</t>
  </si>
  <si>
    <t>Advertising</t>
  </si>
  <si>
    <t>Aerospace/Defense</t>
  </si>
  <si>
    <t>Air Transport</t>
  </si>
  <si>
    <t>Apparel</t>
  </si>
  <si>
    <t>Auto &amp; Truck</t>
  </si>
  <si>
    <t>Auto Parts</t>
  </si>
  <si>
    <t>Bank (Money Center)</t>
  </si>
  <si>
    <t>Banks (Regional)</t>
  </si>
  <si>
    <t>Beverage (Alcoholic)</t>
  </si>
  <si>
    <t>Beverage (Soft)</t>
  </si>
  <si>
    <t>Broadcasting</t>
  </si>
  <si>
    <t>Brokerage &amp; Investment Banking</t>
  </si>
  <si>
    <t>Building Materials</t>
  </si>
  <si>
    <t>Business &amp; Consumer Services</t>
  </si>
  <si>
    <t>Cable TV</t>
  </si>
  <si>
    <t>Chemical (Basic)</t>
  </si>
  <si>
    <t>Chemical (Diversified)</t>
  </si>
  <si>
    <t>Chemical (Specialty)</t>
  </si>
  <si>
    <t>Coal &amp; Related Energy</t>
  </si>
  <si>
    <t>Computer Services</t>
  </si>
  <si>
    <t>Computers/Peripherals</t>
  </si>
  <si>
    <t>Construction Supplies</t>
  </si>
  <si>
    <t>Diversified</t>
  </si>
  <si>
    <t>Drugs (Biotechnology)</t>
  </si>
  <si>
    <t>Drugs (Pharmaceutical)</t>
  </si>
  <si>
    <t>Education</t>
  </si>
  <si>
    <t>Electrical Equipment</t>
  </si>
  <si>
    <t>Electronics (Consumer &amp; Office)</t>
  </si>
  <si>
    <t>Electronics (General)</t>
  </si>
  <si>
    <t>Engineering/Construction</t>
  </si>
  <si>
    <t>Entertainment</t>
  </si>
  <si>
    <t>Environmental &amp; Waste Services</t>
  </si>
  <si>
    <t>Farming/Agriculture</t>
  </si>
  <si>
    <t>Financial Svcs. (Non-bank &amp; Insurance)</t>
  </si>
  <si>
    <t>Food Processing</t>
  </si>
  <si>
    <t>Food Wholesalers</t>
  </si>
  <si>
    <t>Furn/Home Furnishings</t>
  </si>
  <si>
    <t>Green &amp; Renewable Energy</t>
  </si>
  <si>
    <t>Healthcare Products</t>
  </si>
  <si>
    <t>Healthcare Support Services</t>
  </si>
  <si>
    <t>Heathcare Information and Technology</t>
  </si>
  <si>
    <t>Homebuilding</t>
  </si>
  <si>
    <t>Hospitals/Healthcare Facilities</t>
  </si>
  <si>
    <t>Hotel/Gaming</t>
  </si>
  <si>
    <t>Household Products</t>
  </si>
  <si>
    <t>Information Services</t>
  </si>
  <si>
    <t>Insurance (General)</t>
  </si>
  <si>
    <t>Insurance (Life)</t>
  </si>
  <si>
    <t>Insurance (Prop/Cas.)</t>
  </si>
  <si>
    <t>Investments &amp; Asset Management</t>
  </si>
  <si>
    <t>Machinery</t>
  </si>
  <si>
    <t>Metals &amp; Mining</t>
  </si>
  <si>
    <t>Office Equipment &amp; Services</t>
  </si>
  <si>
    <t>Oil/Gas (Integrated)</t>
  </si>
  <si>
    <t>Oil/Gas (Production and Exploration)</t>
  </si>
  <si>
    <t>Oil/Gas Distribution</t>
  </si>
  <si>
    <t>Oilfield Svcs/Equip.</t>
  </si>
  <si>
    <t>Packaging &amp; Container</t>
  </si>
  <si>
    <t>Paper/Forest Products</t>
  </si>
  <si>
    <t>Power</t>
  </si>
  <si>
    <t>Precious Metals</t>
  </si>
  <si>
    <t>Publishing &amp; Newspapers</t>
  </si>
  <si>
    <t>R.E.I.T.</t>
  </si>
  <si>
    <t>Real Estate (Development)</t>
  </si>
  <si>
    <t>Real Estate (General/Diversified)</t>
  </si>
  <si>
    <t>Real Estate (Operations &amp; Services)</t>
  </si>
  <si>
    <t>Recreation</t>
  </si>
  <si>
    <t>Restaurant/Dining</t>
  </si>
  <si>
    <t>Retail (Automotive)</t>
  </si>
  <si>
    <t>Retail (Building Supply)</t>
  </si>
  <si>
    <t>Retail (Distributors)</t>
  </si>
  <si>
    <t>Retail (General)</t>
  </si>
  <si>
    <t>Retail (Grocery and Food)</t>
  </si>
  <si>
    <t>Retail (Online)</t>
  </si>
  <si>
    <t>Retail (Special Lines)</t>
  </si>
  <si>
    <t>Rubber&amp; Tires</t>
  </si>
  <si>
    <t>Semiconductor</t>
  </si>
  <si>
    <t>Semiconductor Equip</t>
  </si>
  <si>
    <t>Shipbuilding &amp; Marine</t>
  </si>
  <si>
    <t>Shoe</t>
  </si>
  <si>
    <t>Software (Entertainment)</t>
  </si>
  <si>
    <t>Software (Internet)</t>
  </si>
  <si>
    <t>Software (System &amp; Application)</t>
  </si>
  <si>
    <t>Steel</t>
  </si>
  <si>
    <t>Telecom (Wireless)</t>
  </si>
  <si>
    <t>Telecom. Equipment</t>
  </si>
  <si>
    <t>Telecom. Services</t>
  </si>
  <si>
    <t>Tobacco</t>
  </si>
  <si>
    <t>Transportation</t>
  </si>
  <si>
    <t>Transportation (Railroads)</t>
  </si>
  <si>
    <t>Trucking</t>
  </si>
  <si>
    <t>Utility (General)</t>
  </si>
  <si>
    <t>Utility (Water)</t>
  </si>
  <si>
    <t xml:space="preserve">Total Market </t>
  </si>
  <si>
    <t>Total Market (without financials)</t>
  </si>
  <si>
    <t>Preliminary cost of equity</t>
  </si>
  <si>
    <t>Size premium</t>
  </si>
  <si>
    <t>Duff &amp; Phelps</t>
  </si>
  <si>
    <t>Decile</t>
  </si>
  <si>
    <t>Market capitalization of smallest company (mUSD)</t>
  </si>
  <si>
    <t>Market capitalization of largest company (mUSD)</t>
  </si>
  <si>
    <t>Size premium (return over CAPM)</t>
  </si>
  <si>
    <t>1-Largest</t>
  </si>
  <si>
    <t>10-Smallest</t>
  </si>
  <si>
    <t>Source: Duff &amp; Phelps 2016 Valuation Handbook</t>
  </si>
  <si>
    <t>Medium capitalization 3-5</t>
  </si>
  <si>
    <t>Low capitalization 6-8</t>
  </si>
  <si>
    <t>Micro capitalization 9-10</t>
  </si>
  <si>
    <t>Company specific risk premium</t>
  </si>
  <si>
    <t>No company specific risks have been identified</t>
  </si>
  <si>
    <t>Cost of equity</t>
  </si>
  <si>
    <t>Cost of capital before tax</t>
  </si>
  <si>
    <t>Effective tax rate</t>
  </si>
  <si>
    <t>Cost of capital</t>
  </si>
  <si>
    <t>Equity / (Equity + Debt)</t>
  </si>
  <si>
    <t>Debt / (Equity + Debt)</t>
  </si>
  <si>
    <t>Weighted average cost of capital (WACC )</t>
  </si>
  <si>
    <t>Weighted average cost of capital (rounded)</t>
  </si>
  <si>
    <t>Debt and equity ratios derived from Target Corp's financial statements as at balance sheet date</t>
  </si>
  <si>
    <t>Current D/E</t>
  </si>
  <si>
    <t>Operating taxes</t>
  </si>
  <si>
    <t>Operating tax rate</t>
  </si>
  <si>
    <t>NOPAT</t>
  </si>
  <si>
    <t>Add-back D&amp;A</t>
  </si>
  <si>
    <t>Gross Cash Flow</t>
  </si>
  <si>
    <t>Investments in working capital</t>
  </si>
  <si>
    <t>Investments in other assets/liabilities</t>
  </si>
  <si>
    <t>Capex</t>
  </si>
  <si>
    <t>Other investments</t>
  </si>
  <si>
    <t>UFCF</t>
  </si>
  <si>
    <t>Interest expenses</t>
  </si>
  <si>
    <t>Delta Equity incl. dividends</t>
  </si>
  <si>
    <t>Net Cash Flow</t>
  </si>
  <si>
    <t>1)</t>
  </si>
  <si>
    <t>2)</t>
  </si>
  <si>
    <t>3)</t>
  </si>
  <si>
    <t>4)</t>
  </si>
  <si>
    <t>5)</t>
  </si>
  <si>
    <t>6)</t>
  </si>
  <si>
    <t>1) + 2) + 3) + 4) + 5) + 6)</t>
  </si>
  <si>
    <t>7)</t>
  </si>
  <si>
    <t>8)</t>
  </si>
  <si>
    <t>9)</t>
  </si>
  <si>
    <t>10)</t>
  </si>
  <si>
    <t>1)+ 2)+ 3)+ 4)+ 5)+ 6)+ 7)+ 8)+ 9)+ 10)</t>
  </si>
  <si>
    <t>Delta Bank borrowings</t>
  </si>
  <si>
    <t>Opening cash</t>
  </si>
  <si>
    <t>Closing cash</t>
  </si>
  <si>
    <t>Tax adjustment</t>
  </si>
  <si>
    <t>WACC</t>
  </si>
  <si>
    <t>g</t>
  </si>
  <si>
    <t>Discount factor (WACC)</t>
  </si>
  <si>
    <t>PV of UFCF</t>
  </si>
  <si>
    <t>Unlevered free cash flow multiplied by discount factor in order to obtain Present Value</t>
  </si>
  <si>
    <t>PV of Cash flows</t>
  </si>
  <si>
    <t>$</t>
  </si>
  <si>
    <t>of Enterprise value</t>
  </si>
  <si>
    <t>Enterprise value</t>
  </si>
  <si>
    <t>+Cash</t>
  </si>
  <si>
    <t>Equity value</t>
  </si>
  <si>
    <t>Terminal value</t>
  </si>
  <si>
    <t>PV of Terminal value</t>
  </si>
  <si>
    <t>-Bank borrowings</t>
  </si>
  <si>
    <t>EBITDA%</t>
  </si>
  <si>
    <t>Present value of UFCF</t>
  </si>
  <si>
    <t>Risk free rate</t>
  </si>
  <si>
    <t>Risk premium</t>
  </si>
  <si>
    <t>Betas</t>
  </si>
  <si>
    <t>Size risk premium</t>
  </si>
  <si>
    <t>DSO</t>
  </si>
  <si>
    <t>DIO</t>
  </si>
  <si>
    <t>DPO</t>
  </si>
  <si>
    <t>CFs in Forecast period</t>
  </si>
  <si>
    <t>Sum of the present value of Cash Flows</t>
  </si>
  <si>
    <t>Flat</t>
  </si>
  <si>
    <t>Opening cash + Net Cash Flow</t>
  </si>
  <si>
    <t>No additional debt</t>
  </si>
  <si>
    <t>DCF Valuation of Target Corporation (NYSE: TGT)</t>
  </si>
  <si>
    <t>Target Corp's 10-year bond YTM as at 1 February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</si>
</sst>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42" formatCode="_(&quot;$&quot;* #,##0_);_(&quot;$&quot;* \(#,##0\);_(&quot;$&quot;* &quot;-&quot;_);_(@_)"/>
    <numFmt numFmtId="43" formatCode="_(* #,##0.00_);_(* \(#,##0.00\);_(* &quot;-&quot;??_);_(@_)"/>
    <numFmt numFmtId="164" formatCode="_(* #,##0.0_);_(* \(#,##0.0\);_(* &quot;-&quot;?_);@_)"/>
    <numFmt numFmtId="165" formatCode="_(* #,##0.0_);_(* \(#,##0.0\);_(* &quot;-&quot;?_);@_l"/>
    <numFmt numFmtId="166" formatCode="_(* #,##0_);_(* \(#,##0\);_(* &quot;-&quot;?_);@_)"/>
    <numFmt numFmtId="167" formatCode="0.0%"/>
    <numFmt numFmtId="168" formatCode="_(* #,##0_);_(* \(#,##0\);_(* &quot;-&quot;??_);_(@_)"/>
    <numFmt numFmtId="169" formatCode="_(* #,##0_);_(* \(#,##0\);_(* &quot;-&quot;?_);@_l"/>
    <numFmt numFmtId="170" formatCode="_-* #,##0.00\ &quot;€&quot;_-;\-* #,##0.00\ &quot;€&quot;_-;_-* &quot;-&quot;??\ &quot;€&quot;_-;_-@_-"/>
    <numFmt numFmtId="171" formatCode="_-* #,##0.00\ _€_-;\-* #,##0.00\ _€_-;_-* &quot;-&quot;??\ _€_-;_-@_-"/>
    <numFmt numFmtId="172" formatCode="_-* #,##0\ _D_M_-;\-* #,##0\ _D_M_-;_-* &quot;-&quot;\ _D_M_-;_-@_-"/>
    <numFmt numFmtId="173" formatCode="_-* #,##0.00\ &quot;Kc&quot;_-;\-* #,##0.00\ &quot;Kc&quot;_-;_-* &quot;-&quot;??\ &quot;Kc&quot;_-;_-@_-"/>
    <numFmt numFmtId="174" formatCode="\(0\'\)"/>
    <numFmt numFmtId="175" formatCode="0.00_)"/>
    <numFmt numFmtId="176" formatCode="#,##0;\(#,##0\);&quot;-&quot;"/>
    <numFmt numFmtId="177" formatCode="_-* #,##0_-;\-* #,##0_-;_-* &quot;-&quot;_-;_-@_-"/>
    <numFmt numFmtId="178" formatCode="#,##0_);\(#,##0\);&quot; - &quot;_);@_)"/>
    <numFmt numFmtId="179" formatCode="\ #,##0.0_);\(#,##0.0\);&quot; - &quot;_);@_)"/>
    <numFmt numFmtId="180" formatCode="_(* #,##0.0_);_(* \(#,##0.0\);_(* &quot;-&quot;??_);_(@_)"/>
    <numFmt numFmtId="181" formatCode="_(* #,##0.00_);_(* \(#,##0.00\);_(* &quot;-&quot;?_);@_)"/>
    <numFmt numFmtId="182" formatCode="0.0"/>
    <numFmt numFmtId="183" formatCode="_(* #,##0.0_);_(* \(#,##0.0\);_(* &quot; - &quot;_);_(@_)"/>
    <numFmt numFmtId="184" formatCode="_(* #,##0.00%_);_(* \(#,##0.00%\);_(* &quot; - &quot;_);_(* @_)"/>
    <numFmt numFmtId="185" formatCode="* #,##0.00\ ;* \(#,##0.00\);* &quot; - &quot;;* @\ "/>
    <numFmt numFmtId="186" formatCode="_(* #,##0.0%_);_(* \(#,##0.0%\);_(* &quot; - &quot;_);_(* @_)"/>
    <numFmt numFmtId="187" formatCode="* #,##0\ ;* \(#,##0\);* &quot; - &quot;;* @\ "/>
    <numFmt numFmtId="188" formatCode="_(* #,##0%_);_(* \(#,##0%\);_(* &quot; - &quot;_);_(* @_)"/>
    <numFmt numFmtId="189" formatCode="0.0000"/>
    <numFmt numFmtId="190" formatCode="&quot;FY&quot;yy"/>
    <numFmt numFmtId="191" formatCode="_(* #,##0_);_(* \(#,##0\);_(* &quot; - &quot;_);_(* @_)"/>
    <numFmt numFmtId="192" formatCode="_(* #,##0.00000_);_(* \(#,##0.00000\);_(* &quot; - &quot;_);_(@_)"/>
  </numFmts>
  <fonts count="10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rgb="FF002060"/>
      <name val="Arial"/>
      <family val="2"/>
    </font>
    <font>
      <b/>
      <sz val="9"/>
      <color theme="1"/>
      <name val="Arial"/>
      <family val="2"/>
    </font>
    <font>
      <b/>
      <sz val="32"/>
      <color rgb="FF002060"/>
      <name val="Arial"/>
      <family val="2"/>
    </font>
    <font>
      <b/>
      <sz val="9"/>
      <color theme="3"/>
      <name val="Calibri"/>
      <family val="2"/>
      <scheme val="minor"/>
    </font>
    <font>
      <b/>
      <sz val="9"/>
      <color rgb="FF002060"/>
      <name val="Arial"/>
      <family val="2"/>
    </font>
    <font>
      <sz val="11"/>
      <color theme="1"/>
      <name val="Calibri"/>
      <family val="2"/>
      <scheme val="minor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9"/>
      <color rgb="FF00206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Arial CE"/>
      <charset val="238"/>
    </font>
    <font>
      <sz val="10"/>
      <name val="Helv"/>
    </font>
    <font>
      <sz val="11"/>
      <color indexed="60"/>
      <name val="Calibri"/>
      <family val="2"/>
    </font>
    <font>
      <b/>
      <i/>
      <sz val="16"/>
      <name val="Helv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9"/>
      <name val="Arial"/>
      <family val="2"/>
    </font>
    <font>
      <sz val="11"/>
      <color indexed="10"/>
      <name val="Calibri"/>
      <family val="2"/>
    </font>
    <font>
      <sz val="8"/>
      <name val="Verdana"/>
      <family val="2"/>
    </font>
    <font>
      <sz val="10"/>
      <name val="Garamond"/>
      <family val="1"/>
    </font>
    <font>
      <sz val="10"/>
      <color indexed="8"/>
      <name val="MS Sans Serif"/>
      <family val="2"/>
    </font>
    <font>
      <sz val="10"/>
      <name val="Verdana"/>
      <family val="2"/>
    </font>
    <font>
      <sz val="7"/>
      <color indexed="10"/>
      <name val="Arial"/>
      <family val="2"/>
    </font>
    <font>
      <sz val="12"/>
      <name val="Arial"/>
      <family val="2"/>
    </font>
    <font>
      <sz val="10"/>
      <name val="Arial Narrow"/>
      <family val="2"/>
    </font>
    <font>
      <b/>
      <sz val="14"/>
      <color indexed="25"/>
      <name val="Arial"/>
      <family val="2"/>
    </font>
    <font>
      <b/>
      <sz val="10"/>
      <color indexed="25"/>
      <name val="Arial Narrow"/>
      <family val="2"/>
    </font>
    <font>
      <i/>
      <sz val="10"/>
      <color indexed="25"/>
      <name val="Arial Narrow"/>
      <family val="2"/>
    </font>
    <font>
      <sz val="8"/>
      <color indexed="25"/>
      <name val="Arial Narrow"/>
      <family val="2"/>
    </font>
    <font>
      <sz val="10"/>
      <name val="Tahoma"/>
      <family val="2"/>
    </font>
    <font>
      <sz val="12"/>
      <name val="Arial Narrow"/>
      <family val="2"/>
    </font>
    <font>
      <b/>
      <sz val="12"/>
      <color theme="1"/>
      <name val="Tahoma                        "/>
    </font>
    <font>
      <sz val="8"/>
      <color theme="1"/>
      <name val="Tahoma                        "/>
    </font>
    <font>
      <b/>
      <sz val="8"/>
      <color theme="1"/>
      <name val="Tahoma                        "/>
    </font>
    <font>
      <b/>
      <sz val="10"/>
      <color theme="1"/>
      <name val="Tahoma                        "/>
    </font>
    <font>
      <b/>
      <sz val="9"/>
      <color indexed="9"/>
      <name val="Arial"/>
      <family val="2"/>
    </font>
    <font>
      <b/>
      <sz val="8"/>
      <color theme="0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i/>
      <sz val="9"/>
      <color theme="1"/>
      <name val="Arial"/>
      <family val="2"/>
    </font>
    <font>
      <b/>
      <sz val="11"/>
      <color theme="0"/>
      <name val="Arial"/>
      <family val="2"/>
    </font>
    <font>
      <sz val="9"/>
      <color rgb="FF000000"/>
      <name val="Arial"/>
      <family val="2"/>
    </font>
    <font>
      <b/>
      <sz val="9"/>
      <color rgb="FFFFFFFF"/>
      <name val="Arial"/>
      <family val="2"/>
    </font>
    <font>
      <i/>
      <sz val="9"/>
      <name val="Arial"/>
      <family val="2"/>
    </font>
    <font>
      <b/>
      <sz val="9"/>
      <color rgb="FF000000"/>
      <name val="Arial"/>
      <family val="2"/>
    </font>
    <font>
      <b/>
      <i/>
      <sz val="9"/>
      <name val="Arial"/>
      <family val="2"/>
    </font>
    <font>
      <sz val="9"/>
      <color rgb="FF000000"/>
      <name val="Segoe UI"/>
      <family val="2"/>
    </font>
    <font>
      <b/>
      <u val="singleAccounting"/>
      <sz val="9"/>
      <color rgb="FF000000"/>
      <name val="Arial"/>
      <family val="2"/>
    </font>
    <font>
      <b/>
      <sz val="12"/>
      <name val="Times"/>
      <family val="1"/>
    </font>
    <font>
      <sz val="12"/>
      <name val="Times"/>
      <family val="1"/>
    </font>
    <font>
      <i/>
      <sz val="9"/>
      <name val="Geneva"/>
      <family val="2"/>
    </font>
    <font>
      <b/>
      <i/>
      <sz val="12"/>
      <name val="Times"/>
      <family val="1"/>
    </font>
    <font>
      <b/>
      <i/>
      <sz val="9"/>
      <name val="Geneva"/>
      <family val="2"/>
    </font>
    <font>
      <i/>
      <sz val="12"/>
      <name val="Times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2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0"/>
      <name val="Verdana"/>
      <family val="2"/>
    </font>
    <font>
      <b/>
      <sz val="9"/>
      <color indexed="9"/>
      <name val="Arial"/>
      <family val="2"/>
      <charset val="238"/>
    </font>
    <font>
      <i/>
      <sz val="8"/>
      <name val="Arial"/>
      <family val="2"/>
    </font>
    <font>
      <b/>
      <i/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Geneva"/>
    </font>
    <font>
      <sz val="7"/>
      <name val="Arial"/>
      <family val="2"/>
    </font>
    <font>
      <sz val="8"/>
      <color theme="1"/>
      <name val="Arial"/>
      <family val="2"/>
      <charset val="238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gray0625"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5787B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indexed="40"/>
        <bgColor indexed="64"/>
      </patternFill>
    </fill>
    <fill>
      <patternFill patternType="lightGray">
        <bgColor theme="0"/>
      </patternFill>
    </fill>
    <fill>
      <patternFill patternType="solid">
        <fgColor theme="3" tint="-0.249977111117893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hair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64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/>
      <top style="thin">
        <color rgb="FF86BC25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rgb="FF002060"/>
      </right>
      <top/>
      <bottom/>
      <diagonal/>
    </border>
  </borders>
  <cellStyleXfs count="172">
    <xf numFmtId="0" fontId="0" fillId="0" borderId="0"/>
    <xf numFmtId="0" fontId="5" fillId="0" borderId="1" applyFill="0" applyProtection="0">
      <alignment horizontal="right" wrapText="1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5" borderId="5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7" fillId="0" borderId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9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23" borderId="0" applyNumberFormat="0" applyBorder="0" applyAlignment="0" applyProtection="0"/>
    <xf numFmtId="0" fontId="13" fillId="0" borderId="0"/>
    <xf numFmtId="0" fontId="20" fillId="7" borderId="0" applyNumberFormat="0" applyBorder="0" applyAlignment="0" applyProtection="0"/>
    <xf numFmtId="0" fontId="21" fillId="24" borderId="6" applyNumberFormat="0" applyAlignment="0" applyProtection="0"/>
    <xf numFmtId="0" fontId="22" fillId="25" borderId="7" applyNumberFormat="0" applyAlignment="0" applyProtection="0"/>
    <xf numFmtId="49" fontId="14" fillId="0" borderId="0">
      <alignment horizontal="left" vertical="top" wrapText="1"/>
    </xf>
    <xf numFmtId="170" fontId="1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  <xf numFmtId="38" fontId="14" fillId="26" borderId="0" applyNumberFormat="0" applyBorder="0" applyAlignment="0" applyProtection="0"/>
    <xf numFmtId="0" fontId="25" fillId="0" borderId="8" applyNumberFormat="0" applyFill="0" applyAlignment="0" applyProtection="0"/>
    <xf numFmtId="0" fontId="26" fillId="0" borderId="9" applyNumberFormat="0" applyFill="0" applyAlignment="0" applyProtection="0"/>
    <xf numFmtId="0" fontId="27" fillId="0" borderId="10" applyNumberFormat="0" applyFill="0" applyAlignment="0" applyProtection="0"/>
    <xf numFmtId="0" fontId="27" fillId="0" borderId="0" applyNumberFormat="0" applyFill="0" applyBorder="0" applyAlignment="0" applyProtection="0"/>
    <xf numFmtId="0" fontId="28" fillId="11" borderId="6" applyNumberFormat="0" applyAlignment="0" applyProtection="0"/>
    <xf numFmtId="10" fontId="14" fillId="5" borderId="11" applyNumberFormat="0" applyBorder="0" applyAlignment="0" applyProtection="0"/>
    <xf numFmtId="0" fontId="29" fillId="0" borderId="12" applyNumberFormat="0" applyFill="0" applyAlignment="0" applyProtection="0"/>
    <xf numFmtId="173" fontId="30" fillId="0" borderId="0" applyFont="0" applyFill="0" applyBorder="0" applyAlignment="0" applyProtection="0"/>
    <xf numFmtId="172" fontId="13" fillId="0" borderId="0" applyFont="0" applyFill="0" applyBorder="0" applyAlignment="0" applyProtection="0"/>
    <xf numFmtId="4" fontId="31" fillId="0" borderId="0" applyFont="0" applyFill="0" applyBorder="0" applyAlignment="0" applyProtection="0"/>
    <xf numFmtId="4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32" fillId="27" borderId="0" applyNumberFormat="0" applyBorder="0" applyAlignment="0" applyProtection="0"/>
    <xf numFmtId="175" fontId="33" fillId="0" borderId="0"/>
    <xf numFmtId="0" fontId="30" fillId="0" borderId="0"/>
    <xf numFmtId="0" fontId="18" fillId="28" borderId="13" applyNumberFormat="0" applyFont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5" fillId="24" borderId="14" applyNumberFormat="0" applyAlignment="0" applyProtection="0"/>
    <xf numFmtId="9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36" fillId="0" borderId="15">
      <alignment horizontal="center"/>
    </xf>
    <xf numFmtId="3" fontId="34" fillId="0" borderId="0" applyFont="0" applyFill="0" applyBorder="0" applyAlignment="0" applyProtection="0"/>
    <xf numFmtId="0" fontId="34" fillId="29" borderId="0" applyNumberFormat="0" applyFont="0" applyBorder="0" applyAlignment="0" applyProtection="0"/>
    <xf numFmtId="3" fontId="46" fillId="30" borderId="0" applyFont="0" applyFill="0" applyBorder="0" applyAlignment="0" applyProtection="0"/>
    <xf numFmtId="4" fontId="37" fillId="31" borderId="14" applyNumberFormat="0" applyProtection="0">
      <alignment vertical="center"/>
    </xf>
    <xf numFmtId="4" fontId="38" fillId="31" borderId="14" applyNumberFormat="0" applyProtection="0">
      <alignment vertical="center"/>
    </xf>
    <xf numFmtId="4" fontId="37" fillId="31" borderId="14" applyNumberFormat="0" applyProtection="0">
      <alignment horizontal="left" vertical="center" indent="1"/>
    </xf>
    <xf numFmtId="4" fontId="37" fillId="31" borderId="14" applyNumberFormat="0" applyProtection="0">
      <alignment horizontal="left" vertical="center" indent="1"/>
    </xf>
    <xf numFmtId="0" fontId="13" fillId="32" borderId="14" applyNumberFormat="0" applyProtection="0">
      <alignment horizontal="left" vertical="center" indent="1"/>
    </xf>
    <xf numFmtId="4" fontId="37" fillId="33" borderId="14" applyNumberFormat="0" applyProtection="0">
      <alignment horizontal="right" vertical="center"/>
    </xf>
    <xf numFmtId="4" fontId="37" fillId="34" borderId="14" applyNumberFormat="0" applyProtection="0">
      <alignment horizontal="right" vertical="center"/>
    </xf>
    <xf numFmtId="4" fontId="37" fillId="35" borderId="14" applyNumberFormat="0" applyProtection="0">
      <alignment horizontal="right" vertical="center"/>
    </xf>
    <xf numFmtId="4" fontId="37" fillId="36" borderId="14" applyNumberFormat="0" applyProtection="0">
      <alignment horizontal="right" vertical="center"/>
    </xf>
    <xf numFmtId="4" fontId="37" fillId="37" borderId="14" applyNumberFormat="0" applyProtection="0">
      <alignment horizontal="right" vertical="center"/>
    </xf>
    <xf numFmtId="4" fontId="37" fillId="38" borderId="14" applyNumberFormat="0" applyProtection="0">
      <alignment horizontal="right" vertical="center"/>
    </xf>
    <xf numFmtId="4" fontId="37" fillId="39" borderId="14" applyNumberFormat="0" applyProtection="0">
      <alignment horizontal="right" vertical="center"/>
    </xf>
    <xf numFmtId="4" fontId="37" fillId="40" borderId="14" applyNumberFormat="0" applyProtection="0">
      <alignment horizontal="right" vertical="center"/>
    </xf>
    <xf numFmtId="4" fontId="37" fillId="41" borderId="14" applyNumberFormat="0" applyProtection="0">
      <alignment horizontal="right" vertical="center"/>
    </xf>
    <xf numFmtId="4" fontId="39" fillId="42" borderId="14" applyNumberFormat="0" applyProtection="0">
      <alignment horizontal="left" vertical="center" indent="1"/>
    </xf>
    <xf numFmtId="4" fontId="37" fillId="43" borderId="16" applyNumberFormat="0" applyProtection="0">
      <alignment horizontal="left" vertical="center" indent="1"/>
    </xf>
    <xf numFmtId="4" fontId="40" fillId="44" borderId="0" applyNumberFormat="0" applyProtection="0">
      <alignment horizontal="left" vertical="center" indent="1"/>
    </xf>
    <xf numFmtId="0" fontId="13" fillId="32" borderId="14" applyNumberFormat="0" applyProtection="0">
      <alignment horizontal="left" vertical="center" indent="1"/>
    </xf>
    <xf numFmtId="4" fontId="37" fillId="43" borderId="14" applyNumberFormat="0" applyProtection="0">
      <alignment horizontal="left" vertical="center" indent="1"/>
    </xf>
    <xf numFmtId="4" fontId="37" fillId="45" borderId="14" applyNumberFormat="0" applyProtection="0">
      <alignment horizontal="left" vertical="center" indent="1"/>
    </xf>
    <xf numFmtId="0" fontId="13" fillId="45" borderId="14" applyNumberFormat="0" applyProtection="0">
      <alignment horizontal="left" vertical="center" indent="1"/>
    </xf>
    <xf numFmtId="0" fontId="13" fillId="45" borderId="14" applyNumberFormat="0" applyProtection="0">
      <alignment horizontal="left" vertical="center" indent="1"/>
    </xf>
    <xf numFmtId="0" fontId="13" fillId="46" borderId="14" applyNumberFormat="0" applyProtection="0">
      <alignment horizontal="left" vertical="center" indent="1"/>
    </xf>
    <xf numFmtId="0" fontId="13" fillId="46" borderId="14" applyNumberFormat="0" applyProtection="0">
      <alignment horizontal="left" vertical="center" indent="1"/>
    </xf>
    <xf numFmtId="0" fontId="13" fillId="26" borderId="14" applyNumberFormat="0" applyProtection="0">
      <alignment horizontal="left" vertical="center" indent="1"/>
    </xf>
    <xf numFmtId="0" fontId="13" fillId="26" borderId="14" applyNumberFormat="0" applyProtection="0">
      <alignment horizontal="left" vertical="center" indent="1"/>
    </xf>
    <xf numFmtId="0" fontId="13" fillId="32" borderId="14" applyNumberFormat="0" applyProtection="0">
      <alignment horizontal="left" vertical="center" indent="1"/>
    </xf>
    <xf numFmtId="0" fontId="13" fillId="32" borderId="14" applyNumberFormat="0" applyProtection="0">
      <alignment horizontal="left" vertical="center" indent="1"/>
    </xf>
    <xf numFmtId="4" fontId="37" fillId="5" borderId="14" applyNumberFormat="0" applyProtection="0">
      <alignment vertical="center"/>
    </xf>
    <xf numFmtId="4" fontId="38" fillId="5" borderId="14" applyNumberFormat="0" applyProtection="0">
      <alignment vertical="center"/>
    </xf>
    <xf numFmtId="4" fontId="37" fillId="5" borderId="14" applyNumberFormat="0" applyProtection="0">
      <alignment horizontal="left" vertical="center" indent="1"/>
    </xf>
    <xf numFmtId="4" fontId="37" fillId="5" borderId="14" applyNumberFormat="0" applyProtection="0">
      <alignment horizontal="left" vertical="center" indent="1"/>
    </xf>
    <xf numFmtId="4" fontId="37" fillId="43" borderId="14" applyNumberFormat="0" applyProtection="0">
      <alignment horizontal="right" vertical="center"/>
    </xf>
    <xf numFmtId="4" fontId="38" fillId="43" borderId="14" applyNumberFormat="0" applyProtection="0">
      <alignment horizontal="right" vertical="center"/>
    </xf>
    <xf numFmtId="0" fontId="13" fillId="32" borderId="14" applyNumberFormat="0" applyProtection="0">
      <alignment horizontal="left" vertical="center" indent="1"/>
    </xf>
    <xf numFmtId="0" fontId="13" fillId="32" borderId="14" applyNumberFormat="0" applyProtection="0">
      <alignment horizontal="left" vertical="center" indent="1"/>
    </xf>
    <xf numFmtId="0" fontId="41" fillId="0" borderId="0"/>
    <xf numFmtId="4" fontId="15" fillId="43" borderId="14" applyNumberFormat="0" applyProtection="0">
      <alignment horizontal="right" vertical="center"/>
    </xf>
    <xf numFmtId="0" fontId="13" fillId="0" borderId="0"/>
    <xf numFmtId="0" fontId="42" fillId="0" borderId="0" applyNumberFormat="0" applyFill="0" applyBorder="0" applyAlignment="0" applyProtection="0"/>
    <xf numFmtId="0" fontId="43" fillId="0" borderId="17" applyNumberFormat="0" applyFill="0" applyAlignment="0" applyProtection="0"/>
    <xf numFmtId="3" fontId="44" fillId="0" borderId="2" applyNumberFormat="0"/>
    <xf numFmtId="0" fontId="4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0"/>
    <xf numFmtId="0" fontId="47" fillId="0" borderId="0"/>
    <xf numFmtId="0" fontId="13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9" fillId="0" borderId="0"/>
    <xf numFmtId="0" fontId="50" fillId="0" borderId="0"/>
    <xf numFmtId="176" fontId="51" fillId="0" borderId="0"/>
    <xf numFmtId="176" fontId="13" fillId="0" borderId="0"/>
    <xf numFmtId="176" fontId="53" fillId="0" borderId="0"/>
    <xf numFmtId="0" fontId="54" fillId="0" borderId="0">
      <alignment horizontal="left"/>
    </xf>
    <xf numFmtId="177" fontId="52" fillId="0" borderId="18" applyFill="0" applyBorder="0" applyProtection="0">
      <alignment horizontal="right" vertical="top"/>
    </xf>
    <xf numFmtId="176" fontId="55" fillId="0" borderId="18">
      <alignment horizontal="left"/>
    </xf>
    <xf numFmtId="0" fontId="54" fillId="0" borderId="18">
      <alignment horizontal="right" wrapText="1"/>
    </xf>
    <xf numFmtId="0" fontId="52" fillId="0" borderId="0" applyFill="0" applyBorder="0">
      <alignment horizontal="left" vertical="top" wrapText="1"/>
    </xf>
    <xf numFmtId="178" fontId="52" fillId="0" borderId="0" applyFill="0" applyBorder="0">
      <alignment horizontal="right" vertical="top"/>
    </xf>
    <xf numFmtId="179" fontId="52" fillId="0" borderId="0" applyFill="0" applyBorder="0">
      <alignment horizontal="right" vertical="top"/>
    </xf>
    <xf numFmtId="49" fontId="52" fillId="0" borderId="0" applyNumberFormat="0" applyFill="0" applyBorder="0" applyProtection="0">
      <alignment horizontal="center" vertical="top"/>
    </xf>
    <xf numFmtId="176" fontId="56" fillId="0" borderId="0">
      <alignment horizontal="left" vertical="top"/>
    </xf>
    <xf numFmtId="0" fontId="57" fillId="0" borderId="0"/>
    <xf numFmtId="0" fontId="7" fillId="0" borderId="0"/>
    <xf numFmtId="0" fontId="58" fillId="0" borderId="0"/>
    <xf numFmtId="0" fontId="7" fillId="0" borderId="0"/>
    <xf numFmtId="171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59" fillId="0" borderId="0"/>
    <xf numFmtId="0" fontId="60" fillId="0" borderId="0"/>
    <xf numFmtId="0" fontId="61" fillId="0" borderId="0"/>
    <xf numFmtId="0" fontId="62" fillId="0" borderId="0"/>
    <xf numFmtId="0" fontId="62" fillId="0" borderId="0"/>
    <xf numFmtId="0" fontId="59" fillId="0" borderId="0"/>
    <xf numFmtId="0" fontId="60" fillId="0" borderId="0"/>
    <xf numFmtId="0" fontId="61" fillId="0" borderId="0"/>
    <xf numFmtId="0" fontId="66" fillId="0" borderId="0" applyNumberFormat="0" applyFill="0" applyBorder="0" applyAlignment="0" applyProtection="0"/>
    <xf numFmtId="0" fontId="13" fillId="0" borderId="0"/>
    <xf numFmtId="0" fontId="94" fillId="55" borderId="0">
      <alignment horizontal="right" vertical="center"/>
    </xf>
    <xf numFmtId="0" fontId="13" fillId="0" borderId="0"/>
    <xf numFmtId="0" fontId="67" fillId="0" borderId="0"/>
    <xf numFmtId="0" fontId="98" fillId="0" borderId="0"/>
  </cellStyleXfs>
  <cellXfs count="320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5" fillId="2" borderId="1" xfId="1" applyFill="1" applyAlignment="1">
      <alignment horizontal="left" wrapText="1"/>
    </xf>
    <xf numFmtId="0" fontId="6" fillId="2" borderId="0" xfId="0" applyFont="1" applyFill="1"/>
    <xf numFmtId="164" fontId="2" fillId="2" borderId="0" xfId="0" applyNumberFormat="1" applyFont="1" applyFill="1"/>
    <xf numFmtId="164" fontId="1" fillId="2" borderId="0" xfId="0" applyNumberFormat="1" applyFont="1" applyFill="1"/>
    <xf numFmtId="164" fontId="3" fillId="2" borderId="2" xfId="0" applyNumberFormat="1" applyFont="1" applyFill="1" applyBorder="1"/>
    <xf numFmtId="164" fontId="3" fillId="2" borderId="2" xfId="0" applyNumberFormat="1" applyFont="1" applyFill="1" applyBorder="1" applyAlignment="1">
      <alignment horizontal="right" wrapText="1"/>
    </xf>
    <xf numFmtId="164" fontId="3" fillId="2" borderId="3" xfId="0" applyNumberFormat="1" applyFont="1" applyFill="1" applyBorder="1"/>
    <xf numFmtId="165" fontId="1" fillId="2" borderId="0" xfId="0" applyNumberFormat="1" applyFont="1" applyFill="1"/>
    <xf numFmtId="165" fontId="2" fillId="2" borderId="0" xfId="0" applyNumberFormat="1" applyFont="1" applyFill="1"/>
    <xf numFmtId="166" fontId="1" fillId="2" borderId="0" xfId="0" applyNumberFormat="1" applyFont="1" applyFill="1"/>
    <xf numFmtId="166" fontId="3" fillId="2" borderId="3" xfId="0" applyNumberFormat="1" applyFont="1" applyFill="1" applyBorder="1"/>
    <xf numFmtId="164" fontId="1" fillId="2" borderId="3" xfId="0" applyNumberFormat="1" applyFont="1" applyFill="1" applyBorder="1"/>
    <xf numFmtId="164" fontId="8" fillId="2" borderId="0" xfId="0" applyNumberFormat="1" applyFont="1" applyFill="1"/>
    <xf numFmtId="164" fontId="6" fillId="2" borderId="4" xfId="0" applyNumberFormat="1" applyFont="1" applyFill="1" applyBorder="1"/>
    <xf numFmtId="164" fontId="6" fillId="2" borderId="4" xfId="0" applyNumberFormat="1" applyFont="1" applyFill="1" applyBorder="1" applyAlignment="1">
      <alignment horizontal="right" wrapText="1"/>
    </xf>
    <xf numFmtId="164" fontId="6" fillId="3" borderId="4" xfId="0" applyNumberFormat="1" applyFont="1" applyFill="1" applyBorder="1" applyAlignment="1">
      <alignment horizontal="right" wrapText="1"/>
    </xf>
    <xf numFmtId="164" fontId="1" fillId="3" borderId="0" xfId="0" applyNumberFormat="1" applyFont="1" applyFill="1"/>
    <xf numFmtId="164" fontId="1" fillId="2" borderId="0" xfId="0" applyNumberFormat="1" applyFont="1" applyFill="1" applyBorder="1"/>
    <xf numFmtId="164" fontId="6" fillId="2" borderId="0" xfId="0" applyNumberFormat="1" applyFont="1" applyFill="1" applyBorder="1" applyAlignment="1">
      <alignment horizontal="right" wrapText="1"/>
    </xf>
    <xf numFmtId="164" fontId="6" fillId="2" borderId="4" xfId="0" applyNumberFormat="1" applyFont="1" applyFill="1" applyBorder="1" applyAlignment="1">
      <alignment wrapText="1"/>
    </xf>
    <xf numFmtId="164" fontId="6" fillId="2" borderId="0" xfId="0" applyNumberFormat="1" applyFont="1" applyFill="1" applyBorder="1"/>
    <xf numFmtId="9" fontId="1" fillId="2" borderId="0" xfId="2" applyFont="1" applyFill="1"/>
    <xf numFmtId="9" fontId="1" fillId="3" borderId="0" xfId="2" applyFont="1" applyFill="1"/>
    <xf numFmtId="166" fontId="1" fillId="3" borderId="0" xfId="0" applyNumberFormat="1" applyFont="1" applyFill="1"/>
    <xf numFmtId="0" fontId="9" fillId="2" borderId="0" xfId="0" applyFont="1" applyFill="1" applyAlignment="1">
      <alignment horizontal="left"/>
    </xf>
    <xf numFmtId="166" fontId="12" fillId="2" borderId="0" xfId="0" applyNumberFormat="1" applyFont="1" applyFill="1" applyBorder="1"/>
    <xf numFmtId="166" fontId="1" fillId="2" borderId="3" xfId="0" applyNumberFormat="1" applyFont="1" applyFill="1" applyBorder="1"/>
    <xf numFmtId="169" fontId="1" fillId="2" borderId="0" xfId="0" applyNumberFormat="1" applyFont="1" applyFill="1"/>
    <xf numFmtId="169" fontId="1" fillId="3" borderId="0" xfId="0" applyNumberFormat="1" applyFont="1" applyFill="1"/>
    <xf numFmtId="164" fontId="3" fillId="2" borderId="19" xfId="0" applyNumberFormat="1" applyFont="1" applyFill="1" applyBorder="1"/>
    <xf numFmtId="166" fontId="3" fillId="2" borderId="19" xfId="0" applyNumberFormat="1" applyFont="1" applyFill="1" applyBorder="1"/>
    <xf numFmtId="166" fontId="1" fillId="3" borderId="0" xfId="0" applyNumberFormat="1" applyFont="1" applyFill="1" applyBorder="1"/>
    <xf numFmtId="166" fontId="6" fillId="3" borderId="0" xfId="0" applyNumberFormat="1" applyFont="1" applyFill="1" applyBorder="1"/>
    <xf numFmtId="166" fontId="1" fillId="2" borderId="0" xfId="0" applyNumberFormat="1" applyFont="1" applyFill="1" applyBorder="1"/>
    <xf numFmtId="9" fontId="1" fillId="2" borderId="0" xfId="2" applyFont="1" applyFill="1" applyBorder="1"/>
    <xf numFmtId="166" fontId="6" fillId="2" borderId="0" xfId="0" applyNumberFormat="1" applyFont="1" applyFill="1" applyBorder="1"/>
    <xf numFmtId="164" fontId="10" fillId="2" borderId="0" xfId="0" applyNumberFormat="1" applyFont="1" applyFill="1" applyBorder="1"/>
    <xf numFmtId="164" fontId="1" fillId="3" borderId="0" xfId="0" applyNumberFormat="1" applyFont="1" applyFill="1" applyBorder="1"/>
    <xf numFmtId="9" fontId="1" fillId="3" borderId="0" xfId="2" applyFont="1" applyFill="1" applyBorder="1"/>
    <xf numFmtId="165" fontId="1" fillId="2" borderId="0" xfId="0" applyNumberFormat="1" applyFont="1" applyFill="1" applyBorder="1"/>
    <xf numFmtId="169" fontId="1" fillId="2" borderId="0" xfId="0" applyNumberFormat="1" applyFont="1" applyFill="1" applyBorder="1"/>
    <xf numFmtId="165" fontId="6" fillId="2" borderId="0" xfId="0" applyNumberFormat="1" applyFont="1" applyFill="1" applyBorder="1"/>
    <xf numFmtId="169" fontId="6" fillId="2" borderId="0" xfId="0" applyNumberFormat="1" applyFont="1" applyFill="1" applyBorder="1"/>
    <xf numFmtId="165" fontId="12" fillId="2" borderId="0" xfId="0" applyNumberFormat="1" applyFont="1" applyFill="1" applyBorder="1"/>
    <xf numFmtId="166" fontId="1" fillId="2" borderId="0" xfId="0" applyNumberFormat="1" applyFont="1" applyFill="1" applyAlignment="1">
      <alignment horizontal="right"/>
    </xf>
    <xf numFmtId="168" fontId="1" fillId="2" borderId="0" xfId="0" applyNumberFormat="1" applyFont="1" applyFill="1"/>
    <xf numFmtId="168" fontId="1" fillId="3" borderId="0" xfId="0" applyNumberFormat="1" applyFont="1" applyFill="1"/>
    <xf numFmtId="164" fontId="8" fillId="3" borderId="0" xfId="0" applyNumberFormat="1" applyFont="1" applyFill="1"/>
    <xf numFmtId="0" fontId="64" fillId="4" borderId="0" xfId="0" applyFont="1" applyFill="1" applyAlignment="1">
      <alignment horizontal="left"/>
    </xf>
    <xf numFmtId="0" fontId="11" fillId="4" borderId="0" xfId="0" applyFont="1" applyFill="1"/>
    <xf numFmtId="180" fontId="1" fillId="2" borderId="0" xfId="3" applyNumberFormat="1" applyFont="1" applyFill="1"/>
    <xf numFmtId="165" fontId="65" fillId="2" borderId="0" xfId="0" applyNumberFormat="1" applyFont="1" applyFill="1" applyBorder="1"/>
    <xf numFmtId="43" fontId="1" fillId="3" borderId="0" xfId="3" applyFont="1" applyFill="1" applyBorder="1"/>
    <xf numFmtId="9" fontId="1" fillId="2" borderId="0" xfId="2" applyFont="1" applyFill="1" applyBorder="1" applyAlignment="1">
      <alignment horizontal="right"/>
    </xf>
    <xf numFmtId="164" fontId="1" fillId="2" borderId="0" xfId="0" applyNumberFormat="1" applyFont="1" applyFill="1" applyBorder="1" applyAlignment="1">
      <alignment horizontal="right"/>
    </xf>
    <xf numFmtId="166" fontId="1" fillId="2" borderId="0" xfId="0" applyNumberFormat="1" applyFont="1" applyFill="1" applyBorder="1" applyAlignment="1">
      <alignment horizontal="right"/>
    </xf>
    <xf numFmtId="164" fontId="11" fillId="2" borderId="0" xfId="0" applyNumberFormat="1" applyFont="1" applyFill="1" applyBorder="1"/>
    <xf numFmtId="165" fontId="9" fillId="2" borderId="0" xfId="0" applyNumberFormat="1" applyFont="1" applyFill="1" applyBorder="1"/>
    <xf numFmtId="0" fontId="12" fillId="2" borderId="0" xfId="166" applyFont="1" applyFill="1"/>
    <xf numFmtId="181" fontId="1" fillId="2" borderId="0" xfId="0" applyNumberFormat="1" applyFont="1" applyFill="1"/>
    <xf numFmtId="165" fontId="1" fillId="3" borderId="0" xfId="0" applyNumberFormat="1" applyFont="1" applyFill="1" applyBorder="1"/>
    <xf numFmtId="0" fontId="1" fillId="0" borderId="0" xfId="0" applyFont="1"/>
    <xf numFmtId="164" fontId="67" fillId="2" borderId="0" xfId="0" applyNumberFormat="1" applyFont="1" applyFill="1"/>
    <xf numFmtId="164" fontId="1" fillId="2" borderId="0" xfId="0" applyNumberFormat="1" applyFont="1" applyFill="1" applyAlignment="1">
      <alignment horizontal="left" indent="1"/>
    </xf>
    <xf numFmtId="164" fontId="68" fillId="2" borderId="0" xfId="0" applyNumberFormat="1" applyFont="1" applyFill="1"/>
    <xf numFmtId="167" fontId="68" fillId="2" borderId="0" xfId="2" applyNumberFormat="1" applyFont="1" applyFill="1"/>
    <xf numFmtId="164" fontId="9" fillId="2" borderId="0" xfId="0" applyNumberFormat="1" applyFont="1" applyFill="1"/>
    <xf numFmtId="164" fontId="1" fillId="47" borderId="0" xfId="0" applyNumberFormat="1" applyFont="1" applyFill="1"/>
    <xf numFmtId="164" fontId="6" fillId="3" borderId="0" xfId="0" applyNumberFormat="1" applyFont="1" applyFill="1" applyBorder="1" applyAlignment="1">
      <alignment horizontal="right" wrapText="1"/>
    </xf>
    <xf numFmtId="164" fontId="1" fillId="2" borderId="0" xfId="0" applyNumberFormat="1" applyFont="1" applyFill="1" applyAlignment="1">
      <alignment horizontal="left"/>
    </xf>
    <xf numFmtId="164" fontId="11" fillId="4" borderId="0" xfId="0" applyNumberFormat="1" applyFont="1" applyFill="1" applyAlignment="1">
      <alignment vertical="center"/>
    </xf>
    <xf numFmtId="166" fontId="69" fillId="4" borderId="0" xfId="0" applyNumberFormat="1" applyFont="1" applyFill="1" applyAlignment="1">
      <alignment vertical="center"/>
    </xf>
    <xf numFmtId="9" fontId="68" fillId="2" borderId="0" xfId="2" applyFont="1" applyFill="1"/>
    <xf numFmtId="9" fontId="8" fillId="3" borderId="0" xfId="2" applyFont="1" applyFill="1"/>
    <xf numFmtId="167" fontId="8" fillId="3" borderId="0" xfId="2" applyNumberFormat="1" applyFont="1" applyFill="1"/>
    <xf numFmtId="9" fontId="8" fillId="2" borderId="0" xfId="2" applyFont="1" applyFill="1"/>
    <xf numFmtId="166" fontId="6" fillId="2" borderId="19" xfId="0" applyNumberFormat="1" applyFont="1" applyFill="1" applyBorder="1"/>
    <xf numFmtId="164" fontId="12" fillId="2" borderId="19" xfId="0" applyNumberFormat="1" applyFont="1" applyFill="1" applyBorder="1"/>
    <xf numFmtId="166" fontId="6" fillId="3" borderId="19" xfId="0" applyNumberFormat="1" applyFont="1" applyFill="1" applyBorder="1"/>
    <xf numFmtId="9" fontId="68" fillId="2" borderId="0" xfId="2" applyFont="1" applyFill="1" applyBorder="1"/>
    <xf numFmtId="9" fontId="68" fillId="3" borderId="0" xfId="2" applyFont="1" applyFill="1" applyBorder="1"/>
    <xf numFmtId="164" fontId="11" fillId="4" borderId="0" xfId="0" applyNumberFormat="1" applyFont="1" applyFill="1" applyBorder="1"/>
    <xf numFmtId="166" fontId="11" fillId="4" borderId="0" xfId="0" applyNumberFormat="1" applyFont="1" applyFill="1" applyBorder="1"/>
    <xf numFmtId="164" fontId="6" fillId="2" borderId="0" xfId="0" applyNumberFormat="1" applyFont="1" applyFill="1" applyBorder="1" applyAlignment="1">
      <alignment wrapText="1"/>
    </xf>
    <xf numFmtId="166" fontId="1" fillId="3" borderId="3" xfId="0" applyNumberFormat="1" applyFont="1" applyFill="1" applyBorder="1"/>
    <xf numFmtId="1" fontId="1" fillId="2" borderId="0" xfId="0" applyNumberFormat="1" applyFont="1" applyFill="1"/>
    <xf numFmtId="166" fontId="6" fillId="2" borderId="3" xfId="0" applyNumberFormat="1" applyFont="1" applyFill="1" applyBorder="1"/>
    <xf numFmtId="167" fontId="12" fillId="2" borderId="21" xfId="2" applyNumberFormat="1" applyFont="1" applyFill="1" applyBorder="1"/>
    <xf numFmtId="164" fontId="1" fillId="2" borderId="21" xfId="0" applyNumberFormat="1" applyFont="1" applyFill="1" applyBorder="1"/>
    <xf numFmtId="9" fontId="12" fillId="2" borderId="21" xfId="2" applyFont="1" applyFill="1" applyBorder="1"/>
    <xf numFmtId="9" fontId="12" fillId="2" borderId="22" xfId="2" applyFont="1" applyFill="1" applyBorder="1"/>
    <xf numFmtId="9" fontId="12" fillId="2" borderId="0" xfId="2" applyFont="1" applyFill="1" applyBorder="1"/>
    <xf numFmtId="9" fontId="12" fillId="2" borderId="24" xfId="2" applyFont="1" applyFill="1" applyBorder="1"/>
    <xf numFmtId="167" fontId="12" fillId="2" borderId="0" xfId="2" applyNumberFormat="1" applyFont="1" applyFill="1" applyBorder="1"/>
    <xf numFmtId="167" fontId="12" fillId="2" borderId="24" xfId="2" applyNumberFormat="1" applyFont="1" applyFill="1" applyBorder="1"/>
    <xf numFmtId="9" fontId="12" fillId="2" borderId="26" xfId="2" applyFont="1" applyFill="1" applyBorder="1"/>
    <xf numFmtId="9" fontId="12" fillId="2" borderId="27" xfId="2" applyFont="1" applyFill="1" applyBorder="1"/>
    <xf numFmtId="164" fontId="12" fillId="2" borderId="20" xfId="0" applyNumberFormat="1" applyFont="1" applyFill="1" applyBorder="1"/>
    <xf numFmtId="164" fontId="12" fillId="2" borderId="23" xfId="0" applyNumberFormat="1" applyFont="1" applyFill="1" applyBorder="1"/>
    <xf numFmtId="164" fontId="12" fillId="2" borderId="25" xfId="0" applyNumberFormat="1" applyFont="1" applyFill="1" applyBorder="1"/>
    <xf numFmtId="49" fontId="70" fillId="49" borderId="0" xfId="0" applyNumberFormat="1" applyFont="1" applyFill="1" applyAlignment="1">
      <alignment horizontal="left" vertical="center"/>
    </xf>
    <xf numFmtId="183" fontId="70" fillId="49" borderId="0" xfId="0" applyNumberFormat="1" applyFont="1" applyFill="1" applyAlignment="1">
      <alignment horizontal="left" vertical="center"/>
    </xf>
    <xf numFmtId="0" fontId="70" fillId="49" borderId="0" xfId="0" applyFont="1" applyFill="1" applyAlignment="1">
      <alignment horizontal="left" vertical="center"/>
    </xf>
    <xf numFmtId="49" fontId="71" fillId="4" borderId="0" xfId="0" applyNumberFormat="1" applyFont="1" applyFill="1" applyAlignment="1">
      <alignment horizontal="left" vertical="center"/>
    </xf>
    <xf numFmtId="0" fontId="71" fillId="50" borderId="0" xfId="0" applyFont="1" applyFill="1" applyAlignment="1">
      <alignment horizontal="center" vertical="center"/>
    </xf>
    <xf numFmtId="0" fontId="65" fillId="0" borderId="0" xfId="0" applyFont="1" applyAlignment="1">
      <alignment horizontal="left" vertical="center"/>
    </xf>
    <xf numFmtId="184" fontId="72" fillId="0" borderId="0" xfId="0" applyNumberFormat="1" applyFont="1" applyAlignment="1">
      <alignment horizontal="left" vertical="center"/>
    </xf>
    <xf numFmtId="185" fontId="65" fillId="0" borderId="0" xfId="0" applyNumberFormat="1" applyFont="1"/>
    <xf numFmtId="49" fontId="73" fillId="49" borderId="0" xfId="0" applyNumberFormat="1" applyFont="1" applyFill="1" applyAlignment="1">
      <alignment horizontal="left" vertical="center"/>
    </xf>
    <xf numFmtId="0" fontId="44" fillId="0" borderId="0" xfId="0" applyFont="1" applyAlignment="1">
      <alignment horizontal="left" vertical="center"/>
    </xf>
    <xf numFmtId="186" fontId="74" fillId="0" borderId="19" xfId="0" applyNumberFormat="1" applyFont="1" applyBorder="1" applyAlignment="1">
      <alignment horizontal="left" vertical="center"/>
    </xf>
    <xf numFmtId="183" fontId="73" fillId="49" borderId="0" xfId="0" applyNumberFormat="1" applyFont="1" applyFill="1" applyAlignment="1">
      <alignment horizontal="left" vertical="center"/>
    </xf>
    <xf numFmtId="0" fontId="65" fillId="0" borderId="0" xfId="0" applyFont="1" applyAlignment="1">
      <alignment horizontal="left" vertical="center" wrapText="1"/>
    </xf>
    <xf numFmtId="0" fontId="75" fillId="0" borderId="0" xfId="0" applyFont="1" applyAlignment="1">
      <alignment vertical="center"/>
    </xf>
    <xf numFmtId="187" fontId="44" fillId="2" borderId="19" xfId="0" applyNumberFormat="1" applyFont="1" applyFill="1" applyBorder="1"/>
    <xf numFmtId="186" fontId="72" fillId="0" borderId="0" xfId="0" applyNumberFormat="1" applyFont="1" applyAlignment="1">
      <alignment horizontal="left" vertical="center"/>
    </xf>
    <xf numFmtId="187" fontId="65" fillId="2" borderId="0" xfId="0" applyNumberFormat="1" applyFont="1" applyFill="1"/>
    <xf numFmtId="186" fontId="74" fillId="0" borderId="0" xfId="0" applyNumberFormat="1" applyFont="1" applyAlignment="1">
      <alignment horizontal="left" vertical="center"/>
    </xf>
    <xf numFmtId="0" fontId="44" fillId="0" borderId="0" xfId="167" applyFont="1"/>
    <xf numFmtId="183" fontId="76" fillId="49" borderId="0" xfId="0" applyNumberFormat="1" applyFont="1" applyFill="1" applyAlignment="1">
      <alignment horizontal="center" vertical="center"/>
    </xf>
    <xf numFmtId="186" fontId="65" fillId="0" borderId="0" xfId="0" applyNumberFormat="1" applyFont="1" applyAlignment="1">
      <alignment horizontal="left" vertical="center"/>
    </xf>
    <xf numFmtId="14" fontId="1" fillId="0" borderId="0" xfId="0" applyNumberFormat="1" applyFont="1"/>
    <xf numFmtId="0" fontId="10" fillId="4" borderId="0" xfId="0" applyFont="1" applyFill="1"/>
    <xf numFmtId="14" fontId="3" fillId="48" borderId="0" xfId="0" applyNumberFormat="1" applyFont="1" applyFill="1"/>
    <xf numFmtId="0" fontId="3" fillId="48" borderId="0" xfId="0" applyFont="1" applyFill="1"/>
    <xf numFmtId="0" fontId="77" fillId="0" borderId="0" xfId="0" applyFont="1" applyAlignment="1">
      <alignment horizontal="left"/>
    </xf>
    <xf numFmtId="0" fontId="77" fillId="0" borderId="0" xfId="0" applyFont="1" applyAlignment="1">
      <alignment horizontal="centerContinuous"/>
    </xf>
    <xf numFmtId="0" fontId="78" fillId="0" borderId="0" xfId="0" applyFont="1" applyAlignment="1">
      <alignment horizontal="left"/>
    </xf>
    <xf numFmtId="0" fontId="77" fillId="0" borderId="0" xfId="0" applyFont="1" applyAlignment="1">
      <alignment horizontal="center"/>
    </xf>
    <xf numFmtId="0" fontId="0" fillId="0" borderId="0" xfId="0" applyAlignment="1">
      <alignment horizontal="left"/>
    </xf>
    <xf numFmtId="10" fontId="0" fillId="51" borderId="11" xfId="0" applyNumberFormat="1" applyFill="1" applyBorder="1" applyAlignment="1">
      <alignment horizontal="center"/>
    </xf>
    <xf numFmtId="0" fontId="79" fillId="0" borderId="0" xfId="0" applyFont="1"/>
    <xf numFmtId="0" fontId="0" fillId="51" borderId="1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2" fontId="0" fillId="51" borderId="11" xfId="0" applyNumberFormat="1" applyFill="1" applyBorder="1" applyAlignment="1">
      <alignment horizontal="center"/>
    </xf>
    <xf numFmtId="0" fontId="79" fillId="2" borderId="0" xfId="0" applyFont="1" applyFill="1" applyBorder="1" applyAlignment="1">
      <alignment horizontal="left"/>
    </xf>
    <xf numFmtId="0" fontId="0" fillId="0" borderId="0" xfId="0" applyBorder="1"/>
    <xf numFmtId="0" fontId="80" fillId="0" borderId="28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8" fillId="0" borderId="29" xfId="0" applyFont="1" applyBorder="1" applyAlignment="1">
      <alignment horizontal="center"/>
    </xf>
    <xf numFmtId="0" fontId="80" fillId="0" borderId="29" xfId="0" applyFont="1" applyBorder="1" applyAlignment="1">
      <alignment horizontal="center"/>
    </xf>
    <xf numFmtId="0" fontId="80" fillId="0" borderId="29" xfId="0" applyFont="1" applyBorder="1" applyAlignment="1">
      <alignment horizontal="center" wrapText="1"/>
    </xf>
    <xf numFmtId="0" fontId="80" fillId="0" borderId="30" xfId="0" applyFont="1" applyBorder="1" applyAlignment="1">
      <alignment horizontal="center"/>
    </xf>
    <xf numFmtId="0" fontId="81" fillId="0" borderId="0" xfId="0" applyFont="1"/>
    <xf numFmtId="0" fontId="78" fillId="0" borderId="31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78" fillId="0" borderId="11" xfId="0" applyFont="1" applyBorder="1" applyAlignment="1">
      <alignment horizontal="center"/>
    </xf>
    <xf numFmtId="10" fontId="78" fillId="0" borderId="11" xfId="2" applyNumberFormat="1" applyFont="1" applyBorder="1" applyAlignment="1">
      <alignment horizontal="center"/>
    </xf>
    <xf numFmtId="10" fontId="78" fillId="0" borderId="11" xfId="0" applyNumberFormat="1" applyFont="1" applyBorder="1" applyAlignment="1">
      <alignment horizontal="center"/>
    </xf>
    <xf numFmtId="10" fontId="78" fillId="0" borderId="32" xfId="0" applyNumberFormat="1" applyFont="1" applyBorder="1" applyAlignment="1">
      <alignment horizontal="center"/>
    </xf>
    <xf numFmtId="0" fontId="79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1" fontId="0" fillId="0" borderId="11" xfId="0" applyNumberFormat="1" applyBorder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78" fillId="0" borderId="33" xfId="0" applyFont="1" applyBorder="1" applyAlignment="1">
      <alignment horizontal="left"/>
    </xf>
    <xf numFmtId="0" fontId="0" fillId="0" borderId="34" xfId="0" applyBorder="1" applyAlignment="1">
      <alignment horizontal="left"/>
    </xf>
    <xf numFmtId="0" fontId="78" fillId="0" borderId="34" xfId="0" applyFont="1" applyBorder="1" applyAlignment="1">
      <alignment horizontal="center"/>
    </xf>
    <xf numFmtId="10" fontId="78" fillId="0" borderId="34" xfId="2" applyNumberFormat="1" applyFont="1" applyBorder="1" applyAlignment="1">
      <alignment horizontal="center"/>
    </xf>
    <xf numFmtId="10" fontId="78" fillId="0" borderId="34" xfId="0" applyNumberFormat="1" applyFont="1" applyBorder="1" applyAlignment="1">
      <alignment horizontal="center"/>
    </xf>
    <xf numFmtId="10" fontId="78" fillId="0" borderId="35" xfId="0" applyNumberFormat="1" applyFont="1" applyBorder="1" applyAlignment="1">
      <alignment horizontal="center"/>
    </xf>
    <xf numFmtId="0" fontId="78" fillId="0" borderId="0" xfId="0" applyFont="1" applyBorder="1" applyAlignment="1">
      <alignment horizontal="left"/>
    </xf>
    <xf numFmtId="10" fontId="78" fillId="0" borderId="0" xfId="2" applyNumberFormat="1" applyFont="1" applyBorder="1" applyAlignment="1">
      <alignment horizontal="center"/>
    </xf>
    <xf numFmtId="10" fontId="78" fillId="0" borderId="0" xfId="2" applyNumberFormat="1" applyFont="1" applyBorder="1"/>
    <xf numFmtId="10" fontId="78" fillId="0" borderId="0" xfId="0" applyNumberFormat="1" applyFont="1" applyBorder="1" applyAlignment="1">
      <alignment horizontal="center"/>
    </xf>
    <xf numFmtId="0" fontId="79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10" fontId="82" fillId="0" borderId="0" xfId="0" applyNumberFormat="1" applyFont="1" applyBorder="1" applyAlignment="1">
      <alignment horizontal="center"/>
    </xf>
    <xf numFmtId="0" fontId="83" fillId="0" borderId="11" xfId="0" applyFont="1" applyBorder="1"/>
    <xf numFmtId="0" fontId="83" fillId="0" borderId="11" xfId="0" applyFont="1" applyBorder="1" applyAlignment="1">
      <alignment horizontal="center"/>
    </xf>
    <xf numFmtId="10" fontId="84" fillId="0" borderId="11" xfId="2" applyNumberFormat="1" applyFont="1" applyBorder="1" applyAlignment="1">
      <alignment horizontal="center"/>
    </xf>
    <xf numFmtId="10" fontId="83" fillId="0" borderId="11" xfId="2" applyNumberFormat="1" applyFont="1" applyBorder="1" applyAlignment="1">
      <alignment horizontal="center"/>
    </xf>
    <xf numFmtId="0" fontId="85" fillId="0" borderId="0" xfId="0" applyFont="1" applyBorder="1" applyAlignment="1">
      <alignment horizontal="left"/>
    </xf>
    <xf numFmtId="182" fontId="85" fillId="0" borderId="29" xfId="0" applyNumberFormat="1" applyFont="1" applyBorder="1" applyAlignment="1">
      <alignment horizontal="left"/>
    </xf>
    <xf numFmtId="10" fontId="78" fillId="0" borderId="29" xfId="0" applyNumberFormat="1" applyFon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88" fillId="53" borderId="36" xfId="0" applyFont="1" applyFill="1" applyBorder="1" applyAlignment="1"/>
    <xf numFmtId="2" fontId="0" fillId="0" borderId="0" xfId="0" applyNumberFormat="1"/>
    <xf numFmtId="0" fontId="88" fillId="53" borderId="42" xfId="0" applyFont="1" applyFill="1" applyBorder="1" applyAlignment="1"/>
    <xf numFmtId="0" fontId="90" fillId="0" borderId="0" xfId="0" applyFont="1"/>
    <xf numFmtId="2" fontId="90" fillId="0" borderId="0" xfId="0" applyNumberFormat="1" applyFont="1"/>
    <xf numFmtId="0" fontId="88" fillId="53" borderId="46" xfId="0" applyFont="1" applyFill="1" applyBorder="1" applyAlignment="1"/>
    <xf numFmtId="2" fontId="0" fillId="0" borderId="0" xfId="0" applyNumberFormat="1" applyAlignment="1">
      <alignment horizontal="center"/>
    </xf>
    <xf numFmtId="0" fontId="0" fillId="54" borderId="11" xfId="0" applyFill="1" applyBorder="1" applyAlignment="1">
      <alignment horizontal="center"/>
    </xf>
    <xf numFmtId="0" fontId="91" fillId="0" borderId="0" xfId="0" applyFont="1" applyAlignment="1">
      <alignment horizontal="left"/>
    </xf>
    <xf numFmtId="10" fontId="84" fillId="0" borderId="0" xfId="2" applyNumberFormat="1" applyFont="1" applyAlignment="1">
      <alignment horizontal="center"/>
    </xf>
    <xf numFmtId="10" fontId="0" fillId="54" borderId="11" xfId="0" applyNumberFormat="1" applyFill="1" applyBorder="1" applyAlignment="1">
      <alignment horizontal="center"/>
    </xf>
    <xf numFmtId="0" fontId="93" fillId="0" borderId="28" xfId="0" applyFont="1" applyBorder="1" applyAlignment="1">
      <alignment wrapText="1"/>
    </xf>
    <xf numFmtId="0" fontId="93" fillId="0" borderId="29" xfId="0" applyFont="1" applyBorder="1" applyAlignment="1">
      <alignment horizontal="center" wrapText="1"/>
    </xf>
    <xf numFmtId="2" fontId="93" fillId="0" borderId="29" xfId="0" applyNumberFormat="1" applyFont="1" applyBorder="1" applyAlignment="1">
      <alignment horizontal="center" wrapText="1"/>
    </xf>
    <xf numFmtId="0" fontId="93" fillId="0" borderId="11" xfId="0" applyFont="1" applyBorder="1" applyAlignment="1">
      <alignment horizontal="center" wrapText="1"/>
    </xf>
    <xf numFmtId="10" fontId="93" fillId="0" borderId="30" xfId="0" applyNumberFormat="1" applyFont="1" applyBorder="1" applyAlignment="1">
      <alignment horizontal="center" wrapText="1"/>
    </xf>
    <xf numFmtId="0" fontId="0" fillId="0" borderId="31" xfId="0" applyBorder="1" applyAlignment="1"/>
    <xf numFmtId="2" fontId="0" fillId="0" borderId="11" xfId="0" applyNumberFormat="1" applyBorder="1" applyAlignment="1">
      <alignment horizontal="center"/>
    </xf>
    <xf numFmtId="10" fontId="0" fillId="0" borderId="11" xfId="0" applyNumberFormat="1" applyBorder="1" applyAlignment="1">
      <alignment horizontal="center"/>
    </xf>
    <xf numFmtId="189" fontId="0" fillId="0" borderId="11" xfId="0" applyNumberFormat="1" applyBorder="1" applyAlignment="1">
      <alignment horizontal="center"/>
    </xf>
    <xf numFmtId="10" fontId="0" fillId="0" borderId="32" xfId="0" applyNumberFormat="1" applyBorder="1" applyAlignment="1">
      <alignment horizontal="center"/>
    </xf>
    <xf numFmtId="2" fontId="0" fillId="52" borderId="11" xfId="0" applyNumberFormat="1" applyFont="1" applyFill="1" applyBorder="1" applyAlignment="1">
      <alignment horizontal="center"/>
    </xf>
    <xf numFmtId="2" fontId="0" fillId="0" borderId="11" xfId="0" applyNumberFormat="1" applyFont="1" applyBorder="1" applyAlignment="1">
      <alignment horizontal="center"/>
    </xf>
    <xf numFmtId="0" fontId="0" fillId="0" borderId="31" xfId="0" applyFont="1" applyBorder="1" applyAlignment="1"/>
    <xf numFmtId="0" fontId="0" fillId="0" borderId="11" xfId="0" applyFont="1" applyBorder="1" applyAlignment="1">
      <alignment horizontal="center"/>
    </xf>
    <xf numFmtId="10" fontId="0" fillId="0" borderId="11" xfId="0" applyNumberFormat="1" applyFont="1" applyBorder="1" applyAlignment="1">
      <alignment horizontal="center"/>
    </xf>
    <xf numFmtId="189" fontId="0" fillId="0" borderId="11" xfId="0" applyNumberFormat="1" applyFont="1" applyBorder="1" applyAlignment="1">
      <alignment horizontal="center"/>
    </xf>
    <xf numFmtId="10" fontId="0" fillId="0" borderId="32" xfId="0" applyNumberFormat="1" applyFont="1" applyBorder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/>
    <xf numFmtId="0" fontId="90" fillId="0" borderId="31" xfId="0" applyFont="1" applyBorder="1" applyAlignment="1"/>
    <xf numFmtId="0" fontId="90" fillId="0" borderId="11" xfId="0" applyFont="1" applyBorder="1" applyAlignment="1">
      <alignment horizontal="center"/>
    </xf>
    <xf numFmtId="2" fontId="90" fillId="0" borderId="11" xfId="0" applyNumberFormat="1" applyFont="1" applyBorder="1" applyAlignment="1">
      <alignment horizontal="center"/>
    </xf>
    <xf numFmtId="10" fontId="90" fillId="0" borderId="11" xfId="0" applyNumberFormat="1" applyFont="1" applyBorder="1" applyAlignment="1">
      <alignment horizontal="center"/>
    </xf>
    <xf numFmtId="189" fontId="90" fillId="0" borderId="11" xfId="0" applyNumberFormat="1" applyFont="1" applyBorder="1" applyAlignment="1">
      <alignment horizontal="center"/>
    </xf>
    <xf numFmtId="10" fontId="90" fillId="0" borderId="32" xfId="0" applyNumberFormat="1" applyFont="1" applyBorder="1" applyAlignment="1">
      <alignment horizontal="center"/>
    </xf>
    <xf numFmtId="2" fontId="90" fillId="0" borderId="0" xfId="0" applyNumberFormat="1" applyFont="1" applyAlignment="1">
      <alignment horizontal="center"/>
    </xf>
    <xf numFmtId="0" fontId="90" fillId="0" borderId="0" xfId="0" applyFont="1" applyAlignment="1">
      <alignment horizontal="center"/>
    </xf>
    <xf numFmtId="0" fontId="90" fillId="52" borderId="53" xfId="0" applyFont="1" applyFill="1" applyBorder="1" applyAlignment="1">
      <alignment horizontal="center"/>
    </xf>
    <xf numFmtId="0" fontId="90" fillId="0" borderId="33" xfId="0" applyFont="1" applyBorder="1" applyAlignment="1"/>
    <xf numFmtId="0" fontId="90" fillId="0" borderId="34" xfId="0" applyFont="1" applyBorder="1" applyAlignment="1">
      <alignment horizontal="center"/>
    </xf>
    <xf numFmtId="2" fontId="90" fillId="0" borderId="34" xfId="0" applyNumberFormat="1" applyFont="1" applyBorder="1" applyAlignment="1">
      <alignment horizontal="center"/>
    </xf>
    <xf numFmtId="10" fontId="90" fillId="0" borderId="34" xfId="0" applyNumberFormat="1" applyFont="1" applyBorder="1" applyAlignment="1">
      <alignment horizontal="center"/>
    </xf>
    <xf numFmtId="189" fontId="90" fillId="0" borderId="34" xfId="0" applyNumberFormat="1" applyFont="1" applyBorder="1" applyAlignment="1">
      <alignment horizontal="center"/>
    </xf>
    <xf numFmtId="10" fontId="90" fillId="0" borderId="35" xfId="0" applyNumberFormat="1" applyFont="1" applyBorder="1" applyAlignment="1">
      <alignment horizontal="center"/>
    </xf>
    <xf numFmtId="0" fontId="90" fillId="0" borderId="54" xfId="0" applyFont="1" applyBorder="1" applyAlignment="1">
      <alignment horizontal="center"/>
    </xf>
    <xf numFmtId="0" fontId="0" fillId="0" borderId="0" xfId="0" applyAlignment="1"/>
    <xf numFmtId="0" fontId="14" fillId="0" borderId="0" xfId="169" applyNumberFormat="1" applyFont="1" applyFill="1" applyBorder="1" applyAlignment="1">
      <alignment horizontal="left" vertical="center"/>
    </xf>
    <xf numFmtId="191" fontId="14" fillId="0" borderId="0" xfId="169" applyNumberFormat="1" applyFont="1" applyFill="1" applyBorder="1" applyAlignment="1">
      <alignment horizontal="left" vertical="center"/>
    </xf>
    <xf numFmtId="184" fontId="95" fillId="0" borderId="0" xfId="170" applyNumberFormat="1" applyFont="1" applyFill="1" applyAlignment="1">
      <alignment horizontal="left" vertical="center"/>
    </xf>
    <xf numFmtId="184" fontId="14" fillId="0" borderId="0" xfId="170" applyNumberFormat="1" applyFont="1" applyFill="1" applyAlignment="1">
      <alignment horizontal="left" vertical="center"/>
    </xf>
    <xf numFmtId="0" fontId="96" fillId="0" borderId="0" xfId="169" applyFont="1" applyFill="1" applyBorder="1" applyAlignment="1">
      <alignment horizontal="left" vertical="top" wrapText="1" indent="1"/>
    </xf>
    <xf numFmtId="3" fontId="96" fillId="0" borderId="0" xfId="169" applyNumberFormat="1" applyFont="1" applyFill="1" applyBorder="1" applyAlignment="1">
      <alignment horizontal="center" vertical="top" wrapText="1"/>
    </xf>
    <xf numFmtId="10" fontId="97" fillId="0" borderId="0" xfId="169" applyNumberFormat="1" applyFont="1" applyFill="1" applyBorder="1" applyAlignment="1">
      <alignment horizontal="center" vertical="top" wrapText="1"/>
    </xf>
    <xf numFmtId="0" fontId="99" fillId="0" borderId="0" xfId="171" applyNumberFormat="1" applyFont="1" applyFill="1" applyAlignment="1">
      <alignment horizontal="left" vertical="center"/>
    </xf>
    <xf numFmtId="0" fontId="100" fillId="0" borderId="0" xfId="170" applyFont="1"/>
    <xf numFmtId="190" fontId="71" fillId="4" borderId="0" xfId="168" applyNumberFormat="1" applyFont="1" applyFill="1" applyBorder="1" applyAlignment="1">
      <alignment horizontal="left" vertical="center" wrapText="1"/>
    </xf>
    <xf numFmtId="0" fontId="14" fillId="0" borderId="20" xfId="169" applyNumberFormat="1" applyFont="1" applyFill="1" applyBorder="1" applyAlignment="1">
      <alignment horizontal="left" vertical="center"/>
    </xf>
    <xf numFmtId="191" fontId="14" fillId="0" borderId="21" xfId="169" applyNumberFormat="1" applyFont="1" applyFill="1" applyBorder="1" applyAlignment="1">
      <alignment horizontal="left" vertical="center"/>
    </xf>
    <xf numFmtId="184" fontId="95" fillId="0" borderId="22" xfId="170" applyNumberFormat="1" applyFont="1" applyFill="1" applyBorder="1" applyAlignment="1">
      <alignment horizontal="left" vertical="center"/>
    </xf>
    <xf numFmtId="0" fontId="14" fillId="0" borderId="23" xfId="169" applyNumberFormat="1" applyFont="1" applyFill="1" applyBorder="1" applyAlignment="1">
      <alignment horizontal="left" vertical="center"/>
    </xf>
    <xf numFmtId="184" fontId="14" fillId="0" borderId="24" xfId="170" applyNumberFormat="1" applyFont="1" applyFill="1" applyBorder="1" applyAlignment="1">
      <alignment horizontal="left" vertical="center"/>
    </xf>
    <xf numFmtId="0" fontId="14" fillId="0" borderId="25" xfId="169" applyNumberFormat="1" applyFont="1" applyFill="1" applyBorder="1" applyAlignment="1">
      <alignment horizontal="left" vertical="center"/>
    </xf>
    <xf numFmtId="191" fontId="14" fillId="0" borderId="26" xfId="169" applyNumberFormat="1" applyFont="1" applyFill="1" applyBorder="1" applyAlignment="1">
      <alignment horizontal="left" vertical="center"/>
    </xf>
    <xf numFmtId="184" fontId="14" fillId="0" borderId="27" xfId="170" applyNumberFormat="1" applyFont="1" applyFill="1" applyBorder="1" applyAlignment="1">
      <alignment horizontal="left" vertical="center"/>
    </xf>
    <xf numFmtId="183" fontId="73" fillId="49" borderId="0" xfId="0" applyNumberFormat="1" applyFont="1" applyFill="1" applyBorder="1" applyAlignment="1">
      <alignment horizontal="left" vertical="center"/>
    </xf>
    <xf numFmtId="186" fontId="74" fillId="0" borderId="55" xfId="0" applyNumberFormat="1" applyFont="1" applyBorder="1" applyAlignment="1">
      <alignment horizontal="left" vertical="center"/>
    </xf>
    <xf numFmtId="183" fontId="70" fillId="49" borderId="0" xfId="0" applyNumberFormat="1" applyFont="1" applyFill="1" applyBorder="1" applyAlignment="1">
      <alignment horizontal="left" vertical="center"/>
    </xf>
    <xf numFmtId="0" fontId="70" fillId="49" borderId="0" xfId="0" applyFont="1" applyFill="1" applyBorder="1" applyAlignment="1">
      <alignment horizontal="left" vertical="center"/>
    </xf>
    <xf numFmtId="183" fontId="65" fillId="49" borderId="0" xfId="0" applyNumberFormat="1" applyFont="1" applyFill="1" applyBorder="1" applyAlignment="1">
      <alignment horizontal="left" vertical="center"/>
    </xf>
    <xf numFmtId="188" fontId="65" fillId="0" borderId="0" xfId="0" applyNumberFormat="1" applyFont="1" applyAlignment="1">
      <alignment horizontal="left" vertical="center"/>
    </xf>
    <xf numFmtId="192" fontId="70" fillId="49" borderId="0" xfId="0" applyNumberFormat="1" applyFont="1" applyFill="1" applyAlignment="1">
      <alignment horizontal="left" vertical="center" indent="1"/>
    </xf>
    <xf numFmtId="186" fontId="74" fillId="0" borderId="2" xfId="0" applyNumberFormat="1" applyFont="1" applyBorder="1" applyAlignment="1">
      <alignment horizontal="left" vertical="center"/>
    </xf>
    <xf numFmtId="186" fontId="72" fillId="0" borderId="2" xfId="0" applyNumberFormat="1" applyFont="1" applyBorder="1" applyAlignment="1">
      <alignment horizontal="left" vertical="center"/>
    </xf>
    <xf numFmtId="165" fontId="1" fillId="4" borderId="0" xfId="0" applyNumberFormat="1" applyFont="1" applyFill="1" applyBorder="1"/>
    <xf numFmtId="165" fontId="11" fillId="4" borderId="0" xfId="0" applyNumberFormat="1" applyFont="1" applyFill="1" applyBorder="1"/>
    <xf numFmtId="169" fontId="11" fillId="4" borderId="0" xfId="0" applyNumberFormat="1" applyFont="1" applyFill="1" applyBorder="1"/>
    <xf numFmtId="186" fontId="74" fillId="0" borderId="0" xfId="0" applyNumberFormat="1" applyFont="1" applyFill="1" applyBorder="1" applyAlignment="1">
      <alignment horizontal="left" vertical="center"/>
    </xf>
    <xf numFmtId="166" fontId="65" fillId="2" borderId="0" xfId="0" applyNumberFormat="1" applyFont="1" applyFill="1" applyBorder="1"/>
    <xf numFmtId="168" fontId="1" fillId="2" borderId="0" xfId="0" applyNumberFormat="1" applyFont="1" applyFill="1" applyBorder="1"/>
    <xf numFmtId="166" fontId="12" fillId="2" borderId="19" xfId="0" applyNumberFormat="1" applyFont="1" applyFill="1" applyBorder="1"/>
    <xf numFmtId="9" fontId="11" fillId="4" borderId="56" xfId="2" applyFont="1" applyFill="1" applyBorder="1"/>
    <xf numFmtId="9" fontId="11" fillId="4" borderId="0" xfId="2" applyFont="1" applyFill="1" applyBorder="1"/>
    <xf numFmtId="164" fontId="1" fillId="56" borderId="0" xfId="0" applyNumberFormat="1" applyFont="1" applyFill="1" applyBorder="1"/>
    <xf numFmtId="166" fontId="1" fillId="56" borderId="0" xfId="0" applyNumberFormat="1" applyFont="1" applyFill="1" applyBorder="1"/>
    <xf numFmtId="164" fontId="6" fillId="2" borderId="19" xfId="0" applyNumberFormat="1" applyFont="1" applyFill="1" applyBorder="1"/>
    <xf numFmtId="164" fontId="6" fillId="56" borderId="19" xfId="0" applyNumberFormat="1" applyFont="1" applyFill="1" applyBorder="1"/>
    <xf numFmtId="49" fontId="1" fillId="2" borderId="0" xfId="0" quotePrefix="1" applyNumberFormat="1" applyFont="1" applyFill="1" applyBorder="1"/>
    <xf numFmtId="49" fontId="1" fillId="2" borderId="0" xfId="0" applyNumberFormat="1" applyFont="1" applyFill="1" applyBorder="1"/>
    <xf numFmtId="9" fontId="6" fillId="2" borderId="4" xfId="2" applyFont="1" applyFill="1" applyBorder="1"/>
    <xf numFmtId="164" fontId="1" fillId="0" borderId="0" xfId="0" applyNumberFormat="1" applyFont="1" applyFill="1"/>
    <xf numFmtId="164" fontId="1" fillId="0" borderId="0" xfId="0" applyNumberFormat="1" applyFont="1" applyFill="1" applyBorder="1"/>
    <xf numFmtId="9" fontId="11" fillId="0" borderId="0" xfId="2" applyFont="1" applyFill="1" applyBorder="1"/>
    <xf numFmtId="168" fontId="1" fillId="2" borderId="0" xfId="3" applyNumberFormat="1" applyFont="1" applyFill="1"/>
    <xf numFmtId="168" fontId="1" fillId="3" borderId="0" xfId="3" applyNumberFormat="1" applyFont="1" applyFill="1"/>
    <xf numFmtId="167" fontId="1" fillId="2" borderId="0" xfId="2" applyNumberFormat="1" applyFont="1" applyFill="1"/>
    <xf numFmtId="167" fontId="1" fillId="3" borderId="0" xfId="2" applyNumberFormat="1" applyFont="1" applyFill="1"/>
    <xf numFmtId="0" fontId="3" fillId="2" borderId="19" xfId="0" applyFont="1" applyFill="1" applyBorder="1"/>
    <xf numFmtId="168" fontId="3" fillId="2" borderId="19" xfId="3" applyNumberFormat="1" applyFont="1" applyFill="1" applyBorder="1"/>
    <xf numFmtId="168" fontId="3" fillId="3" borderId="19" xfId="3" applyNumberFormat="1" applyFont="1" applyFill="1" applyBorder="1"/>
    <xf numFmtId="0" fontId="6" fillId="2" borderId="4" xfId="0" applyFont="1" applyFill="1" applyBorder="1"/>
    <xf numFmtId="0" fontId="1" fillId="2" borderId="4" xfId="0" applyFont="1" applyFill="1" applyBorder="1"/>
    <xf numFmtId="167" fontId="1" fillId="2" borderId="0" xfId="0" applyNumberFormat="1" applyFont="1" applyFill="1"/>
    <xf numFmtId="167" fontId="6" fillId="2" borderId="57" xfId="2" applyNumberFormat="1" applyFont="1" applyFill="1" applyBorder="1"/>
    <xf numFmtId="164" fontId="3" fillId="2" borderId="0" xfId="0" applyNumberFormat="1" applyFont="1" applyFill="1"/>
    <xf numFmtId="166" fontId="3" fillId="2" borderId="0" xfId="0" applyNumberFormat="1" applyFont="1" applyFill="1"/>
    <xf numFmtId="0" fontId="65" fillId="0" borderId="0" xfId="0" applyFont="1" applyAlignment="1">
      <alignment horizontal="left" vertical="center" wrapText="1"/>
    </xf>
    <xf numFmtId="0" fontId="11" fillId="4" borderId="0" xfId="0" applyFont="1" applyFill="1" applyAlignment="1">
      <alignment horizontal="center"/>
    </xf>
    <xf numFmtId="0" fontId="77" fillId="0" borderId="0" xfId="0" applyFont="1" applyBorder="1" applyAlignment="1">
      <alignment horizontal="center"/>
    </xf>
    <xf numFmtId="0" fontId="66" fillId="53" borderId="35" xfId="166" applyFill="1" applyBorder="1" applyAlignment="1">
      <alignment horizontal="left"/>
    </xf>
    <xf numFmtId="0" fontId="66" fillId="53" borderId="19" xfId="166" applyFill="1" applyBorder="1" applyAlignment="1">
      <alignment horizontal="left"/>
    </xf>
    <xf numFmtId="0" fontId="92" fillId="0" borderId="50" xfId="0" applyFont="1" applyBorder="1" applyAlignment="1">
      <alignment horizontal="center"/>
    </xf>
    <xf numFmtId="0" fontId="92" fillId="0" borderId="51" xfId="0" applyFont="1" applyBorder="1" applyAlignment="1">
      <alignment horizontal="center"/>
    </xf>
    <xf numFmtId="0" fontId="92" fillId="0" borderId="52" xfId="0" applyFont="1" applyBorder="1" applyAlignment="1">
      <alignment horizontal="center"/>
    </xf>
    <xf numFmtId="15" fontId="89" fillId="53" borderId="37" xfId="0" applyNumberFormat="1" applyFont="1" applyFill="1" applyBorder="1" applyAlignment="1">
      <alignment horizontal="left"/>
    </xf>
    <xf numFmtId="15" fontId="89" fillId="53" borderId="38" xfId="0" applyNumberFormat="1" applyFont="1" applyFill="1" applyBorder="1" applyAlignment="1">
      <alignment horizontal="left"/>
    </xf>
    <xf numFmtId="0" fontId="66" fillId="48" borderId="34" xfId="166" applyFill="1" applyBorder="1" applyAlignment="1">
      <alignment horizontal="left" vertical="top" wrapText="1"/>
    </xf>
    <xf numFmtId="0" fontId="66" fillId="48" borderId="44" xfId="166" applyFill="1" applyBorder="1" applyAlignment="1">
      <alignment horizontal="left" vertical="top" wrapText="1"/>
    </xf>
    <xf numFmtId="0" fontId="66" fillId="48" borderId="29" xfId="166" applyFill="1" applyBorder="1" applyAlignment="1">
      <alignment horizontal="left" vertical="top" wrapText="1"/>
    </xf>
    <xf numFmtId="0" fontId="90" fillId="0" borderId="39" xfId="0" applyFont="1" applyBorder="1" applyAlignment="1">
      <alignment horizontal="center"/>
    </xf>
    <xf numFmtId="0" fontId="90" fillId="0" borderId="40" xfId="0" applyFont="1" applyBorder="1" applyAlignment="1">
      <alignment horizontal="center"/>
    </xf>
    <xf numFmtId="0" fontId="90" fillId="0" borderId="41" xfId="0" applyFont="1" applyBorder="1" applyAlignment="1">
      <alignment horizontal="center"/>
    </xf>
    <xf numFmtId="0" fontId="66" fillId="53" borderId="32" xfId="166" applyFill="1" applyBorder="1" applyAlignment="1">
      <alignment horizontal="left"/>
    </xf>
    <xf numFmtId="0" fontId="66" fillId="53" borderId="43" xfId="166" applyFill="1" applyBorder="1" applyAlignment="1">
      <alignment horizontal="left"/>
    </xf>
    <xf numFmtId="0" fontId="0" fillId="0" borderId="31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0" fontId="0" fillId="0" borderId="47" xfId="0" applyBorder="1" applyAlignment="1">
      <alignment horizontal="left" vertical="top" wrapText="1"/>
    </xf>
    <xf numFmtId="0" fontId="0" fillId="0" borderId="48" xfId="0" applyBorder="1" applyAlignment="1">
      <alignment horizontal="left" vertical="top" wrapText="1"/>
    </xf>
    <xf numFmtId="0" fontId="0" fillId="0" borderId="49" xfId="0" applyBorder="1" applyAlignment="1">
      <alignment horizontal="left" vertical="top" wrapText="1"/>
    </xf>
    <xf numFmtId="0" fontId="83" fillId="53" borderId="32" xfId="0" applyFont="1" applyFill="1" applyBorder="1" applyAlignment="1">
      <alignment horizontal="left"/>
    </xf>
    <xf numFmtId="0" fontId="83" fillId="53" borderId="43" xfId="0" applyFont="1" applyFill="1" applyBorder="1" applyAlignment="1">
      <alignment horizontal="left"/>
    </xf>
    <xf numFmtId="0" fontId="83" fillId="53" borderId="31" xfId="0" applyFont="1" applyFill="1" applyBorder="1" applyAlignment="1">
      <alignment horizontal="left"/>
    </xf>
    <xf numFmtId="15" fontId="66" fillId="53" borderId="32" xfId="166" applyNumberFormat="1" applyFill="1" applyBorder="1" applyAlignment="1">
      <alignment horizontal="left"/>
    </xf>
    <xf numFmtId="15" fontId="66" fillId="53" borderId="43" xfId="166" applyNumberFormat="1" applyFill="1" applyBorder="1" applyAlignment="1">
      <alignment horizontal="left"/>
    </xf>
    <xf numFmtId="0" fontId="66" fillId="53" borderId="32" xfId="166" applyFill="1" applyBorder="1"/>
    <xf numFmtId="0" fontId="66" fillId="53" borderId="43" xfId="166" applyFill="1" applyBorder="1"/>
    <xf numFmtId="0" fontId="63" fillId="57" borderId="0" xfId="134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 wrapText="1"/>
    </xf>
  </cellXfs>
  <cellStyles count="172">
    <cellStyle name="%" xfId="136"/>
    <cellStyle name="_x0002_._x0011__x0002_._x001b__x0002_ _x0015_%_x0018__x0001_" xfId="5"/>
    <cellStyle name="_060510 Goal Setting CNV" xfId="6"/>
    <cellStyle name="_2008-08-18 WC SRL" xfId="7"/>
    <cellStyle name="_2008-10-06 Goodwill Test KPMG incl PL 19 (2)" xfId="8"/>
    <cellStyle name="_2008-10-06 Goodwill Test KPMG incl PL 19 (3)" xfId="9"/>
    <cellStyle name="_2009-03-17 Version für 53-19" xfId="10"/>
    <cellStyle name="_Access Bluebook 2007 DCL V7" xfId="11"/>
    <cellStyle name="_AL_cost_outlook_070405_Bluebook2007" xfId="12"/>
    <cellStyle name="_BB_08_BG_COM" xfId="13"/>
    <cellStyle name="_Bluebook-2005-PL-Projections-COM-SR2" xfId="14"/>
    <cellStyle name="_COM Cash Flow Bluebook 2008" xfId="15"/>
    <cellStyle name="_Cordless_Bizcase_070524" xfId="16"/>
    <cellStyle name="_Cordless_Bizcase_Bluebook (2)" xfId="17"/>
    <cellStyle name="_Cordless_Bizcase_Master" xfId="18"/>
    <cellStyle name="_Data" xfId="19"/>
    <cellStyle name="_Foundry Wafer Price Database - BU" xfId="20"/>
    <cellStyle name="_Segment_DCL_FRFC_2007_03" xfId="21"/>
    <cellStyle name="_SR_CSP_Segments" xfId="22"/>
    <cellStyle name="_Wireless_MPP_FRFC0810_V3" xfId="23"/>
    <cellStyle name="_WLS_MPP_BB2008_vs_VRFC0904_bw (2)" xfId="24"/>
    <cellStyle name="0,0_x000d__x000a_NA_x000d__x000a_" xfId="25"/>
    <cellStyle name="20% - Accent1 2" xfId="26"/>
    <cellStyle name="20% - Accent2 2" xfId="27"/>
    <cellStyle name="20% - Accent3 2" xfId="28"/>
    <cellStyle name="20% - Accent4 2" xfId="29"/>
    <cellStyle name="20% - Accent5 2" xfId="30"/>
    <cellStyle name="20% - Accent6 2" xfId="31"/>
    <cellStyle name="40% - Accent1 2" xfId="32"/>
    <cellStyle name="40% - Accent2 2" xfId="33"/>
    <cellStyle name="40% - Accent3 2" xfId="34"/>
    <cellStyle name="40% - Accent4 2" xfId="35"/>
    <cellStyle name="40% - Accent5 2" xfId="36"/>
    <cellStyle name="40% - Accent6 2" xfId="37"/>
    <cellStyle name="60% - Accent1 2" xfId="38"/>
    <cellStyle name="60% - Accent2 2" xfId="39"/>
    <cellStyle name="60% - Accent3 2" xfId="40"/>
    <cellStyle name="60% - Accent4 2" xfId="41"/>
    <cellStyle name="60% - Accent5 2" xfId="42"/>
    <cellStyle name="60% - Accent6 2" xfId="43"/>
    <cellStyle name="Accent1 2" xfId="44"/>
    <cellStyle name="Accent2 2" xfId="45"/>
    <cellStyle name="Accent3 2" xfId="46"/>
    <cellStyle name="Accent4 2" xfId="47"/>
    <cellStyle name="Accent5 2" xfId="48"/>
    <cellStyle name="Accent6 2" xfId="49"/>
    <cellStyle name="AFE" xfId="50"/>
    <cellStyle name="AFE 2" xfId="133"/>
    <cellStyle name="Bad 2" xfId="51"/>
    <cellStyle name="Calculation 2" xfId="52"/>
    <cellStyle name="Check Cell 2" xfId="53"/>
    <cellStyle name="Comma" xfId="3" builtinId="3"/>
    <cellStyle name="Comma 2" xfId="155"/>
    <cellStyle name="Detail" xfId="54"/>
    <cellStyle name="Euro" xfId="55"/>
    <cellStyle name="Explanatory Text 2" xfId="56"/>
    <cellStyle name="EY Narrative text" xfId="149"/>
    <cellStyle name="EY0dp" xfId="147"/>
    <cellStyle name="EY1dp" xfId="148"/>
    <cellStyle name="EYChartTitle" xfId="142"/>
    <cellStyle name="EYColumnHeading" xfId="145"/>
    <cellStyle name="EYCurrency" xfId="144"/>
    <cellStyle name="EYnumber" xfId="143"/>
    <cellStyle name="EYSectionHeading" xfId="139"/>
    <cellStyle name="EYSheetHeading" xfId="141"/>
    <cellStyle name="EYsmallheading" xfId="140"/>
    <cellStyle name="EYSource" xfId="150"/>
    <cellStyle name="EYtext" xfId="146"/>
    <cellStyle name="Forecast Cell Column Heading 2" xfId="168"/>
    <cellStyle name="Good 2" xfId="57"/>
    <cellStyle name="Grey" xfId="58"/>
    <cellStyle name="Heading 1 2" xfId="59"/>
    <cellStyle name="Heading 2 2" xfId="60"/>
    <cellStyle name="Heading 3 2" xfId="61"/>
    <cellStyle name="Heading 4 2" xfId="62"/>
    <cellStyle name="Hyperlink" xfId="166" builtinId="8"/>
    <cellStyle name="Input [yellow]" xfId="64"/>
    <cellStyle name="Input 2" xfId="63"/>
    <cellStyle name="Linked Cell 2" xfId="65"/>
    <cellStyle name="meny_33-34" xfId="66"/>
    <cellStyle name="Milliers [0]_foxz" xfId="67"/>
    <cellStyle name="Milliers_foxz" xfId="68"/>
    <cellStyle name="Monétaire [0]_foxz" xfId="69"/>
    <cellStyle name="Monétaire_foxz" xfId="70"/>
    <cellStyle name="Neutral 2" xfId="71"/>
    <cellStyle name="Normal" xfId="0" builtinId="0"/>
    <cellStyle name="Normal - Style1" xfId="72"/>
    <cellStyle name="Normal 2" xfId="151"/>
    <cellStyle name="Normal 2 14" xfId="171"/>
    <cellStyle name="Normal 2 2" xfId="153"/>
    <cellStyle name="Normal 2 2 2 6" xfId="167"/>
    <cellStyle name="Normal 3" xfId="152"/>
    <cellStyle name="Normal 4" xfId="154"/>
    <cellStyle name="Normal 4 6 2" xfId="170"/>
    <cellStyle name="Normal 5" xfId="4"/>
    <cellStyle name="Normal_Project Accel Valuation v56" xfId="134"/>
    <cellStyle name="Normal_SL model final 12-23-03" xfId="169"/>
    <cellStyle name="normální_33-34" xfId="73"/>
    <cellStyle name="Note 2" xfId="74"/>
    <cellStyle name="Œ…‹æØ‚è [0.00]_laroux" xfId="75"/>
    <cellStyle name="Œ…‹æØ‚è_laroux" xfId="76"/>
    <cellStyle name="Output 2" xfId="77"/>
    <cellStyle name="Percent" xfId="2" builtinId="5"/>
    <cellStyle name="Percent [2]" xfId="79"/>
    <cellStyle name="Percent 2" xfId="156"/>
    <cellStyle name="Percent 3" xfId="78"/>
    <cellStyle name="Percent 5" xfId="80"/>
    <cellStyle name="Prozent 2" xfId="135"/>
    <cellStyle name="PSChar" xfId="81"/>
    <cellStyle name="PSDate" xfId="82"/>
    <cellStyle name="PSDec" xfId="83"/>
    <cellStyle name="PSHeading" xfId="84"/>
    <cellStyle name="PSInt" xfId="85"/>
    <cellStyle name="PSSpacer" xfId="86"/>
    <cellStyle name="Revenue" xfId="87"/>
    <cellStyle name="SAPBEXaggData" xfId="88"/>
    <cellStyle name="SAPBEXaggDataEmph" xfId="89"/>
    <cellStyle name="SAPBEXaggItem" xfId="90"/>
    <cellStyle name="SAPBEXaggItemX" xfId="91"/>
    <cellStyle name="SAPBEXchaText" xfId="92"/>
    <cellStyle name="SAPBEXexcBad7" xfId="93"/>
    <cellStyle name="SAPBEXexcBad8" xfId="94"/>
    <cellStyle name="SAPBEXexcBad9" xfId="95"/>
    <cellStyle name="SAPBEXexcCritical4" xfId="96"/>
    <cellStyle name="SAPBEXexcCritical5" xfId="97"/>
    <cellStyle name="SAPBEXexcCritical6" xfId="98"/>
    <cellStyle name="SAPBEXexcGood1" xfId="99"/>
    <cellStyle name="SAPBEXexcGood2" xfId="100"/>
    <cellStyle name="SAPBEXexcGood3" xfId="101"/>
    <cellStyle name="SAPBEXfilterDrill" xfId="102"/>
    <cellStyle name="SAPBEXfilterItem" xfId="103"/>
    <cellStyle name="SAPBEXfilterText" xfId="104"/>
    <cellStyle name="SAPBEXformats" xfId="105"/>
    <cellStyle name="SAPBEXheaderItem" xfId="106"/>
    <cellStyle name="SAPBEXheaderText" xfId="107"/>
    <cellStyle name="SAPBEXHLevel0" xfId="108"/>
    <cellStyle name="SAPBEXHLevel0X" xfId="109"/>
    <cellStyle name="SAPBEXHLevel1" xfId="110"/>
    <cellStyle name="SAPBEXHLevel1X" xfId="111"/>
    <cellStyle name="SAPBEXHLevel2" xfId="112"/>
    <cellStyle name="SAPBEXHLevel2X" xfId="113"/>
    <cellStyle name="SAPBEXHLevel3" xfId="114"/>
    <cellStyle name="SAPBEXHLevel3X" xfId="115"/>
    <cellStyle name="SAPBEXresData" xfId="116"/>
    <cellStyle name="SAPBEXresDataEmph" xfId="117"/>
    <cellStyle name="SAPBEXresItem" xfId="118"/>
    <cellStyle name="SAPBEXresItemX" xfId="119"/>
    <cellStyle name="SAPBEXstdData" xfId="120"/>
    <cellStyle name="SAPBEXstdDataEmph" xfId="121"/>
    <cellStyle name="SAPBEXstdItem" xfId="122"/>
    <cellStyle name="SAPBEXstdItemX" xfId="123"/>
    <cellStyle name="SAPBEXtitle" xfId="124"/>
    <cellStyle name="SAPBEXundefined" xfId="125"/>
    <cellStyle name="Smart Subtitle 1" xfId="1"/>
    <cellStyle name="Standard 2" xfId="132"/>
    <cellStyle name="Standard 3" xfId="137"/>
    <cellStyle name="Standard 4" xfId="157"/>
    <cellStyle name="Stil 1" xfId="131"/>
    <cellStyle name="Style 1" xfId="126"/>
    <cellStyle name="Tahoma:10:1" xfId="161"/>
    <cellStyle name="Tahoma:10:129" xfId="162"/>
    <cellStyle name="Tahoma:12:1" xfId="158"/>
    <cellStyle name="Tahoma:12:129" xfId="163"/>
    <cellStyle name="Tahoma:8:0" xfId="159"/>
    <cellStyle name="Tahoma:8:1" xfId="160"/>
    <cellStyle name="Tahoma:8:128" xfId="164"/>
    <cellStyle name="Tahoma:8:129" xfId="165"/>
    <cellStyle name="Title 2" xfId="127"/>
    <cellStyle name="Total 2" xfId="128"/>
    <cellStyle name="Total Row" xfId="129"/>
    <cellStyle name="TTS" xfId="138"/>
    <cellStyle name="Warning Text 2" xfId="130"/>
  </cellStyles>
  <dxfs count="42"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89" formatCode="0.00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82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Genev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Times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'Revenues&amp;Ebitda'!$B$4</c:f>
              <c:strCache>
                <c:ptCount val="1"/>
                <c:pt idx="0">
                  <c:v>Revenue from sales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E3E-41D9-98D3-495FD573C00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3E-41D9-98D3-495FD573C005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E3E-41D9-98D3-495FD573C005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E3E-41D9-98D3-495FD573C005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CE3E-41D9-98D3-495FD573C005}"/>
              </c:ext>
            </c:extLst>
          </c:dPt>
          <c:dLbls>
            <c:spPr>
              <a:solidFill>
                <a:schemeClr val="bg1">
                  <a:lumMod val="85000"/>
                </a:schemeClr>
              </a:solidFill>
            </c:spPr>
            <c:txPr>
              <a:bodyPr/>
              <a:lstStyle/>
              <a:p>
                <a:pPr>
                  <a:defRPr sz="7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'Revenues&amp;Ebitda'!$C$3:$K$3</c:f>
              <c:strCache>
                <c:ptCount val="9"/>
                <c:pt idx="0">
                  <c:v>FY16
Actual</c:v>
                </c:pt>
                <c:pt idx="1">
                  <c:v>FY17
Actual</c:v>
                </c:pt>
                <c:pt idx="2">
                  <c:v>FY18
Actual</c:v>
                </c:pt>
                <c:pt idx="4">
                  <c:v>FY19
Forecast</c:v>
                </c:pt>
                <c:pt idx="5">
                  <c:v>FY20
Forecast</c:v>
                </c:pt>
                <c:pt idx="6">
                  <c:v>FY21
Forecast</c:v>
                </c:pt>
                <c:pt idx="7">
                  <c:v>FY22
Forecast</c:v>
                </c:pt>
                <c:pt idx="8">
                  <c:v>FY23
Forecast</c:v>
                </c:pt>
              </c:strCache>
            </c:strRef>
          </c:cat>
          <c:val>
            <c:numRef>
              <c:f>'Revenues&amp;Ebitda'!$C$4:$K$4</c:f>
              <c:numCache>
                <c:formatCode>_(* #,##0_);_(* \(#,##0\);_(* "-"??_);_(@_)</c:formatCode>
                <c:ptCount val="9"/>
                <c:pt idx="0">
                  <c:v>69414</c:v>
                </c:pt>
                <c:pt idx="1">
                  <c:v>71786</c:v>
                </c:pt>
                <c:pt idx="2">
                  <c:v>74433</c:v>
                </c:pt>
                <c:pt idx="4">
                  <c:v>77077.056141694775</c:v>
                </c:pt>
                <c:pt idx="5">
                  <c:v>79815.036119328361</c:v>
                </c:pt>
                <c:pt idx="6">
                  <c:v>82650.276354854272</c:v>
                </c:pt>
                <c:pt idx="7">
                  <c:v>85586.231788718593</c:v>
                </c:pt>
                <c:pt idx="8">
                  <c:v>88626.480089948876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3E-41D9-98D3-495FD573C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4562048"/>
        <c:axId val="104576128"/>
      </c:barChart>
      <c:lineChart>
        <c:grouping val="standard"/>
        <c:varyColors val="0"/>
        <c:ser>
          <c:idx val="1"/>
          <c:order val="1"/>
          <c:tx>
            <c:strRef>
              <c:f>'Revenues&amp;Ebitda'!$B$6</c:f>
              <c:strCache>
                <c:ptCount val="1"/>
                <c:pt idx="0">
                  <c:v>EBITDA%</c:v>
                </c:pt>
              </c:strCache>
            </c:strRef>
          </c:tx>
          <c:marker>
            <c:symbol val="none"/>
          </c:marker>
          <c:dLbls>
            <c:spPr>
              <a:solidFill>
                <a:schemeClr val="accent2">
                  <a:lumMod val="60000"/>
                  <a:lumOff val="40000"/>
                </a:schemeClr>
              </a:solidFill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'Revenues&amp;Ebitda'!$C$3:$K$3</c:f>
              <c:strCache>
                <c:ptCount val="9"/>
                <c:pt idx="0">
                  <c:v>FY16
Actual</c:v>
                </c:pt>
                <c:pt idx="1">
                  <c:v>FY17
Actual</c:v>
                </c:pt>
                <c:pt idx="2">
                  <c:v>FY18
Actual</c:v>
                </c:pt>
                <c:pt idx="4">
                  <c:v>FY19
Forecast</c:v>
                </c:pt>
                <c:pt idx="5">
                  <c:v>FY20
Forecast</c:v>
                </c:pt>
                <c:pt idx="6">
                  <c:v>FY21
Forecast</c:v>
                </c:pt>
                <c:pt idx="7">
                  <c:v>FY22
Forecast</c:v>
                </c:pt>
                <c:pt idx="8">
                  <c:v>FY23
Forecast</c:v>
                </c:pt>
              </c:strCache>
            </c:strRef>
          </c:cat>
          <c:val>
            <c:numRef>
              <c:f>'Revenues&amp;Ebitda'!$C$6:$K$6</c:f>
              <c:numCache>
                <c:formatCode>0.0%</c:formatCode>
                <c:ptCount val="9"/>
                <c:pt idx="0">
                  <c:v>9.9533235370386372E-2</c:v>
                </c:pt>
                <c:pt idx="1">
                  <c:v>8.9836458362354779E-2</c:v>
                </c:pt>
                <c:pt idx="2">
                  <c:v>8.5096664114035436E-2</c:v>
                </c:pt>
                <c:pt idx="4">
                  <c:v>8.9347964009643469E-2</c:v>
                </c:pt>
                <c:pt idx="5">
                  <c:v>8.9386486528429648E-2</c:v>
                </c:pt>
                <c:pt idx="6">
                  <c:v>8.9425128349912453E-2</c:v>
                </c:pt>
                <c:pt idx="7">
                  <c:v>8.9463889843567276E-2</c:v>
                </c:pt>
                <c:pt idx="8">
                  <c:v>8.9502771380014029E-2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B-CE3E-41D9-98D3-495FD573C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579840"/>
        <c:axId val="104578048"/>
      </c:lineChart>
      <c:catAx>
        <c:axId val="104562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4576128"/>
        <c:crosses val="autoZero"/>
        <c:auto val="1"/>
        <c:lblAlgn val="ctr"/>
        <c:lblOffset val="100"/>
        <c:noMultiLvlLbl val="0"/>
      </c:catAx>
      <c:valAx>
        <c:axId val="1045761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  <a:alpha val="30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USD in millions</a:t>
                </a:r>
              </a:p>
            </c:rich>
          </c:tx>
          <c:layout/>
          <c:overlay val="0"/>
        </c:title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crossAx val="104562048"/>
        <c:crosses val="autoZero"/>
        <c:crossBetween val="between"/>
      </c:valAx>
      <c:valAx>
        <c:axId val="104578048"/>
        <c:scaling>
          <c:orientation val="minMax"/>
          <c:max val="0.2"/>
          <c:min val="5.000000000000001E-2"/>
        </c:scaling>
        <c:delete val="0"/>
        <c:axPos val="r"/>
        <c:numFmt formatCode="0.0%" sourceLinked="1"/>
        <c:majorTickMark val="out"/>
        <c:minorTickMark val="none"/>
        <c:tickLblPos val="nextTo"/>
        <c:crossAx val="104579840"/>
        <c:crosses val="max"/>
        <c:crossBetween val="between"/>
        <c:majorUnit val="5.000000000000001E-2"/>
      </c:valAx>
      <c:catAx>
        <c:axId val="104579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578048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'Cash flows'!$B$4</c:f>
              <c:strCache>
                <c:ptCount val="1"/>
                <c:pt idx="0">
                  <c:v>UFCF</c:v>
                </c:pt>
              </c:strCache>
            </c:strRef>
          </c:tx>
          <c:spPr>
            <a:solidFill>
              <a:srgbClr val="002060"/>
            </a:solidFill>
          </c:spPr>
          <c:cat>
            <c:strRef>
              <c:f>'Cash flows'!$C$3:$G$3</c:f>
              <c:strCache>
                <c:ptCount val="5"/>
                <c:pt idx="0">
                  <c:v>FY19
Forecast</c:v>
                </c:pt>
                <c:pt idx="1">
                  <c:v>FY20
Forecast</c:v>
                </c:pt>
                <c:pt idx="2">
                  <c:v>FY21
Forecast</c:v>
                </c:pt>
                <c:pt idx="3">
                  <c:v>FY22
Forecast</c:v>
                </c:pt>
                <c:pt idx="4">
                  <c:v>FY23
Forecast</c:v>
                </c:pt>
              </c:strCache>
            </c:strRef>
          </c:cat>
          <c:val>
            <c:numRef>
              <c:f>'Cash flows'!$C$4:$G$4</c:f>
              <c:numCache>
                <c:formatCode>_(* #,##0_);_(* \(#,##0\);_(* "-"?_);@_)</c:formatCode>
                <c:ptCount val="5"/>
                <c:pt idx="0">
                  <c:v>2425.2533773868095</c:v>
                </c:pt>
                <c:pt idx="1">
                  <c:v>2514.9557281212196</c:v>
                </c:pt>
                <c:pt idx="2">
                  <c:v>2606.4431752175014</c:v>
                </c:pt>
                <c:pt idx="3">
                  <c:v>2701.2637503932519</c:v>
                </c:pt>
                <c:pt idx="4">
                  <c:v>2799.5390794925779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1E-4D52-A075-59999FEE32D2}"/>
            </c:ext>
          </c:extLst>
        </c:ser>
        <c:ser>
          <c:idx val="1"/>
          <c:order val="1"/>
          <c:tx>
            <c:strRef>
              <c:f>'Cash flows'!$B$5</c:f>
              <c:strCache>
                <c:ptCount val="1"/>
                <c:pt idx="0">
                  <c:v>Present value of UFCF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cat>
            <c:strRef>
              <c:f>'Cash flows'!$C$3:$G$3</c:f>
              <c:strCache>
                <c:ptCount val="5"/>
                <c:pt idx="0">
                  <c:v>FY19
Forecast</c:v>
                </c:pt>
                <c:pt idx="1">
                  <c:v>FY20
Forecast</c:v>
                </c:pt>
                <c:pt idx="2">
                  <c:v>FY21
Forecast</c:v>
                </c:pt>
                <c:pt idx="3">
                  <c:v>FY22
Forecast</c:v>
                </c:pt>
                <c:pt idx="4">
                  <c:v>FY23
Forecast</c:v>
                </c:pt>
              </c:strCache>
            </c:strRef>
          </c:cat>
          <c:val>
            <c:numRef>
              <c:f>'Cash flows'!$C$5:$G$5</c:f>
              <c:numCache>
                <c:formatCode>_(* #,##0_);_(* \(#,##0\);_(* "-"?_);@_)</c:formatCode>
                <c:ptCount val="5"/>
                <c:pt idx="0">
                  <c:v>2287.9748843271786</c:v>
                </c:pt>
                <c:pt idx="1">
                  <c:v>2238.3016448213061</c:v>
                </c:pt>
                <c:pt idx="2">
                  <c:v>2188.4199500405543</c:v>
                </c:pt>
                <c:pt idx="3">
                  <c:v>2139.6538994210646</c:v>
                </c:pt>
                <c:pt idx="4">
                  <c:v>2091.9784574087466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1E-4D52-A075-59999FEE3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945920"/>
        <c:axId val="104972288"/>
      </c:areaChart>
      <c:catAx>
        <c:axId val="1049459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4972288"/>
        <c:crosses val="autoZero"/>
        <c:auto val="1"/>
        <c:lblAlgn val="ctr"/>
        <c:lblOffset val="100"/>
        <c:noMultiLvlLbl val="0"/>
      </c:catAx>
      <c:valAx>
        <c:axId val="104972288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65000"/>
                  <a:alpha val="28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USD in</a:t>
                </a:r>
                <a:r>
                  <a:rPr lang="en-US" b="0" baseline="0"/>
                  <a:t> millions</a:t>
                </a:r>
                <a:endParaRPr lang="en-US" b="0"/>
              </a:p>
            </c:rich>
          </c:tx>
          <c:layout/>
          <c:overlay val="0"/>
        </c:title>
        <c:numFmt formatCode="_(* #,##0_);_(* \(#,##0\);_(* &quot;-&quot;?_);@_)" sourceLinked="1"/>
        <c:majorTickMark val="out"/>
        <c:minorTickMark val="none"/>
        <c:tickLblPos val="nextTo"/>
        <c:crossAx val="104945920"/>
        <c:crosses val="autoZero"/>
        <c:crossBetween val="midCat"/>
      </c:valAx>
    </c:plotArea>
    <c:legend>
      <c:legendPos val="b"/>
      <c:layout/>
      <c:overlay val="0"/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="1">
                <a:solidFill>
                  <a:srgbClr val="002060"/>
                </a:solidFill>
              </a:rPr>
              <a:t>FY18-FY23:</a:t>
            </a:r>
            <a:r>
              <a:rPr lang="en-US" b="1" baseline="0">
                <a:solidFill>
                  <a:srgbClr val="002060"/>
                </a:solidFill>
              </a:rPr>
              <a:t> </a:t>
            </a:r>
            <a:r>
              <a:rPr lang="en-US" b="1">
                <a:solidFill>
                  <a:srgbClr val="002060"/>
                </a:solidFill>
              </a:rPr>
              <a:t>Working</a:t>
            </a:r>
            <a:r>
              <a:rPr lang="en-US" b="1" baseline="0">
                <a:solidFill>
                  <a:srgbClr val="002060"/>
                </a:solidFill>
              </a:rPr>
              <a:t> capital development</a:t>
            </a:r>
            <a:endParaRPr lang="en-US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1.0693852185353405E-2"/>
          <c:y val="8.1794651417302425E-3"/>
        </c:manualLayout>
      </c:layout>
      <c:overlay val="0"/>
    </c:title>
    <c:autoTitleDeleted val="0"/>
    <c:plotArea>
      <c:layout/>
      <c:areaChart>
        <c:grouping val="standard"/>
        <c:varyColors val="0"/>
        <c:ser>
          <c:idx val="3"/>
          <c:order val="3"/>
          <c:tx>
            <c:strRef>
              <c:f>'Working capital'!$B$7</c:f>
              <c:strCache>
                <c:ptCount val="1"/>
                <c:pt idx="0">
                  <c:v>Working capital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val>
            <c:numRef>
              <c:f>'Working capital'!$C$7:$K$7</c:f>
              <c:numCache>
                <c:formatCode>_(* #,##0_);_(* \(#,##0\);_(* "-"??_);_(@_)</c:formatCode>
                <c:ptCount val="9"/>
                <c:pt idx="0">
                  <c:v>1806</c:v>
                </c:pt>
                <c:pt idx="1">
                  <c:v>849</c:v>
                </c:pt>
                <c:pt idx="2">
                  <c:v>836</c:v>
                </c:pt>
                <c:pt idx="4">
                  <c:v>867.17843744160746</c:v>
                </c:pt>
                <c:pt idx="5">
                  <c:v>897.9828988157642</c:v>
                </c:pt>
                <c:pt idx="6">
                  <c:v>929.88161576591847</c:v>
                </c:pt>
                <c:pt idx="7">
                  <c:v>962.91345913129226</c:v>
                </c:pt>
                <c:pt idx="8">
                  <c:v>997.11868054567458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D6-46CF-87B1-455D933DA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145088"/>
        <c:axId val="105142912"/>
      </c:areaChart>
      <c:barChart>
        <c:barDir val="col"/>
        <c:grouping val="clustered"/>
        <c:varyColors val="0"/>
        <c:ser>
          <c:idx val="0"/>
          <c:order val="0"/>
          <c:tx>
            <c:strRef>
              <c:f>'Working capital'!$B$9</c:f>
              <c:strCache>
                <c:ptCount val="1"/>
                <c:pt idx="0">
                  <c:v>DSO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dLbls>
            <c:dLbl>
              <c:idx val="1"/>
              <c:layout>
                <c:manualLayout>
                  <c:x val="-3.0786098316622656E-17"/>
                  <c:y val="1.185393764977694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1D6-46CF-87B1-455D933DAA02}"/>
                </c:ext>
              </c:extLst>
            </c:dLbl>
            <c:dLbl>
              <c:idx val="2"/>
              <c:layout>
                <c:manualLayout>
                  <c:x val="3.3585222502099076E-3"/>
                  <c:y val="2.2517931872533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1D6-46CF-87B1-455D933DAA02}"/>
                </c:ext>
              </c:extLst>
            </c:dLbl>
            <c:dLbl>
              <c:idx val="4"/>
              <c:layout>
                <c:manualLayout>
                  <c:x val="1.6792611251048922E-3"/>
                  <c:y val="1.20123486099955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71D6-46CF-87B1-455D933DAA02}"/>
                </c:ext>
              </c:extLst>
            </c:dLbl>
            <c:dLbl>
              <c:idx val="5"/>
              <c:layout>
                <c:manualLayout>
                  <c:x val="-6.1572196633245311E-17"/>
                  <c:y val="6.75955697872660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71D6-46CF-87B1-455D933DAA02}"/>
                </c:ext>
              </c:extLst>
            </c:dLbl>
            <c:dLbl>
              <c:idx val="6"/>
              <c:layout>
                <c:manualLayout>
                  <c:x val="-1.2314439326649062E-16"/>
                  <c:y val="1.72651402412644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71D6-46CF-87B1-455D933DAA02}"/>
                </c:ext>
              </c:extLst>
            </c:dLbl>
            <c:dLbl>
              <c:idx val="7"/>
              <c:layout>
                <c:manualLayout>
                  <c:x val="0"/>
                  <c:y val="6.75955697872660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1D6-46CF-87B1-455D933DAA02}"/>
                </c:ext>
              </c:extLst>
            </c:dLbl>
            <c:dLbl>
              <c:idx val="8"/>
              <c:layout>
                <c:manualLayout>
                  <c:x val="0"/>
                  <c:y val="6.75955697872660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71D6-46CF-87B1-455D933DAA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'Working capital'!$C$3:$K$3</c:f>
              <c:strCache>
                <c:ptCount val="9"/>
                <c:pt idx="0">
                  <c:v>FY16
Actual</c:v>
                </c:pt>
                <c:pt idx="1">
                  <c:v>FY17
Actual</c:v>
                </c:pt>
                <c:pt idx="2">
                  <c:v>FY18
Actual</c:v>
                </c:pt>
                <c:pt idx="4">
                  <c:v>FY19
Forecast</c:v>
                </c:pt>
                <c:pt idx="5">
                  <c:v>FY20
Forecast</c:v>
                </c:pt>
                <c:pt idx="6">
                  <c:v>FY21
Forecast</c:v>
                </c:pt>
                <c:pt idx="7">
                  <c:v>FY22
Forecast</c:v>
                </c:pt>
                <c:pt idx="8">
                  <c:v>FY23
Forecast</c:v>
                </c:pt>
              </c:strCache>
            </c:strRef>
          </c:cat>
          <c:val>
            <c:numRef>
              <c:f>'Working capital'!$C$9:$K$9</c:f>
              <c:numCache>
                <c:formatCode>_(* #,##0_);_(* \(#,##0\);_(* "-"??_);_(@_)</c:formatCode>
                <c:ptCount val="9"/>
                <c:pt idx="0">
                  <c:v>3.8845189731178147</c:v>
                </c:pt>
                <c:pt idx="1">
                  <c:v>4.6588471289666504</c:v>
                </c:pt>
                <c:pt idx="2">
                  <c:v>5.3202208697755031</c:v>
                </c:pt>
                <c:pt idx="4">
                  <c:v>5.3202208697755031</c:v>
                </c:pt>
                <c:pt idx="5">
                  <c:v>5.3202208697755031</c:v>
                </c:pt>
                <c:pt idx="6">
                  <c:v>5.3202208697755031</c:v>
                </c:pt>
                <c:pt idx="7">
                  <c:v>5.3202208697755031</c:v>
                </c:pt>
                <c:pt idx="8">
                  <c:v>5.3202208697755031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D6-46CF-87B1-455D933DAA02}"/>
            </c:ext>
          </c:extLst>
        </c:ser>
        <c:ser>
          <c:idx val="1"/>
          <c:order val="1"/>
          <c:tx>
            <c:strRef>
              <c:f>'Working capital'!$B$10</c:f>
              <c:strCache>
                <c:ptCount val="1"/>
                <c:pt idx="0">
                  <c:v>DIO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'Working capital'!$C$3:$K$3</c:f>
              <c:strCache>
                <c:ptCount val="9"/>
                <c:pt idx="0">
                  <c:v>FY16
Actual</c:v>
                </c:pt>
                <c:pt idx="1">
                  <c:v>FY17
Actual</c:v>
                </c:pt>
                <c:pt idx="2">
                  <c:v>FY18
Actual</c:v>
                </c:pt>
                <c:pt idx="4">
                  <c:v>FY19
Forecast</c:v>
                </c:pt>
                <c:pt idx="5">
                  <c:v>FY20
Forecast</c:v>
                </c:pt>
                <c:pt idx="6">
                  <c:v>FY21
Forecast</c:v>
                </c:pt>
                <c:pt idx="7">
                  <c:v>FY22
Forecast</c:v>
                </c:pt>
                <c:pt idx="8">
                  <c:v>FY23
Forecast</c:v>
                </c:pt>
              </c:strCache>
            </c:strRef>
          </c:cat>
          <c:val>
            <c:numRef>
              <c:f>'Working capital'!$C$10:$K$10</c:f>
              <c:numCache>
                <c:formatCode>_(* #,##0_);_(* \(#,##0\);_(* "-"??_);_(@_)</c:formatCode>
                <c:ptCount val="9"/>
                <c:pt idx="0">
                  <c:v>60.865601790619593</c:v>
                </c:pt>
                <c:pt idx="1">
                  <c:v>60.536332518337403</c:v>
                </c:pt>
                <c:pt idx="2">
                  <c:v>64.146044015835201</c:v>
                </c:pt>
                <c:pt idx="4">
                  <c:v>64.146044015835201</c:v>
                </c:pt>
                <c:pt idx="5">
                  <c:v>64.146044015835201</c:v>
                </c:pt>
                <c:pt idx="6">
                  <c:v>64.146044015835201</c:v>
                </c:pt>
                <c:pt idx="7">
                  <c:v>64.146044015835201</c:v>
                </c:pt>
                <c:pt idx="8">
                  <c:v>64.146044015835201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D6-46CF-87B1-455D933DAA02}"/>
            </c:ext>
          </c:extLst>
        </c:ser>
        <c:ser>
          <c:idx val="2"/>
          <c:order val="2"/>
          <c:tx>
            <c:strRef>
              <c:f>'Working capital'!$B$11</c:f>
              <c:strCache>
                <c:ptCount val="1"/>
                <c:pt idx="0">
                  <c:v>DPO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'Working capital'!$C$3:$K$3</c:f>
              <c:strCache>
                <c:ptCount val="9"/>
                <c:pt idx="0">
                  <c:v>FY16
Actual</c:v>
                </c:pt>
                <c:pt idx="1">
                  <c:v>FY17
Actual</c:v>
                </c:pt>
                <c:pt idx="2">
                  <c:v>FY18
Actual</c:v>
                </c:pt>
                <c:pt idx="4">
                  <c:v>FY19
Forecast</c:v>
                </c:pt>
                <c:pt idx="5">
                  <c:v>FY20
Forecast</c:v>
                </c:pt>
                <c:pt idx="6">
                  <c:v>FY21
Forecast</c:v>
                </c:pt>
                <c:pt idx="7">
                  <c:v>FY22
Forecast</c:v>
                </c:pt>
                <c:pt idx="8">
                  <c:v>FY23
Forecast</c:v>
                </c:pt>
              </c:strCache>
            </c:strRef>
          </c:cat>
          <c:val>
            <c:numRef>
              <c:f>'Working capital'!$C$11:$K$11</c:f>
              <c:numCache>
                <c:formatCode>_(* #,##0_);_(* \(#,##0\);_(* "-"??_);_(@_)</c:formatCode>
                <c:ptCount val="9"/>
                <c:pt idx="0">
                  <c:v>53.1227998779123</c:v>
                </c:pt>
                <c:pt idx="1">
                  <c:v>61.099657701711493</c:v>
                </c:pt>
                <c:pt idx="2">
                  <c:v>65.929191917296762</c:v>
                </c:pt>
                <c:pt idx="4">
                  <c:v>65.929191917296762</c:v>
                </c:pt>
                <c:pt idx="5">
                  <c:v>65.929191917296762</c:v>
                </c:pt>
                <c:pt idx="6">
                  <c:v>65.929191917296762</c:v>
                </c:pt>
                <c:pt idx="7">
                  <c:v>65.929191917296762</c:v>
                </c:pt>
                <c:pt idx="8">
                  <c:v>65.929191917296762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D6-46CF-87B1-455D933DA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05126912"/>
        <c:axId val="105140992"/>
      </c:barChart>
      <c:catAx>
        <c:axId val="105126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05140992"/>
        <c:crosses val="autoZero"/>
        <c:auto val="1"/>
        <c:lblAlgn val="ctr"/>
        <c:lblOffset val="100"/>
        <c:noMultiLvlLbl val="0"/>
      </c:catAx>
      <c:valAx>
        <c:axId val="1051409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  <a:alpha val="34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days</a:t>
                </a:r>
              </a:p>
            </c:rich>
          </c:tx>
          <c:layout/>
          <c:overlay val="0"/>
        </c:title>
        <c:numFmt formatCode="_(* #,##0_);_(* \(#,##0\);_(* &quot;-&quot;??_);_(@_)" sourceLinked="1"/>
        <c:majorTickMark val="out"/>
        <c:minorTickMark val="none"/>
        <c:tickLblPos val="nextTo"/>
        <c:crossAx val="105126912"/>
        <c:crosses val="autoZero"/>
        <c:crossBetween val="between"/>
      </c:valAx>
      <c:valAx>
        <c:axId val="105142912"/>
        <c:scaling>
          <c:orientation val="minMax"/>
          <c:min val="3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USD in millions</a:t>
                </a:r>
              </a:p>
            </c:rich>
          </c:tx>
          <c:layout/>
          <c:overlay val="0"/>
        </c:title>
        <c:numFmt formatCode="_(* #,##0_);_(* \(#,##0\);_(* &quot;-&quot;??_);_(@_)" sourceLinked="1"/>
        <c:majorTickMark val="out"/>
        <c:minorTickMark val="none"/>
        <c:tickLblPos val="nextTo"/>
        <c:crossAx val="105145088"/>
        <c:crosses val="max"/>
        <c:crossBetween val="between"/>
        <c:majorUnit val="10000"/>
      </c:valAx>
      <c:catAx>
        <c:axId val="105145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05142912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>
                <a:solidFill>
                  <a:srgbClr val="002060"/>
                </a:solidFill>
              </a:rPr>
              <a:t>Enterprise value: Optimistic scenario</a:t>
            </a:r>
            <a:endParaRPr lang="en-US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2.9312686889069208E-2"/>
          <c:y val="3.340294471944156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832203773971149"/>
          <c:y val="0.16827588202185131"/>
          <c:w val="0.47231870389460373"/>
          <c:h val="0.70798549558221946"/>
        </c:manualLayout>
      </c:layout>
      <c:doughnutChart>
        <c:varyColors val="1"/>
        <c:ser>
          <c:idx val="0"/>
          <c:order val="0"/>
          <c:dPt>
            <c:idx val="1"/>
            <c:bubble3D val="0"/>
            <c:spPr>
              <a:solidFill>
                <a:srgbClr val="002060"/>
              </a:solidFill>
            </c:spPr>
            <c:extLst>
              <c:ext xmlns:c16="http://schemas.microsoft.com/office/drawing/2014/chart" uri="{C3380CC4-5D6E-409C-BE32-E72D297353CC}">
                <c16:uniqueId val="{00000001-2C9E-4528-89FC-61AA9EE7594D}"/>
              </c:ext>
            </c:extLst>
          </c:dPt>
          <c:dLbls>
            <c:dLbl>
              <c:idx val="0"/>
              <c:layout>
                <c:manualLayout>
                  <c:x val="-1.4856081708449397E-2"/>
                  <c:y val="-3.8878046813218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C9E-4528-89FC-61AA9EE7594D}"/>
                </c:ext>
              </c:extLst>
            </c:dLbl>
            <c:dLbl>
              <c:idx val="1"/>
              <c:layout>
                <c:manualLayout>
                  <c:x val="3.9170181466448663E-2"/>
                  <c:y val="3.84168932981944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C9E-4528-89FC-61AA9EE7594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'DCF results'!$B$6:$B$7</c:f>
              <c:strCache>
                <c:ptCount val="2"/>
                <c:pt idx="0">
                  <c:v>CFs in Forecast period</c:v>
                </c:pt>
                <c:pt idx="1">
                  <c:v>Terminal value</c:v>
                </c:pt>
              </c:strCache>
            </c:strRef>
          </c:cat>
          <c:val>
            <c:numRef>
              <c:f>'DCF results'!$C$6:$C$7</c:f>
              <c:numCache>
                <c:formatCode>0.0%</c:formatCode>
                <c:ptCount val="2"/>
                <c:pt idx="0">
                  <c:v>0.131016021302515</c:v>
                </c:pt>
                <c:pt idx="1">
                  <c:v>0.868983978697485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9E-4528-89FC-61AA9EE75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65517616172097559"/>
          <c:y val="0.36810757250961351"/>
          <c:w val="0.3322392211930919"/>
          <c:h val="0.26378507090016112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>
                <a:solidFill>
                  <a:srgbClr val="002060"/>
                </a:solidFill>
              </a:rPr>
              <a:t>Enterprise value: Base scenario</a:t>
            </a:r>
            <a:endParaRPr lang="en-US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2.9312686889069208E-2"/>
          <c:y val="3.340294471944156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832203773971149"/>
          <c:y val="0.16827588202185131"/>
          <c:w val="0.47231870389460373"/>
          <c:h val="0.70798549558221946"/>
        </c:manualLayout>
      </c:layout>
      <c:doughnutChart>
        <c:varyColors val="1"/>
        <c:ser>
          <c:idx val="0"/>
          <c:order val="0"/>
          <c:dPt>
            <c:idx val="1"/>
            <c:bubble3D val="0"/>
            <c:spPr>
              <a:solidFill>
                <a:srgbClr val="002060"/>
              </a:solidFill>
            </c:spPr>
            <c:extLst>
              <c:ext xmlns:c16="http://schemas.microsoft.com/office/drawing/2014/chart" uri="{C3380CC4-5D6E-409C-BE32-E72D297353CC}">
                <c16:uniqueId val="{00000001-2239-4135-A129-97EA4DD44CC2}"/>
              </c:ext>
            </c:extLst>
          </c:dPt>
          <c:dLbls>
            <c:dLbl>
              <c:idx val="0"/>
              <c:layout>
                <c:manualLayout>
                  <c:x val="-1.4856081708449397E-2"/>
                  <c:y val="-3.8878046813218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239-4135-A129-97EA4DD44CC2}"/>
                </c:ext>
              </c:extLst>
            </c:dLbl>
            <c:dLbl>
              <c:idx val="1"/>
              <c:layout>
                <c:manualLayout>
                  <c:x val="3.3426183844011144E-2"/>
                  <c:y val="3.2849735844954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239-4135-A129-97EA4DD44CC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'DCF results'!$G$6:$G$7</c:f>
              <c:strCache>
                <c:ptCount val="2"/>
                <c:pt idx="0">
                  <c:v>CFs in Forecast period</c:v>
                </c:pt>
                <c:pt idx="1">
                  <c:v>Terminal value</c:v>
                </c:pt>
              </c:strCache>
            </c:strRef>
          </c:cat>
          <c:val>
            <c:numRef>
              <c:f>'DCF results'!$H$6:$H$7</c:f>
              <c:numCache>
                <c:formatCode>0.0%</c:formatCode>
                <c:ptCount val="2"/>
                <c:pt idx="0">
                  <c:v>0.14213797446338869</c:v>
                </c:pt>
                <c:pt idx="1">
                  <c:v>0.85786202553661128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39-4135-A129-97EA4DD44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>
                <a:solidFill>
                  <a:srgbClr val="002060"/>
                </a:solidFill>
              </a:rPr>
              <a:t>Enterprise value: Pesimistic scenario</a:t>
            </a:r>
            <a:endParaRPr lang="en-US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2.9312686889069208E-2"/>
          <c:y val="3.340294471944156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832203773971149"/>
          <c:y val="0.16827588202185131"/>
          <c:w val="0.47231870389460373"/>
          <c:h val="0.70798549558221946"/>
        </c:manualLayout>
      </c:layout>
      <c:doughnutChart>
        <c:varyColors val="1"/>
        <c:ser>
          <c:idx val="0"/>
          <c:order val="0"/>
          <c:dPt>
            <c:idx val="1"/>
            <c:bubble3D val="0"/>
            <c:spPr>
              <a:solidFill>
                <a:srgbClr val="002060"/>
              </a:solidFill>
            </c:spPr>
            <c:extLst>
              <c:ext xmlns:c16="http://schemas.microsoft.com/office/drawing/2014/chart" uri="{C3380CC4-5D6E-409C-BE32-E72D297353CC}">
                <c16:uniqueId val="{00000001-416E-4037-9A63-13956CBC4133}"/>
              </c:ext>
            </c:extLst>
          </c:dPt>
          <c:dLbls>
            <c:dLbl>
              <c:idx val="0"/>
              <c:layout>
                <c:manualLayout>
                  <c:x val="-1.4856081708449397E-2"/>
                  <c:y val="-3.88780468132187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16E-4037-9A63-13956CBC4133}"/>
                </c:ext>
              </c:extLst>
            </c:dLbl>
            <c:dLbl>
              <c:idx val="1"/>
              <c:layout>
                <c:manualLayout>
                  <c:x val="4.456824512534819E-2"/>
                  <c:y val="6.6252680564395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16E-4037-9A63-13956CBC41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'DCF results'!$M$6:$M$7</c:f>
              <c:strCache>
                <c:ptCount val="2"/>
                <c:pt idx="0">
                  <c:v>CFs in Forecast period</c:v>
                </c:pt>
                <c:pt idx="1">
                  <c:v>Terminal value</c:v>
                </c:pt>
              </c:strCache>
            </c:strRef>
          </c:cat>
          <c:val>
            <c:numRef>
              <c:f>'DCF results'!$N$6:$N$7</c:f>
              <c:numCache>
                <c:formatCode>0.0%</c:formatCode>
                <c:ptCount val="2"/>
                <c:pt idx="0">
                  <c:v>0.17456144018037778</c:v>
                </c:pt>
                <c:pt idx="1">
                  <c:v>0.82543855981962222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6E-4037-9A63-13956CBC4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6380943065346647"/>
          <c:y val="0.41956078401234037"/>
          <c:w val="0.33706097296844106"/>
          <c:h val="0.17249790254832373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609600</xdr:colOff>
      <xdr:row>22</xdr:row>
      <xdr:rowOff>114300</xdr:rowOff>
    </xdr:from>
    <xdr:to>
      <xdr:col>17</xdr:col>
      <xdr:colOff>622300</xdr:colOff>
      <xdr:row>24</xdr:row>
      <xdr:rowOff>82550</xdr:rowOff>
    </xdr:to>
    <xdr:sp macro="" textlink="">
      <xdr:nvSpPr>
        <xdr:cNvPr id="2" name="TextBox 1"/>
        <xdr:cNvSpPr txBox="1"/>
      </xdr:nvSpPr>
      <xdr:spPr>
        <a:xfrm>
          <a:off x="8026400" y="3435350"/>
          <a:ext cx="3219450" cy="260350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bg1"/>
              </a:solidFill>
            </a:rPr>
            <a:t>WACC</a:t>
          </a:r>
        </a:p>
      </xdr:txBody>
    </xdr:sp>
    <xdr:clientData/>
  </xdr:twoCellAnchor>
  <xdr:twoCellAnchor>
    <xdr:from>
      <xdr:col>12</xdr:col>
      <xdr:colOff>19050</xdr:colOff>
      <xdr:row>26</xdr:row>
      <xdr:rowOff>22224</xdr:rowOff>
    </xdr:from>
    <xdr:to>
      <xdr:col>12</xdr:col>
      <xdr:colOff>304800</xdr:colOff>
      <xdr:row>31</xdr:row>
      <xdr:rowOff>25400</xdr:rowOff>
    </xdr:to>
    <xdr:sp macro="" textlink="">
      <xdr:nvSpPr>
        <xdr:cNvPr id="3" name="TextBox 2"/>
        <xdr:cNvSpPr txBox="1"/>
      </xdr:nvSpPr>
      <xdr:spPr>
        <a:xfrm>
          <a:off x="7435850" y="3933824"/>
          <a:ext cx="285750" cy="733426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>
              <a:solidFill>
                <a:schemeClr val="bg1"/>
              </a:solidFill>
            </a:rPr>
            <a:t>g</a:t>
          </a:r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0.18942</cdr:x>
      <cdr:y>0.4058</cdr:y>
    </cdr:from>
    <cdr:to>
      <cdr:x>0.48468</cdr:x>
      <cdr:y>0.55901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47701" y="933451"/>
          <a:ext cx="10096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0.23491</cdr:x>
      <cdr:y>0.47321</cdr:y>
    </cdr:from>
    <cdr:to>
      <cdr:x>0.48747</cdr:x>
      <cdr:y>0.58177</cdr:y>
    </cdr:to>
    <cdr:sp macro="" textlink="">
      <cdr:nvSpPr>
        <cdr:cNvPr id="3" name="TextBox 4"/>
        <cdr:cNvSpPr txBox="1"/>
      </cdr:nvSpPr>
      <cdr:spPr>
        <a:xfrm xmlns:a="http://schemas.openxmlformats.org/drawingml/2006/main">
          <a:off x="803275" y="1079500"/>
          <a:ext cx="863601" cy="24764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bg1">
              <a:lumMod val="65000"/>
            </a:schemeClr>
          </a:solidFill>
        </a:ln>
        <a:effectLst xmlns:a="http://schemas.openxmlformats.org/drawingml/2006/main">
          <a:outerShdw blurRad="50800" dist="50800" dir="5400000" algn="ctr" rotWithShape="0">
            <a:srgbClr val="000000">
              <a:alpha val="24000"/>
            </a:srgbClr>
          </a:outerShdw>
        </a:effectLst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latin typeface="Arial" pitchFamily="34" charset="0"/>
              <a:cs typeface="Arial" pitchFamily="34" charset="0"/>
            </a:rPr>
            <a:t>$40.7b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7</xdr:row>
      <xdr:rowOff>47625</xdr:rowOff>
    </xdr:from>
    <xdr:to>
      <xdr:col>13</xdr:col>
      <xdr:colOff>133350</xdr:colOff>
      <xdr:row>25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0.49243</cdr:x>
      <cdr:y>0.05535</cdr:y>
    </cdr:from>
    <cdr:to>
      <cdr:x>0.92873</cdr:x>
      <cdr:y>0.1248</cdr:y>
    </cdr:to>
    <cdr:sp macro="" textlink="">
      <cdr:nvSpPr>
        <cdr:cNvPr id="4" name="TextBox 2"/>
        <cdr:cNvSpPr txBox="1"/>
      </cdr:nvSpPr>
      <cdr:spPr>
        <a:xfrm xmlns:a="http://schemas.openxmlformats.org/drawingml/2006/main">
          <a:off x="4100949" y="145519"/>
          <a:ext cx="3633517" cy="182577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75000"/>
          </a:schemeClr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Forecast period</a:t>
          </a:r>
        </a:p>
      </cdr:txBody>
    </cdr:sp>
  </cdr:relSizeAnchor>
  <cdr:relSizeAnchor xmlns:cdr="http://schemas.openxmlformats.org/drawingml/2006/chartDrawing">
    <cdr:from>
      <cdr:x>0.11429</cdr:x>
      <cdr:y>0.05535</cdr:y>
    </cdr:from>
    <cdr:to>
      <cdr:x>0.3715</cdr:x>
      <cdr:y>0.12827</cdr:y>
    </cdr:to>
    <cdr:sp macro="" textlink="">
      <cdr:nvSpPr>
        <cdr:cNvPr id="5" name="TextBox 3"/>
        <cdr:cNvSpPr txBox="1"/>
      </cdr:nvSpPr>
      <cdr:spPr>
        <a:xfrm xmlns:a="http://schemas.openxmlformats.org/drawingml/2006/main">
          <a:off x="951791" y="145519"/>
          <a:ext cx="2142051" cy="191699"/>
        </a:xfrm>
        <a:prstGeom xmlns:a="http://schemas.openxmlformats.org/drawingml/2006/main" prst="rect">
          <a:avLst/>
        </a:prstGeom>
        <a:solidFill xmlns:a="http://schemas.openxmlformats.org/drawingml/2006/main">
          <a:srgbClr val="002060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Historical figures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114300</xdr:rowOff>
    </xdr:from>
    <xdr:to>
      <xdr:col>11</xdr:col>
      <xdr:colOff>533400</xdr:colOff>
      <xdr:row>25</xdr:row>
      <xdr:rowOff>71437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12</xdr:row>
      <xdr:rowOff>66675</xdr:rowOff>
    </xdr:from>
    <xdr:to>
      <xdr:col>12</xdr:col>
      <xdr:colOff>390525</xdr:colOff>
      <xdr:row>28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0.46014</cdr:x>
      <cdr:y>0.09868</cdr:y>
    </cdr:from>
    <cdr:to>
      <cdr:x>0.88972</cdr:x>
      <cdr:y>0.17451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3479970" y="238582"/>
          <a:ext cx="3248849" cy="18333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75000"/>
          </a:schemeClr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Forecast period</a:t>
          </a:r>
        </a:p>
      </cdr:txBody>
    </cdr:sp>
  </cdr:relSizeAnchor>
  <cdr:relSizeAnchor xmlns:cdr="http://schemas.openxmlformats.org/drawingml/2006/chartDrawing">
    <cdr:from>
      <cdr:x>0.08839</cdr:x>
      <cdr:y>0.10131</cdr:y>
    </cdr:from>
    <cdr:to>
      <cdr:x>0.35357</cdr:x>
      <cdr:y>0.17671</cdr:y>
    </cdr:to>
    <cdr:sp macro="" textlink="">
      <cdr:nvSpPr>
        <cdr:cNvPr id="3" name="TextBox 3"/>
        <cdr:cNvSpPr txBox="1"/>
      </cdr:nvSpPr>
      <cdr:spPr>
        <a:xfrm xmlns:a="http://schemas.openxmlformats.org/drawingml/2006/main">
          <a:off x="668480" y="244932"/>
          <a:ext cx="2005517" cy="182299"/>
        </a:xfrm>
        <a:prstGeom xmlns:a="http://schemas.openxmlformats.org/drawingml/2006/main" prst="rect">
          <a:avLst/>
        </a:prstGeom>
        <a:solidFill xmlns:a="http://schemas.openxmlformats.org/drawingml/2006/main">
          <a:srgbClr val="002060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chemeClr val="bg1"/>
              </a:solidFill>
              <a:latin typeface="Arial" pitchFamily="34" charset="0"/>
              <a:cs typeface="Arial" pitchFamily="34" charset="0"/>
            </a:rPr>
            <a:t>Historical figures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82550</xdr:colOff>
      <xdr:row>8</xdr:row>
      <xdr:rowOff>127000</xdr:rowOff>
    </xdr:from>
    <xdr:to>
      <xdr:col>5</xdr:col>
      <xdr:colOff>149226</xdr:colOff>
      <xdr:row>23</xdr:row>
      <xdr:rowOff>122236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104776</xdr:colOff>
      <xdr:row>8</xdr:row>
      <xdr:rowOff>95250</xdr:rowOff>
    </xdr:from>
    <xdr:to>
      <xdr:col>10</xdr:col>
      <xdr:colOff>419101</xdr:colOff>
      <xdr:row>23</xdr:row>
      <xdr:rowOff>90486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104776</xdr:colOff>
      <xdr:row>8</xdr:row>
      <xdr:rowOff>31750</xdr:rowOff>
    </xdr:from>
    <xdr:to>
      <xdr:col>16</xdr:col>
      <xdr:colOff>419101</xdr:colOff>
      <xdr:row>23</xdr:row>
      <xdr:rowOff>26986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0.18942</cdr:x>
      <cdr:y>0.4058</cdr:y>
    </cdr:from>
    <cdr:to>
      <cdr:x>0.48468</cdr:x>
      <cdr:y>0.55901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47701" y="933451"/>
          <a:ext cx="10096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0.23491</cdr:x>
      <cdr:y>0.47321</cdr:y>
    </cdr:from>
    <cdr:to>
      <cdr:x>0.48747</cdr:x>
      <cdr:y>0.58177</cdr:y>
    </cdr:to>
    <cdr:sp macro="" textlink="">
      <cdr:nvSpPr>
        <cdr:cNvPr id="3" name="TextBox 4"/>
        <cdr:cNvSpPr txBox="1"/>
      </cdr:nvSpPr>
      <cdr:spPr>
        <a:xfrm xmlns:a="http://schemas.openxmlformats.org/drawingml/2006/main">
          <a:off x="803275" y="1079500"/>
          <a:ext cx="863601" cy="24764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bg1">
              <a:lumMod val="65000"/>
            </a:schemeClr>
          </a:solidFill>
        </a:ln>
        <a:effectLst xmlns:a="http://schemas.openxmlformats.org/drawingml/2006/main">
          <a:outerShdw blurRad="50800" dist="50800" dir="5400000" algn="ctr" rotWithShape="0">
            <a:srgbClr val="000000">
              <a:alpha val="24000"/>
            </a:srgbClr>
          </a:outerShdw>
        </a:effectLst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latin typeface="Arial" pitchFamily="34" charset="0"/>
              <a:cs typeface="Arial" pitchFamily="34" charset="0"/>
            </a:rPr>
            <a:t>$117.4b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0.18942</cdr:x>
      <cdr:y>0.4058</cdr:y>
    </cdr:from>
    <cdr:to>
      <cdr:x>0.48468</cdr:x>
      <cdr:y>0.55901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47701" y="933451"/>
          <a:ext cx="10096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0.23491</cdr:x>
      <cdr:y>0.47321</cdr:y>
    </cdr:from>
    <cdr:to>
      <cdr:x>0.48747</cdr:x>
      <cdr:y>0.58177</cdr:y>
    </cdr:to>
    <cdr:sp macro="" textlink="">
      <cdr:nvSpPr>
        <cdr:cNvPr id="3" name="TextBox 4"/>
        <cdr:cNvSpPr txBox="1"/>
      </cdr:nvSpPr>
      <cdr:spPr>
        <a:xfrm xmlns:a="http://schemas.openxmlformats.org/drawingml/2006/main">
          <a:off x="803275" y="1079500"/>
          <a:ext cx="863601" cy="24764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bg1">
              <a:lumMod val="65000"/>
            </a:schemeClr>
          </a:solidFill>
        </a:ln>
        <a:effectLst xmlns:a="http://schemas.openxmlformats.org/drawingml/2006/main">
          <a:outerShdw blurRad="50800" dist="50800" dir="5400000" algn="ctr" rotWithShape="0">
            <a:srgbClr val="000000">
              <a:alpha val="24000"/>
            </a:srgbClr>
          </a:outerShdw>
        </a:effectLst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900" b="1">
              <a:latin typeface="Arial" pitchFamily="34" charset="0"/>
              <a:cs typeface="Arial" pitchFamily="34" charset="0"/>
            </a:rPr>
            <a:t>$79.2b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exl\Downloads\Badel_model_20170720_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exl\Downloads\ctrypre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exl\Downloads\bet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-up"/>
      <sheetName val="Guidance"/>
      <sheetName val="Prihodi summary"/>
      <sheetName val="Diskontirani novčani tok PPT"/>
      <sheetName val="Valuation summary"/>
      <sheetName val="Financial snapshot"/>
      <sheetName val="Poslovni plan - Badel doo"/>
      <sheetName val="EBITDA bridge"/>
      <sheetName val="WACC"/>
      <sheetName val="Diskontirani novčani tok"/>
      <sheetName val="Prihodi_working"/>
      <sheetName val="Troškovi_working"/>
      <sheetName val="NWC_working"/>
      <sheetName val="RDG Badel mjesečno"/>
      <sheetName val="RDG_audit"/>
      <sheetName val="BS_audit"/>
      <sheetName val="Loan repayment"/>
      <sheetName val="Troškovi proizvodnje"/>
      <sheetName val="Bruto marža_razlika"/>
      <sheetName val="Ključ podjele troškova 2016."/>
      <sheetName val="Troškovi proizvodnje_razlika"/>
      <sheetName val="KBZ plan otplate"/>
      <sheetName val="BB_30.6.17."/>
      <sheetName val="---&gt; Input (Prodaja i troškovi)"/>
      <sheetName val="Prodaja sekundarna - PLAN"/>
      <sheetName val="Prodaja sekundarna - ACT"/>
      <sheetName val="Bruto marža"/>
      <sheetName val="---&gt; Input (EBITDA calc)"/>
      <sheetName val="EBITDA Labud"/>
      <sheetName val="Tablice Labud"/>
      <sheetName val="Ebitda Meteor"/>
      <sheetName val="Tablice Meteor"/>
      <sheetName val="Intelektualne usluge Meteor"/>
      <sheetName val="Intelektualne usluge LAbud"/>
      <sheetName val="Intelektualne usluge BAdel"/>
      <sheetName val="---&gt; Input (other)"/>
      <sheetName val="Zaposlenici"/>
      <sheetName val="Org. struktura"/>
      <sheetName val="---&gt; Input (WACC)"/>
      <sheetName val="Makroekonomski indikatori"/>
      <sheetName val="Risk free rate"/>
      <sheetName val="CDS"/>
      <sheetName val="SRP"/>
      <sheetName val="CSRP"/>
      <sheetName val="Marketability discount"/>
      <sheetName val="Damodaran_Emerging markets"/>
      <sheetName val="Damodaran_Western Europ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275">
          <cell r="B275">
            <v>213.67</v>
          </cell>
        </row>
      </sheetData>
      <sheetData sheetId="42"/>
      <sheetData sheetId="43"/>
      <sheetData sheetId="44"/>
      <sheetData sheetId="45"/>
      <sheetData sheetId="4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lanation and FAQ"/>
      <sheetName val="Country Lookup"/>
      <sheetName val="ERPs by country"/>
      <sheetName val="Relative Equity Volatility"/>
      <sheetName val="Regional Simple Averages"/>
      <sheetName val="Regional Weighted Averages"/>
      <sheetName val="Regional breakdown"/>
      <sheetName val="Sovereign Ratings (Moody's,S&amp;P)"/>
      <sheetName val="Regional lookup table"/>
      <sheetName val="Default Spreads for Ratings"/>
      <sheetName val="10-year CDS Spreads"/>
      <sheetName val="Equity vs Govt Bond vol"/>
      <sheetName val="Country GDP"/>
      <sheetName val="Ratings worksheet"/>
      <sheetName val="Country Tax Rates"/>
      <sheetName val="PRS Worksheet"/>
    </sheetNames>
    <sheetDataSet>
      <sheetData sheetId="0"/>
      <sheetData sheetId="1"/>
      <sheetData sheetId="2"/>
      <sheetData sheetId="3">
        <row r="4">
          <cell r="B4">
            <v>1.2300759010501607</v>
          </cell>
        </row>
      </sheetData>
      <sheetData sheetId="4"/>
      <sheetData sheetId="5"/>
      <sheetData sheetId="6"/>
      <sheetData sheetId="7">
        <row r="2">
          <cell r="A2" t="str">
            <v>Abu Dhabi</v>
          </cell>
          <cell r="C2" t="str">
            <v>Aa2</v>
          </cell>
        </row>
        <row r="3">
          <cell r="A3" t="str">
            <v>Albania</v>
          </cell>
          <cell r="C3" t="str">
            <v>B1</v>
          </cell>
        </row>
        <row r="4">
          <cell r="A4" t="str">
            <v>Andorra (Principality of)</v>
          </cell>
          <cell r="C4" t="str">
            <v>Baa2</v>
          </cell>
        </row>
        <row r="5">
          <cell r="A5" t="str">
            <v>Angola</v>
          </cell>
          <cell r="C5" t="str">
            <v>B3</v>
          </cell>
        </row>
        <row r="6">
          <cell r="A6" t="str">
            <v>Argentina</v>
          </cell>
          <cell r="C6" t="str">
            <v>B2</v>
          </cell>
        </row>
        <row r="7">
          <cell r="A7" t="str">
            <v>Armenia</v>
          </cell>
          <cell r="C7" t="str">
            <v>B1</v>
          </cell>
        </row>
        <row r="8">
          <cell r="A8" t="str">
            <v>Aruba</v>
          </cell>
          <cell r="C8" t="str">
            <v>Baa1</v>
          </cell>
        </row>
        <row r="9">
          <cell r="A9" t="str">
            <v>Australia</v>
          </cell>
          <cell r="C9" t="str">
            <v>Aaa</v>
          </cell>
        </row>
        <row r="10">
          <cell r="A10" t="str">
            <v>Austria</v>
          </cell>
          <cell r="C10" t="str">
            <v>Aa1</v>
          </cell>
        </row>
        <row r="11">
          <cell r="A11" t="str">
            <v>Azerbaijan</v>
          </cell>
          <cell r="C11" t="str">
            <v>Ba2</v>
          </cell>
        </row>
        <row r="12">
          <cell r="A12" t="str">
            <v>Bahamas</v>
          </cell>
          <cell r="C12" t="str">
            <v>Baa3</v>
          </cell>
        </row>
        <row r="13">
          <cell r="A13" t="str">
            <v>Bahrain</v>
          </cell>
          <cell r="C13" t="str">
            <v>B2</v>
          </cell>
        </row>
        <row r="14">
          <cell r="A14" t="str">
            <v>Bangladesh</v>
          </cell>
          <cell r="C14" t="str">
            <v>Ba3</v>
          </cell>
        </row>
        <row r="15">
          <cell r="A15" t="str">
            <v>Barbados</v>
          </cell>
          <cell r="C15" t="str">
            <v>Caa3</v>
          </cell>
        </row>
        <row r="16">
          <cell r="A16" t="str">
            <v>Belarus</v>
          </cell>
          <cell r="C16" t="str">
            <v>B3</v>
          </cell>
        </row>
        <row r="17">
          <cell r="A17" t="str">
            <v>Belgium</v>
          </cell>
          <cell r="C17" t="str">
            <v>Aa3</v>
          </cell>
        </row>
        <row r="18">
          <cell r="A18" t="str">
            <v>Belize</v>
          </cell>
          <cell r="C18" t="str">
            <v>B3</v>
          </cell>
        </row>
        <row r="19">
          <cell r="A19" t="str">
            <v>Benin</v>
          </cell>
          <cell r="C19" t="str">
            <v>B1</v>
          </cell>
        </row>
        <row r="20">
          <cell r="A20" t="str">
            <v>Bermuda</v>
          </cell>
          <cell r="C20" t="str">
            <v>A2</v>
          </cell>
        </row>
        <row r="21">
          <cell r="A21" t="str">
            <v>Bolivia</v>
          </cell>
          <cell r="C21" t="str">
            <v>Ba3</v>
          </cell>
        </row>
        <row r="22">
          <cell r="A22" t="str">
            <v>Bosnia and Herzegovina</v>
          </cell>
          <cell r="C22" t="str">
            <v>B3</v>
          </cell>
        </row>
        <row r="23">
          <cell r="A23" t="str">
            <v>Botswana</v>
          </cell>
          <cell r="C23" t="str">
            <v>A2</v>
          </cell>
        </row>
        <row r="24">
          <cell r="A24" t="str">
            <v>Brazil</v>
          </cell>
          <cell r="C24" t="str">
            <v>Ba2</v>
          </cell>
        </row>
        <row r="25">
          <cell r="A25" t="str">
            <v>Bulgaria</v>
          </cell>
          <cell r="C25" t="str">
            <v>Baa2</v>
          </cell>
        </row>
        <row r="26">
          <cell r="A26" t="str">
            <v>Burkina Faso</v>
          </cell>
          <cell r="C26" t="str">
            <v>B2</v>
          </cell>
        </row>
        <row r="27">
          <cell r="A27" t="str">
            <v>Cambodia</v>
          </cell>
          <cell r="C27" t="str">
            <v>B2</v>
          </cell>
        </row>
        <row r="28">
          <cell r="A28" t="str">
            <v>Cameroon</v>
          </cell>
          <cell r="C28" t="str">
            <v>B2</v>
          </cell>
        </row>
        <row r="29">
          <cell r="A29" t="str">
            <v>Canada</v>
          </cell>
          <cell r="C29" t="str">
            <v>Aaa</v>
          </cell>
        </row>
        <row r="30">
          <cell r="A30" t="str">
            <v>Cape Verde</v>
          </cell>
          <cell r="C30" t="str">
            <v>B2</v>
          </cell>
        </row>
        <row r="31">
          <cell r="A31" t="str">
            <v>Cayman Islands</v>
          </cell>
          <cell r="C31" t="str">
            <v>Aa3</v>
          </cell>
        </row>
        <row r="32">
          <cell r="A32" t="str">
            <v>Chile</v>
          </cell>
          <cell r="C32" t="str">
            <v>A1</v>
          </cell>
        </row>
        <row r="33">
          <cell r="A33" t="str">
            <v>China</v>
          </cell>
          <cell r="C33" t="str">
            <v>A1</v>
          </cell>
        </row>
        <row r="34">
          <cell r="A34" t="str">
            <v>Colombia</v>
          </cell>
          <cell r="C34" t="str">
            <v>Baa2</v>
          </cell>
        </row>
        <row r="35">
          <cell r="A35" t="str">
            <v>Congo (Democratic Republic of)</v>
          </cell>
          <cell r="C35" t="str">
            <v>B3</v>
          </cell>
        </row>
        <row r="36">
          <cell r="A36" t="str">
            <v>Congo (Republic of)</v>
          </cell>
          <cell r="C36" t="str">
            <v>Caa2</v>
          </cell>
        </row>
        <row r="37">
          <cell r="A37" t="str">
            <v>Cook Islands</v>
          </cell>
          <cell r="C37" t="str">
            <v>B1</v>
          </cell>
        </row>
        <row r="38">
          <cell r="A38" t="str">
            <v>Costa Rica</v>
          </cell>
          <cell r="C38" t="str">
            <v>B1</v>
          </cell>
        </row>
        <row r="39">
          <cell r="A39" t="str">
            <v>Côte d'Ivoire</v>
          </cell>
          <cell r="C39" t="str">
            <v>Ba3</v>
          </cell>
        </row>
        <row r="40">
          <cell r="A40" t="str">
            <v>Croatia</v>
          </cell>
          <cell r="C40" t="str">
            <v>Ba2</v>
          </cell>
        </row>
        <row r="41">
          <cell r="A41" t="str">
            <v>Cuba</v>
          </cell>
          <cell r="C41" t="str">
            <v>Caa2</v>
          </cell>
        </row>
        <row r="42">
          <cell r="A42" t="str">
            <v>Curacao</v>
          </cell>
          <cell r="C42" t="str">
            <v>A3</v>
          </cell>
        </row>
        <row r="43">
          <cell r="A43" t="str">
            <v>Cyprus</v>
          </cell>
          <cell r="C43" t="str">
            <v>Ba2</v>
          </cell>
        </row>
        <row r="44">
          <cell r="A44" t="str">
            <v>Czech Republic</v>
          </cell>
          <cell r="C44" t="str">
            <v>A1</v>
          </cell>
        </row>
        <row r="45">
          <cell r="A45" t="str">
            <v>Denmark</v>
          </cell>
          <cell r="C45" t="str">
            <v>Aaa</v>
          </cell>
        </row>
        <row r="46">
          <cell r="A46" t="str">
            <v>Dominican Republic</v>
          </cell>
          <cell r="C46" t="str">
            <v>Ba3</v>
          </cell>
        </row>
        <row r="47">
          <cell r="A47" t="str">
            <v>Ecuador</v>
          </cell>
          <cell r="C47" t="str">
            <v>B3</v>
          </cell>
        </row>
        <row r="48">
          <cell r="A48" t="str">
            <v>Egypt</v>
          </cell>
          <cell r="C48" t="str">
            <v>B3</v>
          </cell>
        </row>
        <row r="49">
          <cell r="A49" t="str">
            <v>El Salvador</v>
          </cell>
          <cell r="C49" t="str">
            <v>Caa1</v>
          </cell>
        </row>
        <row r="50">
          <cell r="A50" t="str">
            <v>Estonia</v>
          </cell>
          <cell r="C50" t="str">
            <v>A1</v>
          </cell>
        </row>
        <row r="51">
          <cell r="A51" t="str">
            <v>Ethiopia</v>
          </cell>
          <cell r="C51" t="str">
            <v>B1</v>
          </cell>
        </row>
        <row r="52">
          <cell r="A52" t="str">
            <v>Fiji</v>
          </cell>
          <cell r="C52" t="str">
            <v>Ba3</v>
          </cell>
        </row>
        <row r="53">
          <cell r="A53" t="str">
            <v>Finland</v>
          </cell>
          <cell r="C53" t="str">
            <v>Aa1</v>
          </cell>
        </row>
        <row r="54">
          <cell r="A54" t="str">
            <v>France</v>
          </cell>
          <cell r="C54" t="str">
            <v>Aa2</v>
          </cell>
        </row>
        <row r="55">
          <cell r="A55" t="str">
            <v>Gabon</v>
          </cell>
          <cell r="C55" t="str">
            <v>Caa1</v>
          </cell>
        </row>
        <row r="56">
          <cell r="A56" t="str">
            <v>Georgia</v>
          </cell>
          <cell r="C56" t="str">
            <v>Ba2</v>
          </cell>
        </row>
        <row r="57">
          <cell r="A57" t="str">
            <v>Germany</v>
          </cell>
          <cell r="C57" t="str">
            <v>Aaa</v>
          </cell>
        </row>
        <row r="58">
          <cell r="A58" t="str">
            <v>Ghana</v>
          </cell>
          <cell r="C58" t="str">
            <v>B3</v>
          </cell>
        </row>
        <row r="59">
          <cell r="A59" t="str">
            <v>Greece</v>
          </cell>
          <cell r="C59" t="str">
            <v>B3</v>
          </cell>
        </row>
        <row r="60">
          <cell r="A60" t="str">
            <v>Guatemala</v>
          </cell>
          <cell r="C60" t="str">
            <v>Ba1</v>
          </cell>
        </row>
        <row r="61">
          <cell r="A61" t="str">
            <v>Guernsey (States of)</v>
          </cell>
          <cell r="C61" t="str">
            <v>Aa3</v>
          </cell>
        </row>
        <row r="62">
          <cell r="A62" t="str">
            <v>Honduras</v>
          </cell>
          <cell r="C62" t="str">
            <v>B1</v>
          </cell>
        </row>
        <row r="63">
          <cell r="A63" t="str">
            <v>Hong Kong</v>
          </cell>
          <cell r="C63" t="str">
            <v>Aa2</v>
          </cell>
        </row>
        <row r="64">
          <cell r="A64" t="str">
            <v>Hungary</v>
          </cell>
          <cell r="C64" t="str">
            <v>Baa3</v>
          </cell>
        </row>
        <row r="65">
          <cell r="A65" t="str">
            <v>Iceland</v>
          </cell>
          <cell r="C65" t="str">
            <v>A3</v>
          </cell>
        </row>
        <row r="66">
          <cell r="A66" t="str">
            <v>India</v>
          </cell>
          <cell r="C66" t="str">
            <v>Baa2</v>
          </cell>
        </row>
        <row r="67">
          <cell r="A67" t="str">
            <v>Indonesia</v>
          </cell>
          <cell r="C67" t="str">
            <v>Baa2</v>
          </cell>
        </row>
        <row r="68">
          <cell r="A68" t="str">
            <v>Iraq</v>
          </cell>
          <cell r="C68" t="str">
            <v>Caa1</v>
          </cell>
        </row>
        <row r="69">
          <cell r="A69" t="str">
            <v>Ireland</v>
          </cell>
          <cell r="C69" t="str">
            <v>A2</v>
          </cell>
        </row>
        <row r="70">
          <cell r="A70" t="str">
            <v>Isle of Man</v>
          </cell>
          <cell r="C70" t="str">
            <v>Aa2</v>
          </cell>
        </row>
        <row r="71">
          <cell r="A71" t="str">
            <v>Israel</v>
          </cell>
          <cell r="C71" t="str">
            <v>A1</v>
          </cell>
        </row>
        <row r="72">
          <cell r="A72" t="str">
            <v>Italy</v>
          </cell>
          <cell r="C72" t="str">
            <v>Baa3</v>
          </cell>
        </row>
        <row r="73">
          <cell r="A73" t="str">
            <v>Jamaica</v>
          </cell>
          <cell r="C73" t="str">
            <v>B3</v>
          </cell>
        </row>
        <row r="74">
          <cell r="A74" t="str">
            <v>Japan</v>
          </cell>
          <cell r="C74" t="str">
            <v>A1</v>
          </cell>
        </row>
        <row r="75">
          <cell r="A75" t="str">
            <v>Jersey (States of)</v>
          </cell>
          <cell r="C75" t="str">
            <v>Aa3</v>
          </cell>
        </row>
        <row r="76">
          <cell r="A76" t="str">
            <v>Jordan</v>
          </cell>
          <cell r="C76" t="str">
            <v>B1</v>
          </cell>
        </row>
        <row r="77">
          <cell r="A77" t="str">
            <v>Kazakhstan</v>
          </cell>
          <cell r="C77" t="str">
            <v>Baa3</v>
          </cell>
        </row>
        <row r="78">
          <cell r="A78" t="str">
            <v>Kenya</v>
          </cell>
          <cell r="C78" t="str">
            <v>B2</v>
          </cell>
        </row>
        <row r="79">
          <cell r="A79" t="str">
            <v>Korea</v>
          </cell>
          <cell r="C79" t="str">
            <v>Aa2</v>
          </cell>
        </row>
        <row r="80">
          <cell r="A80" t="str">
            <v>Kuwait</v>
          </cell>
          <cell r="C80" t="str">
            <v>Aa2</v>
          </cell>
        </row>
        <row r="81">
          <cell r="A81" t="str">
            <v>Kyrgyzstan</v>
          </cell>
          <cell r="C81" t="str">
            <v>B2</v>
          </cell>
        </row>
        <row r="82">
          <cell r="A82" t="str">
            <v>Latvia</v>
          </cell>
          <cell r="C82" t="str">
            <v>A3</v>
          </cell>
        </row>
        <row r="83">
          <cell r="A83" t="str">
            <v>Lebanon</v>
          </cell>
          <cell r="C83" t="str">
            <v>B3</v>
          </cell>
        </row>
        <row r="84">
          <cell r="A84" t="str">
            <v>Liechtenstein</v>
          </cell>
          <cell r="C84" t="str">
            <v>Aaa</v>
          </cell>
        </row>
        <row r="85">
          <cell r="A85" t="str">
            <v>Lithuania</v>
          </cell>
          <cell r="C85" t="str">
            <v>A3</v>
          </cell>
        </row>
        <row r="86">
          <cell r="A86" t="str">
            <v>Luxembourg</v>
          </cell>
          <cell r="C86" t="str">
            <v>Aaa</v>
          </cell>
        </row>
        <row r="87">
          <cell r="A87" t="str">
            <v>Macao</v>
          </cell>
          <cell r="C87" t="str">
            <v>Aa3</v>
          </cell>
        </row>
        <row r="88">
          <cell r="A88" t="str">
            <v>Macedonia</v>
          </cell>
          <cell r="C88" t="str">
            <v>Ba3</v>
          </cell>
        </row>
        <row r="89">
          <cell r="A89" t="str">
            <v>Malaysia</v>
          </cell>
          <cell r="C89" t="str">
            <v>A3</v>
          </cell>
        </row>
        <row r="90">
          <cell r="A90" t="str">
            <v>Maldives</v>
          </cell>
          <cell r="C90" t="str">
            <v>B2</v>
          </cell>
        </row>
        <row r="91">
          <cell r="A91" t="str">
            <v>Malta</v>
          </cell>
          <cell r="C91" t="str">
            <v>A3</v>
          </cell>
        </row>
        <row r="92">
          <cell r="A92" t="str">
            <v>Mauritius</v>
          </cell>
          <cell r="C92" t="str">
            <v>Baa1</v>
          </cell>
        </row>
        <row r="93">
          <cell r="A93" t="str">
            <v>Mexico</v>
          </cell>
          <cell r="C93" t="str">
            <v>A3</v>
          </cell>
        </row>
        <row r="94">
          <cell r="A94" t="str">
            <v>Moldova</v>
          </cell>
          <cell r="C94" t="str">
            <v>B3</v>
          </cell>
        </row>
        <row r="95">
          <cell r="A95" t="str">
            <v>Mongolia</v>
          </cell>
          <cell r="C95" t="str">
            <v>B3</v>
          </cell>
        </row>
        <row r="96">
          <cell r="A96" t="str">
            <v>Montenegro</v>
          </cell>
          <cell r="C96" t="str">
            <v>B1</v>
          </cell>
        </row>
        <row r="97">
          <cell r="A97" t="str">
            <v>Montserrat</v>
          </cell>
          <cell r="C97" t="str">
            <v>Baa3</v>
          </cell>
        </row>
        <row r="98">
          <cell r="A98" t="str">
            <v>Morocco</v>
          </cell>
          <cell r="C98" t="str">
            <v>Ba1</v>
          </cell>
        </row>
        <row r="99">
          <cell r="A99" t="str">
            <v>Mozambique</v>
          </cell>
          <cell r="C99" t="str">
            <v>Caa3</v>
          </cell>
        </row>
        <row r="100">
          <cell r="A100" t="str">
            <v>Namibia</v>
          </cell>
          <cell r="C100" t="str">
            <v>Ba1</v>
          </cell>
        </row>
        <row r="101">
          <cell r="A101" t="str">
            <v>Netherlands</v>
          </cell>
          <cell r="C101" t="str">
            <v>Aaa</v>
          </cell>
        </row>
        <row r="102">
          <cell r="A102" t="str">
            <v>New Zealand</v>
          </cell>
          <cell r="C102" t="str">
            <v>Aaa</v>
          </cell>
        </row>
        <row r="103">
          <cell r="A103" t="str">
            <v>Nicaragua</v>
          </cell>
          <cell r="C103" t="str">
            <v>B2</v>
          </cell>
        </row>
        <row r="104">
          <cell r="A104" t="str">
            <v>Nigeria</v>
          </cell>
          <cell r="C104" t="str">
            <v>B2</v>
          </cell>
        </row>
        <row r="105">
          <cell r="A105" t="str">
            <v>Norway</v>
          </cell>
          <cell r="C105" t="str">
            <v>Aaa</v>
          </cell>
        </row>
        <row r="106">
          <cell r="A106" t="str">
            <v>Oman</v>
          </cell>
          <cell r="C106" t="str">
            <v>Baa3</v>
          </cell>
        </row>
        <row r="107">
          <cell r="A107" t="str">
            <v>Pakistan</v>
          </cell>
          <cell r="C107" t="str">
            <v>B3</v>
          </cell>
        </row>
        <row r="108">
          <cell r="A108" t="str">
            <v>Panama</v>
          </cell>
          <cell r="C108" t="str">
            <v>Baa2</v>
          </cell>
        </row>
        <row r="109">
          <cell r="A109" t="str">
            <v>Papua New Guinea</v>
          </cell>
          <cell r="C109" t="str">
            <v>B2</v>
          </cell>
        </row>
        <row r="110">
          <cell r="A110" t="str">
            <v>Paraguay</v>
          </cell>
          <cell r="C110" t="str">
            <v>Ba1</v>
          </cell>
        </row>
        <row r="111">
          <cell r="A111" t="str">
            <v>Peru</v>
          </cell>
          <cell r="C111" t="str">
            <v>A3</v>
          </cell>
        </row>
        <row r="112">
          <cell r="A112" t="str">
            <v>Philippines</v>
          </cell>
          <cell r="C112" t="str">
            <v>Baa2</v>
          </cell>
        </row>
        <row r="113">
          <cell r="A113" t="str">
            <v>Poland</v>
          </cell>
          <cell r="C113" t="str">
            <v>A2</v>
          </cell>
        </row>
        <row r="114">
          <cell r="A114" t="str">
            <v>Portugal</v>
          </cell>
          <cell r="C114" t="str">
            <v>Baa3</v>
          </cell>
        </row>
        <row r="115">
          <cell r="A115" t="str">
            <v>Qatar</v>
          </cell>
          <cell r="C115" t="str">
            <v>Aa3</v>
          </cell>
        </row>
        <row r="116">
          <cell r="A116" t="str">
            <v>Ras Al Khaimah (Emirate of)</v>
          </cell>
          <cell r="C116" t="str">
            <v>A2</v>
          </cell>
        </row>
        <row r="117">
          <cell r="A117" t="str">
            <v>Romania</v>
          </cell>
          <cell r="C117" t="str">
            <v>Baa3</v>
          </cell>
        </row>
        <row r="118">
          <cell r="A118" t="str">
            <v>Russia</v>
          </cell>
          <cell r="C118" t="str">
            <v>Ba1</v>
          </cell>
        </row>
        <row r="119">
          <cell r="A119" t="str">
            <v>Rwanda</v>
          </cell>
          <cell r="C119" t="str">
            <v>B2</v>
          </cell>
        </row>
        <row r="120">
          <cell r="A120" t="str">
            <v>Saudi Arabia</v>
          </cell>
          <cell r="C120" t="str">
            <v>A1</v>
          </cell>
        </row>
        <row r="121">
          <cell r="A121" t="str">
            <v>Senegal</v>
          </cell>
          <cell r="C121" t="str">
            <v>Ba3</v>
          </cell>
        </row>
        <row r="122">
          <cell r="A122" t="str">
            <v>Serbia</v>
          </cell>
          <cell r="C122" t="str">
            <v>Ba3</v>
          </cell>
        </row>
        <row r="123">
          <cell r="A123" t="str">
            <v>Sharjah</v>
          </cell>
          <cell r="C123" t="str">
            <v>A3</v>
          </cell>
        </row>
        <row r="124">
          <cell r="A124" t="str">
            <v>Singapore</v>
          </cell>
          <cell r="C124" t="str">
            <v>Aaa</v>
          </cell>
        </row>
        <row r="125">
          <cell r="A125" t="str">
            <v>Slovakia</v>
          </cell>
          <cell r="C125" t="str">
            <v>A2</v>
          </cell>
        </row>
        <row r="126">
          <cell r="A126" t="str">
            <v>Slovenia</v>
          </cell>
          <cell r="C126" t="str">
            <v>Baa1</v>
          </cell>
        </row>
        <row r="127">
          <cell r="A127" t="str">
            <v>Solomon Islands</v>
          </cell>
          <cell r="C127" t="str">
            <v>B3</v>
          </cell>
        </row>
        <row r="128">
          <cell r="A128" t="str">
            <v>South Africa</v>
          </cell>
          <cell r="C128" t="str">
            <v>Baa3</v>
          </cell>
        </row>
        <row r="129">
          <cell r="A129" t="str">
            <v>Spain</v>
          </cell>
          <cell r="C129" t="str">
            <v>Baa1</v>
          </cell>
        </row>
        <row r="130">
          <cell r="A130" t="str">
            <v>Sri Lanka</v>
          </cell>
          <cell r="C130" t="str">
            <v>B1</v>
          </cell>
        </row>
        <row r="131">
          <cell r="A131" t="str">
            <v>St. Maarten</v>
          </cell>
          <cell r="C131" t="str">
            <v>Baa2</v>
          </cell>
        </row>
        <row r="132">
          <cell r="A132" t="str">
            <v>St. Vincent &amp; the Grenadines</v>
          </cell>
          <cell r="C132" t="str">
            <v>B3</v>
          </cell>
        </row>
        <row r="133">
          <cell r="A133" t="str">
            <v>Suriname</v>
          </cell>
          <cell r="C133" t="str">
            <v>B2</v>
          </cell>
        </row>
        <row r="134">
          <cell r="A134" t="str">
            <v>Swaziland</v>
          </cell>
          <cell r="C134" t="str">
            <v>B2</v>
          </cell>
        </row>
        <row r="135">
          <cell r="A135" t="str">
            <v>Sweden</v>
          </cell>
          <cell r="C135" t="str">
            <v>Aaa</v>
          </cell>
        </row>
        <row r="136">
          <cell r="A136" t="str">
            <v>Switzerland</v>
          </cell>
          <cell r="C136" t="str">
            <v>Aaa</v>
          </cell>
        </row>
        <row r="137">
          <cell r="A137" t="str">
            <v>Taiwan</v>
          </cell>
          <cell r="C137" t="str">
            <v>Aa3</v>
          </cell>
        </row>
        <row r="138">
          <cell r="A138" t="str">
            <v>Tajikistan</v>
          </cell>
          <cell r="C138" t="str">
            <v>B3</v>
          </cell>
        </row>
        <row r="139">
          <cell r="A139" t="str">
            <v>Tanzania</v>
          </cell>
          <cell r="C139" t="str">
            <v>B1</v>
          </cell>
        </row>
        <row r="140">
          <cell r="A140" t="str">
            <v>Thailand</v>
          </cell>
          <cell r="C140" t="str">
            <v>Baa1</v>
          </cell>
        </row>
        <row r="141">
          <cell r="A141" t="str">
            <v>Trinidad and Tobago</v>
          </cell>
          <cell r="C141" t="str">
            <v>Ba1</v>
          </cell>
        </row>
        <row r="142">
          <cell r="A142" t="str">
            <v>Tunisia</v>
          </cell>
          <cell r="C142" t="str">
            <v>B2</v>
          </cell>
        </row>
        <row r="143">
          <cell r="A143" t="str">
            <v>Turkey</v>
          </cell>
          <cell r="C143" t="str">
            <v>Ba3</v>
          </cell>
        </row>
        <row r="144">
          <cell r="A144" t="str">
            <v>Turks and Caicos Islands</v>
          </cell>
          <cell r="C144" t="str">
            <v>Baa1</v>
          </cell>
        </row>
        <row r="145">
          <cell r="A145" t="str">
            <v>Uganda</v>
          </cell>
          <cell r="C145" t="str">
            <v>B2</v>
          </cell>
        </row>
        <row r="146">
          <cell r="A146" t="str">
            <v>Ukraine</v>
          </cell>
          <cell r="C146" t="str">
            <v>Caa1</v>
          </cell>
        </row>
        <row r="147">
          <cell r="A147" t="str">
            <v>United Arab Emirates</v>
          </cell>
          <cell r="C147" t="str">
            <v>Aa2</v>
          </cell>
        </row>
        <row r="148">
          <cell r="A148" t="str">
            <v>United Kingdom</v>
          </cell>
          <cell r="C148" t="str">
            <v>Aa2</v>
          </cell>
        </row>
        <row r="149">
          <cell r="A149" t="str">
            <v>United States</v>
          </cell>
          <cell r="C149" t="str">
            <v>Aaa</v>
          </cell>
        </row>
        <row r="150">
          <cell r="A150" t="str">
            <v>Uruguay</v>
          </cell>
          <cell r="C150" t="str">
            <v>Baa2</v>
          </cell>
        </row>
        <row r="151">
          <cell r="A151" t="str">
            <v>Venezuela</v>
          </cell>
          <cell r="C151" t="str">
            <v>C</v>
          </cell>
        </row>
        <row r="152">
          <cell r="A152" t="str">
            <v>Vietnam</v>
          </cell>
          <cell r="C152" t="str">
            <v>Ba3</v>
          </cell>
        </row>
        <row r="153">
          <cell r="A153" t="str">
            <v>Zambia</v>
          </cell>
          <cell r="C153" t="str">
            <v>Caa1</v>
          </cell>
        </row>
      </sheetData>
      <sheetData sheetId="8">
        <row r="2">
          <cell r="A2" t="str">
            <v>Abu Dhabi</v>
          </cell>
          <cell r="B2" t="str">
            <v>Middle East</v>
          </cell>
        </row>
        <row r="3">
          <cell r="A3" t="str">
            <v>Albania</v>
          </cell>
          <cell r="B3" t="str">
            <v>Eastern Europe &amp; Russia</v>
          </cell>
        </row>
        <row r="4">
          <cell r="A4" t="str">
            <v>Andorra</v>
          </cell>
          <cell r="B4" t="str">
            <v>Western Europe</v>
          </cell>
        </row>
        <row r="5">
          <cell r="A5" t="str">
            <v>Angola</v>
          </cell>
          <cell r="B5" t="str">
            <v>Africa</v>
          </cell>
        </row>
        <row r="6">
          <cell r="A6" t="str">
            <v>Argentina</v>
          </cell>
          <cell r="B6" t="str">
            <v>Central and South America</v>
          </cell>
        </row>
        <row r="7">
          <cell r="A7" t="str">
            <v>Armenia</v>
          </cell>
          <cell r="B7" t="str">
            <v>Eastern Europe &amp; Russia</v>
          </cell>
        </row>
        <row r="8">
          <cell r="A8" t="str">
            <v>Aruba</v>
          </cell>
          <cell r="B8" t="str">
            <v>Caribbean</v>
          </cell>
        </row>
        <row r="9">
          <cell r="A9" t="str">
            <v>Australia</v>
          </cell>
          <cell r="B9" t="str">
            <v>Australia &amp; New Zealand</v>
          </cell>
        </row>
        <row r="10">
          <cell r="A10" t="str">
            <v>Austria</v>
          </cell>
          <cell r="B10" t="str">
            <v>Western Europe</v>
          </cell>
        </row>
        <row r="11">
          <cell r="A11" t="str">
            <v>Azerbaijan</v>
          </cell>
          <cell r="B11" t="str">
            <v>Eastern Europe &amp; Russia</v>
          </cell>
        </row>
        <row r="12">
          <cell r="A12" t="str">
            <v>Bahamas</v>
          </cell>
          <cell r="B12" t="str">
            <v>Caribbean</v>
          </cell>
        </row>
        <row r="13">
          <cell r="A13" t="str">
            <v>Bahrain</v>
          </cell>
          <cell r="B13" t="str">
            <v>Middle East</v>
          </cell>
        </row>
        <row r="14">
          <cell r="A14" t="str">
            <v>Bangladesh</v>
          </cell>
          <cell r="B14" t="str">
            <v>Asia</v>
          </cell>
        </row>
        <row r="15">
          <cell r="A15" t="str">
            <v>Barbados</v>
          </cell>
          <cell r="B15" t="str">
            <v>Caribbean</v>
          </cell>
        </row>
        <row r="16">
          <cell r="A16" t="str">
            <v>Belarus</v>
          </cell>
          <cell r="B16" t="str">
            <v>Eastern Europe &amp; Russia</v>
          </cell>
        </row>
        <row r="17">
          <cell r="A17" t="str">
            <v>Belgium</v>
          </cell>
          <cell r="B17" t="str">
            <v>Western Europe</v>
          </cell>
        </row>
        <row r="18">
          <cell r="A18" t="str">
            <v>Belize</v>
          </cell>
          <cell r="B18" t="str">
            <v>Central and South America</v>
          </cell>
        </row>
        <row r="19">
          <cell r="A19" t="str">
            <v>Benin</v>
          </cell>
          <cell r="B19" t="str">
            <v>Africa</v>
          </cell>
        </row>
        <row r="20">
          <cell r="A20" t="str">
            <v>Bermuda</v>
          </cell>
          <cell r="B20" t="str">
            <v>Caribbean</v>
          </cell>
        </row>
        <row r="21">
          <cell r="A21" t="str">
            <v>Bolivia</v>
          </cell>
          <cell r="B21" t="str">
            <v>Central and South America</v>
          </cell>
        </row>
        <row r="22">
          <cell r="A22" t="str">
            <v>Bosnia and Herzegovina</v>
          </cell>
          <cell r="B22" t="str">
            <v>Eastern Europe &amp; Russia</v>
          </cell>
        </row>
        <row r="23">
          <cell r="A23" t="str">
            <v>Botswana</v>
          </cell>
          <cell r="B23" t="str">
            <v>Africa</v>
          </cell>
        </row>
        <row r="24">
          <cell r="A24" t="str">
            <v>Brazil</v>
          </cell>
          <cell r="B24" t="str">
            <v>Central and South America</v>
          </cell>
        </row>
        <row r="25">
          <cell r="A25" t="str">
            <v>Bulgaria</v>
          </cell>
          <cell r="B25" t="str">
            <v>Eastern Europe &amp; Russia</v>
          </cell>
        </row>
        <row r="26">
          <cell r="A26" t="str">
            <v>Burkina Faso</v>
          </cell>
          <cell r="B26" t="str">
            <v>Africa</v>
          </cell>
        </row>
        <row r="27">
          <cell r="A27" t="str">
            <v>Cambodia</v>
          </cell>
          <cell r="B27" t="str">
            <v>Asia</v>
          </cell>
        </row>
        <row r="28">
          <cell r="A28" t="str">
            <v>Cameroon</v>
          </cell>
          <cell r="B28" t="str">
            <v>Africa</v>
          </cell>
        </row>
        <row r="29">
          <cell r="A29" t="str">
            <v>Canada</v>
          </cell>
          <cell r="B29" t="str">
            <v>North America</v>
          </cell>
        </row>
        <row r="30">
          <cell r="A30" t="str">
            <v>Cape Verde</v>
          </cell>
          <cell r="B30" t="str">
            <v>Africa</v>
          </cell>
        </row>
        <row r="31">
          <cell r="A31" t="str">
            <v>Cayman Islands</v>
          </cell>
          <cell r="B31" t="str">
            <v>Caribbean</v>
          </cell>
        </row>
        <row r="32">
          <cell r="A32" t="str">
            <v>Chile</v>
          </cell>
          <cell r="B32" t="str">
            <v>Central and South America</v>
          </cell>
        </row>
        <row r="33">
          <cell r="A33" t="str">
            <v>China</v>
          </cell>
          <cell r="B33" t="str">
            <v>Asia</v>
          </cell>
        </row>
        <row r="34">
          <cell r="A34" t="str">
            <v>Colombia</v>
          </cell>
          <cell r="B34" t="str">
            <v>Central and South America</v>
          </cell>
        </row>
        <row r="35">
          <cell r="A35" t="str">
            <v>Congo (Democratic Republic of)</v>
          </cell>
          <cell r="B35" t="str">
            <v>Africa</v>
          </cell>
        </row>
        <row r="36">
          <cell r="A36" t="str">
            <v>Congo (Republic of)</v>
          </cell>
          <cell r="B36" t="str">
            <v>Africa</v>
          </cell>
        </row>
        <row r="37">
          <cell r="A37" t="str">
            <v>Cook Islands</v>
          </cell>
          <cell r="B37" t="str">
            <v>Australia &amp; New Zealand</v>
          </cell>
        </row>
        <row r="38">
          <cell r="A38" t="str">
            <v>Costa Rica</v>
          </cell>
          <cell r="B38" t="str">
            <v>Central and South America</v>
          </cell>
        </row>
        <row r="39">
          <cell r="A39" t="str">
            <v>Côte d'Ivoire</v>
          </cell>
          <cell r="B39" t="str">
            <v>Africa</v>
          </cell>
        </row>
        <row r="40">
          <cell r="A40" t="str">
            <v>Croatia</v>
          </cell>
          <cell r="B40" t="str">
            <v>Eastern Europe &amp; Russia</v>
          </cell>
        </row>
        <row r="41">
          <cell r="A41" t="str">
            <v>Cuba</v>
          </cell>
          <cell r="B41" t="str">
            <v>Caribbean</v>
          </cell>
        </row>
        <row r="42">
          <cell r="A42" t="str">
            <v>Curacao</v>
          </cell>
          <cell r="B42" t="str">
            <v>Caribbean</v>
          </cell>
        </row>
        <row r="43">
          <cell r="A43" t="str">
            <v>Cyprus</v>
          </cell>
          <cell r="B43" t="str">
            <v>Western Europe</v>
          </cell>
        </row>
        <row r="44">
          <cell r="A44" t="str">
            <v>Czech Republic</v>
          </cell>
          <cell r="B44" t="str">
            <v>Eastern Europe &amp; Russia</v>
          </cell>
        </row>
        <row r="45">
          <cell r="A45" t="str">
            <v>Democratic Republic of Congo</v>
          </cell>
          <cell r="B45" t="str">
            <v>Africa</v>
          </cell>
        </row>
        <row r="46">
          <cell r="A46" t="str">
            <v>Denmark</v>
          </cell>
          <cell r="B46" t="str">
            <v>Western Europe</v>
          </cell>
        </row>
        <row r="47">
          <cell r="A47" t="str">
            <v>Dominican Republic</v>
          </cell>
          <cell r="B47" t="str">
            <v>Caribbean</v>
          </cell>
        </row>
        <row r="48">
          <cell r="A48" t="str">
            <v>Ecuador</v>
          </cell>
          <cell r="B48" t="str">
            <v>Central and South America</v>
          </cell>
        </row>
        <row r="49">
          <cell r="A49" t="str">
            <v>Egypt</v>
          </cell>
          <cell r="B49" t="str">
            <v>Africa</v>
          </cell>
        </row>
        <row r="50">
          <cell r="A50" t="str">
            <v>El Salvador</v>
          </cell>
          <cell r="B50" t="str">
            <v>Central and South America</v>
          </cell>
        </row>
        <row r="51">
          <cell r="A51" t="str">
            <v>Estonia</v>
          </cell>
          <cell r="B51" t="str">
            <v>Eastern Europe &amp; Russia</v>
          </cell>
        </row>
        <row r="52">
          <cell r="A52" t="str">
            <v>Ethiopia</v>
          </cell>
          <cell r="B52" t="str">
            <v>Africa</v>
          </cell>
        </row>
        <row r="53">
          <cell r="A53" t="str">
            <v>Fiji</v>
          </cell>
          <cell r="B53" t="str">
            <v>Asia</v>
          </cell>
        </row>
        <row r="54">
          <cell r="A54" t="str">
            <v>Finland</v>
          </cell>
          <cell r="B54" t="str">
            <v>Western Europe</v>
          </cell>
        </row>
        <row r="55">
          <cell r="A55" t="str">
            <v>France</v>
          </cell>
          <cell r="B55" t="str">
            <v>Western Europe</v>
          </cell>
        </row>
        <row r="56">
          <cell r="A56" t="str">
            <v>Gabon</v>
          </cell>
          <cell r="B56" t="str">
            <v>Africa</v>
          </cell>
        </row>
        <row r="57">
          <cell r="A57" t="str">
            <v>Georgia</v>
          </cell>
          <cell r="B57" t="str">
            <v>Eastern Europe &amp; Russia</v>
          </cell>
        </row>
        <row r="58">
          <cell r="A58" t="str">
            <v>Germany</v>
          </cell>
          <cell r="B58" t="str">
            <v>Western Europe</v>
          </cell>
        </row>
        <row r="59">
          <cell r="A59" t="str">
            <v>Ghana</v>
          </cell>
          <cell r="B59" t="str">
            <v>Africa</v>
          </cell>
        </row>
        <row r="60">
          <cell r="A60" t="str">
            <v>Greece</v>
          </cell>
          <cell r="B60" t="str">
            <v>Western Europe</v>
          </cell>
        </row>
        <row r="61">
          <cell r="A61" t="str">
            <v>Guatemala</v>
          </cell>
          <cell r="B61" t="str">
            <v>Central and South America</v>
          </cell>
        </row>
        <row r="62">
          <cell r="A62" t="str">
            <v>Guernsey (States of)</v>
          </cell>
          <cell r="B62" t="str">
            <v>Western Europe</v>
          </cell>
        </row>
        <row r="63">
          <cell r="A63" t="str">
            <v>Honduras</v>
          </cell>
          <cell r="B63" t="str">
            <v>Central and South America</v>
          </cell>
        </row>
        <row r="64">
          <cell r="A64" t="str">
            <v>Hong Kong</v>
          </cell>
          <cell r="B64" t="str">
            <v>Asia</v>
          </cell>
        </row>
        <row r="65">
          <cell r="A65" t="str">
            <v>Hungary</v>
          </cell>
          <cell r="B65" t="str">
            <v>Eastern Europe &amp; Russia</v>
          </cell>
        </row>
        <row r="66">
          <cell r="A66" t="str">
            <v>Iceland</v>
          </cell>
          <cell r="B66" t="str">
            <v>Western Europe</v>
          </cell>
        </row>
        <row r="67">
          <cell r="A67" t="str">
            <v>India</v>
          </cell>
          <cell r="B67" t="str">
            <v>Asia</v>
          </cell>
        </row>
        <row r="68">
          <cell r="A68" t="str">
            <v>Indonesia</v>
          </cell>
          <cell r="B68" t="str">
            <v>Asia</v>
          </cell>
        </row>
        <row r="69">
          <cell r="A69" t="str">
            <v>Iraq</v>
          </cell>
          <cell r="B69" t="str">
            <v>Middle East</v>
          </cell>
        </row>
        <row r="70">
          <cell r="A70" t="str">
            <v>Ireland</v>
          </cell>
          <cell r="B70" t="str">
            <v>Western Europe</v>
          </cell>
        </row>
        <row r="71">
          <cell r="A71" t="str">
            <v>Isle of Man</v>
          </cell>
          <cell r="B71" t="str">
            <v>Western Europe</v>
          </cell>
        </row>
        <row r="72">
          <cell r="A72" t="str">
            <v>Israel</v>
          </cell>
          <cell r="B72" t="str">
            <v>Middle East</v>
          </cell>
        </row>
        <row r="73">
          <cell r="A73" t="str">
            <v>Italy</v>
          </cell>
          <cell r="B73" t="str">
            <v>Western Europe</v>
          </cell>
        </row>
        <row r="74">
          <cell r="A74" t="str">
            <v>Jamaica</v>
          </cell>
          <cell r="B74" t="str">
            <v>Caribbean</v>
          </cell>
        </row>
        <row r="75">
          <cell r="A75" t="str">
            <v>Japan</v>
          </cell>
          <cell r="B75" t="str">
            <v>Asia</v>
          </cell>
        </row>
        <row r="76">
          <cell r="A76" t="str">
            <v>Jersey (States of)</v>
          </cell>
          <cell r="B76" t="str">
            <v>Western Europe</v>
          </cell>
        </row>
        <row r="77">
          <cell r="A77" t="str">
            <v>Jordan</v>
          </cell>
          <cell r="B77" t="str">
            <v>Middle East</v>
          </cell>
        </row>
        <row r="78">
          <cell r="A78" t="str">
            <v>Kazakhstan</v>
          </cell>
          <cell r="B78" t="str">
            <v>Eastern Europe &amp; Russia</v>
          </cell>
        </row>
        <row r="79">
          <cell r="A79" t="str">
            <v>Kenya</v>
          </cell>
          <cell r="B79" t="str">
            <v>Africa</v>
          </cell>
        </row>
        <row r="80">
          <cell r="A80" t="str">
            <v>Korea</v>
          </cell>
          <cell r="B80" t="str">
            <v>Asia</v>
          </cell>
        </row>
        <row r="81">
          <cell r="A81" t="str">
            <v>Kuwait</v>
          </cell>
          <cell r="B81" t="str">
            <v>Middle East</v>
          </cell>
        </row>
        <row r="82">
          <cell r="A82" t="str">
            <v>Kyrgyzstan</v>
          </cell>
          <cell r="B82" t="str">
            <v>Eastern Europe &amp; Russia</v>
          </cell>
        </row>
        <row r="83">
          <cell r="A83" t="str">
            <v>Latvia</v>
          </cell>
          <cell r="B83" t="str">
            <v>Eastern Europe &amp; Russia</v>
          </cell>
        </row>
        <row r="84">
          <cell r="A84" t="str">
            <v>Lebanon</v>
          </cell>
          <cell r="B84" t="str">
            <v>Middle East</v>
          </cell>
        </row>
        <row r="85">
          <cell r="A85" t="str">
            <v>Liechtenstein</v>
          </cell>
          <cell r="B85" t="str">
            <v>Western Europe</v>
          </cell>
        </row>
        <row r="86">
          <cell r="A86" t="str">
            <v>Lithuania</v>
          </cell>
          <cell r="B86" t="str">
            <v>Eastern Europe &amp; Russia</v>
          </cell>
        </row>
        <row r="87">
          <cell r="A87" t="str">
            <v>Luxembourg</v>
          </cell>
          <cell r="B87" t="str">
            <v>Western Europe</v>
          </cell>
        </row>
        <row r="88">
          <cell r="A88" t="str">
            <v>Macao</v>
          </cell>
          <cell r="B88" t="str">
            <v>Asia</v>
          </cell>
        </row>
        <row r="89">
          <cell r="A89" t="str">
            <v>Macedonia</v>
          </cell>
          <cell r="B89" t="str">
            <v>Eastern Europe &amp; Russia</v>
          </cell>
        </row>
        <row r="90">
          <cell r="A90" t="str">
            <v>Malaysia</v>
          </cell>
          <cell r="B90" t="str">
            <v>Asia</v>
          </cell>
        </row>
        <row r="91">
          <cell r="A91" t="str">
            <v>Maldives</v>
          </cell>
          <cell r="B91" t="str">
            <v>Asia</v>
          </cell>
        </row>
        <row r="92">
          <cell r="A92" t="str">
            <v>Malta</v>
          </cell>
          <cell r="B92" t="str">
            <v>Western Europe</v>
          </cell>
        </row>
        <row r="93">
          <cell r="A93" t="str">
            <v>Mauritius</v>
          </cell>
          <cell r="B93" t="str">
            <v>Asia</v>
          </cell>
        </row>
        <row r="94">
          <cell r="A94" t="str">
            <v>Mexico</v>
          </cell>
          <cell r="B94" t="str">
            <v>Central and South America</v>
          </cell>
        </row>
        <row r="95">
          <cell r="A95" t="str">
            <v>Moldova</v>
          </cell>
          <cell r="B95" t="str">
            <v>Eastern Europe &amp; Russia</v>
          </cell>
        </row>
        <row r="96">
          <cell r="A96" t="str">
            <v>Mongolia</v>
          </cell>
          <cell r="B96" t="str">
            <v>Asia</v>
          </cell>
        </row>
        <row r="97">
          <cell r="A97" t="str">
            <v>Montenegro</v>
          </cell>
          <cell r="B97" t="str">
            <v>Eastern Europe &amp; Russia</v>
          </cell>
        </row>
        <row r="98">
          <cell r="A98" t="str">
            <v>Montserrat</v>
          </cell>
          <cell r="B98" t="str">
            <v>Caribbean</v>
          </cell>
        </row>
        <row r="99">
          <cell r="A99" t="str">
            <v>Morocco</v>
          </cell>
          <cell r="B99" t="str">
            <v>Africa</v>
          </cell>
        </row>
        <row r="100">
          <cell r="A100" t="str">
            <v>Mozambique</v>
          </cell>
          <cell r="B100" t="str">
            <v>Africa</v>
          </cell>
        </row>
        <row r="101">
          <cell r="A101" t="str">
            <v>Namibia</v>
          </cell>
          <cell r="B101" t="str">
            <v>Africa</v>
          </cell>
        </row>
        <row r="102">
          <cell r="A102" t="str">
            <v>Netherlands</v>
          </cell>
          <cell r="B102" t="str">
            <v>Western Europe</v>
          </cell>
        </row>
        <row r="103">
          <cell r="A103" t="str">
            <v>New Zealand</v>
          </cell>
          <cell r="B103" t="str">
            <v>Australia &amp; New Zealand</v>
          </cell>
        </row>
        <row r="104">
          <cell r="A104" t="str">
            <v>Nicaragua</v>
          </cell>
          <cell r="B104" t="str">
            <v>Central and South America</v>
          </cell>
        </row>
        <row r="105">
          <cell r="A105" t="str">
            <v>Nigeria</v>
          </cell>
          <cell r="B105" t="str">
            <v>Africa</v>
          </cell>
        </row>
        <row r="106">
          <cell r="A106" t="str">
            <v>Norway</v>
          </cell>
          <cell r="B106" t="str">
            <v>Western Europe</v>
          </cell>
        </row>
        <row r="107">
          <cell r="A107" t="str">
            <v>Oman</v>
          </cell>
          <cell r="B107" t="str">
            <v>Middle East</v>
          </cell>
        </row>
        <row r="108">
          <cell r="A108" t="str">
            <v>Pakistan</v>
          </cell>
          <cell r="B108" t="str">
            <v>Asia</v>
          </cell>
        </row>
        <row r="109">
          <cell r="A109" t="str">
            <v>Panama</v>
          </cell>
          <cell r="B109" t="str">
            <v>Central and South America</v>
          </cell>
        </row>
        <row r="110">
          <cell r="A110" t="str">
            <v>Papua New Guinea</v>
          </cell>
          <cell r="B110" t="str">
            <v>Asia</v>
          </cell>
        </row>
        <row r="111">
          <cell r="A111" t="str">
            <v>Paraguay</v>
          </cell>
          <cell r="B111" t="str">
            <v>Central and South America</v>
          </cell>
        </row>
        <row r="112">
          <cell r="A112" t="str">
            <v>Peru</v>
          </cell>
          <cell r="B112" t="str">
            <v>Central and South America</v>
          </cell>
        </row>
        <row r="113">
          <cell r="A113" t="str">
            <v>Philippines</v>
          </cell>
          <cell r="B113" t="str">
            <v>Asia</v>
          </cell>
        </row>
        <row r="114">
          <cell r="A114" t="str">
            <v>Poland</v>
          </cell>
          <cell r="B114" t="str">
            <v>Eastern Europe &amp; Russia</v>
          </cell>
        </row>
        <row r="115">
          <cell r="A115" t="str">
            <v>Portugal</v>
          </cell>
          <cell r="B115" t="str">
            <v>Western Europe</v>
          </cell>
        </row>
        <row r="116">
          <cell r="A116" t="str">
            <v>Qatar</v>
          </cell>
          <cell r="B116" t="str">
            <v>Middle East</v>
          </cell>
        </row>
        <row r="117">
          <cell r="A117" t="str">
            <v>Ras Al Kaminah</v>
          </cell>
          <cell r="B117" t="str">
            <v>Middle East</v>
          </cell>
        </row>
        <row r="118">
          <cell r="A118" t="str">
            <v>Republic of the Congo</v>
          </cell>
          <cell r="B118" t="str">
            <v>Africa</v>
          </cell>
        </row>
        <row r="119">
          <cell r="A119" t="str">
            <v>Romania</v>
          </cell>
          <cell r="B119" t="str">
            <v>Eastern Europe &amp; Russia</v>
          </cell>
        </row>
        <row r="120">
          <cell r="A120" t="str">
            <v>Russia</v>
          </cell>
          <cell r="B120" t="str">
            <v>Eastern Europe &amp; Russia</v>
          </cell>
        </row>
        <row r="121">
          <cell r="A121" t="str">
            <v>Rwanda</v>
          </cell>
          <cell r="B121" t="str">
            <v>Africa</v>
          </cell>
        </row>
        <row r="122">
          <cell r="A122" t="str">
            <v>Saudi Arabia</v>
          </cell>
          <cell r="B122" t="str">
            <v>Middle East</v>
          </cell>
        </row>
        <row r="123">
          <cell r="A123" t="str">
            <v>Senegal</v>
          </cell>
          <cell r="B123" t="str">
            <v>Africa</v>
          </cell>
        </row>
        <row r="124">
          <cell r="A124" t="str">
            <v>Serbia</v>
          </cell>
          <cell r="B124" t="str">
            <v>Eastern Europe &amp; Russia</v>
          </cell>
        </row>
        <row r="125">
          <cell r="A125" t="str">
            <v>Sharjah</v>
          </cell>
          <cell r="B125" t="str">
            <v>Middle East</v>
          </cell>
        </row>
        <row r="126">
          <cell r="A126" t="str">
            <v>Singapore</v>
          </cell>
          <cell r="B126" t="str">
            <v>Asia</v>
          </cell>
        </row>
        <row r="127">
          <cell r="A127" t="str">
            <v>Slovakia</v>
          </cell>
          <cell r="B127" t="str">
            <v>Eastern Europe &amp; Russia</v>
          </cell>
        </row>
        <row r="128">
          <cell r="A128" t="str">
            <v>Slovenia</v>
          </cell>
          <cell r="B128" t="str">
            <v>Eastern Europe &amp; Russia</v>
          </cell>
        </row>
        <row r="129">
          <cell r="A129" t="str">
            <v>Solomon Islands</v>
          </cell>
          <cell r="B129" t="str">
            <v>Asia</v>
          </cell>
        </row>
        <row r="130">
          <cell r="A130" t="str">
            <v>South Africa</v>
          </cell>
          <cell r="B130" t="str">
            <v>Africa</v>
          </cell>
        </row>
        <row r="131">
          <cell r="A131" t="str">
            <v>Spain</v>
          </cell>
          <cell r="B131" t="str">
            <v>Western Europe</v>
          </cell>
        </row>
        <row r="132">
          <cell r="A132" t="str">
            <v>Sri Lanka</v>
          </cell>
          <cell r="B132" t="str">
            <v>Asia</v>
          </cell>
        </row>
        <row r="133">
          <cell r="A133" t="str">
            <v>St. Maarten</v>
          </cell>
          <cell r="B133" t="str">
            <v>Caribbean</v>
          </cell>
        </row>
        <row r="134">
          <cell r="A134" t="str">
            <v>St. Vincent &amp; the Grenadines</v>
          </cell>
          <cell r="B134" t="str">
            <v>Caribbean</v>
          </cell>
        </row>
        <row r="135">
          <cell r="A135" t="str">
            <v>Suriname</v>
          </cell>
          <cell r="B135" t="str">
            <v>Central and South America</v>
          </cell>
        </row>
        <row r="136">
          <cell r="A136" t="str">
            <v>Swaziland</v>
          </cell>
          <cell r="B136" t="str">
            <v>Africa</v>
          </cell>
        </row>
        <row r="137">
          <cell r="A137" t="str">
            <v>Sweden</v>
          </cell>
          <cell r="B137" t="str">
            <v>Western Europe</v>
          </cell>
        </row>
        <row r="138">
          <cell r="A138" t="str">
            <v>Switzerland</v>
          </cell>
          <cell r="B138" t="str">
            <v>Western Europe</v>
          </cell>
        </row>
        <row r="139">
          <cell r="A139" t="str">
            <v>Taiwan</v>
          </cell>
          <cell r="B139" t="str">
            <v>Asia</v>
          </cell>
        </row>
        <row r="140">
          <cell r="A140" t="str">
            <v>Tajikistan</v>
          </cell>
          <cell r="B140" t="str">
            <v>Eastern Europe &amp; Russia</v>
          </cell>
        </row>
        <row r="141">
          <cell r="A141" t="str">
            <v>Tanzania</v>
          </cell>
          <cell r="B141" t="str">
            <v>Africa</v>
          </cell>
        </row>
        <row r="142">
          <cell r="A142" t="str">
            <v>Thailand</v>
          </cell>
          <cell r="B142" t="str">
            <v>Asia</v>
          </cell>
        </row>
        <row r="143">
          <cell r="A143" t="str">
            <v>Trinidad and Tobago</v>
          </cell>
          <cell r="B143" t="str">
            <v>Caribbean</v>
          </cell>
        </row>
        <row r="144">
          <cell r="A144" t="str">
            <v>Tunisia</v>
          </cell>
          <cell r="B144" t="str">
            <v>Africa</v>
          </cell>
        </row>
        <row r="145">
          <cell r="A145" t="str">
            <v>Turkey</v>
          </cell>
          <cell r="B145" t="str">
            <v>Western Europe</v>
          </cell>
        </row>
        <row r="146">
          <cell r="A146" t="str">
            <v>Turkmenistan</v>
          </cell>
          <cell r="B146" t="str">
            <v>Eastern Europe &amp; Russia</v>
          </cell>
        </row>
        <row r="147">
          <cell r="A147" t="str">
            <v>Turks and Caicos</v>
          </cell>
          <cell r="B147" t="str">
            <v>Caribbean</v>
          </cell>
        </row>
        <row r="148">
          <cell r="A148" t="str">
            <v>Uganda</v>
          </cell>
          <cell r="B148" t="str">
            <v>Africa</v>
          </cell>
        </row>
        <row r="149">
          <cell r="A149" t="str">
            <v>Ukraine</v>
          </cell>
          <cell r="B149" t="str">
            <v>Eastern Europe &amp; Russia</v>
          </cell>
        </row>
        <row r="150">
          <cell r="A150" t="str">
            <v>United Arab Emirates</v>
          </cell>
          <cell r="B150" t="str">
            <v>Middle East</v>
          </cell>
        </row>
        <row r="151">
          <cell r="A151" t="str">
            <v>United Kingdom</v>
          </cell>
          <cell r="B151" t="str">
            <v>Western Europe</v>
          </cell>
        </row>
        <row r="152">
          <cell r="A152" t="str">
            <v>United States</v>
          </cell>
          <cell r="B152" t="str">
            <v>North America</v>
          </cell>
        </row>
        <row r="153">
          <cell r="A153" t="str">
            <v>Uruguay</v>
          </cell>
          <cell r="B153" t="str">
            <v>Central and South America</v>
          </cell>
        </row>
        <row r="154">
          <cell r="A154" t="str">
            <v>Venezuela</v>
          </cell>
          <cell r="B154" t="str">
            <v>Central and South America</v>
          </cell>
        </row>
        <row r="155">
          <cell r="A155" t="str">
            <v>Vietnam</v>
          </cell>
          <cell r="B155" t="str">
            <v>Asia</v>
          </cell>
        </row>
        <row r="156">
          <cell r="A156" t="str">
            <v>Zambia</v>
          </cell>
          <cell r="B156" t="str">
            <v>Africa</v>
          </cell>
        </row>
      </sheetData>
      <sheetData sheetId="9">
        <row r="2">
          <cell r="C2">
            <v>79.400114621925923</v>
          </cell>
        </row>
        <row r="3">
          <cell r="C3">
            <v>95.68731762129535</v>
          </cell>
        </row>
        <row r="4">
          <cell r="C4">
            <v>135.38737493225833</v>
          </cell>
        </row>
        <row r="5">
          <cell r="C5">
            <v>44.789808248265899</v>
          </cell>
        </row>
        <row r="6">
          <cell r="C6">
            <v>55.987260310332381</v>
          </cell>
        </row>
        <row r="7">
          <cell r="C7">
            <v>68.202662559859448</v>
          </cell>
        </row>
        <row r="8">
          <cell r="C8">
            <v>0</v>
          </cell>
        </row>
        <row r="9">
          <cell r="C9">
            <v>507.95714354283388</v>
          </cell>
        </row>
        <row r="10">
          <cell r="C10">
            <v>620.94961435095911</v>
          </cell>
        </row>
        <row r="11">
          <cell r="C11">
            <v>733.94208515908451</v>
          </cell>
        </row>
        <row r="12">
          <cell r="C12">
            <v>281.97220192658312</v>
          </cell>
        </row>
        <row r="13">
          <cell r="C13">
            <v>338.97741242437604</v>
          </cell>
        </row>
        <row r="14">
          <cell r="C14">
            <v>406.16212479677495</v>
          </cell>
        </row>
        <row r="15">
          <cell r="C15">
            <v>180.17718318052422</v>
          </cell>
        </row>
        <row r="16">
          <cell r="C16">
            <v>214.78748955418422</v>
          </cell>
        </row>
        <row r="17">
          <cell r="C17">
            <v>248.37984574038364</v>
          </cell>
        </row>
        <row r="18">
          <cell r="C18">
            <v>1353.8737493225831</v>
          </cell>
        </row>
        <row r="19">
          <cell r="C19">
            <v>845.91660577974926</v>
          </cell>
        </row>
        <row r="20">
          <cell r="C20">
            <v>1015.9142870856678</v>
          </cell>
        </row>
        <row r="21">
          <cell r="C21">
            <v>1127.8888077063325</v>
          </cell>
        </row>
      </sheetData>
      <sheetData sheetId="10">
        <row r="2">
          <cell r="A2" t="str">
            <v>Abu Dhabi</v>
          </cell>
          <cell r="B2" t="str">
            <v>Aa2</v>
          </cell>
          <cell r="C2">
            <v>1.12E-2</v>
          </cell>
          <cell r="D2">
            <v>8.199999999999999E-3</v>
          </cell>
        </row>
        <row r="3">
          <cell r="A3" t="str">
            <v>Albania</v>
          </cell>
          <cell r="B3" t="str">
            <v>B1</v>
          </cell>
          <cell r="C3" t="str">
            <v>NA</v>
          </cell>
          <cell r="D3" t="str">
            <v>NA</v>
          </cell>
        </row>
        <row r="4">
          <cell r="A4" t="str">
            <v>Andorra (Principality of)</v>
          </cell>
          <cell r="B4" t="str">
            <v>Baa2</v>
          </cell>
          <cell r="C4" t="str">
            <v>NA</v>
          </cell>
          <cell r="D4" t="str">
            <v>NA</v>
          </cell>
        </row>
        <row r="5">
          <cell r="A5" t="str">
            <v>Angola</v>
          </cell>
          <cell r="B5" t="str">
            <v>B3</v>
          </cell>
          <cell r="C5">
            <v>5.79E-2</v>
          </cell>
          <cell r="D5">
            <v>5.4899999999999997E-2</v>
          </cell>
        </row>
        <row r="6">
          <cell r="A6" t="str">
            <v>Argentina</v>
          </cell>
          <cell r="B6" t="str">
            <v>B2</v>
          </cell>
          <cell r="C6">
            <v>8.2000000000000003E-2</v>
          </cell>
          <cell r="D6">
            <v>7.9000000000000001E-2</v>
          </cell>
        </row>
        <row r="7">
          <cell r="A7" t="str">
            <v>Armenia</v>
          </cell>
          <cell r="B7" t="str">
            <v>B1</v>
          </cell>
          <cell r="C7" t="str">
            <v>NA</v>
          </cell>
          <cell r="D7" t="str">
            <v>NA</v>
          </cell>
        </row>
        <row r="8">
          <cell r="A8" t="str">
            <v>Aruba</v>
          </cell>
          <cell r="B8" t="str">
            <v>Baa1</v>
          </cell>
          <cell r="C8" t="str">
            <v>NA</v>
          </cell>
          <cell r="D8" t="str">
            <v>NA</v>
          </cell>
        </row>
        <row r="9">
          <cell r="A9" t="str">
            <v>Australia</v>
          </cell>
          <cell r="B9" t="str">
            <v>Aaa</v>
          </cell>
          <cell r="C9">
            <v>4.1999999999999997E-3</v>
          </cell>
          <cell r="D9">
            <v>1.1999999999999997E-3</v>
          </cell>
        </row>
        <row r="10">
          <cell r="A10" t="str">
            <v>Austria</v>
          </cell>
          <cell r="B10" t="str">
            <v>Aa1</v>
          </cell>
          <cell r="C10">
            <v>3.0000000000000001E-3</v>
          </cell>
          <cell r="D10">
            <v>0</v>
          </cell>
        </row>
        <row r="11">
          <cell r="A11" t="str">
            <v>Azerbaijan</v>
          </cell>
          <cell r="B11" t="str">
            <v>Ba2</v>
          </cell>
          <cell r="C11" t="str">
            <v>NA</v>
          </cell>
          <cell r="D11" t="str">
            <v>NA</v>
          </cell>
        </row>
        <row r="12">
          <cell r="A12" t="str">
            <v>Bahamas</v>
          </cell>
          <cell r="B12" t="str">
            <v>Baa3</v>
          </cell>
          <cell r="C12" t="str">
            <v>NA</v>
          </cell>
          <cell r="D12" t="str">
            <v>NA</v>
          </cell>
        </row>
        <row r="13">
          <cell r="A13" t="str">
            <v>Bahrain</v>
          </cell>
          <cell r="B13" t="str">
            <v>B2</v>
          </cell>
          <cell r="C13">
            <v>3.7199999999999997E-2</v>
          </cell>
          <cell r="D13">
            <v>3.4199999999999994E-2</v>
          </cell>
        </row>
        <row r="14">
          <cell r="A14" t="str">
            <v>Bangladesh</v>
          </cell>
          <cell r="B14" t="str">
            <v>Ba3</v>
          </cell>
          <cell r="C14" t="str">
            <v>NA</v>
          </cell>
          <cell r="D14" t="str">
            <v>NA</v>
          </cell>
        </row>
        <row r="15">
          <cell r="A15" t="str">
            <v>Barbados</v>
          </cell>
          <cell r="B15" t="str">
            <v>Caa3</v>
          </cell>
          <cell r="C15" t="str">
            <v>NA</v>
          </cell>
          <cell r="D15" t="str">
            <v>NA</v>
          </cell>
        </row>
        <row r="16">
          <cell r="A16" t="str">
            <v>Belarus</v>
          </cell>
          <cell r="B16" t="str">
            <v>B3</v>
          </cell>
          <cell r="C16" t="str">
            <v>NA</v>
          </cell>
          <cell r="D16" t="str">
            <v>NA</v>
          </cell>
        </row>
        <row r="17">
          <cell r="A17" t="str">
            <v>Belgium</v>
          </cell>
          <cell r="B17" t="str">
            <v>Aa3</v>
          </cell>
          <cell r="C17">
            <v>4.8999999999999998E-3</v>
          </cell>
          <cell r="D17">
            <v>1.8999999999999998E-3</v>
          </cell>
        </row>
        <row r="18">
          <cell r="A18" t="str">
            <v>Belize</v>
          </cell>
          <cell r="B18" t="str">
            <v>B3</v>
          </cell>
          <cell r="C18" t="str">
            <v>NA</v>
          </cell>
          <cell r="D18" t="str">
            <v>NA</v>
          </cell>
        </row>
        <row r="19">
          <cell r="A19" t="str">
            <v>Benin</v>
          </cell>
          <cell r="B19" t="str">
            <v>B1</v>
          </cell>
          <cell r="C19" t="str">
            <v>NA</v>
          </cell>
          <cell r="D19" t="str">
            <v>NA</v>
          </cell>
        </row>
        <row r="20">
          <cell r="A20" t="str">
            <v>Bermuda</v>
          </cell>
          <cell r="B20" t="str">
            <v>A2</v>
          </cell>
          <cell r="C20" t="str">
            <v>NA</v>
          </cell>
          <cell r="D20" t="str">
            <v>NA</v>
          </cell>
        </row>
        <row r="21">
          <cell r="A21" t="str">
            <v>Bolivia</v>
          </cell>
          <cell r="B21" t="str">
            <v>Ba3</v>
          </cell>
          <cell r="C21" t="str">
            <v>NA</v>
          </cell>
          <cell r="D21" t="str">
            <v>NA</v>
          </cell>
        </row>
        <row r="22">
          <cell r="A22" t="str">
            <v>Bosnia and Herzegovina</v>
          </cell>
          <cell r="B22" t="str">
            <v>B3</v>
          </cell>
          <cell r="C22" t="str">
            <v>NA</v>
          </cell>
          <cell r="D22" t="str">
            <v>NA</v>
          </cell>
        </row>
        <row r="23">
          <cell r="A23" t="str">
            <v>Botswana</v>
          </cell>
          <cell r="B23" t="str">
            <v>A2</v>
          </cell>
          <cell r="C23" t="str">
            <v>NA</v>
          </cell>
          <cell r="D23" t="str">
            <v>NA</v>
          </cell>
        </row>
        <row r="24">
          <cell r="A24" t="str">
            <v>Brazil</v>
          </cell>
          <cell r="B24" t="str">
            <v>Ba2</v>
          </cell>
          <cell r="C24">
            <v>2.87E-2</v>
          </cell>
          <cell r="D24">
            <v>2.5700000000000001E-2</v>
          </cell>
        </row>
        <row r="25">
          <cell r="A25" t="str">
            <v>Bulgaria</v>
          </cell>
          <cell r="B25" t="str">
            <v>Baa2</v>
          </cell>
          <cell r="C25">
            <v>1.2999999999999999E-2</v>
          </cell>
          <cell r="D25">
            <v>9.9999999999999985E-3</v>
          </cell>
        </row>
        <row r="26">
          <cell r="A26" t="str">
            <v>Burkina Faso</v>
          </cell>
          <cell r="B26" t="str">
            <v>B2</v>
          </cell>
          <cell r="C26" t="str">
            <v>NA</v>
          </cell>
          <cell r="D26" t="str">
            <v>NA</v>
          </cell>
        </row>
        <row r="27">
          <cell r="A27" t="str">
            <v>Cambodia</v>
          </cell>
          <cell r="B27" t="str">
            <v>B2</v>
          </cell>
          <cell r="C27">
            <v>4.6300000000000001E-2</v>
          </cell>
          <cell r="D27">
            <v>4.3299999999999998E-2</v>
          </cell>
        </row>
        <row r="28">
          <cell r="A28" t="str">
            <v>Cameroon</v>
          </cell>
          <cell r="B28" t="str">
            <v>B2</v>
          </cell>
          <cell r="C28">
            <v>6.0199999999999997E-2</v>
          </cell>
          <cell r="D28">
            <v>5.7199999999999994E-2</v>
          </cell>
        </row>
        <row r="29">
          <cell r="A29" t="str">
            <v>Canada</v>
          </cell>
          <cell r="B29" t="str">
            <v>Aaa</v>
          </cell>
          <cell r="C29" t="str">
            <v>NA</v>
          </cell>
          <cell r="D29" t="str">
            <v>NA</v>
          </cell>
        </row>
        <row r="30">
          <cell r="A30" t="str">
            <v>Cape Verde</v>
          </cell>
          <cell r="B30" t="str">
            <v>B2</v>
          </cell>
          <cell r="C30" t="str">
            <v>NA</v>
          </cell>
          <cell r="D30" t="str">
            <v>NA</v>
          </cell>
        </row>
        <row r="31">
          <cell r="A31" t="str">
            <v>Cayman Islands</v>
          </cell>
          <cell r="B31" t="str">
            <v>Aa3</v>
          </cell>
          <cell r="C31">
            <v>1.01E-2</v>
          </cell>
          <cell r="D31">
            <v>7.0999999999999995E-3</v>
          </cell>
        </row>
        <row r="32">
          <cell r="A32" t="str">
            <v>Chile</v>
          </cell>
          <cell r="B32" t="str">
            <v>A1</v>
          </cell>
          <cell r="C32">
            <v>1.11E-2</v>
          </cell>
          <cell r="D32">
            <v>8.0999999999999996E-3</v>
          </cell>
        </row>
        <row r="33">
          <cell r="A33" t="str">
            <v>China</v>
          </cell>
          <cell r="B33" t="str">
            <v>A1</v>
          </cell>
          <cell r="C33">
            <v>1.14E-2</v>
          </cell>
          <cell r="D33">
            <v>8.4000000000000012E-3</v>
          </cell>
        </row>
        <row r="34">
          <cell r="A34" t="str">
            <v>Colombia</v>
          </cell>
          <cell r="B34" t="str">
            <v>Baa2</v>
          </cell>
          <cell r="C34">
            <v>2.3699999999999999E-2</v>
          </cell>
          <cell r="D34">
            <v>2.07E-2</v>
          </cell>
        </row>
        <row r="35">
          <cell r="A35" t="str">
            <v>Congo (Democratic Republic of)</v>
          </cell>
          <cell r="B35" t="str">
            <v>B3</v>
          </cell>
          <cell r="C35" t="str">
            <v>NA</v>
          </cell>
          <cell r="D35" t="str">
            <v>NA</v>
          </cell>
        </row>
        <row r="36">
          <cell r="A36" t="str">
            <v>Congo (Republic of)</v>
          </cell>
          <cell r="B36" t="str">
            <v>Caa2</v>
          </cell>
          <cell r="C36" t="str">
            <v>NA</v>
          </cell>
          <cell r="D36" t="str">
            <v>NA</v>
          </cell>
        </row>
        <row r="37">
          <cell r="A37" t="str">
            <v>Cook Islands</v>
          </cell>
          <cell r="B37" t="str">
            <v>B1</v>
          </cell>
          <cell r="C37" t="str">
            <v>NA</v>
          </cell>
          <cell r="D37" t="str">
            <v>NA</v>
          </cell>
        </row>
        <row r="38">
          <cell r="A38" t="str">
            <v>Costa Rica</v>
          </cell>
          <cell r="B38" t="str">
            <v>B1</v>
          </cell>
          <cell r="C38">
            <v>4.4299999999999999E-2</v>
          </cell>
          <cell r="D38">
            <v>4.1299999999999996E-2</v>
          </cell>
        </row>
        <row r="39">
          <cell r="A39" t="str">
            <v>Côte d'Ivoire</v>
          </cell>
          <cell r="B39" t="str">
            <v>Ba3</v>
          </cell>
          <cell r="C39" t="str">
            <v>NA</v>
          </cell>
          <cell r="D39" t="str">
            <v>NA</v>
          </cell>
        </row>
        <row r="40">
          <cell r="A40" t="str">
            <v>Croatia</v>
          </cell>
          <cell r="B40" t="str">
            <v>Ba2</v>
          </cell>
          <cell r="C40">
            <v>1.5100000000000001E-2</v>
          </cell>
          <cell r="D40">
            <v>1.21E-2</v>
          </cell>
        </row>
        <row r="41">
          <cell r="A41" t="str">
            <v>Cuba</v>
          </cell>
          <cell r="B41" t="str">
            <v>Caa2</v>
          </cell>
          <cell r="C41" t="str">
            <v>NA</v>
          </cell>
          <cell r="D41" t="str">
            <v>NA</v>
          </cell>
        </row>
        <row r="42">
          <cell r="A42" t="str">
            <v>Curacao</v>
          </cell>
          <cell r="B42" t="str">
            <v>A3</v>
          </cell>
          <cell r="C42" t="str">
            <v>NA</v>
          </cell>
          <cell r="D42" t="str">
            <v>NA</v>
          </cell>
        </row>
        <row r="43">
          <cell r="A43" t="str">
            <v>Cyprus</v>
          </cell>
          <cell r="B43" t="str">
            <v>Ba2</v>
          </cell>
          <cell r="C43">
            <v>1.5699999999999999E-2</v>
          </cell>
          <cell r="D43">
            <v>1.2699999999999999E-2</v>
          </cell>
        </row>
        <row r="44">
          <cell r="A44" t="str">
            <v>Czech Republic</v>
          </cell>
          <cell r="B44" t="str">
            <v>A1</v>
          </cell>
          <cell r="C44">
            <v>7.4999999999999997E-3</v>
          </cell>
          <cell r="D44">
            <v>4.4999999999999997E-3</v>
          </cell>
        </row>
        <row r="45">
          <cell r="A45" t="str">
            <v>Denmark</v>
          </cell>
          <cell r="B45" t="str">
            <v>Aaa</v>
          </cell>
          <cell r="C45">
            <v>2.5999999999999999E-3</v>
          </cell>
          <cell r="D45">
            <v>0</v>
          </cell>
        </row>
        <row r="46">
          <cell r="A46" t="str">
            <v>Dominican Republic</v>
          </cell>
          <cell r="B46" t="str">
            <v>Ba3</v>
          </cell>
          <cell r="C46" t="str">
            <v>NA</v>
          </cell>
          <cell r="D46" t="str">
            <v>NA</v>
          </cell>
        </row>
        <row r="47">
          <cell r="A47" t="str">
            <v>Ecuador</v>
          </cell>
          <cell r="B47" t="str">
            <v>B3</v>
          </cell>
          <cell r="C47" t="str">
            <v>NA</v>
          </cell>
          <cell r="D47" t="str">
            <v>NA</v>
          </cell>
        </row>
        <row r="48">
          <cell r="A48" t="str">
            <v>Egypt</v>
          </cell>
          <cell r="B48" t="str">
            <v>B3</v>
          </cell>
          <cell r="C48">
            <v>4.58E-2</v>
          </cell>
          <cell r="D48">
            <v>4.2799999999999998E-2</v>
          </cell>
        </row>
        <row r="49">
          <cell r="A49" t="str">
            <v>El Salvador</v>
          </cell>
          <cell r="B49" t="str">
            <v>Caa1</v>
          </cell>
          <cell r="C49">
            <v>5.3800000000000001E-2</v>
          </cell>
          <cell r="D49">
            <v>5.0799999999999998E-2</v>
          </cell>
        </row>
        <row r="50">
          <cell r="A50" t="str">
            <v>Estonia</v>
          </cell>
          <cell r="B50" t="str">
            <v>A1</v>
          </cell>
          <cell r="C50">
            <v>8.6999999999999994E-3</v>
          </cell>
          <cell r="D50">
            <v>5.6999999999999993E-3</v>
          </cell>
        </row>
        <row r="51">
          <cell r="A51" t="str">
            <v>Ethiopia</v>
          </cell>
          <cell r="B51" t="str">
            <v>B1</v>
          </cell>
          <cell r="C51" t="str">
            <v>NA</v>
          </cell>
          <cell r="D51" t="str">
            <v>NA</v>
          </cell>
        </row>
        <row r="52">
          <cell r="A52" t="str">
            <v>Fiji</v>
          </cell>
          <cell r="B52" t="str">
            <v>Ba3</v>
          </cell>
          <cell r="C52" t="str">
            <v>NA</v>
          </cell>
          <cell r="D52" t="str">
            <v>NA</v>
          </cell>
        </row>
        <row r="53">
          <cell r="A53" t="str">
            <v>Finland</v>
          </cell>
          <cell r="B53" t="str">
            <v>Aa1</v>
          </cell>
          <cell r="C53">
            <v>2.8E-3</v>
          </cell>
          <cell r="D53">
            <v>0</v>
          </cell>
        </row>
        <row r="54">
          <cell r="A54" t="str">
            <v>France</v>
          </cell>
          <cell r="B54" t="str">
            <v>Aa2</v>
          </cell>
          <cell r="C54">
            <v>6.1000000000000004E-3</v>
          </cell>
          <cell r="D54">
            <v>3.1000000000000003E-3</v>
          </cell>
        </row>
        <row r="55">
          <cell r="A55" t="str">
            <v>Gabon</v>
          </cell>
          <cell r="B55" t="str">
            <v>Caa1</v>
          </cell>
          <cell r="C55" t="str">
            <v>NA</v>
          </cell>
          <cell r="D55" t="str">
            <v>NA</v>
          </cell>
        </row>
        <row r="56">
          <cell r="A56" t="str">
            <v>Georgia</v>
          </cell>
          <cell r="B56" t="str">
            <v>Ba2</v>
          </cell>
          <cell r="C56" t="str">
            <v>NA</v>
          </cell>
          <cell r="D56" t="str">
            <v>NA</v>
          </cell>
        </row>
        <row r="57">
          <cell r="A57" t="str">
            <v>Germany</v>
          </cell>
          <cell r="B57" t="str">
            <v>Aaa</v>
          </cell>
          <cell r="C57">
            <v>2.8999999999999998E-3</v>
          </cell>
          <cell r="D57">
            <v>0</v>
          </cell>
        </row>
        <row r="58">
          <cell r="A58" t="str">
            <v>Ghana</v>
          </cell>
          <cell r="B58" t="str">
            <v>B3</v>
          </cell>
          <cell r="C58" t="str">
            <v>NA</v>
          </cell>
          <cell r="D58" t="str">
            <v>NA</v>
          </cell>
        </row>
        <row r="59">
          <cell r="A59" t="str">
            <v>Greece</v>
          </cell>
          <cell r="B59" t="str">
            <v>B3</v>
          </cell>
          <cell r="C59">
            <v>5.0999999999999997E-2</v>
          </cell>
          <cell r="D59">
            <v>4.7999999999999994E-2</v>
          </cell>
        </row>
        <row r="60">
          <cell r="A60" t="str">
            <v>Guatemala</v>
          </cell>
          <cell r="B60" t="str">
            <v>Ba1</v>
          </cell>
          <cell r="C60">
            <v>2.5499999999999998E-2</v>
          </cell>
          <cell r="D60">
            <v>2.2499999999999999E-2</v>
          </cell>
        </row>
        <row r="61">
          <cell r="A61" t="str">
            <v>Guernsey (States of)</v>
          </cell>
          <cell r="B61" t="str">
            <v>Aa3</v>
          </cell>
          <cell r="C61" t="str">
            <v>NA</v>
          </cell>
          <cell r="D61" t="str">
            <v>NA</v>
          </cell>
        </row>
        <row r="62">
          <cell r="A62" t="str">
            <v>Honduras</v>
          </cell>
          <cell r="B62" t="str">
            <v>B1</v>
          </cell>
          <cell r="C62" t="str">
            <v>NA</v>
          </cell>
          <cell r="D62" t="str">
            <v>NA</v>
          </cell>
        </row>
        <row r="63">
          <cell r="A63" t="str">
            <v>Hong Kong</v>
          </cell>
          <cell r="B63" t="str">
            <v>Aa2</v>
          </cell>
          <cell r="C63">
            <v>6.7000000000000002E-3</v>
          </cell>
          <cell r="D63">
            <v>3.7000000000000002E-3</v>
          </cell>
        </row>
        <row r="64">
          <cell r="A64" t="str">
            <v>Hungary</v>
          </cell>
          <cell r="B64" t="str">
            <v>Baa3</v>
          </cell>
          <cell r="C64">
            <v>1.4E-2</v>
          </cell>
          <cell r="D64">
            <v>1.0999999999999999E-2</v>
          </cell>
        </row>
        <row r="65">
          <cell r="A65" t="str">
            <v>Iceland</v>
          </cell>
          <cell r="B65" t="str">
            <v>A3</v>
          </cell>
          <cell r="C65">
            <v>8.0000000000000002E-3</v>
          </cell>
          <cell r="D65">
            <v>5.0000000000000001E-3</v>
          </cell>
        </row>
        <row r="66">
          <cell r="A66" t="str">
            <v>India</v>
          </cell>
          <cell r="B66" t="str">
            <v>Baa2</v>
          </cell>
          <cell r="C66">
            <v>1.8499999999999999E-2</v>
          </cell>
          <cell r="D66">
            <v>1.55E-2</v>
          </cell>
        </row>
        <row r="67">
          <cell r="A67" t="str">
            <v>Indonesia</v>
          </cell>
          <cell r="B67" t="str">
            <v>Baa2</v>
          </cell>
          <cell r="C67">
            <v>1.1111111111111111E-3</v>
          </cell>
          <cell r="D67">
            <v>0</v>
          </cell>
        </row>
        <row r="68">
          <cell r="A68" t="str">
            <v>Iraq</v>
          </cell>
          <cell r="B68" t="str">
            <v>Caa1</v>
          </cell>
          <cell r="C68">
            <v>6.0999999999999999E-2</v>
          </cell>
          <cell r="D68">
            <v>5.7999999999999996E-2</v>
          </cell>
        </row>
        <row r="69">
          <cell r="A69" t="str">
            <v>Ireland</v>
          </cell>
          <cell r="B69" t="str">
            <v>A2</v>
          </cell>
          <cell r="C69">
            <v>6.7999999999999996E-3</v>
          </cell>
          <cell r="D69">
            <v>3.7999999999999996E-3</v>
          </cell>
        </row>
        <row r="70">
          <cell r="A70" t="str">
            <v>Isle of Man</v>
          </cell>
          <cell r="B70" t="str">
            <v>Aa2</v>
          </cell>
          <cell r="C70" t="str">
            <v>NA</v>
          </cell>
          <cell r="D70" t="str">
            <v>NA</v>
          </cell>
        </row>
        <row r="71">
          <cell r="A71" t="str">
            <v>Israel</v>
          </cell>
          <cell r="B71" t="str">
            <v>A1</v>
          </cell>
          <cell r="C71">
            <v>1.11E-2</v>
          </cell>
          <cell r="D71">
            <v>8.0999999999999996E-3</v>
          </cell>
        </row>
        <row r="72">
          <cell r="A72" t="str">
            <v>Italy</v>
          </cell>
          <cell r="B72" t="str">
            <v>Baa3</v>
          </cell>
          <cell r="C72">
            <v>2.4400000000000002E-2</v>
          </cell>
          <cell r="D72">
            <v>2.1400000000000002E-2</v>
          </cell>
        </row>
        <row r="73">
          <cell r="A73" t="str">
            <v>Jamaica</v>
          </cell>
          <cell r="B73" t="str">
            <v>B3</v>
          </cell>
          <cell r="C73" t="str">
            <v>NA</v>
          </cell>
          <cell r="D73" t="str">
            <v>NA</v>
          </cell>
        </row>
        <row r="74">
          <cell r="A74" t="str">
            <v>Japan</v>
          </cell>
          <cell r="B74" t="str">
            <v>A1</v>
          </cell>
          <cell r="C74">
            <v>4.4000000000000003E-3</v>
          </cell>
          <cell r="D74">
            <v>1.4000000000000002E-3</v>
          </cell>
        </row>
        <row r="75">
          <cell r="A75" t="str">
            <v>Jersey (States of)</v>
          </cell>
          <cell r="B75" t="str">
            <v>Aa3</v>
          </cell>
          <cell r="C75" t="str">
            <v>NA</v>
          </cell>
          <cell r="D75" t="str">
            <v>NA</v>
          </cell>
        </row>
        <row r="76">
          <cell r="A76" t="str">
            <v>Jordan</v>
          </cell>
          <cell r="B76" t="str">
            <v>B1</v>
          </cell>
          <cell r="C76" t="str">
            <v>NA</v>
          </cell>
          <cell r="D76" t="str">
            <v>NA</v>
          </cell>
        </row>
        <row r="77">
          <cell r="A77" t="str">
            <v>Kazakhstan</v>
          </cell>
          <cell r="B77" t="str">
            <v>Baa3</v>
          </cell>
          <cell r="C77">
            <v>1.32E-2</v>
          </cell>
          <cell r="D77">
            <v>1.0200000000000001E-2</v>
          </cell>
        </row>
        <row r="78">
          <cell r="A78" t="str">
            <v>Kenya</v>
          </cell>
          <cell r="B78" t="str">
            <v>B2</v>
          </cell>
          <cell r="C78">
            <v>5.8999999999999997E-2</v>
          </cell>
          <cell r="D78">
            <v>5.5999999999999994E-2</v>
          </cell>
        </row>
        <row r="79">
          <cell r="A79" t="str">
            <v>Korea</v>
          </cell>
          <cell r="B79" t="str">
            <v>Aa2</v>
          </cell>
          <cell r="C79">
            <v>6.4000000000000003E-3</v>
          </cell>
          <cell r="D79">
            <v>3.4000000000000002E-3</v>
          </cell>
        </row>
        <row r="80">
          <cell r="A80" t="str">
            <v>Kuwait</v>
          </cell>
          <cell r="B80" t="str">
            <v>Aa2</v>
          </cell>
          <cell r="C80">
            <v>1.17E-2</v>
          </cell>
          <cell r="D80">
            <v>8.6999999999999994E-3</v>
          </cell>
        </row>
        <row r="81">
          <cell r="A81" t="str">
            <v>Kyrgyzstan</v>
          </cell>
          <cell r="B81" t="str">
            <v>B2</v>
          </cell>
          <cell r="C81" t="str">
            <v>NA</v>
          </cell>
          <cell r="D81" t="str">
            <v>NA</v>
          </cell>
        </row>
        <row r="82">
          <cell r="A82" t="str">
            <v>Latvia</v>
          </cell>
          <cell r="B82" t="str">
            <v>A3</v>
          </cell>
          <cell r="C82">
            <v>1.1299999999999999E-2</v>
          </cell>
          <cell r="D82">
            <v>8.2999999999999984E-3</v>
          </cell>
        </row>
        <row r="83">
          <cell r="A83" t="str">
            <v>Lebanon</v>
          </cell>
          <cell r="B83" t="str">
            <v>B3</v>
          </cell>
          <cell r="C83">
            <v>7.9200000000000007E-2</v>
          </cell>
          <cell r="D83">
            <v>7.6200000000000004E-2</v>
          </cell>
        </row>
        <row r="84">
          <cell r="A84" t="str">
            <v>Liechtenstein</v>
          </cell>
          <cell r="B84" t="str">
            <v>Aaa</v>
          </cell>
          <cell r="C84" t="str">
            <v>NA</v>
          </cell>
          <cell r="D84" t="str">
            <v>NA</v>
          </cell>
        </row>
        <row r="85">
          <cell r="A85" t="str">
            <v>Lithuania</v>
          </cell>
          <cell r="B85" t="str">
            <v>A3</v>
          </cell>
          <cell r="C85">
            <v>1.14E-2</v>
          </cell>
          <cell r="D85">
            <v>8.4000000000000012E-3</v>
          </cell>
        </row>
        <row r="86">
          <cell r="A86" t="str">
            <v>Luxembourg</v>
          </cell>
          <cell r="B86" t="str">
            <v>Aaa</v>
          </cell>
          <cell r="C86" t="str">
            <v>NA</v>
          </cell>
          <cell r="D86" t="str">
            <v>NA</v>
          </cell>
        </row>
        <row r="87">
          <cell r="A87" t="str">
            <v>Macao</v>
          </cell>
          <cell r="B87" t="str">
            <v>Aa3</v>
          </cell>
          <cell r="C87" t="str">
            <v>NA</v>
          </cell>
          <cell r="D87" t="str">
            <v>NA</v>
          </cell>
        </row>
        <row r="88">
          <cell r="A88" t="str">
            <v>Macedonia</v>
          </cell>
          <cell r="B88" t="str">
            <v>Ba3</v>
          </cell>
          <cell r="C88">
            <v>1.54E-2</v>
          </cell>
          <cell r="D88">
            <v>1.2400000000000001E-2</v>
          </cell>
        </row>
        <row r="89">
          <cell r="A89" t="str">
            <v>Malaysia</v>
          </cell>
          <cell r="B89" t="str">
            <v>A3</v>
          </cell>
          <cell r="C89">
            <v>1.77E-2</v>
          </cell>
          <cell r="D89">
            <v>1.4700000000000001E-2</v>
          </cell>
        </row>
        <row r="90">
          <cell r="A90" t="str">
            <v>Maldives</v>
          </cell>
          <cell r="B90" t="str">
            <v>B2</v>
          </cell>
          <cell r="C90" t="str">
            <v>NA</v>
          </cell>
          <cell r="D90" t="str">
            <v>NA</v>
          </cell>
        </row>
        <row r="91">
          <cell r="A91" t="str">
            <v>Malta</v>
          </cell>
          <cell r="B91" t="str">
            <v>A3</v>
          </cell>
          <cell r="C91" t="str">
            <v>NA</v>
          </cell>
          <cell r="D91" t="str">
            <v>NA</v>
          </cell>
        </row>
        <row r="92">
          <cell r="A92" t="str">
            <v>Mauritius</v>
          </cell>
          <cell r="B92" t="str">
            <v>Baa1</v>
          </cell>
          <cell r="C92" t="str">
            <v>NA</v>
          </cell>
          <cell r="D92" t="str">
            <v>NA</v>
          </cell>
        </row>
        <row r="93">
          <cell r="A93" t="str">
            <v>Mexico</v>
          </cell>
          <cell r="B93" t="str">
            <v>A3</v>
          </cell>
          <cell r="C93">
            <v>2.35E-2</v>
          </cell>
          <cell r="D93">
            <v>2.0500000000000001E-2</v>
          </cell>
        </row>
        <row r="94">
          <cell r="A94" t="str">
            <v>Moldova</v>
          </cell>
          <cell r="B94" t="str">
            <v>B3</v>
          </cell>
          <cell r="C94" t="str">
            <v>NA</v>
          </cell>
          <cell r="D94" t="str">
            <v>NA</v>
          </cell>
        </row>
        <row r="95">
          <cell r="A95" t="str">
            <v>Mongolia</v>
          </cell>
          <cell r="B95" t="str">
            <v>B3</v>
          </cell>
          <cell r="C95" t="str">
            <v>NA</v>
          </cell>
          <cell r="D95" t="str">
            <v>NA</v>
          </cell>
        </row>
        <row r="96">
          <cell r="A96" t="str">
            <v>Montenegro</v>
          </cell>
          <cell r="B96" t="str">
            <v>B1</v>
          </cell>
          <cell r="C96" t="str">
            <v>NA</v>
          </cell>
          <cell r="D96" t="str">
            <v>NA</v>
          </cell>
        </row>
        <row r="97">
          <cell r="A97" t="str">
            <v>Montserrat</v>
          </cell>
          <cell r="B97" t="str">
            <v>Baa3</v>
          </cell>
          <cell r="C97" t="str">
            <v>NA</v>
          </cell>
          <cell r="D97" t="str">
            <v>NA</v>
          </cell>
        </row>
        <row r="98">
          <cell r="A98" t="str">
            <v>Morocco</v>
          </cell>
          <cell r="B98" t="str">
            <v>Ba1</v>
          </cell>
          <cell r="C98">
            <v>1.6500000000000001E-2</v>
          </cell>
          <cell r="D98">
            <v>1.3500000000000002E-2</v>
          </cell>
        </row>
        <row r="99">
          <cell r="A99" t="str">
            <v>Mozambique</v>
          </cell>
          <cell r="B99" t="str">
            <v>Caa3</v>
          </cell>
          <cell r="C99" t="str">
            <v>NA</v>
          </cell>
          <cell r="D99" t="str">
            <v>NA</v>
          </cell>
        </row>
        <row r="100">
          <cell r="A100" t="str">
            <v>Namibia</v>
          </cell>
          <cell r="B100" t="str">
            <v>Ba1</v>
          </cell>
          <cell r="C100" t="str">
            <v>NA</v>
          </cell>
          <cell r="D100" t="str">
            <v>NA</v>
          </cell>
        </row>
        <row r="101">
          <cell r="A101" t="str">
            <v>Netherlands</v>
          </cell>
          <cell r="B101" t="str">
            <v>Aaa</v>
          </cell>
          <cell r="C101">
            <v>3.0000000000000001E-3</v>
          </cell>
          <cell r="D101">
            <v>0</v>
          </cell>
        </row>
        <row r="102">
          <cell r="A102" t="str">
            <v>New Zealand</v>
          </cell>
          <cell r="B102" t="str">
            <v>Aaa</v>
          </cell>
          <cell r="C102">
            <v>3.8999999999999998E-3</v>
          </cell>
          <cell r="D102">
            <v>8.9999999999999976E-4</v>
          </cell>
        </row>
        <row r="103">
          <cell r="A103" t="str">
            <v>Nicaragua</v>
          </cell>
          <cell r="B103" t="str">
            <v>B2</v>
          </cell>
          <cell r="C103" t="str">
            <v>NA</v>
          </cell>
          <cell r="D103" t="str">
            <v>NA</v>
          </cell>
        </row>
        <row r="104">
          <cell r="A104" t="str">
            <v>Nigeria</v>
          </cell>
          <cell r="B104" t="str">
            <v>B2</v>
          </cell>
          <cell r="C104">
            <v>4.5100000000000001E-2</v>
          </cell>
          <cell r="D104">
            <v>4.2099999999999999E-2</v>
          </cell>
        </row>
        <row r="105">
          <cell r="A105" t="str">
            <v>Norway</v>
          </cell>
          <cell r="B105" t="str">
            <v>Aaa</v>
          </cell>
          <cell r="C105">
            <v>2.5999999999999999E-3</v>
          </cell>
          <cell r="D105">
            <v>0</v>
          </cell>
        </row>
        <row r="106">
          <cell r="A106" t="str">
            <v>Oman</v>
          </cell>
          <cell r="B106" t="str">
            <v>Baa3</v>
          </cell>
          <cell r="C106" t="str">
            <v>NA</v>
          </cell>
          <cell r="D106" t="str">
            <v>NA</v>
          </cell>
        </row>
        <row r="107">
          <cell r="A107" t="str">
            <v>Pakistan</v>
          </cell>
          <cell r="B107" t="str">
            <v>B3</v>
          </cell>
          <cell r="C107">
            <v>5.0900000000000001E-2</v>
          </cell>
          <cell r="D107">
            <v>4.7899999999999998E-2</v>
          </cell>
        </row>
        <row r="108">
          <cell r="A108" t="str">
            <v>Panama</v>
          </cell>
          <cell r="B108" t="str">
            <v>Baa2</v>
          </cell>
          <cell r="C108">
            <v>1.4200000000000001E-2</v>
          </cell>
          <cell r="D108">
            <v>1.1200000000000002E-2</v>
          </cell>
        </row>
        <row r="109">
          <cell r="A109" t="str">
            <v>Papua New Guinea</v>
          </cell>
          <cell r="B109" t="str">
            <v>B2</v>
          </cell>
          <cell r="C109" t="str">
            <v>NA</v>
          </cell>
          <cell r="D109" t="str">
            <v>NA</v>
          </cell>
        </row>
        <row r="110">
          <cell r="A110" t="str">
            <v>Paraguay</v>
          </cell>
          <cell r="B110" t="str">
            <v>Ba1</v>
          </cell>
          <cell r="C110" t="str">
            <v>NA</v>
          </cell>
          <cell r="D110" t="str">
            <v>NA</v>
          </cell>
        </row>
        <row r="111">
          <cell r="A111" t="str">
            <v>Peru</v>
          </cell>
          <cell r="B111" t="str">
            <v>A3</v>
          </cell>
          <cell r="C111">
            <v>1.61E-2</v>
          </cell>
          <cell r="D111">
            <v>1.3100000000000001E-2</v>
          </cell>
        </row>
        <row r="112">
          <cell r="A112" t="str">
            <v>Philippines</v>
          </cell>
          <cell r="B112" t="str">
            <v>Baa2</v>
          </cell>
          <cell r="C112">
            <v>1.44E-2</v>
          </cell>
          <cell r="D112">
            <v>1.14E-2</v>
          </cell>
        </row>
        <row r="113">
          <cell r="A113" t="str">
            <v>Poland</v>
          </cell>
          <cell r="B113" t="str">
            <v>A2</v>
          </cell>
          <cell r="C113">
            <v>1.09E-2</v>
          </cell>
          <cell r="D113">
            <v>7.9000000000000008E-3</v>
          </cell>
        </row>
        <row r="114">
          <cell r="A114" t="str">
            <v>Portugal</v>
          </cell>
          <cell r="B114" t="str">
            <v>Baa3</v>
          </cell>
          <cell r="C114">
            <v>1.3599999999999999E-2</v>
          </cell>
          <cell r="D114">
            <v>1.0599999999999998E-2</v>
          </cell>
        </row>
        <row r="115">
          <cell r="A115" t="str">
            <v>Qatar</v>
          </cell>
          <cell r="B115" t="str">
            <v>Aa3</v>
          </cell>
          <cell r="C115" t="str">
            <v>NA</v>
          </cell>
          <cell r="D115" t="str">
            <v>NA</v>
          </cell>
        </row>
        <row r="116">
          <cell r="A116" t="str">
            <v>Ras Al Khaimah (Emirate of)</v>
          </cell>
          <cell r="B116" t="str">
            <v>A2</v>
          </cell>
          <cell r="C116">
            <v>1.4200000000000001E-2</v>
          </cell>
          <cell r="D116">
            <v>1.1200000000000002E-2</v>
          </cell>
        </row>
        <row r="117">
          <cell r="A117" t="str">
            <v>Romania</v>
          </cell>
          <cell r="B117" t="str">
            <v>Baa3</v>
          </cell>
          <cell r="C117">
            <v>1.52E-2</v>
          </cell>
          <cell r="D117">
            <v>1.2199999999999999E-2</v>
          </cell>
        </row>
        <row r="118">
          <cell r="A118" t="str">
            <v>Russia</v>
          </cell>
          <cell r="B118" t="str">
            <v>Ba1</v>
          </cell>
          <cell r="C118">
            <v>2.0500000000000001E-2</v>
          </cell>
          <cell r="D118">
            <v>1.7500000000000002E-2</v>
          </cell>
        </row>
        <row r="119">
          <cell r="A119" t="str">
            <v>Rwanda</v>
          </cell>
          <cell r="B119" t="str">
            <v>B2</v>
          </cell>
          <cell r="C119">
            <v>4.36E-2</v>
          </cell>
          <cell r="D119">
            <v>4.0599999999999997E-2</v>
          </cell>
        </row>
        <row r="120">
          <cell r="A120" t="str">
            <v>Saudi Arabia</v>
          </cell>
          <cell r="B120" t="str">
            <v>A1</v>
          </cell>
          <cell r="C120">
            <v>1.4999999999999999E-2</v>
          </cell>
          <cell r="D120">
            <v>1.2E-2</v>
          </cell>
        </row>
        <row r="121">
          <cell r="A121" t="str">
            <v>Senegal</v>
          </cell>
          <cell r="B121" t="str">
            <v>Ba3</v>
          </cell>
          <cell r="C121">
            <v>4.41E-2</v>
          </cell>
          <cell r="D121">
            <v>4.1099999999999998E-2</v>
          </cell>
        </row>
        <row r="122">
          <cell r="A122" t="str">
            <v>Serbia</v>
          </cell>
          <cell r="B122" t="str">
            <v>Ba3</v>
          </cell>
          <cell r="C122">
            <v>1.6500000000000001E-2</v>
          </cell>
          <cell r="D122">
            <v>1.3500000000000002E-2</v>
          </cell>
        </row>
        <row r="123">
          <cell r="A123" t="str">
            <v>Sharjah</v>
          </cell>
          <cell r="B123" t="str">
            <v>A3</v>
          </cell>
          <cell r="C123" t="str">
            <v>NA</v>
          </cell>
          <cell r="D123" t="str">
            <v>NA</v>
          </cell>
        </row>
        <row r="124">
          <cell r="A124" t="str">
            <v>Singapore</v>
          </cell>
          <cell r="B124" t="str">
            <v>Aaa</v>
          </cell>
          <cell r="C124" t="str">
            <v>NA</v>
          </cell>
          <cell r="D124" t="str">
            <v>NA</v>
          </cell>
        </row>
        <row r="125">
          <cell r="A125" t="str">
            <v>Slovakia</v>
          </cell>
          <cell r="B125" t="str">
            <v>A2</v>
          </cell>
          <cell r="C125">
            <v>8.6999999999999994E-3</v>
          </cell>
          <cell r="D125">
            <v>5.6999999999999993E-3</v>
          </cell>
        </row>
        <row r="126">
          <cell r="A126" t="str">
            <v>Slovenia</v>
          </cell>
          <cell r="B126" t="str">
            <v>Baa1</v>
          </cell>
          <cell r="C126">
            <v>1.3899999999999999E-2</v>
          </cell>
          <cell r="D126">
            <v>1.09E-2</v>
          </cell>
        </row>
        <row r="127">
          <cell r="A127" t="str">
            <v>Solomon Islands</v>
          </cell>
          <cell r="B127" t="str">
            <v>B3</v>
          </cell>
          <cell r="C127" t="str">
            <v>NA</v>
          </cell>
          <cell r="D127" t="str">
            <v>NA</v>
          </cell>
        </row>
        <row r="128">
          <cell r="A128" t="str">
            <v>South Africa</v>
          </cell>
          <cell r="B128" t="str">
            <v>Baa3</v>
          </cell>
          <cell r="C128">
            <v>2.92E-2</v>
          </cell>
          <cell r="D128">
            <v>2.6200000000000001E-2</v>
          </cell>
        </row>
        <row r="129">
          <cell r="A129" t="str">
            <v>Spain</v>
          </cell>
          <cell r="B129" t="str">
            <v>Baa1</v>
          </cell>
          <cell r="C129">
            <v>1.2E-2</v>
          </cell>
          <cell r="D129">
            <v>9.0000000000000011E-3</v>
          </cell>
        </row>
        <row r="130">
          <cell r="A130" t="str">
            <v>Sri Lanka</v>
          </cell>
          <cell r="B130" t="str">
            <v>B1</v>
          </cell>
          <cell r="C130" t="str">
            <v>NA</v>
          </cell>
          <cell r="D130" t="str">
            <v>NA</v>
          </cell>
        </row>
        <row r="131">
          <cell r="A131" t="str">
            <v>St. Maarten</v>
          </cell>
          <cell r="B131" t="str">
            <v>Baa2</v>
          </cell>
          <cell r="C131" t="str">
            <v>NA</v>
          </cell>
          <cell r="D131" t="str">
            <v>NA</v>
          </cell>
        </row>
        <row r="132">
          <cell r="A132" t="str">
            <v>St. Vincent &amp; the Grenadines</v>
          </cell>
          <cell r="B132" t="str">
            <v>B3</v>
          </cell>
          <cell r="C132" t="str">
            <v>NA</v>
          </cell>
          <cell r="D132" t="str">
            <v>NA</v>
          </cell>
        </row>
        <row r="133">
          <cell r="A133" t="str">
            <v>Suriname</v>
          </cell>
          <cell r="B133" t="str">
            <v>B2</v>
          </cell>
          <cell r="C133" t="str">
            <v>NA</v>
          </cell>
          <cell r="D133" t="str">
            <v>NA</v>
          </cell>
        </row>
        <row r="134">
          <cell r="A134" t="str">
            <v>Swaziland</v>
          </cell>
          <cell r="B134" t="str">
            <v>B2</v>
          </cell>
          <cell r="C134" t="str">
            <v>NA</v>
          </cell>
          <cell r="D134" t="str">
            <v>NA</v>
          </cell>
        </row>
        <row r="135">
          <cell r="A135" t="str">
            <v>Sweden</v>
          </cell>
          <cell r="B135" t="str">
            <v>Aaa</v>
          </cell>
          <cell r="C135">
            <v>2.5999999999999999E-3</v>
          </cell>
          <cell r="D135">
            <v>0</v>
          </cell>
        </row>
        <row r="136">
          <cell r="A136" t="str">
            <v>Switzerland</v>
          </cell>
          <cell r="B136" t="str">
            <v>Aaa</v>
          </cell>
          <cell r="C136">
            <v>2.5999999999999999E-3</v>
          </cell>
          <cell r="D136">
            <v>0</v>
          </cell>
        </row>
        <row r="137">
          <cell r="A137" t="str">
            <v>Taiwan</v>
          </cell>
          <cell r="B137" t="str">
            <v>Aa3</v>
          </cell>
          <cell r="C137" t="str">
            <v>NA</v>
          </cell>
          <cell r="D137" t="str">
            <v>NA</v>
          </cell>
        </row>
        <row r="138">
          <cell r="A138" t="str">
            <v>Tajikistan</v>
          </cell>
          <cell r="B138" t="str">
            <v>B3</v>
          </cell>
          <cell r="C138" t="str">
            <v>NA</v>
          </cell>
          <cell r="D138" t="str">
            <v>NA</v>
          </cell>
        </row>
        <row r="139">
          <cell r="A139" t="str">
            <v>Tanzania</v>
          </cell>
          <cell r="B139" t="str">
            <v>B1</v>
          </cell>
          <cell r="C139" t="str">
            <v>NA</v>
          </cell>
          <cell r="D139" t="str">
            <v>NA</v>
          </cell>
        </row>
        <row r="140">
          <cell r="A140" t="str">
            <v>Thailand</v>
          </cell>
          <cell r="B140" t="str">
            <v>Baa1</v>
          </cell>
          <cell r="C140">
            <v>8.3999999999999995E-3</v>
          </cell>
          <cell r="D140">
            <v>5.3999999999999994E-3</v>
          </cell>
        </row>
        <row r="141">
          <cell r="A141" t="str">
            <v>Trinidad and Tobago</v>
          </cell>
          <cell r="B141" t="str">
            <v>Ba1</v>
          </cell>
          <cell r="C141" t="str">
            <v>NA</v>
          </cell>
          <cell r="D141" t="str">
            <v>NA</v>
          </cell>
        </row>
        <row r="142">
          <cell r="A142" t="str">
            <v>Tunisia</v>
          </cell>
          <cell r="B142" t="str">
            <v>B2</v>
          </cell>
          <cell r="C142">
            <v>3.7100000000000001E-2</v>
          </cell>
          <cell r="D142">
            <v>3.4099999999999998E-2</v>
          </cell>
        </row>
        <row r="143">
          <cell r="A143" t="str">
            <v>Turkey</v>
          </cell>
          <cell r="B143" t="str">
            <v>Ba3</v>
          </cell>
          <cell r="C143">
            <v>4.19E-2</v>
          </cell>
          <cell r="D143">
            <v>3.8899999999999997E-2</v>
          </cell>
        </row>
        <row r="144">
          <cell r="A144" t="str">
            <v>Turks and Caicos Islands</v>
          </cell>
          <cell r="B144" t="str">
            <v>Baa1</v>
          </cell>
          <cell r="C144" t="str">
            <v>NA</v>
          </cell>
          <cell r="D144" t="str">
            <v>NA</v>
          </cell>
        </row>
        <row r="145">
          <cell r="A145" t="str">
            <v>Uganda</v>
          </cell>
          <cell r="B145" t="str">
            <v>B2</v>
          </cell>
          <cell r="C145" t="str">
            <v>NA</v>
          </cell>
          <cell r="D145" t="str">
            <v>NA</v>
          </cell>
        </row>
        <row r="146">
          <cell r="A146" t="str">
            <v>Ukraine</v>
          </cell>
          <cell r="B146" t="str">
            <v>Caa1</v>
          </cell>
          <cell r="C146">
            <v>7.6300000000000007E-2</v>
          </cell>
          <cell r="D146">
            <v>7.3300000000000004E-2</v>
          </cell>
        </row>
        <row r="147">
          <cell r="A147" t="str">
            <v>United Arab Emirates</v>
          </cell>
          <cell r="B147" t="str">
            <v>Aa2</v>
          </cell>
          <cell r="C147" t="str">
            <v>NA</v>
          </cell>
          <cell r="D147" t="str">
            <v>NA</v>
          </cell>
        </row>
        <row r="148">
          <cell r="A148" t="str">
            <v>United Kingdom</v>
          </cell>
          <cell r="B148" t="str">
            <v>Aa2</v>
          </cell>
          <cell r="C148">
            <v>6.1000000000000004E-3</v>
          </cell>
          <cell r="D148">
            <v>3.1000000000000003E-3</v>
          </cell>
        </row>
        <row r="149">
          <cell r="A149" t="str">
            <v>United States</v>
          </cell>
          <cell r="B149" t="str">
            <v>Aaa</v>
          </cell>
          <cell r="C149">
            <v>3.0000000000000001E-3</v>
          </cell>
          <cell r="D149">
            <v>0</v>
          </cell>
        </row>
        <row r="150">
          <cell r="A150" t="str">
            <v>Uruguay</v>
          </cell>
          <cell r="B150" t="str">
            <v>Baa2</v>
          </cell>
          <cell r="C150" t="str">
            <v>NA</v>
          </cell>
          <cell r="D150" t="str">
            <v>NA</v>
          </cell>
        </row>
        <row r="151">
          <cell r="A151" t="str">
            <v>Venezuela</v>
          </cell>
          <cell r="B151" t="str">
            <v>C</v>
          </cell>
          <cell r="C151" t="str">
            <v>NA</v>
          </cell>
          <cell r="D151" t="str">
            <v>NA</v>
          </cell>
        </row>
        <row r="152">
          <cell r="A152" t="str">
            <v>Vietnam</v>
          </cell>
          <cell r="B152" t="str">
            <v>Ba3</v>
          </cell>
          <cell r="C152">
            <v>2.4400000000000002E-2</v>
          </cell>
          <cell r="D152">
            <v>2.1400000000000002E-2</v>
          </cell>
        </row>
      </sheetData>
      <sheetData sheetId="11"/>
      <sheetData sheetId="12"/>
      <sheetData sheetId="13"/>
      <sheetData sheetId="14"/>
      <sheetData sheetId="15">
        <row r="160">
          <cell r="A160" t="str">
            <v>Algeria</v>
          </cell>
          <cell r="B160">
            <v>65</v>
          </cell>
          <cell r="D160">
            <v>6.2094961435095908E-2</v>
          </cell>
          <cell r="E160">
            <v>0.13598151563795058</v>
          </cell>
          <cell r="G160">
            <v>7.6381515637950578E-2</v>
          </cell>
        </row>
        <row r="161">
          <cell r="A161" t="str">
            <v>Brunei</v>
          </cell>
          <cell r="B161">
            <v>80.5</v>
          </cell>
          <cell r="D161">
            <v>7.9400114621925883E-3</v>
          </cell>
          <cell r="E161">
            <v>6.9366816753705152E-2</v>
          </cell>
          <cell r="G161">
            <v>9.7668167537051515E-3</v>
          </cell>
        </row>
        <row r="162">
          <cell r="A162" t="str">
            <v>Gambia</v>
          </cell>
          <cell r="B162">
            <v>63.3</v>
          </cell>
          <cell r="D162">
            <v>7.3394208515908457E-2</v>
          </cell>
          <cell r="E162">
            <v>0.14988044717206947</v>
          </cell>
          <cell r="G162">
            <v>9.028044717206947E-2</v>
          </cell>
        </row>
        <row r="163">
          <cell r="A163" t="str">
            <v>Guinea</v>
          </cell>
          <cell r="B163">
            <v>54.3</v>
          </cell>
          <cell r="D163">
            <v>0.1353873749322583</v>
          </cell>
          <cell r="E163">
            <v>0.22613674721061355</v>
          </cell>
          <cell r="G163">
            <v>0.16653674721061357</v>
          </cell>
        </row>
        <row r="164">
          <cell r="A164" t="str">
            <v>Guinea-Bissau</v>
          </cell>
          <cell r="B164">
            <v>62</v>
          </cell>
          <cell r="D164">
            <v>8.4591660577974931E-2</v>
          </cell>
          <cell r="E164">
            <v>0.16365416310678188</v>
          </cell>
          <cell r="G164">
            <v>0.10405416310678188</v>
          </cell>
        </row>
        <row r="165">
          <cell r="A165" t="str">
            <v>Guyana</v>
          </cell>
          <cell r="B165">
            <v>66.5</v>
          </cell>
          <cell r="D165">
            <v>5.0795714354283379E-2</v>
          </cell>
          <cell r="E165">
            <v>0.12208258410383171</v>
          </cell>
          <cell r="G165">
            <v>6.2482584103831715E-2</v>
          </cell>
        </row>
        <row r="166">
          <cell r="A166" t="str">
            <v>Haiti</v>
          </cell>
          <cell r="B166">
            <v>60</v>
          </cell>
          <cell r="D166">
            <v>0.10159142870856677</v>
          </cell>
          <cell r="E166">
            <v>0.18456516820766344</v>
          </cell>
          <cell r="G166">
            <v>0.12496516820766344</v>
          </cell>
        </row>
        <row r="167">
          <cell r="A167" t="str">
            <v>Iran</v>
          </cell>
          <cell r="B167">
            <v>69.3</v>
          </cell>
          <cell r="D167">
            <v>3.3897741242437607E-2</v>
          </cell>
          <cell r="E167">
            <v>0.10129679460235663</v>
          </cell>
          <cell r="G167">
            <v>4.1696794602356632E-2</v>
          </cell>
        </row>
        <row r="168">
          <cell r="A168" t="str">
            <v>Korea, D.P.R.</v>
          </cell>
          <cell r="B168">
            <v>53</v>
          </cell>
          <cell r="D168">
            <v>0.1353873749322583</v>
          </cell>
          <cell r="E168">
            <v>0.22613674721061355</v>
          </cell>
          <cell r="G168">
            <v>0.16653674721061357</v>
          </cell>
        </row>
        <row r="169">
          <cell r="A169" t="str">
            <v>Liberia</v>
          </cell>
          <cell r="B169">
            <v>53.5</v>
          </cell>
          <cell r="D169">
            <v>0.1353873749322583</v>
          </cell>
          <cell r="E169">
            <v>0.22613674721061355</v>
          </cell>
          <cell r="G169">
            <v>0.16653674721061357</v>
          </cell>
        </row>
        <row r="170">
          <cell r="A170" t="str">
            <v>Libya</v>
          </cell>
          <cell r="B170">
            <v>66.5</v>
          </cell>
          <cell r="D170">
            <v>5.0795714354283379E-2</v>
          </cell>
          <cell r="E170">
            <v>0.12208258410383171</v>
          </cell>
          <cell r="G170">
            <v>6.2482584103831715E-2</v>
          </cell>
        </row>
        <row r="171">
          <cell r="A171" t="str">
            <v>Madagascar</v>
          </cell>
          <cell r="B171">
            <v>64</v>
          </cell>
          <cell r="D171">
            <v>7.3394208515908457E-2</v>
          </cell>
          <cell r="E171">
            <v>0.14988044717206947</v>
          </cell>
          <cell r="G171">
            <v>9.028044717206947E-2</v>
          </cell>
        </row>
        <row r="172">
          <cell r="A172" t="str">
            <v>Malawi</v>
          </cell>
          <cell r="B172">
            <v>61</v>
          </cell>
          <cell r="D172">
            <v>8.4591660577974931E-2</v>
          </cell>
          <cell r="E172">
            <v>0.16365416310678188</v>
          </cell>
          <cell r="G172">
            <v>0.10405416310678188</v>
          </cell>
        </row>
        <row r="173">
          <cell r="A173" t="str">
            <v>Mali</v>
          </cell>
          <cell r="B173">
            <v>61.3</v>
          </cell>
          <cell r="D173">
            <v>8.4591660577974931E-2</v>
          </cell>
          <cell r="E173">
            <v>0.16365416310678188</v>
          </cell>
          <cell r="G173">
            <v>0.10405416310678188</v>
          </cell>
        </row>
        <row r="174">
          <cell r="A174" t="str">
            <v>Myanmar</v>
          </cell>
          <cell r="B174">
            <v>62</v>
          </cell>
          <cell r="D174">
            <v>8.4591660577974931E-2</v>
          </cell>
          <cell r="E174">
            <v>0.16365416310678188</v>
          </cell>
          <cell r="G174">
            <v>0.10405416310678188</v>
          </cell>
        </row>
        <row r="175">
          <cell r="A175" t="str">
            <v>Niger</v>
          </cell>
          <cell r="B175">
            <v>54.5</v>
          </cell>
          <cell r="D175">
            <v>0.1353873749322583</v>
          </cell>
          <cell r="E175">
            <v>0.22613674721061355</v>
          </cell>
          <cell r="G175">
            <v>0.16653674721061357</v>
          </cell>
        </row>
        <row r="176">
          <cell r="A176" t="str">
            <v>Sierra Leone</v>
          </cell>
          <cell r="B176">
            <v>54.8</v>
          </cell>
          <cell r="D176">
            <v>0.1353873749322583</v>
          </cell>
          <cell r="E176">
            <v>0.22613674721061355</v>
          </cell>
          <cell r="G176">
            <v>0.16653674721061357</v>
          </cell>
        </row>
        <row r="177">
          <cell r="A177" t="str">
            <v>Somalia</v>
          </cell>
          <cell r="B177">
            <v>53.5</v>
          </cell>
          <cell r="D177">
            <v>0.1353873749322583</v>
          </cell>
          <cell r="E177">
            <v>0.22613674721061355</v>
          </cell>
          <cell r="G177">
            <v>0.16653674721061357</v>
          </cell>
        </row>
        <row r="178">
          <cell r="A178" t="str">
            <v>Sudan</v>
          </cell>
          <cell r="B178">
            <v>38.799999999999997</v>
          </cell>
          <cell r="D178">
            <v>0.18</v>
          </cell>
          <cell r="E178">
            <v>0.2810136621890289</v>
          </cell>
          <cell r="G178">
            <v>0.22141366218902891</v>
          </cell>
        </row>
        <row r="179">
          <cell r="A179" t="str">
            <v>Syria</v>
          </cell>
          <cell r="B179">
            <v>51.8</v>
          </cell>
          <cell r="D179">
            <v>0.1353873749322583</v>
          </cell>
          <cell r="E179">
            <v>0.22613674721061355</v>
          </cell>
          <cell r="G179">
            <v>0.16653674721061357</v>
          </cell>
        </row>
        <row r="180">
          <cell r="A180" t="str">
            <v>Togo</v>
          </cell>
          <cell r="B180">
            <v>61</v>
          </cell>
          <cell r="D180">
            <v>8.4591660577974931E-2</v>
          </cell>
          <cell r="E180">
            <v>0.16365416310678188</v>
          </cell>
          <cell r="G180">
            <v>0.10405416310678188</v>
          </cell>
        </row>
        <row r="181">
          <cell r="A181" t="str">
            <v>Yemen, Republic</v>
          </cell>
          <cell r="B181">
            <v>48</v>
          </cell>
          <cell r="D181">
            <v>0.18</v>
          </cell>
          <cell r="E181">
            <v>0.2810136621890289</v>
          </cell>
          <cell r="G181">
            <v>0.22141366218902891</v>
          </cell>
        </row>
        <row r="182">
          <cell r="A182" t="str">
            <v>Zimbabwe</v>
          </cell>
          <cell r="B182">
            <v>59.3</v>
          </cell>
          <cell r="D182">
            <v>0.10159142870856677</v>
          </cell>
          <cell r="E182">
            <v>0.18456516820766344</v>
          </cell>
          <cell r="G182">
            <v>0.12496516820766344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s"/>
    </sheetNames>
    <sheetDataSet>
      <sheetData sheetId="0">
        <row r="11">
          <cell r="H11">
            <v>0.86798131535667578</v>
          </cell>
          <cell r="L11">
            <v>0.8264428272638602</v>
          </cell>
          <cell r="M11">
            <v>0.73846637214088284</v>
          </cell>
          <cell r="N11">
            <v>0.91018199015478041</v>
          </cell>
          <cell r="O11">
            <v>0.78427897059429152</v>
          </cell>
        </row>
        <row r="12">
          <cell r="H12">
            <v>1.09222603297197</v>
          </cell>
          <cell r="L12">
            <v>1.0579989732931689</v>
          </cell>
          <cell r="M12">
            <v>1.1953920656189123</v>
          </cell>
          <cell r="N12">
            <v>0.93703235109989635</v>
          </cell>
          <cell r="O12">
            <v>0.99233232129102122</v>
          </cell>
        </row>
        <row r="13">
          <cell r="H13">
            <v>0.63449012760872248</v>
          </cell>
          <cell r="L13">
            <v>0.61075171852483912</v>
          </cell>
          <cell r="M13">
            <v>0.84529931162966976</v>
          </cell>
          <cell r="N13">
            <v>0.76081222883561583</v>
          </cell>
          <cell r="O13">
            <v>0.67328042235886143</v>
          </cell>
        </row>
        <row r="14">
          <cell r="H14">
            <v>0.76317292413268889</v>
          </cell>
          <cell r="L14">
            <v>0.85997351840923264</v>
          </cell>
          <cell r="M14">
            <v>0.88175283038136143</v>
          </cell>
          <cell r="N14">
            <v>0.70523095444236727</v>
          </cell>
          <cell r="O14">
            <v>0.85095727036123026</v>
          </cell>
        </row>
        <row r="15">
          <cell r="H15">
            <v>0.34187109553097822</v>
          </cell>
          <cell r="L15">
            <v>0.59008048966899762</v>
          </cell>
          <cell r="M15">
            <v>0.47138066877424006</v>
          </cell>
          <cell r="N15">
            <v>0.37928329212752937</v>
          </cell>
          <cell r="O15">
            <v>0.59226199691257841</v>
          </cell>
        </row>
        <row r="16">
          <cell r="H16">
            <v>0.96788506434122124</v>
          </cell>
          <cell r="L16">
            <v>1.1437099178522798</v>
          </cell>
          <cell r="M16">
            <v>1.0847454262865814</v>
          </cell>
          <cell r="N16">
            <v>0.93671223470946652</v>
          </cell>
          <cell r="O16">
            <v>0.92004456368593335</v>
          </cell>
        </row>
        <row r="17">
          <cell r="H17">
            <v>0.42823345075055169</v>
          </cell>
          <cell r="L17">
            <v>0.33766155202325776</v>
          </cell>
          <cell r="M17">
            <v>0.47353512676775578</v>
          </cell>
          <cell r="N17">
            <v>0.40526826378964481</v>
          </cell>
          <cell r="O17">
            <v>0.32250415910787117</v>
          </cell>
        </row>
        <row r="18">
          <cell r="H18">
            <v>0.4043516578768579</v>
          </cell>
          <cell r="L18">
            <v>0.37222903221785603</v>
          </cell>
          <cell r="M18">
            <v>0.36327661295872771</v>
          </cell>
          <cell r="N18">
            <v>0.36438911849532657</v>
          </cell>
          <cell r="O18">
            <v>0.38572641464055496</v>
          </cell>
        </row>
        <row r="19">
          <cell r="H19">
            <v>1.0479649012287298</v>
          </cell>
          <cell r="L19">
            <v>0.89439486543947133</v>
          </cell>
          <cell r="M19">
            <v>0.8180933816000725</v>
          </cell>
          <cell r="N19">
            <v>0.71013723612129176</v>
          </cell>
          <cell r="O19">
            <v>1.1198147273755252</v>
          </cell>
        </row>
        <row r="20">
          <cell r="H20">
            <v>1.0445632745746374</v>
          </cell>
          <cell r="L20">
            <v>0.9754857901559314</v>
          </cell>
          <cell r="M20">
            <v>0.98936155872391329</v>
          </cell>
          <cell r="N20">
            <v>0.7781055630963416</v>
          </cell>
          <cell r="O20">
            <v>0.62680558123550467</v>
          </cell>
        </row>
        <row r="21">
          <cell r="H21">
            <v>0.50865466473151821</v>
          </cell>
          <cell r="L21">
            <v>0.83335997520152549</v>
          </cell>
          <cell r="M21">
            <v>0.75366375204082192</v>
          </cell>
          <cell r="N21">
            <v>0.70004004147168253</v>
          </cell>
          <cell r="O21">
            <v>0.65097820976724075</v>
          </cell>
        </row>
        <row r="22">
          <cell r="H22">
            <v>0.45767101776631969</v>
          </cell>
          <cell r="L22">
            <v>0.41140971762599865</v>
          </cell>
          <cell r="M22">
            <v>0.45570813127557197</v>
          </cell>
          <cell r="N22">
            <v>0.42127089286675984</v>
          </cell>
          <cell r="O22">
            <v>0.5441746682636267</v>
          </cell>
        </row>
        <row r="23">
          <cell r="H23">
            <v>0.9149343033203543</v>
          </cell>
          <cell r="L23">
            <v>0.92777357812635386</v>
          </cell>
          <cell r="M23">
            <v>0.98035236187052655</v>
          </cell>
          <cell r="N23">
            <v>0.86952940068313167</v>
          </cell>
          <cell r="O23">
            <v>0.98593416861192995</v>
          </cell>
        </row>
        <row r="24">
          <cell r="H24">
            <v>1.0001911265533716</v>
          </cell>
          <cell r="L24">
            <v>0.99626205437001558</v>
          </cell>
          <cell r="M24">
            <v>0.94982697833182328</v>
          </cell>
          <cell r="N24">
            <v>0.84914430528676288</v>
          </cell>
          <cell r="O24">
            <v>1.0067303638556147</v>
          </cell>
        </row>
        <row r="25">
          <cell r="H25">
            <v>0.761515774451065</v>
          </cell>
          <cell r="L25">
            <v>0.695488281788191</v>
          </cell>
          <cell r="M25">
            <v>0.88527678728100334</v>
          </cell>
          <cell r="N25">
            <v>0.82024967067988608</v>
          </cell>
          <cell r="O25">
            <v>0.66746834478212691</v>
          </cell>
        </row>
        <row r="26">
          <cell r="H26">
            <v>1.1226945412373202</v>
          </cell>
          <cell r="L26">
            <v>0.75275873427303275</v>
          </cell>
          <cell r="M26">
            <v>0.80725696952017378</v>
          </cell>
          <cell r="N26">
            <v>0.67773522710338785</v>
          </cell>
          <cell r="O26">
            <v>0.96489988547058825</v>
          </cell>
        </row>
        <row r="27">
          <cell r="H27">
            <v>1.4913554180375088</v>
          </cell>
          <cell r="L27">
            <v>0.98720384638737158</v>
          </cell>
          <cell r="M27">
            <v>1.2650470656106723</v>
          </cell>
          <cell r="N27">
            <v>1.2197952276165127</v>
          </cell>
          <cell r="O27">
            <v>1.7946860305975219</v>
          </cell>
        </row>
        <row r="28">
          <cell r="H28">
            <v>0.98902378999477181</v>
          </cell>
          <cell r="L28">
            <v>0.91281078989702846</v>
          </cell>
          <cell r="M28">
            <v>1.0143943542009635</v>
          </cell>
          <cell r="N28">
            <v>0.98150332845382071</v>
          </cell>
          <cell r="O28">
            <v>0.94849956435812488</v>
          </cell>
        </row>
        <row r="29">
          <cell r="H29">
            <v>0.96728429164799401</v>
          </cell>
          <cell r="L29">
            <v>0.83200776824179257</v>
          </cell>
          <cell r="M29">
            <v>0.38687819831720366</v>
          </cell>
          <cell r="N29">
            <v>0.6054033794571696</v>
          </cell>
          <cell r="O29">
            <v>1.0423911214911201</v>
          </cell>
        </row>
        <row r="30">
          <cell r="H30">
            <v>1.0462592460215911</v>
          </cell>
          <cell r="L30">
            <v>0.98577000251683544</v>
          </cell>
          <cell r="M30">
            <v>0.9999471342974805</v>
          </cell>
          <cell r="N30">
            <v>0.83071218729754093</v>
          </cell>
          <cell r="O30">
            <v>0.94403176532379973</v>
          </cell>
        </row>
        <row r="31">
          <cell r="H31">
            <v>1.4982789281613096</v>
          </cell>
          <cell r="L31">
            <v>1.1719433135682924</v>
          </cell>
          <cell r="M31">
            <v>1.2196782510882951</v>
          </cell>
          <cell r="N31">
            <v>0.94376849596593182</v>
          </cell>
          <cell r="O31">
            <v>0.92832562744044655</v>
          </cell>
        </row>
        <row r="32">
          <cell r="H32">
            <v>1.1495970541250109</v>
          </cell>
          <cell r="L32">
            <v>1.2210316717911434</v>
          </cell>
          <cell r="M32">
            <v>1.178961428130513</v>
          </cell>
          <cell r="N32">
            <v>1.0238598785072637</v>
          </cell>
          <cell r="O32">
            <v>0.9525776924015863</v>
          </cell>
        </row>
        <row r="33">
          <cell r="H33">
            <v>1.1438090814341535</v>
          </cell>
          <cell r="L33">
            <v>0.69927787654312112</v>
          </cell>
          <cell r="M33">
            <v>0.73570562914411197</v>
          </cell>
          <cell r="N33">
            <v>0.62930627237198311</v>
          </cell>
          <cell r="O33">
            <v>1.0135440097808579</v>
          </cell>
        </row>
        <row r="34">
          <cell r="H34">
            <v>1.4307835597315306</v>
          </cell>
          <cell r="L34">
            <v>1.06164550005946</v>
          </cell>
          <cell r="M34">
            <v>1.1948507312665528</v>
          </cell>
          <cell r="N34">
            <v>1.2459331067907498</v>
          </cell>
          <cell r="O34">
            <v>1.356530917137498</v>
          </cell>
        </row>
        <row r="35">
          <cell r="H35">
            <v>1.3790871702678402</v>
          </cell>
          <cell r="L35">
            <v>0.94932153068365233</v>
          </cell>
          <cell r="M35">
            <v>0.93900977082358394</v>
          </cell>
          <cell r="N35">
            <v>0.92593131102031778</v>
          </cell>
          <cell r="O35">
            <v>1.1295686400812541</v>
          </cell>
        </row>
        <row r="36">
          <cell r="H36">
            <v>1.1083755117525074</v>
          </cell>
          <cell r="L36">
            <v>0.94681558011311995</v>
          </cell>
          <cell r="M36">
            <v>0.85929643152261603</v>
          </cell>
          <cell r="N36">
            <v>1.0467335023136517</v>
          </cell>
          <cell r="O36">
            <v>0.95816165213647664</v>
          </cell>
        </row>
        <row r="37">
          <cell r="H37">
            <v>1.1823979253907428</v>
          </cell>
          <cell r="L37">
            <v>1.1429175647542409</v>
          </cell>
          <cell r="M37">
            <v>1.0305869828588605</v>
          </cell>
          <cell r="N37">
            <v>1.0350924136130288</v>
          </cell>
          <cell r="O37">
            <v>1.0244695712358811</v>
          </cell>
        </row>
        <row r="38">
          <cell r="H38">
            <v>1.2240277060430294</v>
          </cell>
          <cell r="L38">
            <v>1.3785902435694062</v>
          </cell>
          <cell r="M38">
            <v>1.164240864957417</v>
          </cell>
          <cell r="N38">
            <v>0.97133804664494106</v>
          </cell>
          <cell r="O38">
            <v>1.0791543873676892</v>
          </cell>
        </row>
        <row r="39">
          <cell r="H39">
            <v>0.96066030351745013</v>
          </cell>
          <cell r="L39">
            <v>1.0143380182516697</v>
          </cell>
          <cell r="M39">
            <v>0.97977327153557281</v>
          </cell>
          <cell r="N39">
            <v>0.82585920724887107</v>
          </cell>
          <cell r="O39">
            <v>0.91332212369413268</v>
          </cell>
        </row>
        <row r="40">
          <cell r="H40">
            <v>0.81015878396309304</v>
          </cell>
          <cell r="L40">
            <v>1.1909553905213561</v>
          </cell>
          <cell r="M40">
            <v>1.0654127428021691</v>
          </cell>
          <cell r="N40">
            <v>1.0094288297404486</v>
          </cell>
          <cell r="O40">
            <v>1.1280526539619411</v>
          </cell>
        </row>
        <row r="41">
          <cell r="H41">
            <v>1.2140124334135816</v>
          </cell>
          <cell r="L41">
            <v>0.98610681685636126</v>
          </cell>
          <cell r="M41">
            <v>0.97829234899628914</v>
          </cell>
          <cell r="N41">
            <v>0.96578988276543765</v>
          </cell>
          <cell r="O41">
            <v>0.95716683157974236</v>
          </cell>
        </row>
        <row r="42">
          <cell r="H42">
            <v>0.96017519579922372</v>
          </cell>
          <cell r="L42">
            <v>0.9416297085134433</v>
          </cell>
          <cell r="M42">
            <v>0.82195580918899658</v>
          </cell>
          <cell r="N42">
            <v>0.62801576352857125</v>
          </cell>
          <cell r="O42">
            <v>0.69977481842592981</v>
          </cell>
        </row>
        <row r="43">
          <cell r="H43">
            <v>0.49587806644422544</v>
          </cell>
          <cell r="L43">
            <v>0.57909430928918826</v>
          </cell>
          <cell r="M43">
            <v>0.77419510664876223</v>
          </cell>
          <cell r="N43">
            <v>0.61582042547062832</v>
          </cell>
          <cell r="O43">
            <v>0.55737082155423068</v>
          </cell>
        </row>
        <row r="44">
          <cell r="H44">
            <v>7.5615335031345252E-2</v>
          </cell>
          <cell r="L44">
            <v>6.3207362763439523E-2</v>
          </cell>
          <cell r="M44">
            <v>5.58494718753152E-2</v>
          </cell>
          <cell r="N44">
            <v>6.7631146451552882E-2</v>
          </cell>
          <cell r="O44">
            <v>7.0289080325756217E-2</v>
          </cell>
        </row>
        <row r="45">
          <cell r="H45">
            <v>0.61142199192503821</v>
          </cell>
          <cell r="L45">
            <v>0.82365294067176009</v>
          </cell>
          <cell r="M45">
            <v>0.7416481757000527</v>
          </cell>
          <cell r="N45">
            <v>0.62945787807798448</v>
          </cell>
          <cell r="O45">
            <v>0.55631901720276644</v>
          </cell>
        </row>
        <row r="46">
          <cell r="H46">
            <v>1.234429635135682</v>
          </cell>
          <cell r="L46">
            <v>1.257310037504739</v>
          </cell>
          <cell r="M46">
            <v>0.61083825745632381</v>
          </cell>
          <cell r="N46">
            <v>0.92782334432638702</v>
          </cell>
          <cell r="O46">
            <v>1.4147585160608243</v>
          </cell>
        </row>
        <row r="47">
          <cell r="H47">
            <v>0.66780864677192153</v>
          </cell>
          <cell r="L47">
            <v>0.92145392383388303</v>
          </cell>
          <cell r="M47">
            <v>1.003465779242618</v>
          </cell>
          <cell r="N47">
            <v>0.69319245782890693</v>
          </cell>
          <cell r="O47">
            <v>0.67368656968976759</v>
          </cell>
        </row>
        <row r="48">
          <cell r="H48">
            <v>0.79876309391982148</v>
          </cell>
          <cell r="L48">
            <v>0.67626115243049012</v>
          </cell>
          <cell r="M48">
            <v>0.84213429384042704</v>
          </cell>
          <cell r="N48">
            <v>0.46860806206954692</v>
          </cell>
          <cell r="O48">
            <v>0.72015964506798358</v>
          </cell>
        </row>
        <row r="49">
          <cell r="H49">
            <v>1.0412420580286896</v>
          </cell>
          <cell r="L49">
            <v>0.90415545578260093</v>
          </cell>
          <cell r="M49">
            <v>0.91697354099694839</v>
          </cell>
          <cell r="N49">
            <v>0.9228608512768256</v>
          </cell>
          <cell r="O49">
            <v>0.88508346966591411</v>
          </cell>
        </row>
        <row r="50">
          <cell r="H50">
            <v>1.0266507370055664</v>
          </cell>
          <cell r="L50">
            <v>0.90781339687443441</v>
          </cell>
          <cell r="M50">
            <v>0.8905148234023309</v>
          </cell>
          <cell r="N50">
            <v>0.81830647974267279</v>
          </cell>
          <cell r="O50">
            <v>0.82382035475319326</v>
          </cell>
        </row>
        <row r="51">
          <cell r="H51">
            <v>1.1770734443491222</v>
          </cell>
          <cell r="L51">
            <v>0.83631590420874902</v>
          </cell>
          <cell r="M51">
            <v>0.98673088276303866</v>
          </cell>
          <cell r="N51">
            <v>0.8312183856595623</v>
          </cell>
          <cell r="O51">
            <v>0.8837080124216079</v>
          </cell>
        </row>
        <row r="52">
          <cell r="H52">
            <v>0.72461491658678878</v>
          </cell>
          <cell r="L52">
            <v>0.92037789137930404</v>
          </cell>
          <cell r="M52">
            <v>0.81073152617680166</v>
          </cell>
          <cell r="N52">
            <v>0.76800042762641452</v>
          </cell>
          <cell r="O52">
            <v>0.89482816266964527</v>
          </cell>
        </row>
        <row r="53">
          <cell r="H53">
            <v>0.55219511182946646</v>
          </cell>
          <cell r="L53">
            <v>0.58888594415237006</v>
          </cell>
          <cell r="M53">
            <v>0.44125508081978904</v>
          </cell>
          <cell r="N53">
            <v>0.4451956659198778</v>
          </cell>
          <cell r="O53">
            <v>0.5122854446277495</v>
          </cell>
        </row>
        <row r="54">
          <cell r="H54">
            <v>0.71171194651767145</v>
          </cell>
          <cell r="L54">
            <v>0.82845001279130992</v>
          </cell>
          <cell r="M54">
            <v>0.67915578788885134</v>
          </cell>
          <cell r="N54">
            <v>0.66749176385887621</v>
          </cell>
          <cell r="O54">
            <v>0.74415946232869168</v>
          </cell>
        </row>
        <row r="55">
          <cell r="H55">
            <v>0.99725066748303448</v>
          </cell>
          <cell r="L55">
            <v>0.91008254050766557</v>
          </cell>
          <cell r="M55">
            <v>0.9149796629650655</v>
          </cell>
          <cell r="N55">
            <v>0.68817620468484997</v>
          </cell>
          <cell r="O55">
            <v>0.87926933287734055</v>
          </cell>
        </row>
        <row r="56">
          <cell r="H56">
            <v>1.0476147604347601</v>
          </cell>
          <cell r="L56">
            <v>1.0445512586642061</v>
          </cell>
          <cell r="M56">
            <v>0.91756695796828625</v>
          </cell>
          <cell r="N56">
            <v>0.87020396713009684</v>
          </cell>
          <cell r="O56">
            <v>0.82102604136194945</v>
          </cell>
        </row>
        <row r="57">
          <cell r="H57">
            <v>0.67179161955338684</v>
          </cell>
          <cell r="L57">
            <v>0.80387143324202071</v>
          </cell>
          <cell r="M57">
            <v>0.81929059452472941</v>
          </cell>
          <cell r="N57">
            <v>0.71443841745032044</v>
          </cell>
          <cell r="O57">
            <v>0.63161786013410837</v>
          </cell>
        </row>
        <row r="58">
          <cell r="H58">
            <v>0.70335628063826439</v>
          </cell>
          <cell r="L58">
            <v>0.75380071860751052</v>
          </cell>
          <cell r="M58">
            <v>0.91067854389207092</v>
          </cell>
          <cell r="N58">
            <v>0.8021499989307056</v>
          </cell>
          <cell r="O58">
            <v>0.80519497929401429</v>
          </cell>
        </row>
        <row r="59">
          <cell r="H59">
            <v>0.65115065979406583</v>
          </cell>
          <cell r="L59">
            <v>0.69292392753575749</v>
          </cell>
          <cell r="M59">
            <v>0.75385679969929598</v>
          </cell>
          <cell r="N59">
            <v>0.7008266669001918</v>
          </cell>
          <cell r="O59">
            <v>0.72774299007849574</v>
          </cell>
        </row>
        <row r="60">
          <cell r="H60">
            <v>0.86668447411796701</v>
          </cell>
          <cell r="L60">
            <v>0.72867523802687462</v>
          </cell>
          <cell r="M60">
            <v>0.80698183301141047</v>
          </cell>
          <cell r="N60">
            <v>0.67569470993802794</v>
          </cell>
          <cell r="O60">
            <v>0.86690937652117939</v>
          </cell>
        </row>
        <row r="61">
          <cell r="H61">
            <v>1.0121653053546547</v>
          </cell>
          <cell r="L61">
            <v>1.1123629253138949</v>
          </cell>
          <cell r="M61">
            <v>1.2286140493062305</v>
          </cell>
          <cell r="N61">
            <v>0.93146084205407687</v>
          </cell>
          <cell r="O61">
            <v>1.0376808387746204</v>
          </cell>
        </row>
        <row r="62">
          <cell r="H62">
            <v>1.1094422701693822</v>
          </cell>
          <cell r="L62">
            <v>0.90515750563570641</v>
          </cell>
          <cell r="M62">
            <v>0.87412275998567224</v>
          </cell>
          <cell r="N62">
            <v>0.88779982496284104</v>
          </cell>
          <cell r="O62">
            <v>0.96016218423880206</v>
          </cell>
        </row>
        <row r="63">
          <cell r="H63">
            <v>1.3336679465607404</v>
          </cell>
          <cell r="L63">
            <v>0.99913957031235989</v>
          </cell>
          <cell r="M63">
            <v>1.2940648547983142</v>
          </cell>
          <cell r="N63">
            <v>1.094913266181017</v>
          </cell>
          <cell r="O63">
            <v>1.0984143438538143</v>
          </cell>
        </row>
        <row r="64">
          <cell r="H64">
            <v>1.0556071646429179</v>
          </cell>
          <cell r="L64">
            <v>0.76428600647835043</v>
          </cell>
          <cell r="M64">
            <v>1.3768945488985402</v>
          </cell>
          <cell r="N64">
            <v>0.94523624792936756</v>
          </cell>
          <cell r="O64">
            <v>1.2507640353953937</v>
          </cell>
        </row>
        <row r="65">
          <cell r="H65">
            <v>1.0743174544514105</v>
          </cell>
          <cell r="L65">
            <v>0.91418748660737614</v>
          </cell>
          <cell r="M65">
            <v>0.94743762340513227</v>
          </cell>
          <cell r="N65">
            <v>0.99198790067456866</v>
          </cell>
          <cell r="O65">
            <v>1.0036901148132051</v>
          </cell>
        </row>
        <row r="66">
          <cell r="H66">
            <v>0.6231608561764338</v>
          </cell>
          <cell r="L66">
            <v>0.66899854629743982</v>
          </cell>
          <cell r="M66">
            <v>0.65372935713088309</v>
          </cell>
          <cell r="N66">
            <v>0.68903844183291452</v>
          </cell>
          <cell r="O66">
            <v>0.71646756268516709</v>
          </cell>
        </row>
        <row r="67">
          <cell r="H67">
            <v>1.0668864769579942</v>
          </cell>
          <cell r="L67">
            <v>1.3187768220793494</v>
          </cell>
          <cell r="M67">
            <v>1.410476112201879</v>
          </cell>
          <cell r="N67">
            <v>1.1096395487798727</v>
          </cell>
          <cell r="O67">
            <v>1.0558983129597594</v>
          </cell>
        </row>
        <row r="68">
          <cell r="H68">
            <v>0.73705502274807633</v>
          </cell>
          <cell r="L68">
            <v>0.69510331969855443</v>
          </cell>
          <cell r="M68">
            <v>0.90706844247421869</v>
          </cell>
          <cell r="N68">
            <v>0.60469788408283676</v>
          </cell>
          <cell r="O68">
            <v>0.55106848014820298</v>
          </cell>
        </row>
        <row r="69">
          <cell r="H69">
            <v>1.1728745712683208</v>
          </cell>
          <cell r="L69">
            <v>0.59499696779641253</v>
          </cell>
          <cell r="M69">
            <v>0.89356619047385455</v>
          </cell>
          <cell r="N69">
            <v>0.82676199858159016</v>
          </cell>
          <cell r="O69">
            <v>0.97753020034772831</v>
          </cell>
        </row>
        <row r="70">
          <cell r="H70">
            <v>0.3460165075906414</v>
          </cell>
          <cell r="L70">
            <v>0.52852581356072703</v>
          </cell>
          <cell r="M70">
            <v>0.49888085289261619</v>
          </cell>
          <cell r="N70">
            <v>0.32719364961137615</v>
          </cell>
          <cell r="O70">
            <v>0.32493565540349184</v>
          </cell>
        </row>
        <row r="71">
          <cell r="H71">
            <v>1.1490747541483908</v>
          </cell>
          <cell r="L71">
            <v>1.0462116272315036</v>
          </cell>
          <cell r="M71">
            <v>1.0348311060447721</v>
          </cell>
          <cell r="N71">
            <v>1.1036721628723862</v>
          </cell>
          <cell r="O71">
            <v>0.94639980978395732</v>
          </cell>
        </row>
        <row r="72">
          <cell r="H72">
            <v>0.89788591137584506</v>
          </cell>
          <cell r="L72">
            <v>0.8829647997110236</v>
          </cell>
          <cell r="M72">
            <v>1.0689823736618371</v>
          </cell>
          <cell r="N72">
            <v>0.96202486776723917</v>
          </cell>
          <cell r="O72">
            <v>0.82623364138876865</v>
          </cell>
        </row>
        <row r="73">
          <cell r="H73">
            <v>0.40946857953268101</v>
          </cell>
          <cell r="L73">
            <v>0.42659422790766416</v>
          </cell>
          <cell r="M73">
            <v>0.41289220238853069</v>
          </cell>
          <cell r="N73">
            <v>0.41365814242478077</v>
          </cell>
          <cell r="O73">
            <v>0.421335920717823</v>
          </cell>
        </row>
        <row r="74">
          <cell r="H74">
            <v>0.87103759301648254</v>
          </cell>
          <cell r="L74">
            <v>0.81886769624670608</v>
          </cell>
          <cell r="M74">
            <v>0.92994011768456197</v>
          </cell>
          <cell r="N74">
            <v>0.46927329356820202</v>
          </cell>
          <cell r="O74">
            <v>0.61355811294464702</v>
          </cell>
        </row>
        <row r="75">
          <cell r="H75">
            <v>1.3273571545799101</v>
          </cell>
          <cell r="L75">
            <v>1.4749954561629794</v>
          </cell>
          <cell r="M75">
            <v>1.0263402703399036</v>
          </cell>
          <cell r="N75">
            <v>1.0942954893232755</v>
          </cell>
          <cell r="O75">
            <v>0.73331096910868621</v>
          </cell>
        </row>
        <row r="76">
          <cell r="H76">
            <v>0.95287705840966175</v>
          </cell>
          <cell r="L76">
            <v>0.89488907496725834</v>
          </cell>
          <cell r="M76">
            <v>0.99190805395484083</v>
          </cell>
          <cell r="N76">
            <v>0.615628642157243</v>
          </cell>
          <cell r="O76">
            <v>0.80185642216849129</v>
          </cell>
        </row>
        <row r="77">
          <cell r="H77">
            <v>0.80923296728017891</v>
          </cell>
          <cell r="L77">
            <v>0.986533653836145</v>
          </cell>
          <cell r="M77">
            <v>0.74786144631426577</v>
          </cell>
          <cell r="N77">
            <v>0.75955394281213184</v>
          </cell>
          <cell r="O77">
            <v>0.72607338801137411</v>
          </cell>
        </row>
        <row r="78">
          <cell r="H78">
            <v>0.8820173563179452</v>
          </cell>
          <cell r="L78">
            <v>1.1247782503169248</v>
          </cell>
          <cell r="M78">
            <v>0.89151933255027671</v>
          </cell>
          <cell r="N78">
            <v>0.6462241968853939</v>
          </cell>
          <cell r="O78">
            <v>0.46721027861075448</v>
          </cell>
        </row>
        <row r="79">
          <cell r="H79">
            <v>0.65106883994983511</v>
          </cell>
          <cell r="L79">
            <v>0.7392843693828145</v>
          </cell>
          <cell r="M79">
            <v>0.64108704213975221</v>
          </cell>
          <cell r="N79">
            <v>0.60883593821969884</v>
          </cell>
          <cell r="O79">
            <v>0.69579089837083374</v>
          </cell>
        </row>
        <row r="80">
          <cell r="H80">
            <v>0.76099800140698393</v>
          </cell>
          <cell r="L80">
            <v>0.84629303675926026</v>
          </cell>
          <cell r="M80">
            <v>0.75515362761958049</v>
          </cell>
          <cell r="N80">
            <v>0.63087014027007171</v>
          </cell>
          <cell r="O80">
            <v>0.64728168498738969</v>
          </cell>
        </row>
        <row r="81">
          <cell r="H81">
            <v>0.96727917776256678</v>
          </cell>
          <cell r="L81">
            <v>1.2904329333243947</v>
          </cell>
          <cell r="M81">
            <v>1.3061751563837096</v>
          </cell>
          <cell r="N81">
            <v>1.1237890076404478</v>
          </cell>
          <cell r="O81">
            <v>0.76337725014628455</v>
          </cell>
        </row>
        <row r="82">
          <cell r="H82">
            <v>0.98702118147956253</v>
          </cell>
          <cell r="L82">
            <v>0.81147990769764133</v>
          </cell>
          <cell r="M82">
            <v>0.82697172935780039</v>
          </cell>
          <cell r="N82">
            <v>0.76667123223304556</v>
          </cell>
          <cell r="O82">
            <v>0.87123518742109773</v>
          </cell>
        </row>
        <row r="83">
          <cell r="H83">
            <v>0.7514861871220232</v>
          </cell>
          <cell r="L83">
            <v>0.85061518110902057</v>
          </cell>
          <cell r="M83">
            <v>0.92395978175189775</v>
          </cell>
          <cell r="N83">
            <v>0.82407298507083293</v>
          </cell>
          <cell r="O83">
            <v>0.87430045257361966</v>
          </cell>
        </row>
        <row r="84">
          <cell r="H84">
            <v>0.28123262190943138</v>
          </cell>
          <cell r="L84">
            <v>0.74728029757108017</v>
          </cell>
          <cell r="M84">
            <v>0.77420202557119511</v>
          </cell>
          <cell r="N84">
            <v>0.46358910505185513</v>
          </cell>
          <cell r="O84">
            <v>0.43896032167678312</v>
          </cell>
        </row>
        <row r="85">
          <cell r="H85">
            <v>1.34449825920508</v>
          </cell>
          <cell r="L85">
            <v>1.3922708886932922</v>
          </cell>
          <cell r="M85">
            <v>1.5262047196408781</v>
          </cell>
          <cell r="N85">
            <v>1.1722871470799821</v>
          </cell>
          <cell r="O85">
            <v>1.123659807701672</v>
          </cell>
        </row>
        <row r="86">
          <cell r="H86">
            <v>0.80006504109099119</v>
          </cell>
          <cell r="L86">
            <v>0.84597536236928805</v>
          </cell>
          <cell r="M86">
            <v>0.80953553926600408</v>
          </cell>
          <cell r="N86">
            <v>0.75751932296937508</v>
          </cell>
          <cell r="O86">
            <v>0.82009589746205391</v>
          </cell>
        </row>
        <row r="87">
          <cell r="H87">
            <v>0.23902988074589715</v>
          </cell>
          <cell r="L87">
            <v>0.65422721985966525</v>
          </cell>
          <cell r="M87">
            <v>1.1764476807254525</v>
          </cell>
          <cell r="N87">
            <v>0.88700108598900151</v>
          </cell>
          <cell r="O87">
            <v>0.63726360428336914</v>
          </cell>
        </row>
        <row r="88">
          <cell r="H88">
            <v>1.2637967280679967</v>
          </cell>
          <cell r="L88">
            <v>1.1683596206413804</v>
          </cell>
          <cell r="M88">
            <v>1.3173693176974108</v>
          </cell>
          <cell r="N88">
            <v>1.110845208913243</v>
          </cell>
          <cell r="O88">
            <v>1.1567611674673315</v>
          </cell>
        </row>
        <row r="89">
          <cell r="H89">
            <v>1.3908894934763405</v>
          </cell>
          <cell r="L89">
            <v>1.1738492742370259</v>
          </cell>
          <cell r="M89">
            <v>1.2230546079999403</v>
          </cell>
          <cell r="N89">
            <v>1.09727957234296</v>
          </cell>
          <cell r="O89">
            <v>0.98519547259696216</v>
          </cell>
        </row>
        <row r="90">
          <cell r="H90">
            <v>0.77850734487942919</v>
          </cell>
          <cell r="L90">
            <v>0.9406689521956606</v>
          </cell>
          <cell r="M90">
            <v>0.84196525499931285</v>
          </cell>
          <cell r="N90">
            <v>0.85414602820656216</v>
          </cell>
          <cell r="O90">
            <v>1.0134798161115919</v>
          </cell>
        </row>
        <row r="91">
          <cell r="H91">
            <v>0.74128200359267893</v>
          </cell>
          <cell r="L91">
            <v>0.82494684584711353</v>
          </cell>
          <cell r="M91">
            <v>0.80872809413738767</v>
          </cell>
          <cell r="N91">
            <v>0.8296209485545919</v>
          </cell>
          <cell r="O91">
            <v>0.86065185848202708</v>
          </cell>
        </row>
        <row r="92">
          <cell r="H92">
            <v>1.2697947323690497</v>
          </cell>
          <cell r="L92">
            <v>1.1318066531613469</v>
          </cell>
          <cell r="M92">
            <v>1.4648194936696251</v>
          </cell>
          <cell r="N92">
            <v>0.96477966383525637</v>
          </cell>
          <cell r="O92">
            <v>0.9110162753522365</v>
          </cell>
        </row>
        <row r="93">
          <cell r="H93">
            <v>1.3051434552841432</v>
          </cell>
          <cell r="L93">
            <v>1.2936072359960591</v>
          </cell>
          <cell r="M93">
            <v>1.3281793168817304</v>
          </cell>
          <cell r="N93">
            <v>1.1180451964808946</v>
          </cell>
          <cell r="O93">
            <v>1.1991307944510419</v>
          </cell>
        </row>
        <row r="94">
          <cell r="H94">
            <v>1.1619596463607587</v>
          </cell>
          <cell r="L94">
            <v>1.0611134578293739</v>
          </cell>
          <cell r="M94">
            <v>1.2468087604629723</v>
          </cell>
          <cell r="N94">
            <v>0.98859806843913289</v>
          </cell>
          <cell r="O94">
            <v>1.0202561296564998</v>
          </cell>
        </row>
        <row r="95">
          <cell r="H95">
            <v>1.2948714024708063</v>
          </cell>
          <cell r="L95">
            <v>0.9037061177913287</v>
          </cell>
          <cell r="M95">
            <v>0.86265231180747404</v>
          </cell>
          <cell r="N95">
            <v>1.1939862238092516</v>
          </cell>
          <cell r="O95">
            <v>1.5326927281923055</v>
          </cell>
        </row>
        <row r="96">
          <cell r="H96">
            <v>0.70626583312516422</v>
          </cell>
          <cell r="L96">
            <v>0.50868403517956984</v>
          </cell>
          <cell r="M96">
            <v>0.65070091831649424</v>
          </cell>
          <cell r="N96">
            <v>0.58098604749830041</v>
          </cell>
          <cell r="O96">
            <v>0.70836900322043828</v>
          </cell>
        </row>
        <row r="97">
          <cell r="H97">
            <v>1.0228587017593667</v>
          </cell>
          <cell r="L97">
            <v>1.1969863378818462</v>
          </cell>
          <cell r="M97">
            <v>1.1678671829832437</v>
          </cell>
          <cell r="N97">
            <v>0.8626345985311783</v>
          </cell>
          <cell r="O97">
            <v>0.95898598463913076</v>
          </cell>
        </row>
        <row r="98">
          <cell r="H98">
            <v>0.74082603271700076</v>
          </cell>
          <cell r="L98">
            <v>0.69110674234643332</v>
          </cell>
          <cell r="M98">
            <v>0.57007028855733299</v>
          </cell>
          <cell r="N98">
            <v>0.67562071190528217</v>
          </cell>
          <cell r="O98">
            <v>0.71930948488842505</v>
          </cell>
        </row>
        <row r="99">
          <cell r="H99">
            <v>1.1252643536813445</v>
          </cell>
          <cell r="L99">
            <v>0.94499979246372112</v>
          </cell>
          <cell r="M99">
            <v>1.6611706900884531</v>
          </cell>
          <cell r="N99">
            <v>1.1328879375594154</v>
          </cell>
          <cell r="O99">
            <v>1.1518437689270005</v>
          </cell>
        </row>
        <row r="100">
          <cell r="H100">
            <v>0.89929754045085275</v>
          </cell>
          <cell r="L100">
            <v>0.76521173297084655</v>
          </cell>
          <cell r="M100">
            <v>1.188254771249603</v>
          </cell>
          <cell r="N100">
            <v>0.83108379560566226</v>
          </cell>
          <cell r="O100">
            <v>0.79664864200617935</v>
          </cell>
        </row>
        <row r="101">
          <cell r="H101">
            <v>2.0801518230331322</v>
          </cell>
          <cell r="L101">
            <v>0.92000107814920618</v>
          </cell>
          <cell r="M101">
            <v>0.92727996050611483</v>
          </cell>
          <cell r="N101">
            <v>0.65757161695504285</v>
          </cell>
          <cell r="O101">
            <v>0.86883727686550138</v>
          </cell>
        </row>
        <row r="102">
          <cell r="H102">
            <v>0.71085656044871004</v>
          </cell>
          <cell r="L102">
            <v>0.91730335862705326</v>
          </cell>
          <cell r="M102">
            <v>1.0263927288303389</v>
          </cell>
          <cell r="N102">
            <v>0.75582368174974701</v>
          </cell>
          <cell r="O102">
            <v>0.80694623223928075</v>
          </cell>
        </row>
        <row r="103">
          <cell r="H103">
            <v>0.1745698394445703</v>
          </cell>
          <cell r="L103">
            <v>0.41908616581674391</v>
          </cell>
          <cell r="M103">
            <v>0.36463600054164563</v>
          </cell>
          <cell r="N103">
            <v>0.25122533577249689</v>
          </cell>
          <cell r="O103">
            <v>0.19528826349103087</v>
          </cell>
        </row>
        <row r="104">
          <cell r="H104">
            <v>0.32295708453677063</v>
          </cell>
          <cell r="L104">
            <v>0.76632653602523049</v>
          </cell>
          <cell r="M104">
            <v>0.33166856985532761</v>
          </cell>
          <cell r="N104">
            <v>0.47133256922902528</v>
          </cell>
          <cell r="O104">
            <v>0.26742845919334141</v>
          </cell>
        </row>
        <row r="105">
          <cell r="H105">
            <v>0.80201739708391317</v>
          </cell>
          <cell r="L105">
            <v>0.7</v>
          </cell>
          <cell r="M105">
            <v>0.73</v>
          </cell>
          <cell r="N105">
            <v>0.65</v>
          </cell>
          <cell r="O105">
            <v>0.7245711625183886</v>
          </cell>
        </row>
        <row r="106">
          <cell r="H106">
            <v>0.99855894726946337</v>
          </cell>
          <cell r="L106">
            <v>0.87</v>
          </cell>
          <cell r="M106">
            <v>0.9</v>
          </cell>
          <cell r="N106">
            <v>0.85</v>
          </cell>
          <cell r="O106">
            <v>0.90189374917391918</v>
          </cell>
        </row>
      </sheetData>
      <sheetData sheetId="1"/>
    </sheetDataSet>
  </externalBook>
</externalLink>
</file>

<file path=xl/tables/table1.xml><?xml version="1.0" encoding="utf-8"?>
<table xmlns="http://schemas.openxmlformats.org/spreadsheetml/2006/main" id="1" name="Table1" displayName="Table1" ref="B7:J158" totalsRowShown="0" headerRowDxfId="41" dataDxfId="39" headerRowBorderDxfId="40" tableBorderDxfId="38" totalsRowBorderDxfId="37">
  <autoFilter ref="B7:J158">
    <filterColumn colId="0">
      <filters>
        <filter val="United States"/>
      </filters>
    </filterColumn>
  </autoFilter>
  <tableColumns count="9">
    <tableColumn id="1" name="Country" dataDxfId="36">
      <calculatedColumnFormula>'[2]Sovereign Ratings (Moody''s,S&amp;P)'!A2</calculatedColumnFormula>
    </tableColumn>
    <tableColumn id="2" name="Africa" dataDxfId="35"/>
    <tableColumn id="3" name="Moody's rating" dataDxfId="34">
      <calculatedColumnFormula>'[2]Sovereign Ratings (Moody''s,S&amp;P)'!C2</calculatedColumnFormula>
    </tableColumn>
    <tableColumn id="4" name="Rating-based Default Spread" dataDxfId="33" dataCellStyle="Percent">
      <calculatedColumnFormula>VLOOKUP(D8,$K$9:$L$29,2)/10000</calculatedColumnFormula>
    </tableColumn>
    <tableColumn id="5" name="Total Equity Risk Premium" dataDxfId="32" dataCellStyle="Percent">
      <calculatedColumnFormula>$F$3+G8</calculatedColumnFormula>
    </tableColumn>
    <tableColumn id="6" name="Country Risk Premium" dataDxfId="31">
      <calculatedColumnFormula>IF($F$4="Yes",E8*$F$5,E8)</calculatedColumnFormula>
    </tableColumn>
    <tableColumn id="7" name="Sovereign CDS, net of US" dataDxfId="30">
      <calculatedColumnFormula>VLOOKUP(B8,'[2]10-year CDS Spreads'!$A$2:$D$152,4)</calculatedColumnFormula>
    </tableColumn>
    <tableColumn id="8" name="Total Equity Risk Premium2" dataDxfId="29">
      <calculatedColumnFormula>IF(J8="NA","NA",$F$3+J8)</calculatedColumnFormula>
    </tableColumn>
    <tableColumn id="9" name="Country Risk Premium3" dataDxfId="28">
      <calculatedColumnFormula>IF(H8="NA","NA",H8*$F$5)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B163:F186" totalsRowShown="0" headerRowDxfId="27" tableBorderDxfId="26">
  <autoFilter ref="B163:F186"/>
  <tableColumns count="5">
    <tableColumn id="1" name="Country" dataDxfId="25">
      <calculatedColumnFormula>'[2]PRS Worksheet'!A160</calculatedColumnFormula>
    </tableColumn>
    <tableColumn id="2" name="PRS Composite Risk Score" dataDxfId="24">
      <calculatedColumnFormula>'[2]PRS Worksheet'!B160</calculatedColumnFormula>
    </tableColumn>
    <tableColumn id="3" name="ERP" dataDxfId="23" dataCellStyle="Percent">
      <calculatedColumnFormula>'[2]PRS Worksheet'!E160</calculatedColumnFormula>
    </tableColumn>
    <tableColumn id="4" name="CRP" dataDxfId="22" dataCellStyle="Percent">
      <calculatedColumnFormula>'[2]PRS Worksheet'!G160</calculatedColumnFormula>
    </tableColumn>
    <tableColumn id="5" name="Default Spread" dataDxfId="21" dataCellStyle="Percent">
      <calculatedColumnFormula>'[2]PRS Worksheet'!D160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3" name="Table14" displayName="Table14" ref="B10:Q106" totalsRowShown="0" headerRowDxfId="20" dataDxfId="18" headerRowBorderDxfId="19" tableBorderDxfId="17" totalsRowBorderDxfId="16">
  <autoFilter ref="B10:Q106">
    <filterColumn colId="0">
      <filters>
        <filter val="Retail (Distributors)"/>
        <filter val="Retail (General)"/>
        <filter val="Retail (Grocery and Food)"/>
        <filter val="Retail (Online)"/>
      </filters>
    </filterColumn>
  </autoFilter>
  <tableColumns count="16">
    <tableColumn id="1" name="Industry Name" dataDxfId="15"/>
    <tableColumn id="2" name="Number of firms" dataDxfId="14"/>
    <tableColumn id="3" name="Beta " dataDxfId="13"/>
    <tableColumn id="4" name="D/E Ratio" dataDxfId="12"/>
    <tableColumn id="5" name="Effective Tax rate" dataDxfId="11"/>
    <tableColumn id="6" name="Unlevered beta" dataDxfId="10">
      <calculatedColumnFormula>IF($G$8="Effective",D11/(1+(1-F11)*E11),D11/(1+(1-$G$9)*E11))</calculatedColumnFormula>
    </tableColumn>
    <tableColumn id="7" name="Cash/Firm value" dataDxfId="9"/>
    <tableColumn id="8" name="Unlevered beta corrected for cash" dataDxfId="8"/>
    <tableColumn id="9" name="HiLo Risk" dataDxfId="7"/>
    <tableColumn id="10" name="Standard deviation of equity" dataDxfId="6"/>
    <tableColumn id="11" name="Standard deviation in operating income (last 10 years)" dataDxfId="5"/>
    <tableColumn id="12" name="2015" dataDxfId="4"/>
    <tableColumn id="13" name="2016" dataDxfId="3"/>
    <tableColumn id="14" name="2017" dataDxfId="2"/>
    <tableColumn id="18" name="2018" dataDxfId="1"/>
    <tableColumn id="17" name="Average (2015-19)" dataDxfId="0">
      <calculatedColumnFormula>AVERAGE([3]Sheet1!$H11,[3]Sheet1!$L11:$O11)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tern.nyu.edu/~adamodar/New_Home_Page/data.html" TargetMode="External"/><Relationship Id="rId7" Type="http://schemas.openxmlformats.org/officeDocument/2006/relationships/table" Target="../tables/table3.xml"/><Relationship Id="rId2" Type="http://schemas.openxmlformats.org/officeDocument/2006/relationships/hyperlink" Target="http://www.damodaran.com/" TargetMode="External"/><Relationship Id="rId1" Type="http://schemas.openxmlformats.org/officeDocument/2006/relationships/hyperlink" Target="mailto:adamodar@stern.nyu.edu?subject=Data%20on%20website" TargetMode="External"/><Relationship Id="rId6" Type="http://schemas.openxmlformats.org/officeDocument/2006/relationships/hyperlink" Target="https://youtu.be/rxmttgceSjg" TargetMode="External"/><Relationship Id="rId5" Type="http://schemas.openxmlformats.org/officeDocument/2006/relationships/hyperlink" Target="http://www.stern.nyu.edu/~adamodar/New_Home_Page/datafile/variable.htm" TargetMode="External"/><Relationship Id="rId4" Type="http://schemas.openxmlformats.org/officeDocument/2006/relationships/hyperlink" Target="http://www.stern.nyu.edu/~adamodar/pc/datasets/indname.xl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C25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6" sqref="E6"/>
    </sheetView>
  </sheetViews>
  <sheetFormatPr defaultColWidth="9.1796875" defaultRowHeight="11.5"/>
  <cols>
    <col min="1" max="1" width="2" style="1" customWidth="1"/>
    <col min="2" max="2" width="10" style="1" customWidth="1"/>
    <col min="3" max="3" width="18.7265625" style="1" customWidth="1"/>
    <col min="4" max="16384" width="9.1796875" style="1"/>
  </cols>
  <sheetData>
    <row r="1" spans="2:3" ht="32.5" customHeight="1">
      <c r="B1" s="319" t="s">
        <v>404</v>
      </c>
      <c r="C1" s="319"/>
    </row>
    <row r="2" spans="2:3">
      <c r="B2" s="5" t="s">
        <v>5</v>
      </c>
    </row>
    <row r="4" spans="2:3" ht="12.5" thickBot="1">
      <c r="B4" s="4" t="s">
        <v>2</v>
      </c>
      <c r="C4" s="4" t="s">
        <v>3</v>
      </c>
    </row>
    <row r="5" spans="2:3">
      <c r="B5" s="52">
        <v>1</v>
      </c>
      <c r="C5" s="53" t="s">
        <v>39</v>
      </c>
    </row>
    <row r="6" spans="2:3">
      <c r="B6" s="28">
        <f>B5+1</f>
        <v>2</v>
      </c>
      <c r="C6" s="62" t="s">
        <v>17</v>
      </c>
    </row>
    <row r="7" spans="2:3">
      <c r="B7" s="28">
        <f t="shared" ref="B7:B25" si="0">B6+1</f>
        <v>3</v>
      </c>
      <c r="C7" s="62" t="s">
        <v>18</v>
      </c>
    </row>
    <row r="8" spans="2:3">
      <c r="B8" s="28">
        <f t="shared" si="0"/>
        <v>4</v>
      </c>
      <c r="C8" s="62" t="s">
        <v>48</v>
      </c>
    </row>
    <row r="9" spans="2:3">
      <c r="B9" s="52">
        <f t="shared" si="0"/>
        <v>5</v>
      </c>
      <c r="C9" s="53" t="s">
        <v>40</v>
      </c>
    </row>
    <row r="10" spans="2:3">
      <c r="B10" s="28">
        <f t="shared" si="0"/>
        <v>6</v>
      </c>
      <c r="C10" s="62" t="s">
        <v>6</v>
      </c>
    </row>
    <row r="11" spans="2:3">
      <c r="B11" s="28">
        <f t="shared" si="0"/>
        <v>7</v>
      </c>
      <c r="C11" s="62" t="s">
        <v>16</v>
      </c>
    </row>
    <row r="12" spans="2:3">
      <c r="B12" s="28">
        <f t="shared" si="0"/>
        <v>8</v>
      </c>
      <c r="C12" s="62" t="s">
        <v>19</v>
      </c>
    </row>
    <row r="13" spans="2:3">
      <c r="B13" s="28">
        <f t="shared" si="0"/>
        <v>9</v>
      </c>
      <c r="C13" s="62" t="s">
        <v>34</v>
      </c>
    </row>
    <row r="14" spans="2:3">
      <c r="B14" s="52">
        <f t="shared" si="0"/>
        <v>10</v>
      </c>
      <c r="C14" s="53" t="s">
        <v>45</v>
      </c>
    </row>
    <row r="15" spans="2:3">
      <c r="B15" s="28">
        <f t="shared" si="0"/>
        <v>11</v>
      </c>
      <c r="C15" s="62" t="s">
        <v>41</v>
      </c>
    </row>
    <row r="16" spans="2:3">
      <c r="B16" s="28">
        <f t="shared" si="0"/>
        <v>12</v>
      </c>
      <c r="C16" s="62" t="s">
        <v>38</v>
      </c>
    </row>
    <row r="17" spans="2:3">
      <c r="B17" s="28">
        <f t="shared" si="0"/>
        <v>13</v>
      </c>
      <c r="C17" s="62" t="s">
        <v>42</v>
      </c>
    </row>
    <row r="18" spans="2:3">
      <c r="B18" s="28">
        <f t="shared" si="0"/>
        <v>14</v>
      </c>
      <c r="C18" s="62" t="s">
        <v>43</v>
      </c>
    </row>
    <row r="19" spans="2:3">
      <c r="B19" s="52">
        <f t="shared" si="0"/>
        <v>15</v>
      </c>
      <c r="C19" s="53" t="s">
        <v>44</v>
      </c>
    </row>
    <row r="20" spans="2:3">
      <c r="B20" s="28">
        <f t="shared" si="0"/>
        <v>16</v>
      </c>
      <c r="C20" s="62" t="s">
        <v>1</v>
      </c>
    </row>
    <row r="21" spans="2:3">
      <c r="B21" s="28">
        <f t="shared" si="0"/>
        <v>17</v>
      </c>
      <c r="C21" s="62" t="s">
        <v>0</v>
      </c>
    </row>
    <row r="22" spans="2:3">
      <c r="B22" s="28">
        <f t="shared" si="0"/>
        <v>18</v>
      </c>
      <c r="C22" s="62" t="s">
        <v>392</v>
      </c>
    </row>
    <row r="23" spans="2:3">
      <c r="B23" s="28">
        <f t="shared" si="0"/>
        <v>19</v>
      </c>
      <c r="C23" s="62" t="s">
        <v>393</v>
      </c>
    </row>
    <row r="24" spans="2:3">
      <c r="B24" s="28">
        <f t="shared" si="0"/>
        <v>20</v>
      </c>
      <c r="C24" s="62" t="s">
        <v>394</v>
      </c>
    </row>
    <row r="25" spans="2:3">
      <c r="B25" s="28">
        <f t="shared" si="0"/>
        <v>21</v>
      </c>
      <c r="C25" s="62" t="s">
        <v>395</v>
      </c>
    </row>
  </sheetData>
  <mergeCells count="1">
    <mergeCell ref="B1:C1"/>
  </mergeCells>
  <hyperlinks>
    <hyperlink ref="C6" location="'P&amp;L assumptions'!A1" display="P&amp;L assumptions"/>
    <hyperlink ref="C7" location="'BS assumptions'!A1" display="BS assumptions"/>
    <hyperlink ref="C10" location="'P&amp;L'!A1" display="P&amp;L"/>
    <hyperlink ref="C11" location="BS!A1" display="BS"/>
    <hyperlink ref="C12" location="'Cash Flow'!A1" display="Cash Flow"/>
    <hyperlink ref="C13" location="'DCF valuation'!A1" display="DCF valuation"/>
    <hyperlink ref="C15" location="'Revenues&amp;Ebitda'!A1" display="Revenue&amp;Ebitda"/>
    <hyperlink ref="C16" location="'Cash flows'!A1" display="Cash flows"/>
    <hyperlink ref="C17" location="'Working capital'!A1" display="Working capital"/>
    <hyperlink ref="C18" location="'DCF results'!A1" display="DCF results"/>
    <hyperlink ref="C20" location="'P&amp;L source'!A1" display="P&amp;L source"/>
    <hyperlink ref="C21" location="'BS source'!A1" display="BS source"/>
    <hyperlink ref="C9" location="'2.Output--&gt;'!A1" display="2.Output --&gt;"/>
    <hyperlink ref="C8:C25" location="'BS assumptions'!A1" display="BS assumptions"/>
    <hyperlink ref="C8" location="'WACC Calculation'!A1" display="BS assumptions"/>
    <hyperlink ref="C22" location="'Risk free rate'!A1" display="BS assumptions"/>
    <hyperlink ref="C23" location="'Risk premium'!A1" display="BS assumptions"/>
    <hyperlink ref="C24" location="Betas!A1" display="BS assumptions"/>
    <hyperlink ref="C25" location="'Size risk premium'!A1" display="BS assumptions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showGridLines="0" workbookViewId="0">
      <selection activeCell="G38" sqref="G38"/>
    </sheetView>
  </sheetViews>
  <sheetFormatPr defaultColWidth="9.1796875" defaultRowHeight="11.5"/>
  <cols>
    <col min="1" max="1" width="2" style="7" customWidth="1"/>
    <col min="2" max="2" width="22.7265625" style="7" customWidth="1"/>
    <col min="3" max="3" width="10" style="7" bestFit="1" customWidth="1"/>
    <col min="4" max="4" width="9.1796875" style="7"/>
    <col min="5" max="5" width="11.54296875" style="7" bestFit="1" customWidth="1"/>
    <col min="6" max="6" width="2" style="7" customWidth="1"/>
    <col min="7" max="7" width="10" style="7" bestFit="1" customWidth="1"/>
    <col min="8" max="11" width="9.1796875" style="7"/>
    <col min="12" max="12" width="2" style="7" customWidth="1"/>
    <col min="13" max="16384" width="9.1796875" style="7"/>
  </cols>
  <sheetData>
    <row r="1" spans="1:20" ht="15.5">
      <c r="B1" s="6" t="s">
        <v>4</v>
      </c>
    </row>
    <row r="2" spans="1:20">
      <c r="M2" s="21"/>
    </row>
    <row r="3" spans="1:20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</row>
    <row r="4" spans="1:20" ht="12" thickBot="1">
      <c r="B4" s="21" t="s">
        <v>376</v>
      </c>
      <c r="C4" s="262">
        <f>'WACC Calculation'!D22</f>
        <v>0.06</v>
      </c>
      <c r="D4" s="21"/>
      <c r="E4" s="21"/>
      <c r="F4" s="21"/>
      <c r="G4" s="21"/>
      <c r="H4" s="21"/>
      <c r="I4" s="21"/>
      <c r="J4" s="38"/>
      <c r="K4" s="21"/>
      <c r="L4" s="21"/>
      <c r="M4" s="21"/>
      <c r="N4" s="21"/>
      <c r="O4" s="21"/>
      <c r="P4" s="21"/>
      <c r="Q4" s="21"/>
      <c r="R4" s="21"/>
      <c r="S4" s="21"/>
      <c r="T4" s="21"/>
    </row>
    <row r="5" spans="1:20">
      <c r="B5" s="21" t="s">
        <v>377</v>
      </c>
      <c r="C5" s="263">
        <f>IF('P&amp;L'!K38&lt;1%,1%,(IF(('P&amp;L'!K38),IF('P&amp;L'!K38&gt;3%,3%,'P&amp;L'!K38))))</f>
        <v>2.8464138254514961E-2</v>
      </c>
      <c r="D5" s="21"/>
      <c r="E5" s="21"/>
      <c r="F5" s="21"/>
      <c r="L5" s="21"/>
      <c r="M5" s="21"/>
      <c r="N5" s="21"/>
      <c r="O5" s="21"/>
      <c r="P5" s="21"/>
      <c r="Q5" s="21"/>
      <c r="R5" s="21"/>
      <c r="S5" s="21"/>
      <c r="T5" s="21"/>
    </row>
    <row r="6" spans="1:20" ht="3.5" customHeight="1"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</row>
    <row r="7" spans="1:20" s="271" customFormat="1">
      <c r="B7" s="272"/>
      <c r="C7" s="273"/>
      <c r="D7" s="272"/>
      <c r="E7" s="272"/>
      <c r="F7" s="272"/>
      <c r="G7" s="21">
        <v>1</v>
      </c>
      <c r="H7" s="21">
        <v>2</v>
      </c>
      <c r="I7" s="21">
        <v>3</v>
      </c>
      <c r="J7" s="21">
        <v>4</v>
      </c>
      <c r="K7" s="21">
        <v>5</v>
      </c>
      <c r="L7" s="272"/>
      <c r="M7" s="272"/>
      <c r="N7" s="272"/>
      <c r="O7" s="272"/>
      <c r="P7" s="272"/>
      <c r="Q7" s="272"/>
      <c r="R7" s="272"/>
      <c r="S7" s="272"/>
      <c r="T7" s="272"/>
    </row>
    <row r="8" spans="1:20" ht="23.5" thickBot="1">
      <c r="B8" s="17" t="s">
        <v>72</v>
      </c>
      <c r="C8" s="18" t="s">
        <v>53</v>
      </c>
      <c r="D8" s="18" t="s">
        <v>54</v>
      </c>
      <c r="E8" s="18" t="s">
        <v>55</v>
      </c>
      <c r="F8" s="22"/>
      <c r="G8" s="19" t="s">
        <v>56</v>
      </c>
      <c r="H8" s="19" t="s">
        <v>57</v>
      </c>
      <c r="I8" s="19" t="s">
        <v>58</v>
      </c>
      <c r="J8" s="19" t="s">
        <v>59</v>
      </c>
      <c r="K8" s="19" t="s">
        <v>60</v>
      </c>
      <c r="M8" s="23" t="s">
        <v>35</v>
      </c>
      <c r="N8" s="21"/>
      <c r="O8" s="21"/>
      <c r="P8" s="21"/>
      <c r="Q8" s="21"/>
      <c r="R8" s="21"/>
      <c r="S8" s="21"/>
      <c r="T8" s="21"/>
    </row>
    <row r="9" spans="1:20">
      <c r="B9" s="21" t="s">
        <v>356</v>
      </c>
      <c r="C9" s="264"/>
      <c r="D9" s="265"/>
      <c r="E9" s="265"/>
      <c r="F9" s="21"/>
      <c r="G9" s="35">
        <f>'Cash Flow'!G26</f>
        <v>2425.2533773868095</v>
      </c>
      <c r="H9" s="35">
        <f>'Cash Flow'!H26</f>
        <v>2514.9557281212196</v>
      </c>
      <c r="I9" s="35">
        <f>'Cash Flow'!I26</f>
        <v>2606.4431752175014</v>
      </c>
      <c r="J9" s="35">
        <f>'Cash Flow'!J26</f>
        <v>2701.2637503932519</v>
      </c>
      <c r="K9" s="35">
        <f>'Cash Flow'!K26</f>
        <v>2799.5390794925779</v>
      </c>
      <c r="L9" s="21"/>
      <c r="M9" s="21"/>
      <c r="N9" s="21"/>
      <c r="O9" s="21"/>
      <c r="P9" s="21"/>
      <c r="Q9" s="21"/>
      <c r="R9" s="21"/>
      <c r="S9" s="21"/>
      <c r="T9" s="21"/>
    </row>
    <row r="10" spans="1:20">
      <c r="B10" s="21"/>
      <c r="C10" s="264"/>
      <c r="D10" s="264"/>
      <c r="E10" s="264"/>
      <c r="F10" s="21"/>
      <c r="G10" s="35"/>
      <c r="H10" s="35"/>
      <c r="I10" s="35"/>
      <c r="J10" s="35"/>
      <c r="K10" s="35"/>
      <c r="L10" s="21"/>
      <c r="M10" s="21"/>
      <c r="N10" s="21"/>
      <c r="O10" s="21"/>
      <c r="P10" s="21"/>
      <c r="Q10" s="21"/>
      <c r="R10" s="21"/>
      <c r="S10" s="21"/>
      <c r="T10" s="21"/>
    </row>
    <row r="11" spans="1:20">
      <c r="A11" s="21"/>
      <c r="B11" s="21" t="s">
        <v>378</v>
      </c>
      <c r="C11" s="264"/>
      <c r="D11" s="264"/>
      <c r="E11" s="264"/>
      <c r="F11" s="21"/>
      <c r="G11" s="56">
        <f>1/(1+$C$4)^G7</f>
        <v>0.94339622641509424</v>
      </c>
      <c r="H11" s="56">
        <f t="shared" ref="H11:K11" si="0">1/(1+$C$4)^H7</f>
        <v>0.88999644001423983</v>
      </c>
      <c r="I11" s="56">
        <f t="shared" si="0"/>
        <v>0.8396192830323016</v>
      </c>
      <c r="J11" s="56">
        <f t="shared" si="0"/>
        <v>0.79209366323802044</v>
      </c>
      <c r="K11" s="56">
        <f t="shared" si="0"/>
        <v>0.74725817286605689</v>
      </c>
      <c r="L11" s="21"/>
      <c r="M11" s="21"/>
      <c r="N11" s="21"/>
      <c r="O11" s="21"/>
      <c r="P11" s="21"/>
      <c r="Q11" s="21"/>
      <c r="R11" s="21"/>
      <c r="S11" s="21"/>
      <c r="T11" s="21"/>
    </row>
    <row r="12" spans="1:20">
      <c r="A12" s="21"/>
      <c r="B12" s="266" t="s">
        <v>379</v>
      </c>
      <c r="C12" s="267"/>
      <c r="D12" s="267"/>
      <c r="E12" s="267"/>
      <c r="F12" s="80"/>
      <c r="G12" s="82">
        <f>G11*G9</f>
        <v>2287.9748843271786</v>
      </c>
      <c r="H12" s="82">
        <f t="shared" ref="H12:K12" si="1">H11*H9</f>
        <v>2238.3016448213061</v>
      </c>
      <c r="I12" s="82">
        <f t="shared" si="1"/>
        <v>2188.4199500405543</v>
      </c>
      <c r="J12" s="82">
        <f t="shared" si="1"/>
        <v>2139.6538994210646</v>
      </c>
      <c r="K12" s="82">
        <f t="shared" si="1"/>
        <v>2091.9784574087466</v>
      </c>
      <c r="L12" s="21"/>
      <c r="M12" s="7" t="s">
        <v>380</v>
      </c>
      <c r="N12" s="21"/>
      <c r="O12" s="21"/>
      <c r="P12" s="21"/>
      <c r="Q12" s="21"/>
      <c r="R12" s="21"/>
      <c r="S12" s="21"/>
      <c r="T12" s="21"/>
    </row>
    <row r="13" spans="1:20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  <row r="14" spans="1:20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</row>
    <row r="15" spans="1:20">
      <c r="A15" s="21"/>
      <c r="B15" s="318" t="s">
        <v>4</v>
      </c>
      <c r="C15" s="318"/>
      <c r="D15" s="318"/>
      <c r="E15" s="318"/>
      <c r="F15" s="318"/>
      <c r="G15" s="318"/>
      <c r="H15" s="318"/>
      <c r="I15" s="318"/>
      <c r="J15" s="318"/>
      <c r="K15" s="318"/>
      <c r="L15" s="21"/>
      <c r="M15" s="21"/>
      <c r="N15" s="21"/>
      <c r="O15" s="21"/>
      <c r="P15" s="21"/>
      <c r="Q15" s="21"/>
      <c r="R15" s="21"/>
      <c r="S15" s="21"/>
      <c r="T15" s="21"/>
    </row>
    <row r="16" spans="1:20">
      <c r="A16" s="21"/>
      <c r="B16" s="21" t="s">
        <v>381</v>
      </c>
      <c r="C16" s="37">
        <f>SUM(G12:K12)</f>
        <v>10946.328836018849</v>
      </c>
      <c r="D16" s="21" t="s">
        <v>382</v>
      </c>
      <c r="E16" s="57">
        <f>C16/C$19</f>
        <v>0.13826179215343554</v>
      </c>
      <c r="F16" s="58"/>
      <c r="G16" s="38" t="s">
        <v>383</v>
      </c>
      <c r="H16" s="21"/>
      <c r="I16" s="21"/>
      <c r="J16" s="21"/>
      <c r="K16" s="21"/>
      <c r="L16" s="21"/>
      <c r="M16" s="7" t="s">
        <v>400</v>
      </c>
      <c r="N16" s="21"/>
      <c r="O16" s="21"/>
      <c r="P16" s="21"/>
      <c r="Q16" s="21"/>
      <c r="R16" s="21"/>
      <c r="S16" s="21"/>
      <c r="T16" s="21"/>
    </row>
    <row r="17" spans="1:20">
      <c r="A17" s="21"/>
      <c r="B17" s="21" t="s">
        <v>387</v>
      </c>
      <c r="C17" s="37">
        <f>(K9*(1+C5))/((C4-C5))</f>
        <v>91300.043427936107</v>
      </c>
      <c r="D17" s="21" t="s">
        <v>382</v>
      </c>
      <c r="E17" s="59"/>
      <c r="F17" s="58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</row>
    <row r="18" spans="1:20">
      <c r="A18" s="21"/>
      <c r="B18" s="21" t="s">
        <v>388</v>
      </c>
      <c r="C18" s="37">
        <f>C17*K11</f>
        <v>68224.703634551188</v>
      </c>
      <c r="D18" s="21" t="s">
        <v>382</v>
      </c>
      <c r="E18" s="57">
        <f>C18/C$19</f>
        <v>0.86173820784656452</v>
      </c>
      <c r="F18" s="58"/>
      <c r="G18" s="38" t="s">
        <v>383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</row>
    <row r="19" spans="1:20">
      <c r="A19" s="21"/>
      <c r="B19" s="266" t="s">
        <v>384</v>
      </c>
      <c r="C19" s="80">
        <f>C18+C16</f>
        <v>79171.032470570033</v>
      </c>
      <c r="D19" s="266" t="s">
        <v>382</v>
      </c>
      <c r="E19" s="39"/>
      <c r="F19" s="24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</row>
    <row r="20" spans="1:20">
      <c r="A20" s="21"/>
      <c r="B20" s="268" t="s">
        <v>389</v>
      </c>
      <c r="C20" s="37">
        <f>-BS!E17</f>
        <v>-11275</v>
      </c>
      <c r="D20" s="21" t="s">
        <v>382</v>
      </c>
      <c r="E20" s="37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</row>
    <row r="21" spans="1:20">
      <c r="A21" s="21"/>
      <c r="B21" s="269" t="s">
        <v>385</v>
      </c>
      <c r="C21" s="37">
        <f>BS!E11</f>
        <v>1556</v>
      </c>
      <c r="D21" s="21" t="s">
        <v>382</v>
      </c>
      <c r="E21" s="37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</row>
    <row r="22" spans="1:20">
      <c r="A22" s="21"/>
      <c r="B22" s="266" t="s">
        <v>386</v>
      </c>
      <c r="C22" s="80">
        <f>SUM(C19:C21)</f>
        <v>69452.032470570033</v>
      </c>
      <c r="D22" s="266" t="s">
        <v>382</v>
      </c>
      <c r="E22" s="39"/>
      <c r="F22" s="24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</row>
    <row r="23" spans="1:20"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</row>
    <row r="24" spans="1:20">
      <c r="B24" s="21"/>
      <c r="C24" s="21"/>
      <c r="D24" s="21"/>
      <c r="E24" s="21"/>
      <c r="F24" s="21"/>
      <c r="L24" s="21"/>
      <c r="M24" s="21"/>
      <c r="N24" s="21"/>
      <c r="O24" s="21"/>
      <c r="P24" s="21"/>
      <c r="Q24" s="21"/>
      <c r="R24" s="21"/>
      <c r="S24" s="21"/>
      <c r="T24" s="21"/>
    </row>
    <row r="25" spans="1:20">
      <c r="B25" s="21"/>
      <c r="C25" s="21"/>
      <c r="D25" s="21"/>
      <c r="E25" s="21"/>
      <c r="F25" s="21"/>
      <c r="L25" s="21"/>
      <c r="M25" s="21"/>
      <c r="N25" s="21"/>
      <c r="O25" s="21"/>
      <c r="P25" s="21"/>
      <c r="Q25" s="21"/>
      <c r="R25" s="21"/>
      <c r="S25" s="21"/>
      <c r="T25" s="21"/>
    </row>
    <row r="26" spans="1:20" ht="12" thickBot="1">
      <c r="B26" s="21"/>
      <c r="C26" s="21"/>
      <c r="D26" s="21"/>
      <c r="E26" s="21"/>
      <c r="F26" s="21"/>
      <c r="L26" s="21">
        <v>8</v>
      </c>
      <c r="M26" s="40">
        <f>C19</f>
        <v>79171.032470570033</v>
      </c>
      <c r="N26" s="270">
        <v>0.04</v>
      </c>
      <c r="O26" s="270">
        <v>0.05</v>
      </c>
      <c r="P26" s="270">
        <v>0.06</v>
      </c>
      <c r="Q26" s="270">
        <v>7.0000000000000007E-2</v>
      </c>
      <c r="R26" s="270">
        <v>0.08</v>
      </c>
      <c r="S26" s="21"/>
      <c r="T26" s="21"/>
    </row>
    <row r="27" spans="1:20">
      <c r="B27" s="21"/>
      <c r="C27" s="21"/>
      <c r="D27" s="21"/>
      <c r="E27" s="21"/>
      <c r="F27" s="21"/>
      <c r="L27" s="21"/>
      <c r="M27" s="284">
        <v>2.5000000000000001E-2</v>
      </c>
      <c r="N27" s="35">
        <f t="dataTable" ref="N27:R31" dt2D="1" dtr="1" r1="C4" r2="C5"/>
        <v>168820.54495211341</v>
      </c>
      <c r="O27" s="35">
        <v>101192.29324845165</v>
      </c>
      <c r="P27" s="35">
        <v>72211.412231560709</v>
      </c>
      <c r="Q27" s="35">
        <v>56112.888212465288</v>
      </c>
      <c r="R27" s="35">
        <v>45869.90405249015</v>
      </c>
      <c r="S27" s="21"/>
      <c r="T27" s="21"/>
    </row>
    <row r="28" spans="1:20">
      <c r="B28" s="21"/>
      <c r="C28" s="21"/>
      <c r="D28" s="21"/>
      <c r="E28" s="21"/>
      <c r="F28" s="21"/>
      <c r="L28" s="21"/>
      <c r="M28" s="284">
        <v>2.75E-2</v>
      </c>
      <c r="N28" s="35">
        <v>200727.98146013683</v>
      </c>
      <c r="O28" s="35">
        <v>111428.68315500779</v>
      </c>
      <c r="P28" s="35">
        <v>77085.032374095375</v>
      </c>
      <c r="Q28" s="35">
        <v>58904.724761072895</v>
      </c>
      <c r="R28" s="35">
        <v>47651.501279760589</v>
      </c>
      <c r="S28" s="21"/>
      <c r="T28" s="21"/>
    </row>
    <row r="29" spans="1:20">
      <c r="B29" s="21"/>
      <c r="C29" s="21"/>
      <c r="D29" s="21"/>
      <c r="E29" s="21"/>
      <c r="F29" s="21"/>
      <c r="L29" s="21"/>
      <c r="M29" s="284">
        <v>0.03</v>
      </c>
      <c r="N29" s="35">
        <v>248589.13622217192</v>
      </c>
      <c r="O29" s="35">
        <v>124224.17053820296</v>
      </c>
      <c r="P29" s="35">
        <v>82770.922540385815</v>
      </c>
      <c r="Q29" s="35">
        <v>62045.540878256463</v>
      </c>
      <c r="R29" s="35">
        <v>49611.258229758052</v>
      </c>
    </row>
    <row r="30" spans="1:20">
      <c r="B30" s="21"/>
      <c r="C30" s="21"/>
      <c r="D30" s="21"/>
      <c r="E30" s="21"/>
      <c r="F30" s="21"/>
      <c r="L30" s="21"/>
      <c r="M30" s="284">
        <v>3.2500000000000001E-2</v>
      </c>
      <c r="N30" s="35">
        <v>328357.72749223042</v>
      </c>
      <c r="O30" s="35">
        <v>140675.51145945385</v>
      </c>
      <c r="P30" s="35">
        <v>89490.610918729057</v>
      </c>
      <c r="Q30" s="35">
        <v>65605.132477731153</v>
      </c>
      <c r="R30" s="35">
        <v>51777.305385018422</v>
      </c>
    </row>
    <row r="31" spans="1:20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84">
        <v>3.5000000000000003E-2</v>
      </c>
      <c r="N31" s="35">
        <v>487894.91003234766</v>
      </c>
      <c r="O31" s="35">
        <v>162610.63268778846</v>
      </c>
      <c r="P31" s="35">
        <v>97554.236972740968</v>
      </c>
      <c r="Q31" s="35">
        <v>69673.237162845122</v>
      </c>
      <c r="R31" s="35">
        <v>54184.024446418829</v>
      </c>
    </row>
  </sheetData>
  <mergeCells count="1">
    <mergeCell ref="B15:K15"/>
  </mergeCells>
  <pageMargins left="0.7" right="0.7" top="0.75" bottom="0.75" header="0.3" footer="0.3"/>
  <pageSetup orientation="portrait" r:id="rId1"/>
  <ignoredErrors>
    <ignoredError sqref="N29:P31" evalErro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B11"/>
  <sheetViews>
    <sheetView workbookViewId="0">
      <selection activeCell="K16" sqref="K16"/>
    </sheetView>
  </sheetViews>
  <sheetFormatPr defaultColWidth="9.1796875" defaultRowHeight="11.5"/>
  <cols>
    <col min="1" max="1" width="2" style="1" customWidth="1"/>
    <col min="2" max="16384" width="9.1796875" style="1"/>
  </cols>
  <sheetData>
    <row r="1" spans="2:2" ht="15.5">
      <c r="B1" s="2"/>
    </row>
    <row r="11" spans="2:2" ht="40">
      <c r="B11" s="3" t="s">
        <v>45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"/>
  <sheetViews>
    <sheetView workbookViewId="0">
      <selection activeCell="E29" sqref="E29"/>
    </sheetView>
  </sheetViews>
  <sheetFormatPr defaultColWidth="9.1796875" defaultRowHeight="11.5"/>
  <cols>
    <col min="1" max="1" width="2" style="1" customWidth="1"/>
    <col min="2" max="2" width="24.1796875" style="1" bestFit="1" customWidth="1"/>
    <col min="3" max="5" width="9.1796875" style="1"/>
    <col min="6" max="6" width="2" style="1" customWidth="1"/>
    <col min="7" max="16384" width="9.1796875" style="1"/>
  </cols>
  <sheetData>
    <row r="1" spans="2:11" ht="15.5">
      <c r="B1" s="2" t="s">
        <v>37</v>
      </c>
    </row>
    <row r="3" spans="2:11" ht="23.5" thickBot="1">
      <c r="B3" s="17" t="str">
        <f>'P&amp;L'!B3</f>
        <v>$ in millions</v>
      </c>
      <c r="C3" s="18" t="s">
        <v>53</v>
      </c>
      <c r="D3" s="18" t="s">
        <v>54</v>
      </c>
      <c r="E3" s="18" t="s">
        <v>55</v>
      </c>
      <c r="F3" s="22"/>
      <c r="G3" s="19" t="s">
        <v>56</v>
      </c>
      <c r="H3" s="19" t="s">
        <v>57</v>
      </c>
      <c r="I3" s="19" t="s">
        <v>58</v>
      </c>
      <c r="J3" s="19" t="s">
        <v>59</v>
      </c>
      <c r="K3" s="19" t="s">
        <v>60</v>
      </c>
    </row>
    <row r="4" spans="2:11">
      <c r="B4" s="1" t="str">
        <f>'P&amp;L assumptions'!B6</f>
        <v>Revenue from sales</v>
      </c>
      <c r="C4" s="274">
        <f>'P&amp;L'!C5</f>
        <v>69414</v>
      </c>
      <c r="D4" s="274">
        <f>'P&amp;L'!D5</f>
        <v>71786</v>
      </c>
      <c r="E4" s="274">
        <f>'P&amp;L'!E5</f>
        <v>74433</v>
      </c>
      <c r="F4" s="274"/>
      <c r="G4" s="275">
        <f>'P&amp;L'!G5</f>
        <v>77077.056141694775</v>
      </c>
      <c r="H4" s="275">
        <f>'P&amp;L'!H5</f>
        <v>79815.036119328361</v>
      </c>
      <c r="I4" s="275">
        <f>'P&amp;L'!I5</f>
        <v>82650.276354854272</v>
      </c>
      <c r="J4" s="275">
        <f>'P&amp;L'!J5</f>
        <v>85586.231788718593</v>
      </c>
      <c r="K4" s="275">
        <f>'P&amp;L'!K5</f>
        <v>88626.480089948876</v>
      </c>
    </row>
    <row r="5" spans="2:11">
      <c r="B5" s="1" t="s">
        <v>9</v>
      </c>
      <c r="C5" s="274">
        <f>'P&amp;L'!C12</f>
        <v>6909</v>
      </c>
      <c r="D5" s="274">
        <f>'P&amp;L'!D12</f>
        <v>6449</v>
      </c>
      <c r="E5" s="274">
        <f>'P&amp;L'!E12</f>
        <v>6334</v>
      </c>
      <c r="F5" s="274"/>
      <c r="G5" s="275">
        <f>'P&amp;L'!G12</f>
        <v>6886.678038117414</v>
      </c>
      <c r="H5" s="275">
        <f>'P&amp;L'!H12</f>
        <v>7134.3856508464705</v>
      </c>
      <c r="I5" s="275">
        <f>'P&amp;L'!I12</f>
        <v>7391.0115711885774</v>
      </c>
      <c r="J5" s="275">
        <f>'P&amp;L'!J12</f>
        <v>7656.8772128719356</v>
      </c>
      <c r="K5" s="275">
        <f>'P&amp;L'!K12</f>
        <v>7932.3155857060592</v>
      </c>
    </row>
    <row r="6" spans="2:11">
      <c r="B6" s="1" t="s">
        <v>390</v>
      </c>
      <c r="C6" s="276">
        <f>C5/C4</f>
        <v>9.9533235370386372E-2</v>
      </c>
      <c r="D6" s="276">
        <f>D5/D4</f>
        <v>8.9836458362354779E-2</v>
      </c>
      <c r="E6" s="276">
        <f>E5/E4</f>
        <v>8.5096664114035436E-2</v>
      </c>
      <c r="F6" s="276"/>
      <c r="G6" s="277">
        <f>G5/G4</f>
        <v>8.9347964009643469E-2</v>
      </c>
      <c r="H6" s="277">
        <f>H5/H4</f>
        <v>8.9386486528429648E-2</v>
      </c>
      <c r="I6" s="277">
        <f>I5/I4</f>
        <v>8.9425128349912453E-2</v>
      </c>
      <c r="J6" s="277">
        <f>J5/J4</f>
        <v>8.9463889843567276E-2</v>
      </c>
      <c r="K6" s="277">
        <f>K5/K4</f>
        <v>8.9502771380014029E-2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"/>
  <sheetViews>
    <sheetView workbookViewId="0">
      <selection activeCell="B45" sqref="B45"/>
    </sheetView>
  </sheetViews>
  <sheetFormatPr defaultColWidth="9.1796875" defaultRowHeight="11.5"/>
  <cols>
    <col min="1" max="1" width="2" style="1" customWidth="1"/>
    <col min="2" max="2" width="19.453125" style="1" bestFit="1" customWidth="1"/>
    <col min="3" max="16384" width="9.1796875" style="1"/>
  </cols>
  <sheetData>
    <row r="1" spans="2:7" ht="15.5">
      <c r="B1" s="2" t="s">
        <v>38</v>
      </c>
    </row>
    <row r="3" spans="2:7" ht="23.5" thickBot="1">
      <c r="B3" s="17" t="s">
        <v>72</v>
      </c>
      <c r="C3" s="19" t="s">
        <v>56</v>
      </c>
      <c r="D3" s="19" t="s">
        <v>57</v>
      </c>
      <c r="E3" s="19" t="s">
        <v>58</v>
      </c>
      <c r="F3" s="19" t="s">
        <v>59</v>
      </c>
      <c r="G3" s="19" t="s">
        <v>60</v>
      </c>
    </row>
    <row r="4" spans="2:7">
      <c r="B4" s="7" t="s">
        <v>356</v>
      </c>
      <c r="C4" s="27">
        <f>'DCF valuation'!G9</f>
        <v>2425.2533773868095</v>
      </c>
      <c r="D4" s="27">
        <f>'DCF valuation'!H9</f>
        <v>2514.9557281212196</v>
      </c>
      <c r="E4" s="27">
        <f>'DCF valuation'!I9</f>
        <v>2606.4431752175014</v>
      </c>
      <c r="F4" s="27">
        <f>'DCF valuation'!J9</f>
        <v>2701.2637503932519</v>
      </c>
      <c r="G4" s="27">
        <f>'DCF valuation'!K9</f>
        <v>2799.5390794925779</v>
      </c>
    </row>
    <row r="5" spans="2:7">
      <c r="B5" s="7" t="s">
        <v>391</v>
      </c>
      <c r="C5" s="27">
        <f>C4*'DCF valuation'!G11</f>
        <v>2287.9748843271786</v>
      </c>
      <c r="D5" s="27">
        <f>D4*'DCF valuation'!H11</f>
        <v>2238.3016448213061</v>
      </c>
      <c r="E5" s="27">
        <f>E4*'DCF valuation'!I11</f>
        <v>2188.4199500405543</v>
      </c>
      <c r="F5" s="27">
        <f>F4*'DCF valuation'!J11</f>
        <v>2139.6538994210646</v>
      </c>
      <c r="G5" s="27">
        <f>G4*'DCF valuation'!K11</f>
        <v>2091.9784574087466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workbookViewId="0">
      <selection activeCell="O19" sqref="O19"/>
    </sheetView>
  </sheetViews>
  <sheetFormatPr defaultColWidth="9.1796875" defaultRowHeight="11.5"/>
  <cols>
    <col min="1" max="1" width="2" style="1" customWidth="1"/>
    <col min="2" max="2" width="18.453125" style="1" bestFit="1" customWidth="1"/>
    <col min="3" max="5" width="9.1796875" style="1"/>
    <col min="6" max="6" width="2" style="1" customWidth="1"/>
    <col min="7" max="16384" width="9.1796875" style="1"/>
  </cols>
  <sheetData>
    <row r="1" spans="2:11" ht="15.5">
      <c r="B1" s="2" t="s">
        <v>42</v>
      </c>
    </row>
    <row r="3" spans="2:11" ht="23.5" thickBot="1">
      <c r="B3" s="17" t="str">
        <f>BS!B3</f>
        <v>$ in millions</v>
      </c>
      <c r="C3" s="18" t="s">
        <v>53</v>
      </c>
      <c r="D3" s="18" t="s">
        <v>54</v>
      </c>
      <c r="E3" s="18" t="s">
        <v>55</v>
      </c>
      <c r="F3" s="22"/>
      <c r="G3" s="19" t="s">
        <v>56</v>
      </c>
      <c r="H3" s="19" t="s">
        <v>57</v>
      </c>
      <c r="I3" s="19" t="s">
        <v>58</v>
      </c>
      <c r="J3" s="19" t="s">
        <v>59</v>
      </c>
      <c r="K3" s="19" t="s">
        <v>60</v>
      </c>
    </row>
    <row r="4" spans="2:11">
      <c r="B4" s="11" t="str">
        <f>BS!B8</f>
        <v>Inventory</v>
      </c>
      <c r="C4" s="274">
        <f>BS!C8</f>
        <v>8309</v>
      </c>
      <c r="D4" s="274">
        <f>BS!D8</f>
        <v>8597</v>
      </c>
      <c r="E4" s="274">
        <f>BS!E8</f>
        <v>9497</v>
      </c>
      <c r="F4" s="274"/>
      <c r="G4" s="275">
        <f>BS!G8</f>
        <v>9781.0631428895285</v>
      </c>
      <c r="H4" s="275">
        <f>BS!H8</f>
        <v>10128.512259212415</v>
      </c>
      <c r="I4" s="275">
        <f>BS!I8</f>
        <v>10488.303682978772</v>
      </c>
      <c r="J4" s="275">
        <f>BS!J8</f>
        <v>10860.875845446226</v>
      </c>
      <c r="K4" s="275">
        <f>BS!K8</f>
        <v>11246.682752105055</v>
      </c>
    </row>
    <row r="5" spans="2:11">
      <c r="B5" s="1" t="str">
        <f>BS!B9</f>
        <v>Receivables</v>
      </c>
      <c r="C5" s="274">
        <f>BS!C9</f>
        <v>749</v>
      </c>
      <c r="D5" s="274">
        <f>BS!D9</f>
        <v>929</v>
      </c>
      <c r="E5" s="274">
        <f>BS!E9</f>
        <v>1100</v>
      </c>
      <c r="F5" s="274"/>
      <c r="G5" s="275">
        <f>BS!G9</f>
        <v>1139.0748962941741</v>
      </c>
      <c r="H5" s="275">
        <f>BS!H9</f>
        <v>1179.5378357887121</v>
      </c>
      <c r="I5" s="275">
        <f>BS!I9</f>
        <v>1221.4381254328014</v>
      </c>
      <c r="J5" s="275">
        <f>BS!J9</f>
        <v>1264.8268236882896</v>
      </c>
      <c r="K5" s="275">
        <f>BS!K9</f>
        <v>1309.7568027480254</v>
      </c>
    </row>
    <row r="6" spans="2:11">
      <c r="B6" s="1" t="str">
        <f>BS!B15</f>
        <v>Accounts payable</v>
      </c>
      <c r="C6" s="274">
        <f>BS!C15</f>
        <v>7252</v>
      </c>
      <c r="D6" s="274">
        <f>BS!D15</f>
        <v>8677</v>
      </c>
      <c r="E6" s="274">
        <f>BS!E15</f>
        <v>9761</v>
      </c>
      <c r="F6" s="274"/>
      <c r="G6" s="275">
        <f>BS!G15</f>
        <v>10052.959601742095</v>
      </c>
      <c r="H6" s="275">
        <f>BS!H15</f>
        <v>10410.067196185362</v>
      </c>
      <c r="I6" s="275">
        <f>BS!I15</f>
        <v>10779.860192645656</v>
      </c>
      <c r="J6" s="275">
        <f>BS!J15</f>
        <v>11162.789210003224</v>
      </c>
      <c r="K6" s="275">
        <f>BS!K15</f>
        <v>11559.320874307405</v>
      </c>
    </row>
    <row r="7" spans="2:11">
      <c r="B7" s="278" t="s">
        <v>42</v>
      </c>
      <c r="C7" s="279">
        <f>C4+C5-C6</f>
        <v>1806</v>
      </c>
      <c r="D7" s="279">
        <f>D4+D5-D6</f>
        <v>849</v>
      </c>
      <c r="E7" s="279">
        <f>E4+E5-E6</f>
        <v>836</v>
      </c>
      <c r="F7" s="279"/>
      <c r="G7" s="280">
        <f>G4+G5-G6</f>
        <v>867.17843744160746</v>
      </c>
      <c r="H7" s="280">
        <f>H4+H5-H6</f>
        <v>897.9828988157642</v>
      </c>
      <c r="I7" s="280">
        <f>I4+I5-I6</f>
        <v>929.88161576591847</v>
      </c>
      <c r="J7" s="280">
        <f>J4+J5-J6</f>
        <v>962.91345913129226</v>
      </c>
      <c r="K7" s="280">
        <f>K4+K5-K6</f>
        <v>997.11868054567458</v>
      </c>
    </row>
    <row r="9" spans="2:11">
      <c r="B9" s="11" t="s">
        <v>396</v>
      </c>
      <c r="C9" s="274">
        <f>'BS assumptions'!C7</f>
        <v>3.8845189731178147</v>
      </c>
      <c r="D9" s="274">
        <f>'BS assumptions'!D7</f>
        <v>4.6588471289666504</v>
      </c>
      <c r="E9" s="274">
        <f>'BS assumptions'!E7</f>
        <v>5.3202208697755031</v>
      </c>
      <c r="F9" s="274"/>
      <c r="G9" s="275">
        <f>'BS assumptions'!G7</f>
        <v>5.3202208697755031</v>
      </c>
      <c r="H9" s="275">
        <f>'BS assumptions'!H7</f>
        <v>5.3202208697755031</v>
      </c>
      <c r="I9" s="275">
        <f>'BS assumptions'!I7</f>
        <v>5.3202208697755031</v>
      </c>
      <c r="J9" s="275">
        <f>'BS assumptions'!J7</f>
        <v>5.3202208697755031</v>
      </c>
      <c r="K9" s="275">
        <f>'BS assumptions'!K7</f>
        <v>5.3202208697755031</v>
      </c>
    </row>
    <row r="10" spans="2:11">
      <c r="B10" s="1" t="s">
        <v>397</v>
      </c>
      <c r="C10" s="274">
        <f>'BS assumptions'!C10</f>
        <v>60.865601790619593</v>
      </c>
      <c r="D10" s="274">
        <f>'BS assumptions'!D10</f>
        <v>60.536332518337403</v>
      </c>
      <c r="E10" s="274">
        <f>'BS assumptions'!E10</f>
        <v>64.146044015835201</v>
      </c>
      <c r="F10" s="274"/>
      <c r="G10" s="275">
        <f>'BS assumptions'!G10</f>
        <v>64.146044015835201</v>
      </c>
      <c r="H10" s="275">
        <f>'BS assumptions'!H10</f>
        <v>64.146044015835201</v>
      </c>
      <c r="I10" s="275">
        <f>'BS assumptions'!I10</f>
        <v>64.146044015835201</v>
      </c>
      <c r="J10" s="275">
        <f>'BS assumptions'!J10</f>
        <v>64.146044015835201</v>
      </c>
      <c r="K10" s="275">
        <f>'BS assumptions'!K10</f>
        <v>64.146044015835201</v>
      </c>
    </row>
    <row r="11" spans="2:11">
      <c r="B11" s="1" t="s">
        <v>398</v>
      </c>
      <c r="C11" s="274">
        <f>'BS assumptions'!C13</f>
        <v>53.1227998779123</v>
      </c>
      <c r="D11" s="274">
        <f>'BS assumptions'!D13</f>
        <v>61.099657701711493</v>
      </c>
      <c r="E11" s="274">
        <f>'BS assumptions'!E13</f>
        <v>65.929191917296762</v>
      </c>
      <c r="F11" s="274"/>
      <c r="G11" s="275">
        <f>'BS assumptions'!G13</f>
        <v>65.929191917296762</v>
      </c>
      <c r="H11" s="275">
        <f>'BS assumptions'!H13</f>
        <v>65.929191917296762</v>
      </c>
      <c r="I11" s="275">
        <f>'BS assumptions'!I13</f>
        <v>65.929191917296762</v>
      </c>
      <c r="J11" s="275">
        <f>'BS assumptions'!J13</f>
        <v>65.929191917296762</v>
      </c>
      <c r="K11" s="275">
        <f>'BS assumptions'!K13</f>
        <v>65.929191917296762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7"/>
  <sheetViews>
    <sheetView topLeftCell="B1" workbookViewId="0">
      <selection activeCell="G33" sqref="G33"/>
    </sheetView>
  </sheetViews>
  <sheetFormatPr defaultColWidth="9.1796875" defaultRowHeight="11.5"/>
  <cols>
    <col min="1" max="1" width="2" style="1" customWidth="1"/>
    <col min="2" max="2" width="19.1796875" style="1" bestFit="1" customWidth="1"/>
    <col min="3" max="6" width="9.1796875" style="1"/>
    <col min="7" max="7" width="19.1796875" style="1" bestFit="1" customWidth="1"/>
    <col min="8" max="12" width="9.1796875" style="1"/>
    <col min="13" max="13" width="19.1796875" style="1" bestFit="1" customWidth="1"/>
    <col min="14" max="16384" width="9.1796875" style="1"/>
  </cols>
  <sheetData>
    <row r="1" spans="2:14" ht="15.5">
      <c r="B1" s="2" t="s">
        <v>43</v>
      </c>
    </row>
    <row r="4" spans="2:14" ht="12" thickBot="1">
      <c r="B4" s="281" t="s">
        <v>49</v>
      </c>
      <c r="C4" s="282"/>
      <c r="G4" s="281" t="s">
        <v>50</v>
      </c>
      <c r="H4" s="282"/>
      <c r="M4" s="281" t="s">
        <v>51</v>
      </c>
      <c r="N4" s="282"/>
    </row>
    <row r="5" spans="2:14">
      <c r="B5" s="1" t="s">
        <v>384</v>
      </c>
      <c r="C5" s="49">
        <v>117328.62341034066</v>
      </c>
      <c r="G5" s="1" t="s">
        <v>384</v>
      </c>
      <c r="H5" s="49">
        <v>79171.032470570033</v>
      </c>
      <c r="M5" s="1" t="s">
        <v>384</v>
      </c>
      <c r="N5" s="274">
        <v>40724.96839432462</v>
      </c>
    </row>
    <row r="6" spans="2:14">
      <c r="B6" s="1" t="s">
        <v>399</v>
      </c>
      <c r="C6" s="276">
        <v>0.131016021302515</v>
      </c>
      <c r="G6" s="1" t="s">
        <v>399</v>
      </c>
      <c r="H6" s="283">
        <v>0.14213797446338869</v>
      </c>
      <c r="M6" s="1" t="s">
        <v>399</v>
      </c>
      <c r="N6" s="276">
        <v>0.17456144018037778</v>
      </c>
    </row>
    <row r="7" spans="2:14">
      <c r="B7" s="1" t="s">
        <v>387</v>
      </c>
      <c r="C7" s="276">
        <f>1-C6</f>
        <v>0.868983978697485</v>
      </c>
      <c r="G7" s="1" t="s">
        <v>387</v>
      </c>
      <c r="H7" s="276">
        <f>1-H6</f>
        <v>0.85786202553661128</v>
      </c>
      <c r="M7" s="1" t="s">
        <v>387</v>
      </c>
      <c r="N7" s="276">
        <f>1-N6</f>
        <v>0.82543855981962222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B11"/>
  <sheetViews>
    <sheetView workbookViewId="0">
      <selection activeCell="D11" sqref="D11"/>
    </sheetView>
  </sheetViews>
  <sheetFormatPr defaultColWidth="9.1796875" defaultRowHeight="11.5"/>
  <cols>
    <col min="1" max="1" width="2" style="1" customWidth="1"/>
    <col min="2" max="16384" width="9.1796875" style="1"/>
  </cols>
  <sheetData>
    <row r="1" spans="2:2" ht="15.5">
      <c r="B1" s="2"/>
    </row>
    <row r="11" spans="2:2" ht="40">
      <c r="B11" s="3" t="s">
        <v>46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3"/>
  <sheetViews>
    <sheetView zoomScaleNormal="100" workbookViewId="0">
      <selection activeCell="C36" sqref="C36"/>
    </sheetView>
  </sheetViews>
  <sheetFormatPr defaultColWidth="9.1796875" defaultRowHeight="11.5"/>
  <cols>
    <col min="1" max="1" width="2" style="7" customWidth="1"/>
    <col min="2" max="2" width="27.81640625" style="7" bestFit="1" customWidth="1"/>
    <col min="3" max="3" width="9.1796875" style="7"/>
    <col min="4" max="6" width="10.54296875" style="7" bestFit="1" customWidth="1"/>
    <col min="7" max="16384" width="9.1796875" style="7"/>
  </cols>
  <sheetData>
    <row r="1" spans="2:13" ht="15.5">
      <c r="B1" s="6" t="s">
        <v>1</v>
      </c>
    </row>
    <row r="3" spans="2:13" ht="23">
      <c r="B3" s="8" t="s">
        <v>71</v>
      </c>
      <c r="C3" s="8"/>
      <c r="D3" s="9" t="s">
        <v>61</v>
      </c>
      <c r="E3" s="9" t="s">
        <v>62</v>
      </c>
      <c r="F3" s="9" t="s">
        <v>63</v>
      </c>
    </row>
    <row r="4" spans="2:13">
      <c r="B4" s="7" t="s">
        <v>84</v>
      </c>
      <c r="D4" s="13">
        <v>69414</v>
      </c>
      <c r="E4" s="13">
        <v>71786</v>
      </c>
      <c r="F4" s="13">
        <v>74433</v>
      </c>
    </row>
    <row r="5" spans="2:13">
      <c r="B5" s="7" t="s">
        <v>7</v>
      </c>
      <c r="D5" s="13">
        <v>857</v>
      </c>
      <c r="E5" s="13">
        <v>928</v>
      </c>
      <c r="F5" s="13">
        <v>923</v>
      </c>
      <c r="J5" s="63"/>
      <c r="K5" s="63"/>
      <c r="L5" s="63"/>
      <c r="M5" s="63"/>
    </row>
    <row r="6" spans="2:13">
      <c r="B6" s="33" t="s">
        <v>8</v>
      </c>
      <c r="C6" s="33"/>
      <c r="D6" s="34">
        <f>D4+D5</f>
        <v>70271</v>
      </c>
      <c r="E6" s="34">
        <f>E4+E5</f>
        <v>72714</v>
      </c>
      <c r="F6" s="34">
        <f>F4+F5</f>
        <v>75356</v>
      </c>
      <c r="G6" s="21"/>
    </row>
    <row r="7" spans="2:13">
      <c r="D7" s="13"/>
      <c r="E7" s="13"/>
      <c r="F7" s="13"/>
    </row>
    <row r="8" spans="2:13">
      <c r="B8" s="7" t="s">
        <v>95</v>
      </c>
      <c r="D8" s="13">
        <v>-49145</v>
      </c>
      <c r="E8" s="13">
        <v>-51125</v>
      </c>
      <c r="F8" s="13">
        <v>-53299</v>
      </c>
    </row>
    <row r="9" spans="2:13">
      <c r="B9" s="7" t="s">
        <v>85</v>
      </c>
      <c r="D9" s="13">
        <v>-14217</v>
      </c>
      <c r="E9" s="13">
        <v>-15140</v>
      </c>
      <c r="F9" s="13">
        <v>-15723</v>
      </c>
    </row>
    <row r="10" spans="2:13">
      <c r="D10" s="13"/>
      <c r="E10" s="13"/>
      <c r="F10" s="13"/>
    </row>
    <row r="11" spans="2:13">
      <c r="B11" s="33" t="s">
        <v>9</v>
      </c>
      <c r="C11" s="33"/>
      <c r="D11" s="34">
        <f>D6+SUM(D8:D10)</f>
        <v>6909</v>
      </c>
      <c r="E11" s="34">
        <f>E6+SUM(E8:E10)</f>
        <v>6449</v>
      </c>
      <c r="F11" s="34">
        <f>F6+SUM(F8:F10)</f>
        <v>6334</v>
      </c>
    </row>
    <row r="12" spans="2:13">
      <c r="D12" s="13"/>
      <c r="E12" s="13"/>
      <c r="F12" s="13"/>
    </row>
    <row r="13" spans="2:13">
      <c r="B13" s="7" t="s">
        <v>10</v>
      </c>
      <c r="D13" s="13">
        <v>-2045</v>
      </c>
      <c r="E13" s="13">
        <v>-2225</v>
      </c>
      <c r="F13" s="13">
        <v>-2224</v>
      </c>
    </row>
    <row r="14" spans="2:13">
      <c r="D14" s="13"/>
      <c r="E14" s="13"/>
      <c r="F14" s="13"/>
    </row>
    <row r="15" spans="2:13">
      <c r="B15" s="33" t="s">
        <v>11</v>
      </c>
      <c r="C15" s="33"/>
      <c r="D15" s="34">
        <f>D11+D13</f>
        <v>4864</v>
      </c>
      <c r="E15" s="34">
        <f>E11+E13</f>
        <v>4224</v>
      </c>
      <c r="F15" s="34">
        <f>F11+F13</f>
        <v>4110</v>
      </c>
    </row>
    <row r="16" spans="2:13">
      <c r="D16" s="13"/>
      <c r="E16" s="13"/>
      <c r="F16" s="13"/>
    </row>
    <row r="17" spans="2:6">
      <c r="B17" s="7" t="s">
        <v>100</v>
      </c>
      <c r="D17" s="13">
        <v>-991</v>
      </c>
      <c r="E17" s="13">
        <v>-653</v>
      </c>
      <c r="F17" s="13">
        <v>-461</v>
      </c>
    </row>
    <row r="18" spans="2:6">
      <c r="B18" s="7" t="s">
        <v>12</v>
      </c>
      <c r="D18" s="13">
        <v>88</v>
      </c>
      <c r="E18" s="13">
        <v>59</v>
      </c>
      <c r="F18" s="13">
        <v>27</v>
      </c>
    </row>
    <row r="19" spans="2:6">
      <c r="D19" s="13"/>
      <c r="E19" s="13"/>
      <c r="F19" s="13"/>
    </row>
    <row r="20" spans="2:6">
      <c r="B20" s="33" t="s">
        <v>13</v>
      </c>
      <c r="C20" s="33"/>
      <c r="D20" s="34">
        <f>D15+D18+D17</f>
        <v>3961</v>
      </c>
      <c r="E20" s="34">
        <f>E15+E18+E17</f>
        <v>3630</v>
      </c>
      <c r="F20" s="34">
        <f>F15+F18+F17</f>
        <v>3676</v>
      </c>
    </row>
    <row r="21" spans="2:6">
      <c r="D21" s="13"/>
      <c r="E21" s="13"/>
      <c r="F21" s="13"/>
    </row>
    <row r="22" spans="2:6">
      <c r="B22" s="7" t="s">
        <v>14</v>
      </c>
      <c r="D22" s="13">
        <v>-1295</v>
      </c>
      <c r="E22" s="13">
        <v>-722</v>
      </c>
      <c r="F22" s="13">
        <v>-746</v>
      </c>
    </row>
    <row r="23" spans="2:6">
      <c r="D23" s="13"/>
      <c r="E23" s="13"/>
      <c r="F23" s="13"/>
    </row>
    <row r="24" spans="2:6" ht="12" thickBot="1">
      <c r="B24" s="10" t="s">
        <v>15</v>
      </c>
      <c r="C24" s="10"/>
      <c r="D24" s="14">
        <f>D20+D22</f>
        <v>2666</v>
      </c>
      <c r="E24" s="14">
        <f>E20+E22</f>
        <v>2908</v>
      </c>
      <c r="F24" s="14">
        <f>F20+F22</f>
        <v>2930</v>
      </c>
    </row>
    <row r="27" spans="2:6">
      <c r="B27" s="7" t="s">
        <v>86</v>
      </c>
      <c r="D27" s="7">
        <f>D$24/D$32</f>
        <v>4.6156509695290859</v>
      </c>
      <c r="E27" s="7">
        <f>E$24/E$32</f>
        <v>5.3182150694952455</v>
      </c>
      <c r="F27" s="7">
        <f>F$24/F$32</f>
        <v>5.5429436246689363</v>
      </c>
    </row>
    <row r="28" spans="2:6">
      <c r="B28" s="7" t="s">
        <v>87</v>
      </c>
      <c r="D28" s="7">
        <f>D$24/D$33</f>
        <v>4.5768240343347637</v>
      </c>
      <c r="E28" s="7">
        <f>E$24/E$33</f>
        <v>5.2843903325458843</v>
      </c>
      <c r="F28" s="7">
        <f>F$24/F$33</f>
        <v>5.495123780945236</v>
      </c>
    </row>
    <row r="29" spans="2:6">
      <c r="B29" s="7" t="s">
        <v>116</v>
      </c>
      <c r="D29" s="7">
        <v>2.31</v>
      </c>
      <c r="E29" s="7">
        <v>2.4300000000000002</v>
      </c>
      <c r="F29" s="7">
        <v>2.5</v>
      </c>
    </row>
    <row r="31" spans="2:6">
      <c r="B31" s="7" t="s">
        <v>88</v>
      </c>
    </row>
    <row r="32" spans="2:6">
      <c r="B32" s="67" t="s">
        <v>89</v>
      </c>
      <c r="D32" s="7">
        <v>577.6</v>
      </c>
      <c r="E32" s="7">
        <v>546.79999999999995</v>
      </c>
      <c r="F32" s="7">
        <v>528.6</v>
      </c>
    </row>
    <row r="33" spans="2:6">
      <c r="B33" s="67" t="s">
        <v>90</v>
      </c>
      <c r="D33" s="7">
        <v>582.5</v>
      </c>
      <c r="E33" s="7">
        <v>550.29999999999995</v>
      </c>
      <c r="F33" s="7">
        <v>533.20000000000005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5"/>
  <sheetViews>
    <sheetView workbookViewId="0">
      <selection activeCell="F29" sqref="F29"/>
    </sheetView>
  </sheetViews>
  <sheetFormatPr defaultColWidth="9.1796875" defaultRowHeight="11.5"/>
  <cols>
    <col min="1" max="1" width="2" style="7" customWidth="1"/>
    <col min="2" max="2" width="24.1796875" style="7" bestFit="1" customWidth="1"/>
    <col min="3" max="3" width="9.1796875" style="7"/>
    <col min="4" max="4" width="10.81640625" style="7" customWidth="1"/>
    <col min="5" max="5" width="10.7265625" style="7" customWidth="1"/>
    <col min="6" max="6" width="10" style="7" bestFit="1" customWidth="1"/>
    <col min="7" max="7" width="9.1796875" style="7"/>
    <col min="8" max="8" width="22.1796875" style="7" bestFit="1" customWidth="1"/>
    <col min="9" max="9" width="9.1796875" style="7"/>
    <col min="10" max="10" width="10" style="7" bestFit="1" customWidth="1"/>
    <col min="11" max="11" width="10.54296875" style="7" customWidth="1"/>
    <col min="12" max="12" width="11.1796875" style="7" customWidth="1"/>
    <col min="13" max="16384" width="9.1796875" style="7"/>
  </cols>
  <sheetData>
    <row r="1" spans="2:12" ht="15.5">
      <c r="B1" s="6" t="s">
        <v>0</v>
      </c>
    </row>
    <row r="3" spans="2:12" ht="23">
      <c r="B3" s="8" t="s">
        <v>71</v>
      </c>
      <c r="C3" s="8"/>
      <c r="D3" s="9" t="s">
        <v>66</v>
      </c>
      <c r="E3" s="9" t="s">
        <v>67</v>
      </c>
      <c r="F3" s="9" t="s">
        <v>68</v>
      </c>
      <c r="H3" s="8" t="s">
        <v>71</v>
      </c>
      <c r="I3" s="8"/>
      <c r="J3" s="9" t="s">
        <v>66</v>
      </c>
      <c r="K3" s="9" t="s">
        <v>67</v>
      </c>
      <c r="L3" s="9" t="s">
        <v>68</v>
      </c>
    </row>
    <row r="4" spans="2:12">
      <c r="B4" s="7" t="s">
        <v>28</v>
      </c>
      <c r="D4" s="13">
        <v>24658</v>
      </c>
      <c r="E4" s="13">
        <v>24536</v>
      </c>
      <c r="F4" s="13">
        <v>25533</v>
      </c>
      <c r="G4" s="13"/>
      <c r="H4" s="13" t="s">
        <v>25</v>
      </c>
      <c r="I4" s="13"/>
      <c r="J4" s="13">
        <v>5707</v>
      </c>
      <c r="K4" s="13">
        <v>5903</v>
      </c>
      <c r="L4" s="13">
        <v>6085</v>
      </c>
    </row>
    <row r="5" spans="2:12">
      <c r="B5" s="7" t="s">
        <v>74</v>
      </c>
      <c r="D5" s="13">
        <v>0</v>
      </c>
      <c r="E5" s="13">
        <v>1884</v>
      </c>
      <c r="F5" s="13">
        <v>1965</v>
      </c>
      <c r="G5" s="13"/>
      <c r="H5" s="13" t="s">
        <v>26</v>
      </c>
      <c r="I5" s="13"/>
      <c r="J5" s="13">
        <v>5884</v>
      </c>
      <c r="K5" s="13">
        <v>6495</v>
      </c>
      <c r="L5" s="13">
        <v>6017</v>
      </c>
    </row>
    <row r="6" spans="2:12">
      <c r="B6" s="7" t="s">
        <v>20</v>
      </c>
      <c r="D6" s="13">
        <v>259</v>
      </c>
      <c r="E6" s="13">
        <v>709</v>
      </c>
      <c r="F6" s="13">
        <v>699</v>
      </c>
      <c r="G6" s="13"/>
      <c r="H6" s="13" t="s">
        <v>83</v>
      </c>
      <c r="I6" s="13"/>
      <c r="J6" s="13">
        <v>-638</v>
      </c>
      <c r="K6" s="13">
        <v>-747</v>
      </c>
      <c r="L6" s="13">
        <v>-805</v>
      </c>
    </row>
    <row r="7" spans="2:12">
      <c r="B7" s="7" t="s">
        <v>75</v>
      </c>
      <c r="D7" s="13">
        <v>524</v>
      </c>
      <c r="E7" s="13">
        <v>634</v>
      </c>
      <c r="F7" s="13">
        <v>574</v>
      </c>
      <c r="G7" s="13"/>
      <c r="H7" s="13"/>
      <c r="I7" s="13"/>
      <c r="J7" s="13"/>
      <c r="K7" s="13"/>
      <c r="L7" s="13"/>
    </row>
    <row r="8" spans="2:12">
      <c r="D8" s="13"/>
      <c r="E8" s="13"/>
      <c r="F8" s="13"/>
      <c r="G8" s="13"/>
      <c r="H8" s="13"/>
      <c r="I8" s="13"/>
      <c r="J8" s="13"/>
      <c r="K8" s="13"/>
      <c r="L8" s="13"/>
    </row>
    <row r="9" spans="2:12" ht="12" thickBot="1">
      <c r="B9" s="10" t="s">
        <v>76</v>
      </c>
      <c r="C9" s="15"/>
      <c r="D9" s="14">
        <f>SUM(D4:D8)</f>
        <v>25441</v>
      </c>
      <c r="E9" s="14">
        <f t="shared" ref="E9:F9" si="0">SUM(E4:E8)</f>
        <v>27763</v>
      </c>
      <c r="F9" s="14">
        <f t="shared" si="0"/>
        <v>28771</v>
      </c>
      <c r="G9" s="13"/>
      <c r="H9" s="14" t="s">
        <v>27</v>
      </c>
      <c r="I9" s="30"/>
      <c r="J9" s="14">
        <f>SUM(J4:J7)</f>
        <v>10953</v>
      </c>
      <c r="K9" s="14">
        <f>SUM(K4:K7)</f>
        <v>11651</v>
      </c>
      <c r="L9" s="14">
        <f>SUM(L4:L7)</f>
        <v>11297</v>
      </c>
    </row>
    <row r="10" spans="2:12">
      <c r="D10" s="13"/>
      <c r="E10" s="13"/>
      <c r="F10" s="13"/>
      <c r="G10" s="13"/>
      <c r="H10" s="13"/>
      <c r="I10" s="13"/>
      <c r="J10" s="13"/>
      <c r="K10" s="13"/>
      <c r="L10" s="13"/>
    </row>
    <row r="11" spans="2:12">
      <c r="B11" s="7" t="s">
        <v>22</v>
      </c>
      <c r="D11" s="13">
        <v>8309</v>
      </c>
      <c r="E11" s="13">
        <v>8597</v>
      </c>
      <c r="F11" s="13">
        <v>9497</v>
      </c>
      <c r="G11" s="13"/>
      <c r="H11" s="13" t="s">
        <v>79</v>
      </c>
      <c r="I11" s="13"/>
      <c r="J11" s="13">
        <v>7252</v>
      </c>
      <c r="K11" s="13">
        <v>8677</v>
      </c>
      <c r="L11" s="13">
        <v>9761</v>
      </c>
    </row>
    <row r="12" spans="2:12">
      <c r="B12" s="7" t="s">
        <v>78</v>
      </c>
      <c r="D12" s="13">
        <v>749</v>
      </c>
      <c r="E12" s="13">
        <v>929</v>
      </c>
      <c r="F12" s="13">
        <v>1100</v>
      </c>
      <c r="G12" s="13"/>
      <c r="H12" s="13" t="s">
        <v>80</v>
      </c>
      <c r="I12" s="13"/>
      <c r="J12" s="13">
        <v>3737</v>
      </c>
      <c r="K12" s="13">
        <v>4094</v>
      </c>
      <c r="L12" s="13">
        <v>4201</v>
      </c>
    </row>
    <row r="13" spans="2:12">
      <c r="B13" s="7" t="s">
        <v>111</v>
      </c>
      <c r="D13" s="13">
        <v>420</v>
      </c>
      <c r="E13" s="13">
        <v>371</v>
      </c>
      <c r="F13" s="13">
        <v>366</v>
      </c>
      <c r="G13" s="13"/>
      <c r="H13" s="13" t="s">
        <v>33</v>
      </c>
      <c r="I13" s="13"/>
      <c r="J13" s="13">
        <v>861</v>
      </c>
      <c r="K13" s="13">
        <v>693</v>
      </c>
      <c r="L13" s="13">
        <v>972</v>
      </c>
    </row>
    <row r="14" spans="2:12">
      <c r="B14" s="7" t="s">
        <v>23</v>
      </c>
      <c r="D14" s="13">
        <v>2512</v>
      </c>
      <c r="E14" s="13">
        <v>2643</v>
      </c>
      <c r="F14" s="13">
        <v>1556</v>
      </c>
      <c r="G14" s="13"/>
      <c r="H14" s="13" t="s">
        <v>81</v>
      </c>
      <c r="I14" s="13"/>
      <c r="J14" s="13">
        <v>0</v>
      </c>
      <c r="K14" s="13">
        <v>1924</v>
      </c>
      <c r="L14" s="13">
        <v>2004</v>
      </c>
    </row>
    <row r="15" spans="2:12">
      <c r="G15" s="13"/>
      <c r="H15" s="13" t="s">
        <v>30</v>
      </c>
      <c r="I15" s="13"/>
      <c r="J15" s="13">
        <v>12749</v>
      </c>
      <c r="K15" s="13">
        <v>11398</v>
      </c>
      <c r="L15" s="13">
        <v>11275</v>
      </c>
    </row>
    <row r="16" spans="2:12" ht="12" thickBot="1">
      <c r="B16" s="10" t="s">
        <v>77</v>
      </c>
      <c r="C16" s="15"/>
      <c r="D16" s="14">
        <f>+D14+D13+D12+D11</f>
        <v>11990</v>
      </c>
      <c r="E16" s="14">
        <f>+E14+E13+E12+E11</f>
        <v>12540</v>
      </c>
      <c r="F16" s="14">
        <f>+F14+F13+F12+F11</f>
        <v>12519</v>
      </c>
      <c r="G16" s="13"/>
      <c r="H16" s="13" t="s">
        <v>82</v>
      </c>
      <c r="I16" s="13"/>
      <c r="J16" s="13">
        <v>1879</v>
      </c>
      <c r="K16" s="13">
        <v>1866</v>
      </c>
      <c r="L16" s="13">
        <v>1780</v>
      </c>
    </row>
    <row r="17" spans="2:12">
      <c r="D17" s="13"/>
      <c r="E17" s="13"/>
      <c r="F17" s="13"/>
      <c r="G17" s="13"/>
    </row>
    <row r="18" spans="2:12" ht="12" thickBot="1">
      <c r="D18" s="13"/>
      <c r="E18" s="13"/>
      <c r="F18" s="13"/>
      <c r="G18" s="13"/>
      <c r="H18" s="14" t="s">
        <v>31</v>
      </c>
      <c r="I18" s="30"/>
      <c r="J18" s="14">
        <f>SUM(J11:J16)</f>
        <v>26478</v>
      </c>
      <c r="K18" s="14">
        <f>SUM(K11:K16)</f>
        <v>28652</v>
      </c>
      <c r="L18" s="14">
        <f>SUM(L11:L16)</f>
        <v>29993</v>
      </c>
    </row>
    <row r="19" spans="2:12">
      <c r="D19" s="13"/>
      <c r="E19" s="13"/>
      <c r="F19" s="13"/>
      <c r="G19" s="13"/>
      <c r="H19" s="13"/>
      <c r="I19" s="13"/>
      <c r="J19" s="13"/>
      <c r="K19" s="13"/>
      <c r="L19" s="13"/>
    </row>
    <row r="20" spans="2:12" ht="12" thickBot="1">
      <c r="B20" s="10" t="s">
        <v>24</v>
      </c>
      <c r="C20" s="15"/>
      <c r="D20" s="14">
        <f>D16+D9</f>
        <v>37431</v>
      </c>
      <c r="E20" s="14">
        <f>E16+E9</f>
        <v>40303</v>
      </c>
      <c r="F20" s="14">
        <f>F16+F9</f>
        <v>41290</v>
      </c>
      <c r="G20" s="13"/>
      <c r="H20" s="14" t="s">
        <v>32</v>
      </c>
      <c r="I20" s="30"/>
      <c r="J20" s="14">
        <f>J18+J9</f>
        <v>37431</v>
      </c>
      <c r="K20" s="14">
        <f>K18+K9</f>
        <v>40303</v>
      </c>
      <c r="L20" s="14">
        <f>L18+L9</f>
        <v>41290</v>
      </c>
    </row>
    <row r="23" spans="2:12">
      <c r="J23" s="7">
        <f>J20-D20</f>
        <v>0</v>
      </c>
      <c r="K23" s="7">
        <f>K20-E20</f>
        <v>0</v>
      </c>
      <c r="L23" s="7">
        <f>L20-F20</f>
        <v>0</v>
      </c>
    </row>
    <row r="31" spans="2:12" ht="12.5">
      <c r="B31" s="66" t="s">
        <v>69</v>
      </c>
    </row>
    <row r="32" spans="2:12">
      <c r="B32" s="7" t="s">
        <v>73</v>
      </c>
    </row>
    <row r="33" spans="2:2">
      <c r="B33" s="7" t="s">
        <v>70</v>
      </c>
    </row>
    <row r="34" spans="2:2">
      <c r="B34" s="7" t="s">
        <v>91</v>
      </c>
    </row>
    <row r="35" spans="2:2">
      <c r="B35" s="7" t="s">
        <v>92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I709"/>
  <sheetViews>
    <sheetView showGridLines="0" workbookViewId="0">
      <selection activeCell="B1" sqref="B1"/>
    </sheetView>
  </sheetViews>
  <sheetFormatPr defaultRowHeight="11.5"/>
  <cols>
    <col min="1" max="1" width="2" style="65" customWidth="1"/>
    <col min="2" max="2" width="10.36328125" style="65" customWidth="1"/>
    <col min="3" max="16384" width="8.7265625" style="65"/>
  </cols>
  <sheetData>
    <row r="1" spans="2:9">
      <c r="B1" s="65" t="s">
        <v>132</v>
      </c>
    </row>
    <row r="3" spans="2:9">
      <c r="B3" s="288" t="s">
        <v>133</v>
      </c>
      <c r="C3" s="288"/>
      <c r="D3" s="288"/>
      <c r="E3" s="288"/>
      <c r="F3" s="288"/>
      <c r="G3" s="288"/>
      <c r="H3" s="288"/>
      <c r="I3" s="288"/>
    </row>
    <row r="5" spans="2:9">
      <c r="B5" s="65" t="s">
        <v>134</v>
      </c>
    </row>
    <row r="6" spans="2:9">
      <c r="B6" s="65" t="s">
        <v>135</v>
      </c>
    </row>
    <row r="7" spans="2:9">
      <c r="B7" s="65" t="s">
        <v>136</v>
      </c>
    </row>
    <row r="8" spans="2:9">
      <c r="B8" s="65" t="s">
        <v>137</v>
      </c>
    </row>
    <row r="10" spans="2:9">
      <c r="B10" s="65" t="s">
        <v>138</v>
      </c>
    </row>
    <row r="11" spans="2:9">
      <c r="B11" s="65" t="s">
        <v>139</v>
      </c>
    </row>
    <row r="14" spans="2:9">
      <c r="B14" s="126" t="s">
        <v>140</v>
      </c>
      <c r="C14" s="126" t="s">
        <v>141</v>
      </c>
    </row>
    <row r="15" spans="2:9" hidden="1">
      <c r="B15" s="125">
        <v>42705</v>
      </c>
      <c r="C15" s="65">
        <v>1.8982000000000001</v>
      </c>
    </row>
    <row r="16" spans="2:9" hidden="1">
      <c r="B16" s="125">
        <v>42706</v>
      </c>
      <c r="C16" s="65">
        <v>1.8208</v>
      </c>
    </row>
    <row r="17" spans="2:3" hidden="1">
      <c r="B17" s="125">
        <v>42709</v>
      </c>
      <c r="C17" s="65">
        <v>1.8455999999999999</v>
      </c>
    </row>
    <row r="18" spans="2:3" hidden="1">
      <c r="B18" s="125">
        <v>42710</v>
      </c>
      <c r="C18" s="65">
        <v>1.8340000000000001</v>
      </c>
    </row>
    <row r="19" spans="2:3" hidden="1">
      <c r="B19" s="125">
        <v>42711</v>
      </c>
      <c r="C19" s="65">
        <v>1.7895000000000001</v>
      </c>
    </row>
    <row r="20" spans="2:3" hidden="1">
      <c r="B20" s="125">
        <v>42712</v>
      </c>
      <c r="C20" s="65">
        <v>1.8373999999999999</v>
      </c>
    </row>
    <row r="21" spans="2:3" hidden="1">
      <c r="B21" s="125">
        <v>42713</v>
      </c>
      <c r="C21" s="65">
        <v>1.8906000000000001</v>
      </c>
    </row>
    <row r="22" spans="2:3" hidden="1">
      <c r="B22" s="125">
        <v>42716</v>
      </c>
      <c r="C22" s="65">
        <v>1.8856999999999999</v>
      </c>
    </row>
    <row r="23" spans="2:3" hidden="1">
      <c r="B23" s="125">
        <v>42717</v>
      </c>
      <c r="C23" s="65">
        <v>1.9091</v>
      </c>
    </row>
    <row r="24" spans="2:3" hidden="1">
      <c r="B24" s="125">
        <v>42718</v>
      </c>
      <c r="C24" s="65">
        <v>2.0478999999999998</v>
      </c>
    </row>
    <row r="25" spans="2:3" hidden="1">
      <c r="B25" s="125">
        <v>42719</v>
      </c>
      <c r="C25" s="65">
        <v>2.0884</v>
      </c>
    </row>
    <row r="26" spans="2:3" hidden="1">
      <c r="B26" s="125">
        <v>42720</v>
      </c>
      <c r="C26" s="65">
        <v>2.0653999999999999</v>
      </c>
    </row>
    <row r="27" spans="2:3" hidden="1">
      <c r="B27" s="125">
        <v>42723</v>
      </c>
      <c r="C27" s="65">
        <v>2.0217999999999998</v>
      </c>
    </row>
    <row r="28" spans="2:3" hidden="1">
      <c r="B28" s="125">
        <v>42724</v>
      </c>
      <c r="C28" s="65">
        <v>2.0388000000000002</v>
      </c>
    </row>
    <row r="29" spans="2:3" hidden="1">
      <c r="B29" s="125">
        <v>42725</v>
      </c>
      <c r="C29" s="65">
        <v>2.0186999999999999</v>
      </c>
    </row>
    <row r="30" spans="2:3" hidden="1">
      <c r="B30" s="125">
        <v>42726</v>
      </c>
      <c r="C30" s="65">
        <v>2.0339999999999998</v>
      </c>
    </row>
    <row r="31" spans="2:3" hidden="1">
      <c r="B31" s="125">
        <v>42727</v>
      </c>
      <c r="C31" s="65">
        <v>2.0245000000000002</v>
      </c>
    </row>
    <row r="32" spans="2:3" hidden="1">
      <c r="B32" s="125">
        <v>42730</v>
      </c>
      <c r="C32" s="65">
        <v>2.0245000000000002</v>
      </c>
    </row>
    <row r="33" spans="2:3" hidden="1">
      <c r="B33" s="125">
        <v>42731</v>
      </c>
      <c r="C33" s="65">
        <v>2.0550000000000002</v>
      </c>
    </row>
    <row r="34" spans="2:3" hidden="1">
      <c r="B34" s="125">
        <v>42732</v>
      </c>
      <c r="C34" s="65">
        <v>1.9961</v>
      </c>
    </row>
    <row r="35" spans="2:3" hidden="1">
      <c r="B35" s="125">
        <v>42733</v>
      </c>
      <c r="C35" s="65">
        <v>1.9538</v>
      </c>
    </row>
    <row r="36" spans="2:3" hidden="1">
      <c r="B36" s="125">
        <v>42734</v>
      </c>
      <c r="C36" s="65">
        <v>1.9274</v>
      </c>
    </row>
    <row r="37" spans="2:3" hidden="1">
      <c r="B37" s="125">
        <v>42737</v>
      </c>
      <c r="C37" s="65">
        <v>1.9274</v>
      </c>
    </row>
    <row r="38" spans="2:3" hidden="1">
      <c r="B38" s="125">
        <v>42738</v>
      </c>
      <c r="C38" s="65">
        <v>1.9421999999999999</v>
      </c>
    </row>
    <row r="39" spans="2:3" hidden="1">
      <c r="B39" s="125">
        <v>42739</v>
      </c>
      <c r="C39" s="65">
        <v>1.9306000000000001</v>
      </c>
    </row>
    <row r="40" spans="2:3" hidden="1">
      <c r="B40" s="125">
        <v>42740</v>
      </c>
      <c r="C40" s="65">
        <v>1.8433999999999999</v>
      </c>
    </row>
    <row r="41" spans="2:3" hidden="1">
      <c r="B41" s="125">
        <v>42741</v>
      </c>
      <c r="C41" s="65">
        <v>1.9238999999999999</v>
      </c>
    </row>
    <row r="42" spans="2:3" hidden="1">
      <c r="B42" s="125">
        <v>42744</v>
      </c>
      <c r="C42" s="65">
        <v>1.8727</v>
      </c>
    </row>
    <row r="43" spans="2:3" hidden="1">
      <c r="B43" s="125">
        <v>42745</v>
      </c>
      <c r="C43" s="65">
        <v>1.8758999999999999</v>
      </c>
    </row>
    <row r="44" spans="2:3" hidden="1">
      <c r="B44" s="125">
        <v>42746</v>
      </c>
      <c r="C44" s="65">
        <v>1.8841000000000001</v>
      </c>
    </row>
    <row r="45" spans="2:3" hidden="1">
      <c r="B45" s="125">
        <v>42747</v>
      </c>
      <c r="C45" s="65">
        <v>1.8658999999999999</v>
      </c>
    </row>
    <row r="46" spans="2:3" hidden="1">
      <c r="B46" s="125">
        <v>42748</v>
      </c>
      <c r="C46" s="65">
        <v>1.897</v>
      </c>
    </row>
    <row r="47" spans="2:3" hidden="1">
      <c r="B47" s="125">
        <v>42751</v>
      </c>
      <c r="C47" s="65">
        <v>1.897</v>
      </c>
    </row>
    <row r="48" spans="2:3" hidden="1">
      <c r="B48" s="125">
        <v>42752</v>
      </c>
      <c r="C48" s="65">
        <v>1.8191999999999999</v>
      </c>
    </row>
    <row r="49" spans="2:3" hidden="1">
      <c r="B49" s="125">
        <v>42753</v>
      </c>
      <c r="C49" s="65">
        <v>1.9382999999999999</v>
      </c>
    </row>
    <row r="50" spans="2:3" hidden="1">
      <c r="B50" s="125">
        <v>42754</v>
      </c>
      <c r="C50" s="65">
        <v>1.9633</v>
      </c>
    </row>
    <row r="51" spans="2:3" hidden="1">
      <c r="B51" s="125">
        <v>42755</v>
      </c>
      <c r="C51" s="65">
        <v>1.9365000000000001</v>
      </c>
    </row>
    <row r="52" spans="2:3" hidden="1">
      <c r="B52" s="125">
        <v>42758</v>
      </c>
      <c r="C52" s="65">
        <v>1.8633999999999999</v>
      </c>
    </row>
    <row r="53" spans="2:3" hidden="1">
      <c r="B53" s="125">
        <v>42759</v>
      </c>
      <c r="C53" s="65">
        <v>1.9331</v>
      </c>
    </row>
    <row r="54" spans="2:3" hidden="1">
      <c r="B54" s="125">
        <v>42760</v>
      </c>
      <c r="C54" s="65">
        <v>1.9764999999999999</v>
      </c>
    </row>
    <row r="55" spans="2:3" hidden="1">
      <c r="B55" s="125">
        <v>42761</v>
      </c>
      <c r="C55" s="65">
        <v>1.9657</v>
      </c>
    </row>
    <row r="56" spans="2:3" hidden="1">
      <c r="B56" s="125">
        <v>42762</v>
      </c>
      <c r="C56" s="65">
        <v>1.9458</v>
      </c>
    </row>
    <row r="57" spans="2:3" hidden="1">
      <c r="B57" s="125">
        <v>42765</v>
      </c>
      <c r="C57" s="65">
        <v>1.9491000000000001</v>
      </c>
    </row>
    <row r="58" spans="2:3" hidden="1">
      <c r="B58" s="125">
        <v>42766</v>
      </c>
      <c r="C58" s="65">
        <v>1.9129</v>
      </c>
    </row>
    <row r="59" spans="2:3" hidden="1">
      <c r="B59" s="125">
        <v>42767</v>
      </c>
      <c r="C59" s="65">
        <v>1.9294</v>
      </c>
    </row>
    <row r="60" spans="2:3" hidden="1">
      <c r="B60" s="125">
        <v>42768</v>
      </c>
      <c r="C60" s="65">
        <v>1.9228000000000001</v>
      </c>
    </row>
    <row r="61" spans="2:3" hidden="1">
      <c r="B61" s="125">
        <v>42769</v>
      </c>
      <c r="C61" s="65">
        <v>1.9096</v>
      </c>
    </row>
    <row r="62" spans="2:3" hidden="1">
      <c r="B62" s="125">
        <v>42772</v>
      </c>
      <c r="C62" s="65">
        <v>1.8452999999999999</v>
      </c>
    </row>
    <row r="63" spans="2:3" hidden="1">
      <c r="B63" s="125">
        <v>42773</v>
      </c>
      <c r="C63" s="65">
        <v>1.8469</v>
      </c>
    </row>
    <row r="64" spans="2:3" hidden="1">
      <c r="B64" s="125">
        <v>42774</v>
      </c>
      <c r="C64" s="65">
        <v>1.8024</v>
      </c>
    </row>
    <row r="65" spans="2:3" hidden="1">
      <c r="B65" s="125">
        <v>42775</v>
      </c>
      <c r="C65" s="65">
        <v>1.8667</v>
      </c>
    </row>
    <row r="66" spans="2:3" hidden="1">
      <c r="B66" s="125">
        <v>42776</v>
      </c>
      <c r="C66" s="65">
        <v>1.8865000000000001</v>
      </c>
    </row>
    <row r="67" spans="2:3" hidden="1">
      <c r="B67" s="125">
        <v>42779</v>
      </c>
      <c r="C67" s="65">
        <v>1.9147000000000001</v>
      </c>
    </row>
    <row r="68" spans="2:3" hidden="1">
      <c r="B68" s="125">
        <v>42780</v>
      </c>
      <c r="C68" s="65">
        <v>1.9630000000000001</v>
      </c>
    </row>
    <row r="69" spans="2:3" hidden="1">
      <c r="B69" s="125">
        <v>42781</v>
      </c>
      <c r="C69" s="65">
        <v>1.9914000000000001</v>
      </c>
    </row>
    <row r="70" spans="2:3" hidden="1">
      <c r="B70" s="125">
        <v>42782</v>
      </c>
      <c r="C70" s="65">
        <v>1.9363999999999999</v>
      </c>
    </row>
    <row r="71" spans="2:3" hidden="1">
      <c r="B71" s="125">
        <v>42783</v>
      </c>
      <c r="C71" s="65">
        <v>1.9015</v>
      </c>
    </row>
    <row r="72" spans="2:3" hidden="1">
      <c r="B72" s="125">
        <v>42786</v>
      </c>
      <c r="C72" s="65">
        <v>1.9015</v>
      </c>
    </row>
    <row r="73" spans="2:3" hidden="1">
      <c r="B73" s="125">
        <v>42787</v>
      </c>
      <c r="C73" s="65">
        <v>1.9198999999999999</v>
      </c>
    </row>
    <row r="74" spans="2:3" hidden="1">
      <c r="B74" s="125">
        <v>42788</v>
      </c>
      <c r="C74" s="65">
        <v>1.9049</v>
      </c>
    </row>
    <row r="75" spans="2:3" hidden="1">
      <c r="B75" s="125">
        <v>42789</v>
      </c>
      <c r="C75" s="65">
        <v>1.8586</v>
      </c>
    </row>
    <row r="76" spans="2:3" hidden="1">
      <c r="B76" s="125">
        <v>42790</v>
      </c>
      <c r="C76" s="65">
        <v>1.8044</v>
      </c>
    </row>
    <row r="77" spans="2:3" hidden="1">
      <c r="B77" s="125">
        <v>42793</v>
      </c>
      <c r="C77" s="65">
        <v>1.8651</v>
      </c>
    </row>
    <row r="78" spans="2:3" hidden="1">
      <c r="B78" s="125">
        <v>42794</v>
      </c>
      <c r="C78" s="65">
        <v>1.9294</v>
      </c>
    </row>
    <row r="79" spans="2:3" hidden="1">
      <c r="B79" s="125">
        <v>42795</v>
      </c>
      <c r="C79" s="65">
        <v>1.9872000000000001</v>
      </c>
    </row>
    <row r="80" spans="2:3" hidden="1">
      <c r="B80" s="125">
        <v>42796</v>
      </c>
      <c r="C80" s="65">
        <v>2.0154999999999998</v>
      </c>
    </row>
    <row r="81" spans="2:3" hidden="1">
      <c r="B81" s="125">
        <v>42797</v>
      </c>
      <c r="C81" s="65">
        <v>2.0089999999999999</v>
      </c>
    </row>
    <row r="82" spans="2:3" hidden="1">
      <c r="B82" s="125">
        <v>42800</v>
      </c>
      <c r="C82" s="65">
        <v>2.0190999999999999</v>
      </c>
    </row>
    <row r="83" spans="2:3" hidden="1">
      <c r="B83" s="125">
        <v>42801</v>
      </c>
      <c r="C83" s="65">
        <v>2.0491000000000001</v>
      </c>
    </row>
    <row r="84" spans="2:3" hidden="1">
      <c r="B84" s="125">
        <v>42802</v>
      </c>
      <c r="C84" s="65">
        <v>2.0926</v>
      </c>
    </row>
    <row r="85" spans="2:3" hidden="1">
      <c r="B85" s="125">
        <v>42803</v>
      </c>
      <c r="C85" s="65">
        <v>2.1362000000000001</v>
      </c>
    </row>
    <row r="86" spans="2:3" hidden="1">
      <c r="B86" s="125">
        <v>42804</v>
      </c>
      <c r="C86" s="65">
        <v>2.1013999999999999</v>
      </c>
    </row>
    <row r="87" spans="2:3" hidden="1">
      <c r="B87" s="125">
        <v>42807</v>
      </c>
      <c r="C87" s="65">
        <v>2.1385000000000001</v>
      </c>
    </row>
    <row r="88" spans="2:3" hidden="1">
      <c r="B88" s="125">
        <v>42808</v>
      </c>
      <c r="C88" s="65">
        <v>2.1284999999999998</v>
      </c>
    </row>
    <row r="89" spans="2:3" hidden="1">
      <c r="B89" s="125">
        <v>42809</v>
      </c>
      <c r="C89" s="65">
        <v>2.0030000000000001</v>
      </c>
    </row>
    <row r="90" spans="2:3" hidden="1">
      <c r="B90" s="125">
        <v>42810</v>
      </c>
      <c r="C90" s="65">
        <v>2.0499000000000001</v>
      </c>
    </row>
    <row r="91" spans="2:3" hidden="1">
      <c r="B91" s="125">
        <v>42811</v>
      </c>
      <c r="C91" s="65">
        <v>2.0183</v>
      </c>
    </row>
    <row r="92" spans="2:3" hidden="1">
      <c r="B92" s="125">
        <v>42814</v>
      </c>
      <c r="C92" s="65">
        <v>1.9849000000000001</v>
      </c>
    </row>
    <row r="93" spans="2:3" hidden="1">
      <c r="B93" s="125">
        <v>42815</v>
      </c>
      <c r="C93" s="65">
        <v>1.9466000000000001</v>
      </c>
    </row>
    <row r="94" spans="2:3" hidden="1">
      <c r="B94" s="125">
        <v>42816</v>
      </c>
      <c r="C94" s="65">
        <v>1.9366000000000001</v>
      </c>
    </row>
    <row r="95" spans="2:3" hidden="1">
      <c r="B95" s="125">
        <v>42817</v>
      </c>
      <c r="C95" s="65">
        <v>1.9516</v>
      </c>
    </row>
    <row r="96" spans="2:3" hidden="1">
      <c r="B96" s="125">
        <v>42818</v>
      </c>
      <c r="C96" s="65">
        <v>1.9450000000000001</v>
      </c>
    </row>
    <row r="97" spans="2:3" hidden="1">
      <c r="B97" s="125">
        <v>42821</v>
      </c>
      <c r="C97" s="65">
        <v>1.9182999999999999</v>
      </c>
    </row>
    <row r="98" spans="2:3" hidden="1">
      <c r="B98" s="125">
        <v>42822</v>
      </c>
      <c r="C98" s="65">
        <v>1.9636</v>
      </c>
    </row>
    <row r="99" spans="2:3" hidden="1">
      <c r="B99" s="125">
        <v>42823</v>
      </c>
      <c r="C99" s="65">
        <v>1.9259999999999999</v>
      </c>
    </row>
    <row r="100" spans="2:3" hidden="1">
      <c r="B100" s="125">
        <v>42824</v>
      </c>
      <c r="C100" s="65">
        <v>1.964</v>
      </c>
    </row>
    <row r="101" spans="2:3" hidden="1">
      <c r="B101" s="125">
        <v>42825</v>
      </c>
      <c r="C101" s="65">
        <v>1.9212</v>
      </c>
    </row>
    <row r="102" spans="2:3" hidden="1">
      <c r="B102" s="125">
        <v>42828</v>
      </c>
      <c r="C102" s="65">
        <v>1.8519000000000001</v>
      </c>
    </row>
    <row r="103" spans="2:3" hidden="1">
      <c r="B103" s="125">
        <v>42829</v>
      </c>
      <c r="C103" s="65">
        <v>1.8897999999999999</v>
      </c>
    </row>
    <row r="104" spans="2:3" hidden="1">
      <c r="B104" s="125">
        <v>42830</v>
      </c>
      <c r="C104" s="65">
        <v>1.8519000000000001</v>
      </c>
    </row>
    <row r="105" spans="2:3" hidden="1">
      <c r="B105" s="125">
        <v>42831</v>
      </c>
      <c r="C105" s="65">
        <v>1.8585</v>
      </c>
    </row>
    <row r="106" spans="2:3" hidden="1">
      <c r="B106" s="125">
        <v>42832</v>
      </c>
      <c r="C106" s="65">
        <v>1.9196</v>
      </c>
    </row>
    <row r="107" spans="2:3" hidden="1">
      <c r="B107" s="125">
        <v>42835</v>
      </c>
      <c r="C107" s="65">
        <v>1.8997999999999999</v>
      </c>
    </row>
    <row r="108" spans="2:3" hidden="1">
      <c r="B108" s="125">
        <v>42836</v>
      </c>
      <c r="C108" s="65">
        <v>1.8303</v>
      </c>
    </row>
    <row r="109" spans="2:3" hidden="1">
      <c r="B109" s="125">
        <v>42837</v>
      </c>
      <c r="C109" s="65">
        <v>1.7676000000000001</v>
      </c>
    </row>
    <row r="110" spans="2:3" hidden="1">
      <c r="B110" s="125">
        <v>42838</v>
      </c>
      <c r="C110" s="65">
        <v>1.7690999999999999</v>
      </c>
    </row>
    <row r="111" spans="2:3" hidden="1">
      <c r="B111" s="125">
        <v>42839</v>
      </c>
      <c r="C111" s="65">
        <v>1.7690999999999999</v>
      </c>
    </row>
    <row r="112" spans="2:3" hidden="1">
      <c r="B112" s="125">
        <v>42842</v>
      </c>
      <c r="C112" s="65">
        <v>1.7756000000000001</v>
      </c>
    </row>
    <row r="113" spans="2:3" hidden="1">
      <c r="B113" s="125">
        <v>42843</v>
      </c>
      <c r="C113" s="65">
        <v>1.6997</v>
      </c>
    </row>
    <row r="114" spans="2:3" hidden="1">
      <c r="B114" s="125">
        <v>42844</v>
      </c>
      <c r="C114" s="65">
        <v>1.7392000000000001</v>
      </c>
    </row>
    <row r="115" spans="2:3" hidden="1">
      <c r="B115" s="125">
        <v>42845</v>
      </c>
      <c r="C115" s="65">
        <v>1.7639</v>
      </c>
    </row>
    <row r="116" spans="2:3" hidden="1">
      <c r="B116" s="125">
        <v>42846</v>
      </c>
      <c r="C116" s="65">
        <v>1.7703</v>
      </c>
    </row>
    <row r="117" spans="2:3" hidden="1">
      <c r="B117" s="125">
        <v>42849</v>
      </c>
      <c r="C117" s="65">
        <v>1.8017000000000001</v>
      </c>
    </row>
    <row r="118" spans="2:3" hidden="1">
      <c r="B118" s="125">
        <v>42850</v>
      </c>
      <c r="C118" s="65">
        <v>1.8549</v>
      </c>
    </row>
    <row r="119" spans="2:3" hidden="1">
      <c r="B119" s="125">
        <v>42851</v>
      </c>
      <c r="C119" s="65">
        <v>1.8282</v>
      </c>
    </row>
    <row r="120" spans="2:3" hidden="1">
      <c r="B120" s="125">
        <v>42852</v>
      </c>
      <c r="C120" s="65">
        <v>1.8224</v>
      </c>
    </row>
    <row r="121" spans="2:3" hidden="1">
      <c r="B121" s="125">
        <v>42853</v>
      </c>
      <c r="C121" s="65">
        <v>1.8142</v>
      </c>
    </row>
    <row r="122" spans="2:3" hidden="1">
      <c r="B122" s="125">
        <v>42856</v>
      </c>
      <c r="C122" s="65">
        <v>1.8405</v>
      </c>
    </row>
    <row r="123" spans="2:3" hidden="1">
      <c r="B123" s="125">
        <v>42857</v>
      </c>
      <c r="C123" s="65">
        <v>1.8027</v>
      </c>
    </row>
    <row r="124" spans="2:3" hidden="1">
      <c r="B124" s="125">
        <v>42858</v>
      </c>
      <c r="C124" s="65">
        <v>1.8519000000000001</v>
      </c>
    </row>
    <row r="125" spans="2:3" hidden="1">
      <c r="B125" s="125">
        <v>42859</v>
      </c>
      <c r="C125" s="65">
        <v>1.8865000000000001</v>
      </c>
    </row>
    <row r="126" spans="2:3" hidden="1">
      <c r="B126" s="125">
        <v>42860</v>
      </c>
      <c r="C126" s="65">
        <v>1.8815999999999999</v>
      </c>
    </row>
    <row r="127" spans="2:3" hidden="1">
      <c r="B127" s="125">
        <v>42863</v>
      </c>
      <c r="C127" s="65">
        <v>1.9113</v>
      </c>
    </row>
    <row r="128" spans="2:3" hidden="1">
      <c r="B128" s="125">
        <v>42864</v>
      </c>
      <c r="C128" s="65">
        <v>1.9229000000000001</v>
      </c>
    </row>
    <row r="129" spans="2:3" hidden="1">
      <c r="B129" s="125">
        <v>42865</v>
      </c>
      <c r="C129" s="65">
        <v>1.9379</v>
      </c>
    </row>
    <row r="130" spans="2:3" hidden="1">
      <c r="B130" s="125">
        <v>42866</v>
      </c>
      <c r="C130" s="65">
        <v>1.9147000000000001</v>
      </c>
    </row>
    <row r="131" spans="2:3" hidden="1">
      <c r="B131" s="125">
        <v>42867</v>
      </c>
      <c r="C131" s="65">
        <v>1.8468</v>
      </c>
    </row>
    <row r="132" spans="2:3" hidden="1">
      <c r="B132" s="125">
        <v>42870</v>
      </c>
      <c r="C132" s="65">
        <v>1.8616999999999999</v>
      </c>
    </row>
    <row r="133" spans="2:3" hidden="1">
      <c r="B133" s="125">
        <v>42871</v>
      </c>
      <c r="C133" s="65">
        <v>1.8484</v>
      </c>
    </row>
    <row r="134" spans="2:3" hidden="1">
      <c r="B134" s="125">
        <v>42872</v>
      </c>
      <c r="C134" s="65">
        <v>1.7542</v>
      </c>
    </row>
    <row r="135" spans="2:3" hidden="1">
      <c r="B135" s="125">
        <v>42873</v>
      </c>
      <c r="C135" s="65">
        <v>1.7722</v>
      </c>
    </row>
    <row r="136" spans="2:3" hidden="1">
      <c r="B136" s="125">
        <v>42874</v>
      </c>
      <c r="C136" s="65">
        <v>1.7803</v>
      </c>
    </row>
    <row r="137" spans="2:3" hidden="1">
      <c r="B137" s="125">
        <v>42877</v>
      </c>
      <c r="C137" s="65">
        <v>1.7985</v>
      </c>
    </row>
    <row r="138" spans="2:3" hidden="1">
      <c r="B138" s="125">
        <v>42878</v>
      </c>
      <c r="C138" s="65">
        <v>1.8267</v>
      </c>
    </row>
    <row r="139" spans="2:3" hidden="1">
      <c r="B139" s="125">
        <v>42879</v>
      </c>
      <c r="C139" s="65">
        <v>1.7851999999999999</v>
      </c>
    </row>
    <row r="140" spans="2:3" hidden="1">
      <c r="B140" s="125">
        <v>42880</v>
      </c>
      <c r="C140" s="65">
        <v>1.7943</v>
      </c>
    </row>
    <row r="141" spans="2:3" hidden="1">
      <c r="B141" s="125">
        <v>42881</v>
      </c>
      <c r="C141" s="65">
        <v>1.7894000000000001</v>
      </c>
    </row>
    <row r="142" spans="2:3" hidden="1">
      <c r="B142" s="125">
        <v>42884</v>
      </c>
      <c r="C142" s="65">
        <v>1.7894000000000001</v>
      </c>
    </row>
    <row r="143" spans="2:3" hidden="1">
      <c r="B143" s="125">
        <v>42885</v>
      </c>
      <c r="C143" s="65">
        <v>1.7548999999999999</v>
      </c>
    </row>
    <row r="144" spans="2:3" hidden="1">
      <c r="B144" s="125">
        <v>42886</v>
      </c>
      <c r="C144" s="65">
        <v>1.7516</v>
      </c>
    </row>
    <row r="145" spans="2:3" hidden="1">
      <c r="B145" s="125">
        <v>42887</v>
      </c>
      <c r="C145" s="65">
        <v>1.7615000000000001</v>
      </c>
    </row>
    <row r="146" spans="2:3" hidden="1">
      <c r="B146" s="125">
        <v>42888</v>
      </c>
      <c r="C146" s="65">
        <v>1.7188000000000001</v>
      </c>
    </row>
    <row r="147" spans="2:3" hidden="1">
      <c r="B147" s="125">
        <v>42891</v>
      </c>
      <c r="C147" s="65">
        <v>1.7418</v>
      </c>
    </row>
    <row r="148" spans="2:3" hidden="1">
      <c r="B148" s="125">
        <v>42892</v>
      </c>
      <c r="C148" s="65">
        <v>1.7138</v>
      </c>
    </row>
    <row r="149" spans="2:3" hidden="1">
      <c r="B149" s="125">
        <v>42893</v>
      </c>
      <c r="C149" s="65">
        <v>1.7384999999999999</v>
      </c>
    </row>
    <row r="150" spans="2:3" hidden="1">
      <c r="B150" s="125">
        <v>42894</v>
      </c>
      <c r="C150" s="65">
        <v>1.7483</v>
      </c>
    </row>
    <row r="151" spans="2:3" hidden="1">
      <c r="B151" s="125">
        <v>42895</v>
      </c>
      <c r="C151" s="65">
        <v>1.7664</v>
      </c>
    </row>
    <row r="152" spans="2:3" hidden="1">
      <c r="B152" s="125">
        <v>42898</v>
      </c>
      <c r="C152" s="65">
        <v>1.778</v>
      </c>
    </row>
    <row r="153" spans="2:3" hidden="1">
      <c r="B153" s="125">
        <v>42899</v>
      </c>
      <c r="C153" s="65">
        <v>1.7813000000000001</v>
      </c>
    </row>
    <row r="154" spans="2:3" hidden="1">
      <c r="B154" s="125">
        <v>42900</v>
      </c>
      <c r="C154" s="65">
        <v>1.7153</v>
      </c>
    </row>
    <row r="155" spans="2:3" hidden="1">
      <c r="B155" s="125">
        <v>42901</v>
      </c>
      <c r="C155" s="65">
        <v>1.7632000000000001</v>
      </c>
    </row>
    <row r="156" spans="2:3" hidden="1">
      <c r="B156" s="125">
        <v>42902</v>
      </c>
      <c r="C156" s="65">
        <v>1.7433000000000001</v>
      </c>
    </row>
    <row r="157" spans="2:3" hidden="1">
      <c r="B157" s="125">
        <v>42905</v>
      </c>
      <c r="C157" s="65">
        <v>1.788</v>
      </c>
    </row>
    <row r="158" spans="2:3" hidden="1">
      <c r="B158" s="125">
        <v>42906</v>
      </c>
      <c r="C158" s="65">
        <v>1.7632000000000001</v>
      </c>
    </row>
    <row r="159" spans="2:3" hidden="1">
      <c r="B159" s="125">
        <v>42907</v>
      </c>
      <c r="C159" s="65">
        <v>1.7730999999999999</v>
      </c>
    </row>
    <row r="160" spans="2:3" hidden="1">
      <c r="B160" s="125">
        <v>42908</v>
      </c>
      <c r="C160" s="65">
        <v>1.7582</v>
      </c>
    </row>
    <row r="161" spans="2:3" hidden="1">
      <c r="B161" s="125">
        <v>42909</v>
      </c>
      <c r="C161" s="65">
        <v>1.7565</v>
      </c>
    </row>
    <row r="162" spans="2:3" hidden="1">
      <c r="B162" s="125">
        <v>42912</v>
      </c>
      <c r="C162" s="65">
        <v>1.7565</v>
      </c>
    </row>
    <row r="163" spans="2:3" hidden="1">
      <c r="B163" s="125">
        <v>42913</v>
      </c>
      <c r="C163" s="65">
        <v>1.8115000000000001</v>
      </c>
    </row>
    <row r="164" spans="2:3" hidden="1">
      <c r="B164" s="125">
        <v>42914</v>
      </c>
      <c r="C164" s="65">
        <v>1.8206</v>
      </c>
    </row>
    <row r="165" spans="2:3" hidden="1">
      <c r="B165" s="125">
        <v>42915</v>
      </c>
      <c r="C165" s="65">
        <v>1.8502000000000001</v>
      </c>
    </row>
    <row r="166" spans="2:3" hidden="1">
      <c r="B166" s="125">
        <v>42916</v>
      </c>
      <c r="C166" s="65">
        <v>1.8884000000000001</v>
      </c>
    </row>
    <row r="167" spans="2:3" hidden="1">
      <c r="B167" s="125">
        <v>42919</v>
      </c>
      <c r="C167" s="65">
        <v>1.9316</v>
      </c>
    </row>
    <row r="168" spans="2:3" hidden="1">
      <c r="B168" s="125">
        <v>42920</v>
      </c>
      <c r="C168" s="65">
        <v>1.9316</v>
      </c>
    </row>
    <row r="169" spans="2:3" hidden="1">
      <c r="B169" s="125">
        <v>42921</v>
      </c>
      <c r="C169" s="65">
        <v>1.9134</v>
      </c>
    </row>
    <row r="170" spans="2:3" hidden="1">
      <c r="B170" s="125">
        <v>42922</v>
      </c>
      <c r="C170" s="65">
        <v>1.9351</v>
      </c>
    </row>
    <row r="171" spans="2:3" hidden="1">
      <c r="B171" s="125">
        <v>42923</v>
      </c>
      <c r="C171" s="65">
        <v>1.9470000000000001</v>
      </c>
    </row>
    <row r="172" spans="2:3" hidden="1">
      <c r="B172" s="125">
        <v>42926</v>
      </c>
      <c r="C172" s="65">
        <v>1.9320999999999999</v>
      </c>
    </row>
    <row r="173" spans="2:3" hidden="1">
      <c r="B173" s="125">
        <v>42927</v>
      </c>
      <c r="C173" s="65">
        <v>1.9156</v>
      </c>
    </row>
    <row r="174" spans="2:3" hidden="1">
      <c r="B174" s="125">
        <v>42928</v>
      </c>
      <c r="C174" s="65">
        <v>1.8741000000000001</v>
      </c>
    </row>
    <row r="175" spans="2:3" hidden="1">
      <c r="B175" s="125">
        <v>42929</v>
      </c>
      <c r="C175" s="65">
        <v>1.8908</v>
      </c>
    </row>
    <row r="176" spans="2:3" hidden="1">
      <c r="B176" s="125">
        <v>42930</v>
      </c>
      <c r="C176" s="65">
        <v>1.8660000000000001</v>
      </c>
    </row>
    <row r="177" spans="2:3" hidden="1">
      <c r="B177" s="125">
        <v>42933</v>
      </c>
      <c r="C177" s="65">
        <v>1.8593999999999999</v>
      </c>
    </row>
    <row r="178" spans="2:3" hidden="1">
      <c r="B178" s="125">
        <v>42934</v>
      </c>
      <c r="C178" s="65">
        <v>1.8129</v>
      </c>
    </row>
    <row r="179" spans="2:3" hidden="1">
      <c r="B179" s="125">
        <v>42935</v>
      </c>
      <c r="C179" s="65">
        <v>1.8246</v>
      </c>
    </row>
    <row r="180" spans="2:3" hidden="1">
      <c r="B180" s="125">
        <v>42936</v>
      </c>
      <c r="C180" s="65">
        <v>1.8180000000000001</v>
      </c>
    </row>
    <row r="181" spans="2:3" hidden="1">
      <c r="B181" s="125">
        <v>42937</v>
      </c>
      <c r="C181" s="65">
        <v>1.8030999999999999</v>
      </c>
    </row>
    <row r="182" spans="2:3" hidden="1">
      <c r="B182" s="125">
        <v>42940</v>
      </c>
      <c r="C182" s="65">
        <v>1.8213999999999999</v>
      </c>
    </row>
    <row r="183" spans="2:3" hidden="1">
      <c r="B183" s="125">
        <v>42941</v>
      </c>
      <c r="C183" s="65">
        <v>1.89</v>
      </c>
    </row>
    <row r="184" spans="2:3" hidden="1">
      <c r="B184" s="125">
        <v>42942</v>
      </c>
      <c r="C184" s="65">
        <v>1.8265</v>
      </c>
    </row>
    <row r="185" spans="2:3" hidden="1">
      <c r="B185" s="125">
        <v>42943</v>
      </c>
      <c r="C185" s="65">
        <v>1.8520000000000001</v>
      </c>
    </row>
    <row r="186" spans="2:3" hidden="1">
      <c r="B186" s="125">
        <v>42944</v>
      </c>
      <c r="C186" s="65">
        <v>1.8339000000000001</v>
      </c>
    </row>
    <row r="187" spans="2:3" hidden="1">
      <c r="B187" s="125">
        <v>42947</v>
      </c>
      <c r="C187" s="65">
        <v>1.8355999999999999</v>
      </c>
    </row>
    <row r="188" spans="2:3" hidden="1">
      <c r="B188" s="125">
        <v>42948</v>
      </c>
      <c r="C188" s="65">
        <v>1.7994000000000001</v>
      </c>
    </row>
    <row r="189" spans="2:3" hidden="1">
      <c r="B189" s="125">
        <v>42949</v>
      </c>
      <c r="C189" s="65">
        <v>1.8255999999999999</v>
      </c>
    </row>
    <row r="190" spans="2:3" hidden="1">
      <c r="B190" s="125">
        <v>42950</v>
      </c>
      <c r="C190" s="65">
        <v>1.7879</v>
      </c>
    </row>
    <row r="191" spans="2:3" hidden="1">
      <c r="B191" s="125">
        <v>42951</v>
      </c>
      <c r="C191" s="65">
        <v>1.8157000000000001</v>
      </c>
    </row>
    <row r="192" spans="2:3" hidden="1">
      <c r="B192" s="125">
        <v>42954</v>
      </c>
      <c r="C192" s="65">
        <v>1.8107</v>
      </c>
    </row>
    <row r="193" spans="2:3" hidden="1">
      <c r="B193" s="125">
        <v>42955</v>
      </c>
      <c r="C193" s="65">
        <v>1.8171999999999999</v>
      </c>
    </row>
    <row r="194" spans="2:3" hidden="1">
      <c r="B194" s="125">
        <v>42956</v>
      </c>
      <c r="C194" s="65">
        <v>1.804</v>
      </c>
    </row>
    <row r="195" spans="2:3" hidden="1">
      <c r="B195" s="125">
        <v>42957</v>
      </c>
      <c r="C195" s="65">
        <v>1.7710999999999999</v>
      </c>
    </row>
    <row r="196" spans="2:3" hidden="1">
      <c r="B196" s="125">
        <v>42958</v>
      </c>
      <c r="C196" s="65">
        <v>1.7428999999999999</v>
      </c>
    </row>
    <row r="197" spans="2:3" hidden="1">
      <c r="B197" s="125">
        <v>42961</v>
      </c>
      <c r="C197" s="65">
        <v>1.7692000000000001</v>
      </c>
    </row>
    <row r="198" spans="2:3" hidden="1">
      <c r="B198" s="125">
        <v>42962</v>
      </c>
      <c r="C198" s="65">
        <v>1.8252999999999999</v>
      </c>
    </row>
    <row r="199" spans="2:3" hidden="1">
      <c r="B199" s="125">
        <v>42963</v>
      </c>
      <c r="C199" s="65">
        <v>1.7806</v>
      </c>
    </row>
    <row r="200" spans="2:3" hidden="1">
      <c r="B200" s="125">
        <v>42964</v>
      </c>
      <c r="C200" s="65">
        <v>1.7492000000000001</v>
      </c>
    </row>
    <row r="201" spans="2:3" hidden="1">
      <c r="B201" s="125">
        <v>42965</v>
      </c>
      <c r="C201" s="65">
        <v>1.7588999999999999</v>
      </c>
    </row>
    <row r="202" spans="2:3" hidden="1">
      <c r="B202" s="125">
        <v>42968</v>
      </c>
      <c r="C202" s="65">
        <v>1.7505999999999999</v>
      </c>
    </row>
    <row r="203" spans="2:3" hidden="1">
      <c r="B203" s="125">
        <v>42969</v>
      </c>
      <c r="C203" s="65">
        <v>1.7836000000000001</v>
      </c>
    </row>
    <row r="204" spans="2:3" hidden="1">
      <c r="B204" s="125">
        <v>42970</v>
      </c>
      <c r="C204" s="65">
        <v>1.7438</v>
      </c>
    </row>
    <row r="205" spans="2:3" hidden="1">
      <c r="B205" s="125">
        <v>42971</v>
      </c>
      <c r="C205" s="65">
        <v>1.7751999999999999</v>
      </c>
    </row>
    <row r="206" spans="2:3" hidden="1">
      <c r="B206" s="125">
        <v>42972</v>
      </c>
      <c r="C206" s="65">
        <v>1.7567999999999999</v>
      </c>
    </row>
    <row r="207" spans="2:3" hidden="1">
      <c r="B207" s="125">
        <v>42975</v>
      </c>
      <c r="C207" s="65">
        <v>1.7402</v>
      </c>
    </row>
    <row r="208" spans="2:3" hidden="1">
      <c r="B208" s="125">
        <v>42976</v>
      </c>
      <c r="C208" s="65">
        <v>1.7036</v>
      </c>
    </row>
    <row r="209" spans="2:3" hidden="1">
      <c r="B209" s="125">
        <v>42977</v>
      </c>
      <c r="C209" s="65">
        <v>1.7166999999999999</v>
      </c>
    </row>
    <row r="210" spans="2:3" hidden="1">
      <c r="B210" s="125">
        <v>42978</v>
      </c>
      <c r="C210" s="65">
        <v>1.702</v>
      </c>
    </row>
    <row r="211" spans="2:3" hidden="1">
      <c r="B211" s="125">
        <v>42979</v>
      </c>
      <c r="C211" s="65">
        <v>1.7383</v>
      </c>
    </row>
    <row r="212" spans="2:3" hidden="1">
      <c r="B212" s="125">
        <v>42982</v>
      </c>
      <c r="C212" s="65">
        <v>1.7383</v>
      </c>
    </row>
    <row r="213" spans="2:3" hidden="1">
      <c r="B213" s="125">
        <v>42983</v>
      </c>
      <c r="C213" s="65">
        <v>1.6414</v>
      </c>
    </row>
    <row r="214" spans="2:3" hidden="1">
      <c r="B214" s="125">
        <v>42984</v>
      </c>
      <c r="C214" s="65">
        <v>1.6840999999999999</v>
      </c>
    </row>
    <row r="215" spans="2:3" hidden="1">
      <c r="B215" s="125">
        <v>42985</v>
      </c>
      <c r="C215" s="65">
        <v>1.625</v>
      </c>
    </row>
    <row r="216" spans="2:3" hidden="1">
      <c r="B216" s="125">
        <v>42986</v>
      </c>
      <c r="C216" s="65">
        <v>1.6332</v>
      </c>
    </row>
    <row r="217" spans="2:3" hidden="1">
      <c r="B217" s="125">
        <v>42989</v>
      </c>
      <c r="C217" s="65">
        <v>1.7090000000000001</v>
      </c>
    </row>
    <row r="218" spans="2:3" hidden="1">
      <c r="B218" s="125">
        <v>42990</v>
      </c>
      <c r="C218" s="65">
        <v>1.7454000000000001</v>
      </c>
    </row>
    <row r="219" spans="2:3" hidden="1">
      <c r="B219" s="125">
        <v>42991</v>
      </c>
      <c r="C219" s="65">
        <v>1.7669999999999999</v>
      </c>
    </row>
    <row r="220" spans="2:3" hidden="1">
      <c r="B220" s="125">
        <v>42992</v>
      </c>
      <c r="C220" s="65">
        <v>1.7769999999999999</v>
      </c>
    </row>
    <row r="221" spans="2:3" hidden="1">
      <c r="B221" s="125">
        <v>42993</v>
      </c>
      <c r="C221" s="65">
        <v>1.8055000000000001</v>
      </c>
    </row>
    <row r="222" spans="2:3" hidden="1">
      <c r="B222" s="125">
        <v>42996</v>
      </c>
      <c r="C222" s="65">
        <v>1.8255999999999999</v>
      </c>
    </row>
    <row r="223" spans="2:3" hidden="1">
      <c r="B223" s="125">
        <v>42997</v>
      </c>
      <c r="C223" s="65">
        <v>1.8341000000000001</v>
      </c>
    </row>
    <row r="224" spans="2:3" hidden="1">
      <c r="B224" s="125">
        <v>42998</v>
      </c>
      <c r="C224" s="65">
        <v>1.8743000000000001</v>
      </c>
    </row>
    <row r="225" spans="2:3" hidden="1">
      <c r="B225" s="125">
        <v>42999</v>
      </c>
      <c r="C225" s="65">
        <v>1.8862000000000001</v>
      </c>
    </row>
    <row r="226" spans="2:3" hidden="1">
      <c r="B226" s="125">
        <v>43000</v>
      </c>
      <c r="C226" s="65">
        <v>1.8613999999999999</v>
      </c>
    </row>
    <row r="227" spans="2:3" hidden="1">
      <c r="B227" s="125">
        <v>43003</v>
      </c>
      <c r="C227" s="65">
        <v>1.8364</v>
      </c>
    </row>
    <row r="228" spans="2:3" hidden="1">
      <c r="B228" s="125">
        <v>43004</v>
      </c>
      <c r="C228" s="65">
        <v>1.8583000000000001</v>
      </c>
    </row>
    <row r="229" spans="2:3" hidden="1">
      <c r="B229" s="125">
        <v>43005</v>
      </c>
      <c r="C229" s="65">
        <v>1.9055</v>
      </c>
    </row>
    <row r="230" spans="2:3" hidden="1">
      <c r="B230" s="125">
        <v>43006</v>
      </c>
      <c r="C230" s="65">
        <v>1.8931</v>
      </c>
    </row>
    <row r="231" spans="2:3" hidden="1">
      <c r="B231" s="125">
        <v>43007</v>
      </c>
      <c r="C231" s="65">
        <v>1.9359999999999999</v>
      </c>
    </row>
    <row r="232" spans="2:3" hidden="1">
      <c r="B232" s="125">
        <v>43010</v>
      </c>
      <c r="C232" s="65">
        <v>1.9343999999999999</v>
      </c>
    </row>
    <row r="233" spans="2:3" hidden="1">
      <c r="B233" s="125">
        <v>43011</v>
      </c>
      <c r="C233" s="65">
        <v>1.9161999999999999</v>
      </c>
    </row>
    <row r="234" spans="2:3" hidden="1">
      <c r="B234" s="125">
        <v>43012</v>
      </c>
      <c r="C234" s="65">
        <v>1.9161999999999999</v>
      </c>
    </row>
    <row r="235" spans="2:3" hidden="1">
      <c r="B235" s="125">
        <v>43013</v>
      </c>
      <c r="C235" s="65">
        <v>1.9443999999999999</v>
      </c>
    </row>
    <row r="236" spans="2:3" hidden="1">
      <c r="B236" s="125">
        <v>43014</v>
      </c>
      <c r="C236" s="65">
        <v>1.9560999999999999</v>
      </c>
    </row>
    <row r="237" spans="2:3" hidden="1">
      <c r="B237" s="125">
        <v>43017</v>
      </c>
      <c r="C237" s="65">
        <v>1.9560999999999999</v>
      </c>
    </row>
    <row r="238" spans="2:3" hidden="1">
      <c r="B238" s="125">
        <v>43018</v>
      </c>
      <c r="C238" s="65">
        <v>1.9595</v>
      </c>
    </row>
    <row r="239" spans="2:3" hidden="1">
      <c r="B239" s="125">
        <v>43019</v>
      </c>
      <c r="C239" s="65">
        <v>1.9561999999999999</v>
      </c>
    </row>
    <row r="240" spans="2:3" hidden="1">
      <c r="B240" s="125">
        <v>43020</v>
      </c>
      <c r="C240" s="65">
        <v>1.9379999999999999</v>
      </c>
    </row>
    <row r="241" spans="2:3" hidden="1">
      <c r="B241" s="125">
        <v>43021</v>
      </c>
      <c r="C241" s="65">
        <v>1.8997999999999999</v>
      </c>
    </row>
    <row r="242" spans="2:3" hidden="1">
      <c r="B242" s="125">
        <v>43024</v>
      </c>
      <c r="C242" s="65">
        <v>1.9497</v>
      </c>
    </row>
    <row r="243" spans="2:3" hidden="1">
      <c r="B243" s="125">
        <v>43025</v>
      </c>
      <c r="C243" s="65">
        <v>1.9581</v>
      </c>
    </row>
    <row r="244" spans="2:3" hidden="1">
      <c r="B244" s="125">
        <v>43026</v>
      </c>
      <c r="C244" s="65">
        <v>1.9932000000000001</v>
      </c>
    </row>
    <row r="245" spans="2:3" hidden="1">
      <c r="B245" s="125">
        <v>43027</v>
      </c>
      <c r="C245" s="65">
        <v>1.9532</v>
      </c>
    </row>
    <row r="246" spans="2:3" hidden="1">
      <c r="B246" s="125">
        <v>43028</v>
      </c>
      <c r="C246" s="65">
        <v>2.0202</v>
      </c>
    </row>
    <row r="247" spans="2:3" hidden="1">
      <c r="B247" s="125">
        <v>43031</v>
      </c>
      <c r="C247" s="65">
        <v>1.9984999999999999</v>
      </c>
    </row>
    <row r="248" spans="2:3" hidden="1">
      <c r="B248" s="125">
        <v>43032</v>
      </c>
      <c r="C248" s="65">
        <v>2.0438999999999998</v>
      </c>
    </row>
    <row r="249" spans="2:3" hidden="1">
      <c r="B249" s="125">
        <v>43033</v>
      </c>
      <c r="C249" s="65">
        <v>2.044</v>
      </c>
    </row>
    <row r="250" spans="2:3" hidden="1">
      <c r="B250" s="125">
        <v>43034</v>
      </c>
      <c r="C250" s="65">
        <v>2.0777000000000001</v>
      </c>
    </row>
    <row r="251" spans="2:3" hidden="1">
      <c r="B251" s="125">
        <v>43035</v>
      </c>
      <c r="C251" s="65">
        <v>2.0280999999999998</v>
      </c>
    </row>
    <row r="252" spans="2:3" hidden="1">
      <c r="B252" s="125">
        <v>43038</v>
      </c>
      <c r="C252" s="65">
        <v>1.9951000000000001</v>
      </c>
    </row>
    <row r="253" spans="2:3" hidden="1">
      <c r="B253" s="125">
        <v>43039</v>
      </c>
      <c r="C253" s="65">
        <v>2.0165000000000002</v>
      </c>
    </row>
    <row r="254" spans="2:3" hidden="1">
      <c r="B254" s="125">
        <v>43040</v>
      </c>
      <c r="C254" s="65">
        <v>2.0182000000000002</v>
      </c>
    </row>
    <row r="255" spans="2:3" hidden="1">
      <c r="B255" s="125">
        <v>43041</v>
      </c>
      <c r="C255" s="65">
        <v>2</v>
      </c>
    </row>
    <row r="256" spans="2:3" hidden="1">
      <c r="B256" s="125">
        <v>43042</v>
      </c>
      <c r="C256" s="65">
        <v>1.99</v>
      </c>
    </row>
    <row r="257" spans="2:3" hidden="1">
      <c r="B257" s="125">
        <v>43045</v>
      </c>
      <c r="C257" s="65">
        <v>1.9834000000000001</v>
      </c>
    </row>
    <row r="258" spans="2:3" hidden="1">
      <c r="B258" s="125">
        <v>43046</v>
      </c>
      <c r="C258" s="65">
        <v>1.9883999999999999</v>
      </c>
    </row>
    <row r="259" spans="2:3" hidden="1">
      <c r="B259" s="125">
        <v>43047</v>
      </c>
      <c r="C259" s="65">
        <v>2.0099</v>
      </c>
    </row>
    <row r="260" spans="2:3" hidden="1">
      <c r="B260" s="125">
        <v>43048</v>
      </c>
      <c r="C260" s="65">
        <v>2.0116000000000001</v>
      </c>
    </row>
    <row r="261" spans="2:3" hidden="1">
      <c r="B261" s="125">
        <v>43049</v>
      </c>
      <c r="C261" s="65">
        <v>2.0514999999999999</v>
      </c>
    </row>
    <row r="262" spans="2:3" hidden="1">
      <c r="B262" s="125">
        <v>43052</v>
      </c>
      <c r="C262" s="65">
        <v>2.0749</v>
      </c>
    </row>
    <row r="263" spans="2:3" hidden="1">
      <c r="B263" s="125">
        <v>43053</v>
      </c>
      <c r="C263" s="65">
        <v>2.0581999999999998</v>
      </c>
    </row>
    <row r="264" spans="2:3" hidden="1">
      <c r="B264" s="125">
        <v>43054</v>
      </c>
      <c r="C264" s="65">
        <v>2.0316000000000001</v>
      </c>
    </row>
    <row r="265" spans="2:3" hidden="1">
      <c r="B265" s="125">
        <v>43055</v>
      </c>
      <c r="C265" s="65">
        <v>2.0699999999999998</v>
      </c>
    </row>
    <row r="266" spans="2:3" hidden="1">
      <c r="B266" s="125">
        <v>43056</v>
      </c>
      <c r="C266" s="65">
        <v>2.06</v>
      </c>
    </row>
    <row r="267" spans="2:3" hidden="1">
      <c r="B267" s="125">
        <v>43059</v>
      </c>
      <c r="C267" s="65">
        <v>2.09</v>
      </c>
    </row>
    <row r="268" spans="2:3" hidden="1">
      <c r="B268" s="125">
        <v>43060</v>
      </c>
      <c r="C268" s="65">
        <v>2.11</v>
      </c>
    </row>
    <row r="269" spans="2:3" hidden="1">
      <c r="B269" s="125">
        <v>43061</v>
      </c>
      <c r="C269" s="65">
        <v>2.0499999999999998</v>
      </c>
    </row>
    <row r="270" spans="2:3" hidden="1">
      <c r="B270" s="125">
        <v>43063</v>
      </c>
      <c r="C270" s="65">
        <v>2.0699999999999998</v>
      </c>
    </row>
    <row r="271" spans="2:3" hidden="1">
      <c r="B271" s="125">
        <v>43066</v>
      </c>
      <c r="C271" s="65">
        <v>2.06</v>
      </c>
    </row>
    <row r="272" spans="2:3" hidden="1">
      <c r="B272" s="125">
        <v>43067</v>
      </c>
      <c r="C272" s="65">
        <v>2.0699999999999998</v>
      </c>
    </row>
    <row r="273" spans="2:3" hidden="1">
      <c r="B273" s="125">
        <v>43068</v>
      </c>
      <c r="C273" s="65">
        <v>2.09</v>
      </c>
    </row>
    <row r="274" spans="2:3" hidden="1">
      <c r="B274" s="125">
        <v>43069</v>
      </c>
      <c r="C274" s="65">
        <v>2.14</v>
      </c>
    </row>
    <row r="275" spans="2:3" hidden="1">
      <c r="B275" s="125">
        <v>43070</v>
      </c>
      <c r="C275" s="65">
        <v>2.13</v>
      </c>
    </row>
    <row r="276" spans="2:3" hidden="1">
      <c r="B276" s="125">
        <v>43073</v>
      </c>
      <c r="C276" s="65">
        <v>2.15</v>
      </c>
    </row>
    <row r="277" spans="2:3" hidden="1">
      <c r="B277" s="125">
        <v>43074</v>
      </c>
      <c r="C277" s="65">
        <v>2.15</v>
      </c>
    </row>
    <row r="278" spans="2:3" hidden="1">
      <c r="B278" s="125">
        <v>43075</v>
      </c>
      <c r="C278" s="65">
        <v>2.11</v>
      </c>
    </row>
    <row r="279" spans="2:3" hidden="1">
      <c r="B279" s="125">
        <v>43076</v>
      </c>
      <c r="C279" s="65">
        <v>2.14</v>
      </c>
    </row>
    <row r="280" spans="2:3" hidden="1">
      <c r="B280" s="125">
        <v>43077</v>
      </c>
      <c r="C280" s="65">
        <v>2.14</v>
      </c>
    </row>
    <row r="281" spans="2:3" hidden="1">
      <c r="B281" s="125">
        <v>43080</v>
      </c>
      <c r="C281" s="65">
        <v>2.16</v>
      </c>
    </row>
    <row r="282" spans="2:3" hidden="1">
      <c r="B282" s="125">
        <v>43081</v>
      </c>
      <c r="C282" s="65">
        <v>2.1800000000000002</v>
      </c>
    </row>
    <row r="283" spans="2:3" hidden="1">
      <c r="B283" s="125">
        <v>43082</v>
      </c>
      <c r="C283" s="65">
        <v>2.12</v>
      </c>
    </row>
    <row r="284" spans="2:3" hidden="1">
      <c r="B284" s="125">
        <v>43083</v>
      </c>
      <c r="C284" s="65">
        <v>2.14</v>
      </c>
    </row>
    <row r="285" spans="2:3" hidden="1">
      <c r="B285" s="125">
        <v>43084</v>
      </c>
      <c r="C285" s="65">
        <v>2.16</v>
      </c>
    </row>
    <row r="286" spans="2:3" hidden="1">
      <c r="B286" s="125">
        <v>43087</v>
      </c>
      <c r="C286" s="65">
        <v>2.17</v>
      </c>
    </row>
    <row r="287" spans="2:3" hidden="1">
      <c r="B287" s="125">
        <v>43088</v>
      </c>
      <c r="C287" s="65">
        <v>2.23</v>
      </c>
    </row>
    <row r="288" spans="2:3" hidden="1">
      <c r="B288" s="125">
        <v>43089</v>
      </c>
      <c r="C288" s="65">
        <v>2.2400000000000002</v>
      </c>
    </row>
    <row r="289" spans="2:3" hidden="1">
      <c r="B289" s="125">
        <v>43090</v>
      </c>
      <c r="C289" s="65">
        <v>2.2599999999999998</v>
      </c>
    </row>
    <row r="290" spans="2:3" hidden="1">
      <c r="B290" s="125">
        <v>43091</v>
      </c>
      <c r="C290" s="65">
        <v>2.2599999999999998</v>
      </c>
    </row>
    <row r="291" spans="2:3" hidden="1">
      <c r="B291" s="125">
        <v>43093</v>
      </c>
      <c r="C291" s="65">
        <v>2.2490000000000001</v>
      </c>
    </row>
    <row r="292" spans="2:3" hidden="1">
      <c r="B292" s="125">
        <v>43095</v>
      </c>
      <c r="C292" s="65">
        <v>2.25</v>
      </c>
    </row>
    <row r="293" spans="2:3" hidden="1">
      <c r="B293" s="125">
        <v>43096</v>
      </c>
      <c r="C293" s="65">
        <v>2.2200000000000002</v>
      </c>
    </row>
    <row r="294" spans="2:3" hidden="1">
      <c r="B294" s="125">
        <v>43097</v>
      </c>
      <c r="C294" s="65">
        <v>2.23</v>
      </c>
    </row>
    <row r="295" spans="2:3" hidden="1">
      <c r="B295" s="125">
        <v>43098</v>
      </c>
      <c r="C295" s="65">
        <v>2.2000000000000002</v>
      </c>
    </row>
    <row r="296" spans="2:3" hidden="1">
      <c r="B296" s="125">
        <v>43100</v>
      </c>
      <c r="C296" s="65">
        <v>2.2063999999999999</v>
      </c>
    </row>
    <row r="297" spans="2:3" hidden="1">
      <c r="B297" s="125">
        <v>43102</v>
      </c>
      <c r="C297" s="65">
        <v>2.25</v>
      </c>
    </row>
    <row r="298" spans="2:3" hidden="1">
      <c r="B298" s="125">
        <v>43103</v>
      </c>
      <c r="C298" s="65">
        <v>2.25</v>
      </c>
    </row>
    <row r="299" spans="2:3" hidden="1">
      <c r="B299" s="125">
        <v>43104</v>
      </c>
      <c r="C299" s="65">
        <v>2.27</v>
      </c>
    </row>
    <row r="300" spans="2:3" hidden="1">
      <c r="B300" s="125">
        <v>43105</v>
      </c>
      <c r="C300" s="65">
        <v>2.29</v>
      </c>
    </row>
    <row r="301" spans="2:3" hidden="1">
      <c r="B301" s="125">
        <v>43108</v>
      </c>
      <c r="C301" s="65">
        <v>2.29</v>
      </c>
    </row>
    <row r="302" spans="2:3" hidden="1">
      <c r="B302" s="125">
        <v>43109</v>
      </c>
      <c r="C302" s="65">
        <v>2.33</v>
      </c>
    </row>
    <row r="303" spans="2:3" hidden="1">
      <c r="B303" s="125">
        <v>43110</v>
      </c>
      <c r="C303" s="65">
        <v>2.3199999999999998</v>
      </c>
    </row>
    <row r="304" spans="2:3" hidden="1">
      <c r="B304" s="125">
        <v>43111</v>
      </c>
      <c r="C304" s="65">
        <v>2.3199999999999998</v>
      </c>
    </row>
    <row r="305" spans="2:3" hidden="1">
      <c r="B305" s="125">
        <v>43112</v>
      </c>
      <c r="C305" s="65">
        <v>2.35</v>
      </c>
    </row>
    <row r="306" spans="2:3" hidden="1">
      <c r="B306" s="125">
        <v>43114</v>
      </c>
      <c r="C306" s="65">
        <v>2.3464999999999998</v>
      </c>
    </row>
    <row r="307" spans="2:3" hidden="1">
      <c r="B307" s="125">
        <v>43116</v>
      </c>
      <c r="C307" s="65">
        <v>2.36</v>
      </c>
    </row>
    <row r="308" spans="2:3" hidden="1">
      <c r="B308" s="125">
        <v>43117</v>
      </c>
      <c r="C308" s="65">
        <v>2.39</v>
      </c>
    </row>
    <row r="309" spans="2:3" hidden="1">
      <c r="B309" s="125">
        <v>43118</v>
      </c>
      <c r="C309" s="65">
        <v>2.4300000000000002</v>
      </c>
    </row>
    <row r="310" spans="2:3" hidden="1">
      <c r="B310" s="125">
        <v>43119</v>
      </c>
      <c r="C310" s="65">
        <v>2.4500000000000002</v>
      </c>
    </row>
    <row r="311" spans="2:3" hidden="1">
      <c r="B311" s="125">
        <v>43122</v>
      </c>
      <c r="C311" s="65">
        <v>2.46</v>
      </c>
    </row>
    <row r="312" spans="2:3" hidden="1">
      <c r="B312" s="125">
        <v>43123</v>
      </c>
      <c r="C312" s="65">
        <v>2.4300000000000002</v>
      </c>
    </row>
    <row r="313" spans="2:3" hidden="1">
      <c r="B313" s="125">
        <v>43124</v>
      </c>
      <c r="C313" s="65">
        <v>2.4300000000000002</v>
      </c>
    </row>
    <row r="314" spans="2:3" hidden="1">
      <c r="B314" s="125">
        <v>43125</v>
      </c>
      <c r="C314" s="65">
        <v>2.41</v>
      </c>
    </row>
    <row r="315" spans="2:3" hidden="1">
      <c r="B315" s="125">
        <v>43126</v>
      </c>
      <c r="C315" s="65">
        <v>2.4700000000000002</v>
      </c>
    </row>
    <row r="316" spans="2:3" hidden="1">
      <c r="B316" s="125">
        <v>43129</v>
      </c>
      <c r="C316" s="65">
        <v>2.4900000000000002</v>
      </c>
    </row>
    <row r="317" spans="2:3" hidden="1">
      <c r="B317" s="125">
        <v>43130</v>
      </c>
      <c r="C317" s="65">
        <v>2.5099999999999998</v>
      </c>
    </row>
    <row r="318" spans="2:3" hidden="1">
      <c r="B318" s="125">
        <v>43131</v>
      </c>
      <c r="C318" s="65">
        <v>2.52</v>
      </c>
    </row>
    <row r="319" spans="2:3" hidden="1">
      <c r="B319" s="125">
        <v>43132</v>
      </c>
      <c r="C319" s="65">
        <v>2.56</v>
      </c>
    </row>
    <row r="320" spans="2:3" hidden="1">
      <c r="B320" s="125">
        <v>43133</v>
      </c>
      <c r="C320" s="65">
        <v>2.58</v>
      </c>
    </row>
    <row r="321" spans="2:3" hidden="1">
      <c r="B321" s="125">
        <v>43136</v>
      </c>
      <c r="C321" s="65">
        <v>2.5</v>
      </c>
    </row>
    <row r="322" spans="2:3" hidden="1">
      <c r="B322" s="125">
        <v>43137</v>
      </c>
      <c r="C322" s="65">
        <v>2.52</v>
      </c>
    </row>
    <row r="323" spans="2:3" hidden="1">
      <c r="B323" s="125">
        <v>43138</v>
      </c>
      <c r="C323" s="65">
        <v>2.57</v>
      </c>
    </row>
    <row r="324" spans="2:3" hidden="1">
      <c r="B324" s="125">
        <v>43139</v>
      </c>
      <c r="C324" s="65">
        <v>2.57</v>
      </c>
    </row>
    <row r="325" spans="2:3" hidden="1">
      <c r="B325" s="125">
        <v>43140</v>
      </c>
      <c r="C325" s="65">
        <v>2.52</v>
      </c>
    </row>
    <row r="326" spans="2:3" hidden="1">
      <c r="B326" s="125">
        <v>43143</v>
      </c>
      <c r="C326" s="65">
        <v>2.56</v>
      </c>
    </row>
    <row r="327" spans="2:3" hidden="1">
      <c r="B327" s="125">
        <v>43144</v>
      </c>
      <c r="C327" s="65">
        <v>2.54</v>
      </c>
    </row>
    <row r="328" spans="2:3" hidden="1">
      <c r="B328" s="125">
        <v>43145</v>
      </c>
      <c r="C328" s="65">
        <v>2.65</v>
      </c>
    </row>
    <row r="329" spans="2:3" hidden="1">
      <c r="B329" s="125">
        <v>43146</v>
      </c>
      <c r="C329" s="65">
        <v>2.65</v>
      </c>
    </row>
    <row r="330" spans="2:3" hidden="1">
      <c r="B330" s="125">
        <v>43147</v>
      </c>
      <c r="C330" s="65">
        <v>2.63</v>
      </c>
    </row>
    <row r="331" spans="2:3" hidden="1">
      <c r="B331" s="125">
        <v>43149</v>
      </c>
      <c r="C331" s="65">
        <v>2.6291000000000002</v>
      </c>
    </row>
    <row r="332" spans="2:3" hidden="1">
      <c r="B332" s="125">
        <v>43151</v>
      </c>
      <c r="C332" s="65">
        <v>2.65</v>
      </c>
    </row>
    <row r="333" spans="2:3" hidden="1">
      <c r="B333" s="125">
        <v>43152</v>
      </c>
      <c r="C333" s="65">
        <v>2.69</v>
      </c>
    </row>
    <row r="334" spans="2:3" hidden="1">
      <c r="B334" s="125">
        <v>43153</v>
      </c>
      <c r="C334" s="65">
        <v>2.66</v>
      </c>
    </row>
    <row r="335" spans="2:3" hidden="1">
      <c r="B335" s="125">
        <v>43154</v>
      </c>
      <c r="C335" s="65">
        <v>2.62</v>
      </c>
    </row>
    <row r="336" spans="2:3" hidden="1">
      <c r="B336" s="125">
        <v>43157</v>
      </c>
      <c r="C336" s="65">
        <v>2.6</v>
      </c>
    </row>
    <row r="337" spans="2:3" hidden="1">
      <c r="B337" s="125">
        <v>43158</v>
      </c>
      <c r="C337" s="65">
        <v>2.67</v>
      </c>
    </row>
    <row r="338" spans="2:3" hidden="1">
      <c r="B338" s="125">
        <v>43159</v>
      </c>
      <c r="C338" s="65">
        <v>2.65</v>
      </c>
    </row>
    <row r="339" spans="2:3" hidden="1">
      <c r="B339" s="125">
        <v>43160</v>
      </c>
      <c r="C339" s="65">
        <v>2.58</v>
      </c>
    </row>
    <row r="340" spans="2:3" hidden="1">
      <c r="B340" s="125">
        <v>43161</v>
      </c>
      <c r="C340" s="65">
        <v>2.63</v>
      </c>
    </row>
    <row r="341" spans="2:3" hidden="1">
      <c r="B341" s="125">
        <v>43164</v>
      </c>
      <c r="C341" s="65">
        <v>2.65</v>
      </c>
    </row>
    <row r="342" spans="2:3" hidden="1">
      <c r="B342" s="125">
        <v>43165</v>
      </c>
      <c r="C342" s="65">
        <v>2.65</v>
      </c>
    </row>
    <row r="343" spans="2:3" hidden="1">
      <c r="B343" s="125">
        <v>43166</v>
      </c>
      <c r="C343" s="65">
        <v>2.65</v>
      </c>
    </row>
    <row r="344" spans="2:3" hidden="1">
      <c r="B344" s="125">
        <v>43167</v>
      </c>
      <c r="C344" s="65">
        <v>2.63</v>
      </c>
    </row>
    <row r="345" spans="2:3" hidden="1">
      <c r="B345" s="125">
        <v>43168</v>
      </c>
      <c r="C345" s="65">
        <v>2.65</v>
      </c>
    </row>
    <row r="346" spans="2:3" hidden="1">
      <c r="B346" s="125">
        <v>43171</v>
      </c>
      <c r="C346" s="65">
        <v>2.64</v>
      </c>
    </row>
    <row r="347" spans="2:3" hidden="1">
      <c r="B347" s="125">
        <v>43172</v>
      </c>
      <c r="C347" s="65">
        <v>2.62</v>
      </c>
    </row>
    <row r="348" spans="2:3" hidden="1">
      <c r="B348" s="125">
        <v>43173</v>
      </c>
      <c r="C348" s="65">
        <v>2.61</v>
      </c>
    </row>
    <row r="349" spans="2:3" hidden="1">
      <c r="B349" s="125">
        <v>43174</v>
      </c>
      <c r="C349" s="65">
        <v>2.62</v>
      </c>
    </row>
    <row r="350" spans="2:3" hidden="1">
      <c r="B350" s="125">
        <v>43175</v>
      </c>
      <c r="C350" s="65">
        <v>2.65</v>
      </c>
    </row>
    <row r="351" spans="2:3" hidden="1">
      <c r="B351" s="125">
        <v>43178</v>
      </c>
      <c r="C351" s="65">
        <v>2.65</v>
      </c>
    </row>
    <row r="352" spans="2:3" hidden="1">
      <c r="B352" s="125">
        <v>43179</v>
      </c>
      <c r="C352" s="65">
        <v>2.69</v>
      </c>
    </row>
    <row r="353" spans="2:3" hidden="1">
      <c r="B353" s="125">
        <v>43180</v>
      </c>
      <c r="C353" s="65">
        <v>2.69</v>
      </c>
    </row>
    <row r="354" spans="2:3" hidden="1">
      <c r="B354" s="125">
        <v>43181</v>
      </c>
      <c r="C354" s="65">
        <v>2.63</v>
      </c>
    </row>
    <row r="355" spans="2:3" hidden="1">
      <c r="B355" s="125">
        <v>43182</v>
      </c>
      <c r="C355" s="65">
        <v>2.61</v>
      </c>
    </row>
    <row r="356" spans="2:3" hidden="1">
      <c r="B356" s="125">
        <v>43185</v>
      </c>
      <c r="C356" s="65">
        <v>2.64</v>
      </c>
    </row>
    <row r="357" spans="2:3" hidden="1">
      <c r="B357" s="125">
        <v>43186</v>
      </c>
      <c r="C357" s="65">
        <v>2.58</v>
      </c>
    </row>
    <row r="358" spans="2:3" hidden="1">
      <c r="B358" s="125">
        <v>43187</v>
      </c>
      <c r="C358" s="65">
        <v>2.59</v>
      </c>
    </row>
    <row r="359" spans="2:3" hidden="1">
      <c r="B359" s="125">
        <v>43188</v>
      </c>
      <c r="C359" s="65">
        <v>2.56</v>
      </c>
    </row>
    <row r="360" spans="2:3" hidden="1">
      <c r="B360" s="125">
        <v>43192</v>
      </c>
      <c r="C360" s="65">
        <v>2.5499999999999998</v>
      </c>
    </row>
    <row r="361" spans="2:3" hidden="1">
      <c r="B361" s="125">
        <v>43193</v>
      </c>
      <c r="C361" s="65">
        <v>2.6</v>
      </c>
    </row>
    <row r="362" spans="2:3" hidden="1">
      <c r="B362" s="125">
        <v>43194</v>
      </c>
      <c r="C362" s="65">
        <v>2.61</v>
      </c>
    </row>
    <row r="363" spans="2:3" hidden="1">
      <c r="B363" s="125">
        <v>43195</v>
      </c>
      <c r="C363" s="65">
        <v>2.64</v>
      </c>
    </row>
    <row r="364" spans="2:3" hidden="1">
      <c r="B364" s="125">
        <v>43196</v>
      </c>
      <c r="C364" s="65">
        <v>2.58</v>
      </c>
    </row>
    <row r="365" spans="2:3" hidden="1">
      <c r="B365" s="125">
        <v>43199</v>
      </c>
      <c r="C365" s="65">
        <v>2.6</v>
      </c>
    </row>
    <row r="366" spans="2:3" hidden="1">
      <c r="B366" s="125">
        <v>43200</v>
      </c>
      <c r="C366" s="65">
        <v>2.62</v>
      </c>
    </row>
    <row r="367" spans="2:3" hidden="1">
      <c r="B367" s="125">
        <v>43201</v>
      </c>
      <c r="C367" s="65">
        <v>2.62</v>
      </c>
    </row>
    <row r="368" spans="2:3" hidden="1">
      <c r="B368" s="125">
        <v>43202</v>
      </c>
      <c r="C368" s="65">
        <v>2.67</v>
      </c>
    </row>
    <row r="369" spans="2:3" hidden="1">
      <c r="B369" s="125">
        <v>43203</v>
      </c>
      <c r="C369" s="65">
        <v>2.67</v>
      </c>
    </row>
    <row r="370" spans="2:3" hidden="1">
      <c r="B370" s="125">
        <v>43206</v>
      </c>
      <c r="C370" s="65">
        <v>2.69</v>
      </c>
    </row>
    <row r="371" spans="2:3" hidden="1">
      <c r="B371" s="125">
        <v>43207</v>
      </c>
      <c r="C371" s="65">
        <v>2.68</v>
      </c>
    </row>
    <row r="372" spans="2:3" hidden="1">
      <c r="B372" s="125">
        <v>43208</v>
      </c>
      <c r="C372" s="65">
        <v>2.73</v>
      </c>
    </row>
    <row r="373" spans="2:3" hidden="1">
      <c r="B373" s="125">
        <v>43209</v>
      </c>
      <c r="C373" s="65">
        <v>2.77</v>
      </c>
    </row>
    <row r="374" spans="2:3" hidden="1">
      <c r="B374" s="125">
        <v>43210</v>
      </c>
      <c r="C374" s="65">
        <v>2.8</v>
      </c>
    </row>
    <row r="375" spans="2:3" hidden="1">
      <c r="B375" s="125">
        <v>43213</v>
      </c>
      <c r="C375" s="65">
        <v>2.83</v>
      </c>
    </row>
    <row r="376" spans="2:3" hidden="1">
      <c r="B376" s="125">
        <v>43214</v>
      </c>
      <c r="C376" s="65">
        <v>2.83</v>
      </c>
    </row>
    <row r="377" spans="2:3" hidden="1">
      <c r="B377" s="125">
        <v>43215</v>
      </c>
      <c r="C377" s="65">
        <v>2.84</v>
      </c>
    </row>
    <row r="378" spans="2:3" hidden="1">
      <c r="B378" s="125">
        <v>43216</v>
      </c>
      <c r="C378" s="65">
        <v>2.82</v>
      </c>
    </row>
    <row r="379" spans="2:3" hidden="1">
      <c r="B379" s="125">
        <v>43217</v>
      </c>
      <c r="C379" s="65">
        <v>2.8</v>
      </c>
    </row>
    <row r="380" spans="2:3" hidden="1">
      <c r="B380" s="125">
        <v>43220</v>
      </c>
      <c r="C380" s="65">
        <v>2.79</v>
      </c>
    </row>
    <row r="381" spans="2:3" hidden="1">
      <c r="B381" s="125">
        <v>43221</v>
      </c>
      <c r="C381" s="65">
        <v>2.82</v>
      </c>
    </row>
    <row r="382" spans="2:3" hidden="1">
      <c r="B382" s="125">
        <v>43222</v>
      </c>
      <c r="C382" s="65">
        <v>2.8</v>
      </c>
    </row>
    <row r="383" spans="2:3" hidden="1">
      <c r="B383" s="125">
        <v>43223</v>
      </c>
      <c r="C383" s="65">
        <v>2.78</v>
      </c>
    </row>
    <row r="384" spans="2:3" hidden="1">
      <c r="B384" s="125">
        <v>43224</v>
      </c>
      <c r="C384" s="65">
        <v>2.78</v>
      </c>
    </row>
    <row r="385" spans="2:3" hidden="1">
      <c r="B385" s="125">
        <v>43227</v>
      </c>
      <c r="C385" s="65">
        <v>2.78</v>
      </c>
    </row>
    <row r="386" spans="2:3" hidden="1">
      <c r="B386" s="125">
        <v>43228</v>
      </c>
      <c r="C386" s="65">
        <v>2.81</v>
      </c>
    </row>
    <row r="387" spans="2:3" hidden="1">
      <c r="B387" s="125">
        <v>43229</v>
      </c>
      <c r="C387" s="65">
        <v>2.84</v>
      </c>
    </row>
    <row r="388" spans="2:3" hidden="1">
      <c r="B388" s="125">
        <v>43230</v>
      </c>
      <c r="C388" s="65">
        <v>2.83</v>
      </c>
    </row>
    <row r="389" spans="2:3" hidden="1">
      <c r="B389" s="125">
        <v>43231</v>
      </c>
      <c r="C389" s="65">
        <v>2.84</v>
      </c>
    </row>
    <row r="390" spans="2:3" hidden="1">
      <c r="B390" s="125">
        <v>43234</v>
      </c>
      <c r="C390" s="65">
        <v>2.85</v>
      </c>
    </row>
    <row r="391" spans="2:3" hidden="1">
      <c r="B391" s="125">
        <v>43235</v>
      </c>
      <c r="C391" s="65">
        <v>2.92</v>
      </c>
    </row>
    <row r="392" spans="2:3" hidden="1">
      <c r="B392" s="125">
        <v>43236</v>
      </c>
      <c r="C392" s="65">
        <v>2.94</v>
      </c>
    </row>
    <row r="393" spans="2:3" hidden="1">
      <c r="B393" s="125">
        <v>43237</v>
      </c>
      <c r="C393" s="65">
        <v>2.94</v>
      </c>
    </row>
    <row r="394" spans="2:3" hidden="1">
      <c r="B394" s="125">
        <v>43238</v>
      </c>
      <c r="C394" s="65">
        <v>2.9</v>
      </c>
    </row>
    <row r="395" spans="2:3" hidden="1">
      <c r="B395" s="125">
        <v>43241</v>
      </c>
      <c r="C395" s="65">
        <v>2.9</v>
      </c>
    </row>
    <row r="396" spans="2:3" hidden="1">
      <c r="B396" s="125">
        <v>43242</v>
      </c>
      <c r="C396" s="65">
        <v>2.9</v>
      </c>
    </row>
    <row r="397" spans="2:3" hidden="1">
      <c r="B397" s="125">
        <v>43243</v>
      </c>
      <c r="C397" s="65">
        <v>2.83</v>
      </c>
    </row>
    <row r="398" spans="2:3" hidden="1">
      <c r="B398" s="125">
        <v>43244</v>
      </c>
      <c r="C398" s="65">
        <v>2.82</v>
      </c>
    </row>
    <row r="399" spans="2:3" hidden="1">
      <c r="B399" s="125">
        <v>43245</v>
      </c>
      <c r="C399" s="65">
        <v>2.76</v>
      </c>
    </row>
    <row r="400" spans="2:3" hidden="1">
      <c r="B400" s="125">
        <v>43249</v>
      </c>
      <c r="C400" s="65">
        <v>2.58</v>
      </c>
    </row>
    <row r="401" spans="2:3" hidden="1">
      <c r="B401" s="125">
        <v>43250</v>
      </c>
      <c r="C401" s="65">
        <v>2.67</v>
      </c>
    </row>
    <row r="402" spans="2:3" hidden="1">
      <c r="B402" s="125">
        <v>43251</v>
      </c>
      <c r="C402" s="65">
        <v>2.68</v>
      </c>
    </row>
    <row r="403" spans="2:3" hidden="1">
      <c r="B403" s="125">
        <v>43252</v>
      </c>
      <c r="C403" s="65">
        <v>2.74</v>
      </c>
    </row>
    <row r="404" spans="2:3" hidden="1">
      <c r="B404" s="125">
        <v>43255</v>
      </c>
      <c r="C404" s="65">
        <v>2.78</v>
      </c>
    </row>
    <row r="405" spans="2:3" hidden="1">
      <c r="B405" s="125">
        <v>43256</v>
      </c>
      <c r="C405" s="65">
        <v>2.76</v>
      </c>
    </row>
    <row r="406" spans="2:3" hidden="1">
      <c r="B406" s="125">
        <v>43257</v>
      </c>
      <c r="C406" s="65">
        <v>2.81</v>
      </c>
    </row>
    <row r="407" spans="2:3" hidden="1">
      <c r="B407" s="125">
        <v>43258</v>
      </c>
      <c r="C407" s="65">
        <v>2.77</v>
      </c>
    </row>
    <row r="408" spans="2:3" hidden="1">
      <c r="B408" s="125">
        <v>43259</v>
      </c>
      <c r="C408" s="65">
        <v>2.77</v>
      </c>
    </row>
    <row r="409" spans="2:3" hidden="1">
      <c r="B409" s="125">
        <v>43262</v>
      </c>
      <c r="C409" s="65">
        <v>2.8</v>
      </c>
    </row>
    <row r="410" spans="2:3" hidden="1">
      <c r="B410" s="125">
        <v>43263</v>
      </c>
      <c r="C410" s="65">
        <v>2.81</v>
      </c>
    </row>
    <row r="411" spans="2:3" hidden="1">
      <c r="B411" s="125">
        <v>43264</v>
      </c>
      <c r="C411" s="65">
        <v>2.85</v>
      </c>
    </row>
    <row r="412" spans="2:3" hidden="1">
      <c r="B412" s="125">
        <v>43265</v>
      </c>
      <c r="C412" s="65">
        <v>2.81</v>
      </c>
    </row>
    <row r="413" spans="2:3" hidden="1">
      <c r="B413" s="125">
        <v>43266</v>
      </c>
      <c r="C413" s="65">
        <v>2.81</v>
      </c>
    </row>
    <row r="414" spans="2:3" hidden="1">
      <c r="B414" s="125">
        <v>43269</v>
      </c>
      <c r="C414" s="65">
        <v>2.8</v>
      </c>
    </row>
    <row r="415" spans="2:3" hidden="1">
      <c r="B415" s="125">
        <v>43270</v>
      </c>
      <c r="C415" s="65">
        <v>2.77</v>
      </c>
    </row>
    <row r="416" spans="2:3" hidden="1">
      <c r="B416" s="125">
        <v>43271</v>
      </c>
      <c r="C416" s="65">
        <v>2.8</v>
      </c>
    </row>
    <row r="417" spans="2:3" hidden="1">
      <c r="B417" s="125">
        <v>43272</v>
      </c>
      <c r="C417" s="65">
        <v>2.77</v>
      </c>
    </row>
    <row r="418" spans="2:3" hidden="1">
      <c r="B418" s="125">
        <v>43273</v>
      </c>
      <c r="C418" s="65">
        <v>2.77</v>
      </c>
    </row>
    <row r="419" spans="2:3" hidden="1">
      <c r="B419" s="125">
        <v>43276</v>
      </c>
      <c r="C419" s="65">
        <v>2.75</v>
      </c>
    </row>
    <row r="420" spans="2:3" hidden="1">
      <c r="B420" s="125">
        <v>43277</v>
      </c>
      <c r="C420" s="65">
        <v>2.75</v>
      </c>
    </row>
    <row r="421" spans="2:3" hidden="1">
      <c r="B421" s="125">
        <v>43278</v>
      </c>
      <c r="C421" s="65">
        <v>2.71</v>
      </c>
    </row>
    <row r="422" spans="2:3" hidden="1">
      <c r="B422" s="125">
        <v>43279</v>
      </c>
      <c r="C422" s="65">
        <v>2.73</v>
      </c>
    </row>
    <row r="423" spans="2:3" hidden="1">
      <c r="B423" s="125">
        <v>43280</v>
      </c>
      <c r="C423" s="65">
        <v>2.73</v>
      </c>
    </row>
    <row r="424" spans="2:3" hidden="1">
      <c r="B424" s="125">
        <v>43283</v>
      </c>
      <c r="C424" s="65">
        <v>2.75</v>
      </c>
    </row>
    <row r="425" spans="2:3" hidden="1">
      <c r="B425" s="125">
        <v>43284</v>
      </c>
      <c r="C425" s="65">
        <v>2.72</v>
      </c>
    </row>
    <row r="426" spans="2:3" hidden="1">
      <c r="B426" s="125">
        <v>43286</v>
      </c>
      <c r="C426" s="65">
        <v>2.74</v>
      </c>
    </row>
    <row r="427" spans="2:3" hidden="1">
      <c r="B427" s="125">
        <v>43287</v>
      </c>
      <c r="C427" s="65">
        <v>2.71</v>
      </c>
    </row>
    <row r="428" spans="2:3" hidden="1">
      <c r="B428" s="125">
        <v>43290</v>
      </c>
      <c r="C428" s="65">
        <v>2.75</v>
      </c>
    </row>
    <row r="429" spans="2:3" hidden="1">
      <c r="B429" s="125">
        <v>43291</v>
      </c>
      <c r="C429" s="65">
        <v>2.77</v>
      </c>
    </row>
    <row r="430" spans="2:3" hidden="1">
      <c r="B430" s="125">
        <v>43292</v>
      </c>
      <c r="C430" s="65">
        <v>2.74</v>
      </c>
    </row>
    <row r="431" spans="2:3" hidden="1">
      <c r="B431" s="125">
        <v>43293</v>
      </c>
      <c r="C431" s="65">
        <v>2.75</v>
      </c>
    </row>
    <row r="432" spans="2:3" hidden="1">
      <c r="B432" s="125">
        <v>43294</v>
      </c>
      <c r="C432" s="65">
        <v>2.73</v>
      </c>
    </row>
    <row r="433" spans="2:3" hidden="1">
      <c r="B433" s="125">
        <v>43297</v>
      </c>
      <c r="C433" s="65">
        <v>2.75</v>
      </c>
    </row>
    <row r="434" spans="2:3" hidden="1">
      <c r="B434" s="125">
        <v>43298</v>
      </c>
      <c r="C434" s="65">
        <v>2.76</v>
      </c>
    </row>
    <row r="435" spans="2:3" hidden="1">
      <c r="B435" s="125">
        <v>43299</v>
      </c>
      <c r="C435" s="65">
        <v>2.77</v>
      </c>
    </row>
    <row r="436" spans="2:3" hidden="1">
      <c r="B436" s="125">
        <v>43300</v>
      </c>
      <c r="C436" s="65">
        <v>2.74</v>
      </c>
    </row>
    <row r="437" spans="2:3" hidden="1">
      <c r="B437" s="125">
        <v>43301</v>
      </c>
      <c r="C437" s="65">
        <v>2.77</v>
      </c>
    </row>
    <row r="438" spans="2:3" hidden="1">
      <c r="B438" s="125">
        <v>43304</v>
      </c>
      <c r="C438" s="65">
        <v>2.83</v>
      </c>
    </row>
    <row r="439" spans="2:3" hidden="1">
      <c r="B439" s="125">
        <v>43305</v>
      </c>
      <c r="C439" s="65">
        <v>2.83</v>
      </c>
    </row>
    <row r="440" spans="2:3" hidden="1">
      <c r="B440" s="125">
        <v>43306</v>
      </c>
      <c r="C440" s="65">
        <v>2.82</v>
      </c>
    </row>
    <row r="441" spans="2:3" hidden="1">
      <c r="B441" s="125">
        <v>43307</v>
      </c>
      <c r="C441" s="65">
        <v>2.86</v>
      </c>
    </row>
    <row r="442" spans="2:3" hidden="1">
      <c r="B442" s="125">
        <v>43308</v>
      </c>
      <c r="C442" s="65">
        <v>2.84</v>
      </c>
    </row>
    <row r="443" spans="2:3" hidden="1">
      <c r="B443" s="125">
        <v>43311</v>
      </c>
      <c r="C443" s="65">
        <v>2.85</v>
      </c>
    </row>
    <row r="444" spans="2:3" hidden="1">
      <c r="B444" s="125">
        <v>43312</v>
      </c>
      <c r="C444" s="65">
        <v>2.85</v>
      </c>
    </row>
    <row r="445" spans="2:3" hidden="1">
      <c r="B445" s="125">
        <v>43313</v>
      </c>
      <c r="C445" s="65">
        <v>2.87</v>
      </c>
    </row>
    <row r="446" spans="2:3" hidden="1">
      <c r="B446" s="125">
        <v>43314</v>
      </c>
      <c r="C446" s="65">
        <v>2.85</v>
      </c>
    </row>
    <row r="447" spans="2:3" hidden="1">
      <c r="B447" s="125">
        <v>43315</v>
      </c>
      <c r="C447" s="65">
        <v>2.82</v>
      </c>
    </row>
    <row r="448" spans="2:3" hidden="1">
      <c r="B448" s="125">
        <v>43318</v>
      </c>
      <c r="C448" s="65">
        <v>2.8</v>
      </c>
    </row>
    <row r="449" spans="2:3" hidden="1">
      <c r="B449" s="125">
        <v>43319</v>
      </c>
      <c r="C449" s="65">
        <v>2.84</v>
      </c>
    </row>
    <row r="450" spans="2:3" hidden="1">
      <c r="B450" s="125">
        <v>43320</v>
      </c>
      <c r="C450" s="65">
        <v>2.83</v>
      </c>
    </row>
    <row r="451" spans="2:3" hidden="1">
      <c r="B451" s="125">
        <v>43321</v>
      </c>
      <c r="C451" s="65">
        <v>2.8</v>
      </c>
    </row>
    <row r="452" spans="2:3" hidden="1">
      <c r="B452" s="125">
        <v>43322</v>
      </c>
      <c r="C452" s="65">
        <v>2.75</v>
      </c>
    </row>
    <row r="453" spans="2:3" hidden="1">
      <c r="B453" s="125">
        <v>43325</v>
      </c>
      <c r="C453" s="65">
        <v>2.75</v>
      </c>
    </row>
    <row r="454" spans="2:3" hidden="1">
      <c r="B454" s="125">
        <v>43326</v>
      </c>
      <c r="C454" s="65">
        <v>2.77</v>
      </c>
    </row>
    <row r="455" spans="2:3" hidden="1">
      <c r="B455" s="125">
        <v>43327</v>
      </c>
      <c r="C455" s="65">
        <v>2.73</v>
      </c>
    </row>
    <row r="456" spans="2:3" hidden="1">
      <c r="B456" s="125">
        <v>43328</v>
      </c>
      <c r="C456" s="65">
        <v>2.75</v>
      </c>
    </row>
    <row r="457" spans="2:3" hidden="1">
      <c r="B457" s="125">
        <v>43329</v>
      </c>
      <c r="C457" s="65">
        <v>2.75</v>
      </c>
    </row>
    <row r="458" spans="2:3" hidden="1">
      <c r="B458" s="125">
        <v>43332</v>
      </c>
      <c r="C458" s="65">
        <v>2.7</v>
      </c>
    </row>
    <row r="459" spans="2:3" hidden="1">
      <c r="B459" s="125">
        <v>43333</v>
      </c>
      <c r="C459" s="65">
        <v>2.73</v>
      </c>
    </row>
    <row r="460" spans="2:3" hidden="1">
      <c r="B460" s="125">
        <v>43334</v>
      </c>
      <c r="C460" s="65">
        <v>2.7</v>
      </c>
    </row>
    <row r="461" spans="2:3" hidden="1">
      <c r="B461" s="125">
        <v>43335</v>
      </c>
      <c r="C461" s="65">
        <v>2.72</v>
      </c>
    </row>
    <row r="462" spans="2:3" hidden="1">
      <c r="B462" s="125">
        <v>43336</v>
      </c>
      <c r="C462" s="65">
        <v>2.72</v>
      </c>
    </row>
    <row r="463" spans="2:3" hidden="1">
      <c r="B463" s="125">
        <v>43339</v>
      </c>
      <c r="C463" s="65">
        <v>2.74</v>
      </c>
    </row>
    <row r="464" spans="2:3" hidden="1">
      <c r="B464" s="125">
        <v>43340</v>
      </c>
      <c r="C464" s="65">
        <v>2.77</v>
      </c>
    </row>
    <row r="465" spans="2:3" hidden="1">
      <c r="B465" s="125">
        <v>43341</v>
      </c>
      <c r="C465" s="65">
        <v>2.78</v>
      </c>
    </row>
    <row r="466" spans="2:3" hidden="1">
      <c r="B466" s="125">
        <v>43342</v>
      </c>
      <c r="C466" s="65">
        <v>2.75</v>
      </c>
    </row>
    <row r="467" spans="2:3" hidden="1">
      <c r="B467" s="125">
        <v>43343</v>
      </c>
      <c r="C467" s="65">
        <v>2.74</v>
      </c>
    </row>
    <row r="468" spans="2:3" hidden="1">
      <c r="B468" s="125">
        <v>43347</v>
      </c>
      <c r="C468" s="65">
        <v>2.78</v>
      </c>
    </row>
    <row r="469" spans="2:3" hidden="1">
      <c r="B469" s="125">
        <v>43348</v>
      </c>
      <c r="C469" s="65">
        <v>2.77</v>
      </c>
    </row>
    <row r="470" spans="2:3" hidden="1">
      <c r="B470" s="125">
        <v>43349</v>
      </c>
      <c r="C470" s="65">
        <v>2.76</v>
      </c>
    </row>
    <row r="471" spans="2:3" hidden="1">
      <c r="B471" s="125">
        <v>43350</v>
      </c>
      <c r="C471" s="65">
        <v>2.82</v>
      </c>
    </row>
    <row r="472" spans="2:3" hidden="1">
      <c r="B472" s="125">
        <v>43353</v>
      </c>
      <c r="C472" s="65">
        <v>2.83</v>
      </c>
    </row>
    <row r="473" spans="2:3" hidden="1">
      <c r="B473" s="125">
        <v>43354</v>
      </c>
      <c r="C473" s="65">
        <v>2.87</v>
      </c>
    </row>
    <row r="474" spans="2:3" hidden="1">
      <c r="B474" s="125">
        <v>43355</v>
      </c>
      <c r="C474" s="65">
        <v>2.87</v>
      </c>
    </row>
    <row r="475" spans="2:3" hidden="1">
      <c r="B475" s="125">
        <v>43356</v>
      </c>
      <c r="C475" s="65">
        <v>2.87</v>
      </c>
    </row>
    <row r="476" spans="2:3" hidden="1">
      <c r="B476" s="125">
        <v>43357</v>
      </c>
      <c r="C476" s="65">
        <v>2.9</v>
      </c>
    </row>
    <row r="477" spans="2:3" hidden="1">
      <c r="B477" s="125">
        <v>43360</v>
      </c>
      <c r="C477" s="65">
        <v>2.89</v>
      </c>
    </row>
    <row r="478" spans="2:3" hidden="1">
      <c r="B478" s="125">
        <v>43361</v>
      </c>
      <c r="C478" s="65">
        <v>2.94</v>
      </c>
    </row>
    <row r="479" spans="2:3" hidden="1">
      <c r="B479" s="125">
        <v>43362</v>
      </c>
      <c r="C479" s="65">
        <v>2.96</v>
      </c>
    </row>
    <row r="480" spans="2:3" hidden="1">
      <c r="B480" s="125">
        <v>43363</v>
      </c>
      <c r="C480" s="65">
        <v>2.96</v>
      </c>
    </row>
    <row r="481" spans="2:3" hidden="1">
      <c r="B481" s="125">
        <v>43364</v>
      </c>
      <c r="C481" s="65">
        <v>2.95</v>
      </c>
    </row>
    <row r="482" spans="2:3" hidden="1">
      <c r="B482" s="125">
        <v>43367</v>
      </c>
      <c r="C482" s="65">
        <v>2.96</v>
      </c>
    </row>
    <row r="483" spans="2:3" hidden="1">
      <c r="B483" s="125">
        <v>43368</v>
      </c>
      <c r="C483" s="65">
        <v>2.99</v>
      </c>
    </row>
    <row r="484" spans="2:3" hidden="1">
      <c r="B484" s="125">
        <v>43369</v>
      </c>
      <c r="C484" s="65">
        <v>2.96</v>
      </c>
    </row>
    <row r="485" spans="2:3" hidden="1">
      <c r="B485" s="125">
        <v>43370</v>
      </c>
      <c r="C485" s="65">
        <v>2.96</v>
      </c>
    </row>
    <row r="486" spans="2:3" hidden="1">
      <c r="B486" s="125">
        <v>43371</v>
      </c>
      <c r="C486" s="65">
        <v>2.94</v>
      </c>
    </row>
    <row r="487" spans="2:3" hidden="1">
      <c r="B487" s="125">
        <v>43374</v>
      </c>
      <c r="C487" s="65">
        <v>2.96</v>
      </c>
    </row>
    <row r="488" spans="2:3" hidden="1">
      <c r="B488" s="125">
        <v>43375</v>
      </c>
      <c r="C488" s="65">
        <v>2.94</v>
      </c>
    </row>
    <row r="489" spans="2:3" hidden="1">
      <c r="B489" s="125">
        <v>43376</v>
      </c>
      <c r="C489" s="65">
        <v>3.02</v>
      </c>
    </row>
    <row r="490" spans="2:3" hidden="1">
      <c r="B490" s="125">
        <v>43377</v>
      </c>
      <c r="C490" s="65">
        <v>3.05</v>
      </c>
    </row>
    <row r="491" spans="2:3" hidden="1">
      <c r="B491" s="125">
        <v>43378</v>
      </c>
      <c r="C491" s="65">
        <v>3.07</v>
      </c>
    </row>
    <row r="492" spans="2:3" hidden="1">
      <c r="B492" s="125">
        <v>43382</v>
      </c>
      <c r="C492" s="65">
        <v>3.05</v>
      </c>
    </row>
    <row r="493" spans="2:3" hidden="1">
      <c r="B493" s="125">
        <v>43383</v>
      </c>
      <c r="C493" s="65">
        <v>3.05</v>
      </c>
    </row>
    <row r="494" spans="2:3" hidden="1">
      <c r="B494" s="125">
        <v>43384</v>
      </c>
      <c r="C494" s="65">
        <v>3</v>
      </c>
    </row>
    <row r="495" spans="2:3" hidden="1">
      <c r="B495" s="125">
        <v>43385</v>
      </c>
      <c r="C495" s="65">
        <v>3</v>
      </c>
    </row>
    <row r="496" spans="2:3" hidden="1">
      <c r="B496" s="125">
        <v>43388</v>
      </c>
      <c r="C496" s="65">
        <v>3.01</v>
      </c>
    </row>
    <row r="497" spans="2:3" hidden="1">
      <c r="B497" s="125">
        <v>43389</v>
      </c>
      <c r="C497" s="65">
        <v>3.02</v>
      </c>
    </row>
    <row r="498" spans="2:3" hidden="1">
      <c r="B498" s="125">
        <v>43390</v>
      </c>
      <c r="C498" s="65">
        <v>3.04</v>
      </c>
    </row>
    <row r="499" spans="2:3" hidden="1">
      <c r="B499" s="125">
        <v>43391</v>
      </c>
      <c r="C499" s="65">
        <v>3.03</v>
      </c>
    </row>
    <row r="500" spans="2:3" hidden="1">
      <c r="B500" s="125">
        <v>43392</v>
      </c>
      <c r="C500" s="65">
        <v>3.05</v>
      </c>
    </row>
    <row r="501" spans="2:3" hidden="1">
      <c r="B501" s="125">
        <v>43395</v>
      </c>
      <c r="C501" s="65">
        <v>3.05</v>
      </c>
    </row>
    <row r="502" spans="2:3" hidden="1">
      <c r="B502" s="125">
        <v>43396</v>
      </c>
      <c r="C502" s="65">
        <v>3.01</v>
      </c>
    </row>
    <row r="503" spans="2:3" hidden="1">
      <c r="B503" s="125">
        <v>43397</v>
      </c>
      <c r="C503" s="65">
        <v>2.94</v>
      </c>
    </row>
    <row r="504" spans="2:3" hidden="1">
      <c r="B504" s="125">
        <v>43398</v>
      </c>
      <c r="C504" s="65">
        <v>2.98</v>
      </c>
    </row>
    <row r="505" spans="2:3" hidden="1">
      <c r="B505" s="125">
        <v>43399</v>
      </c>
      <c r="C505" s="65">
        <v>2.91</v>
      </c>
    </row>
    <row r="506" spans="2:3" hidden="1">
      <c r="B506" s="125">
        <v>43402</v>
      </c>
      <c r="C506" s="65">
        <v>2.91</v>
      </c>
    </row>
    <row r="507" spans="2:3" hidden="1">
      <c r="B507" s="125">
        <v>43403</v>
      </c>
      <c r="C507" s="65">
        <v>2.94</v>
      </c>
    </row>
    <row r="508" spans="2:3" hidden="1">
      <c r="B508" s="125">
        <v>43404</v>
      </c>
      <c r="C508" s="65">
        <v>2.98</v>
      </c>
    </row>
    <row r="509" spans="2:3" hidden="1">
      <c r="B509" s="125">
        <v>43405</v>
      </c>
      <c r="C509" s="65">
        <v>2.96</v>
      </c>
    </row>
    <row r="510" spans="2:3" hidden="1">
      <c r="B510" s="125">
        <v>43406</v>
      </c>
      <c r="C510" s="65">
        <v>3.04</v>
      </c>
    </row>
    <row r="511" spans="2:3" hidden="1">
      <c r="B511" s="125">
        <v>43409</v>
      </c>
      <c r="C511" s="65">
        <v>3.03</v>
      </c>
    </row>
    <row r="512" spans="2:3" hidden="1">
      <c r="B512" s="125">
        <v>43410</v>
      </c>
      <c r="C512" s="65">
        <v>3.05</v>
      </c>
    </row>
    <row r="513" spans="2:3" hidden="1">
      <c r="B513" s="125">
        <v>43411</v>
      </c>
      <c r="C513" s="65">
        <v>3.07</v>
      </c>
    </row>
    <row r="514" spans="2:3" hidden="1">
      <c r="B514" s="125">
        <v>43412</v>
      </c>
      <c r="C514" s="65">
        <v>3.09</v>
      </c>
    </row>
    <row r="515" spans="2:3" hidden="1">
      <c r="B515" s="125">
        <v>43413</v>
      </c>
      <c r="C515" s="65">
        <v>3.05</v>
      </c>
    </row>
    <row r="516" spans="2:3" hidden="1">
      <c r="B516" s="125">
        <v>43417</v>
      </c>
      <c r="C516" s="65">
        <v>2.99</v>
      </c>
    </row>
    <row r="517" spans="2:3" hidden="1">
      <c r="B517" s="125">
        <v>43418</v>
      </c>
      <c r="C517" s="65">
        <v>2.95</v>
      </c>
    </row>
    <row r="518" spans="2:3" hidden="1">
      <c r="B518" s="125">
        <v>43419</v>
      </c>
      <c r="C518" s="65">
        <v>2.94</v>
      </c>
    </row>
    <row r="519" spans="2:3" hidden="1">
      <c r="B519" s="125">
        <v>43420</v>
      </c>
      <c r="C519" s="65">
        <v>2.9</v>
      </c>
    </row>
    <row r="520" spans="2:3" hidden="1">
      <c r="B520" s="125">
        <v>43423</v>
      </c>
      <c r="C520" s="65">
        <v>2.87</v>
      </c>
    </row>
    <row r="521" spans="2:3" hidden="1">
      <c r="B521" s="125">
        <v>43424</v>
      </c>
      <c r="C521" s="65">
        <v>2.88</v>
      </c>
    </row>
    <row r="522" spans="2:3" hidden="1">
      <c r="B522" s="125">
        <v>43425</v>
      </c>
      <c r="C522" s="65">
        <v>2.89</v>
      </c>
    </row>
    <row r="523" spans="2:3" hidden="1">
      <c r="B523" s="125">
        <v>43427</v>
      </c>
      <c r="C523" s="65">
        <v>2.88</v>
      </c>
    </row>
    <row r="524" spans="2:3" hidden="1">
      <c r="B524" s="125">
        <v>43430</v>
      </c>
      <c r="C524" s="65">
        <v>2.9</v>
      </c>
    </row>
    <row r="525" spans="2:3" hidden="1">
      <c r="B525" s="125">
        <v>43431</v>
      </c>
      <c r="C525" s="65">
        <v>2.89</v>
      </c>
    </row>
    <row r="526" spans="2:3" hidden="1">
      <c r="B526" s="125">
        <v>43432</v>
      </c>
      <c r="C526" s="65">
        <v>2.87</v>
      </c>
    </row>
    <row r="527" spans="2:3" hidden="1">
      <c r="B527" s="125">
        <v>43433</v>
      </c>
      <c r="C527" s="65">
        <v>2.85</v>
      </c>
    </row>
    <row r="528" spans="2:3" hidden="1">
      <c r="B528" s="125">
        <v>43434</v>
      </c>
      <c r="C528" s="65">
        <v>2.84</v>
      </c>
    </row>
    <row r="529" spans="2:3" hidden="1">
      <c r="B529" s="125">
        <v>43437</v>
      </c>
      <c r="C529" s="65">
        <v>2.83</v>
      </c>
    </row>
    <row r="530" spans="2:3" hidden="1">
      <c r="B530" s="125">
        <v>43438</v>
      </c>
      <c r="C530" s="65">
        <v>2.79</v>
      </c>
    </row>
    <row r="531" spans="2:3" hidden="1">
      <c r="B531" s="125">
        <v>43440</v>
      </c>
      <c r="C531" s="65">
        <v>2.75</v>
      </c>
    </row>
    <row r="532" spans="2:3" hidden="1">
      <c r="B532" s="125">
        <v>43441</v>
      </c>
      <c r="C532" s="65">
        <v>2.7</v>
      </c>
    </row>
    <row r="533" spans="2:3" hidden="1">
      <c r="B533" s="125">
        <v>43444</v>
      </c>
      <c r="C533" s="65">
        <v>2.71</v>
      </c>
    </row>
    <row r="534" spans="2:3" hidden="1">
      <c r="B534" s="125">
        <v>43445</v>
      </c>
      <c r="C534" s="65">
        <v>2.75</v>
      </c>
    </row>
    <row r="535" spans="2:3" hidden="1">
      <c r="B535" s="125">
        <v>43446</v>
      </c>
      <c r="C535" s="65">
        <v>2.77</v>
      </c>
    </row>
    <row r="536" spans="2:3" hidden="1">
      <c r="B536" s="125">
        <v>43447</v>
      </c>
      <c r="C536" s="65">
        <v>2.75</v>
      </c>
    </row>
    <row r="537" spans="2:3" hidden="1">
      <c r="B537" s="125">
        <v>43448</v>
      </c>
      <c r="C537" s="65">
        <v>2.73</v>
      </c>
    </row>
    <row r="538" spans="2:3" hidden="1">
      <c r="B538" s="125">
        <v>43451</v>
      </c>
      <c r="C538" s="65">
        <v>2.69</v>
      </c>
    </row>
    <row r="539" spans="2:3" hidden="1">
      <c r="B539" s="125">
        <v>43452</v>
      </c>
      <c r="C539" s="65">
        <v>2.65</v>
      </c>
    </row>
    <row r="540" spans="2:3" hidden="1">
      <c r="B540" s="125">
        <v>43453</v>
      </c>
      <c r="C540" s="65">
        <v>2.62</v>
      </c>
    </row>
    <row r="541" spans="2:3" hidden="1">
      <c r="B541" s="125">
        <v>43454</v>
      </c>
      <c r="C541" s="65">
        <v>2.65</v>
      </c>
    </row>
    <row r="542" spans="2:3" hidden="1">
      <c r="B542" s="125">
        <v>43455</v>
      </c>
      <c r="C542" s="65">
        <v>2.64</v>
      </c>
    </row>
    <row r="543" spans="2:3" hidden="1">
      <c r="B543" s="125">
        <v>43458</v>
      </c>
      <c r="C543" s="65">
        <v>2.58</v>
      </c>
    </row>
    <row r="544" spans="2:3" hidden="1">
      <c r="B544" s="125">
        <v>43460</v>
      </c>
      <c r="C544" s="65">
        <v>2.67</v>
      </c>
    </row>
    <row r="545" spans="2:3" hidden="1">
      <c r="B545" s="125">
        <v>43461</v>
      </c>
      <c r="C545" s="65">
        <v>2.6</v>
      </c>
    </row>
    <row r="546" spans="2:3" hidden="1">
      <c r="B546" s="125">
        <v>43462</v>
      </c>
      <c r="C546" s="65">
        <v>2.56</v>
      </c>
    </row>
    <row r="547" spans="2:3" hidden="1">
      <c r="B547" s="125">
        <v>43465</v>
      </c>
      <c r="C547" s="65">
        <v>2.5099999999999998</v>
      </c>
    </row>
    <row r="548" spans="2:3" hidden="1">
      <c r="B548" s="125">
        <v>43467</v>
      </c>
      <c r="C548" s="65">
        <v>2.4900000000000002</v>
      </c>
    </row>
    <row r="549" spans="2:3" hidden="1">
      <c r="B549" s="125">
        <v>43468</v>
      </c>
      <c r="C549" s="65">
        <v>2.37</v>
      </c>
    </row>
    <row r="550" spans="2:3" hidden="1">
      <c r="B550" s="125">
        <v>43469</v>
      </c>
      <c r="C550" s="65">
        <v>2.4900000000000002</v>
      </c>
    </row>
    <row r="551" spans="2:3" hidden="1">
      <c r="B551" s="125">
        <v>43472</v>
      </c>
      <c r="C551" s="65">
        <v>2.5299999999999998</v>
      </c>
    </row>
    <row r="552" spans="2:3" hidden="1">
      <c r="B552" s="125">
        <v>43473</v>
      </c>
      <c r="C552" s="65">
        <v>2.58</v>
      </c>
    </row>
    <row r="553" spans="2:3" hidden="1">
      <c r="B553" s="125">
        <v>43474</v>
      </c>
      <c r="C553" s="65">
        <v>2.57</v>
      </c>
    </row>
    <row r="554" spans="2:3" hidden="1">
      <c r="B554" s="125">
        <v>43475</v>
      </c>
      <c r="C554" s="65">
        <v>2.56</v>
      </c>
    </row>
    <row r="555" spans="2:3" hidden="1">
      <c r="B555" s="125">
        <v>43476</v>
      </c>
      <c r="C555" s="65">
        <v>2.52</v>
      </c>
    </row>
    <row r="556" spans="2:3" hidden="1">
      <c r="B556" s="125">
        <v>43479</v>
      </c>
      <c r="C556" s="65">
        <v>2.5299999999999998</v>
      </c>
    </row>
    <row r="557" spans="2:3" hidden="1">
      <c r="B557" s="125">
        <v>43480</v>
      </c>
      <c r="C557" s="65">
        <v>2.5299999999999998</v>
      </c>
    </row>
    <row r="558" spans="2:3" hidden="1">
      <c r="B558" s="125">
        <v>43481</v>
      </c>
      <c r="C558" s="65">
        <v>2.54</v>
      </c>
    </row>
    <row r="559" spans="2:3" hidden="1">
      <c r="B559" s="125">
        <v>43482</v>
      </c>
      <c r="C559" s="65">
        <v>2.58</v>
      </c>
    </row>
    <row r="560" spans="2:3" hidden="1">
      <c r="B560" s="125">
        <v>43483</v>
      </c>
      <c r="C560" s="65">
        <v>2.62</v>
      </c>
    </row>
    <row r="561" spans="2:3" hidden="1">
      <c r="B561" s="125">
        <v>43487</v>
      </c>
      <c r="C561" s="65">
        <v>2.57</v>
      </c>
    </row>
    <row r="562" spans="2:3" hidden="1">
      <c r="B562" s="125">
        <v>43488</v>
      </c>
      <c r="C562" s="65">
        <v>2.59</v>
      </c>
    </row>
    <row r="563" spans="2:3" hidden="1">
      <c r="B563" s="125">
        <v>43489</v>
      </c>
      <c r="C563" s="65">
        <v>2.5499999999999998</v>
      </c>
    </row>
    <row r="564" spans="2:3" hidden="1">
      <c r="B564" s="125">
        <v>43490</v>
      </c>
      <c r="C564" s="65">
        <v>2.59</v>
      </c>
    </row>
    <row r="565" spans="2:3" hidden="1">
      <c r="B565" s="125">
        <v>43493</v>
      </c>
      <c r="C565" s="65">
        <v>2.58</v>
      </c>
    </row>
    <row r="566" spans="2:3" hidden="1">
      <c r="B566" s="125">
        <v>43494</v>
      </c>
      <c r="C566" s="65">
        <v>2.5499999999999998</v>
      </c>
    </row>
    <row r="567" spans="2:3" hidden="1">
      <c r="B567" s="125">
        <v>43495</v>
      </c>
      <c r="C567" s="65">
        <v>2.4900000000000002</v>
      </c>
    </row>
    <row r="568" spans="2:3" hidden="1">
      <c r="B568" s="125">
        <v>43496</v>
      </c>
      <c r="C568" s="65">
        <v>2.4300000000000002</v>
      </c>
    </row>
    <row r="569" spans="2:3">
      <c r="B569" s="127">
        <v>43497</v>
      </c>
      <c r="C569" s="128">
        <v>2.5099999999999998</v>
      </c>
    </row>
    <row r="570" spans="2:3">
      <c r="B570" s="125">
        <v>43500</v>
      </c>
      <c r="C570" s="65">
        <v>2.5299999999999998</v>
      </c>
    </row>
    <row r="571" spans="2:3">
      <c r="B571" s="125">
        <v>43501</v>
      </c>
      <c r="C571" s="65">
        <v>2.5099999999999998</v>
      </c>
    </row>
    <row r="572" spans="2:3">
      <c r="B572" s="125">
        <v>43502</v>
      </c>
      <c r="C572" s="65">
        <v>2.5</v>
      </c>
    </row>
    <row r="573" spans="2:3">
      <c r="B573" s="125">
        <v>43503</v>
      </c>
      <c r="C573" s="65">
        <v>2.46</v>
      </c>
    </row>
    <row r="574" spans="2:3">
      <c r="B574" s="125">
        <v>43504</v>
      </c>
      <c r="C574" s="65">
        <v>2.44</v>
      </c>
    </row>
    <row r="575" spans="2:3">
      <c r="B575" s="125">
        <v>43507</v>
      </c>
      <c r="C575" s="65">
        <v>2.4700000000000002</v>
      </c>
    </row>
    <row r="576" spans="2:3">
      <c r="B576" s="125">
        <v>43508</v>
      </c>
      <c r="C576" s="65">
        <v>2.4900000000000002</v>
      </c>
    </row>
    <row r="577" spans="2:3">
      <c r="B577" s="125">
        <v>43509</v>
      </c>
      <c r="C577" s="65">
        <v>2.5299999999999998</v>
      </c>
    </row>
    <row r="578" spans="2:3">
      <c r="B578" s="125">
        <v>43510</v>
      </c>
      <c r="C578" s="65">
        <v>2.48</v>
      </c>
    </row>
    <row r="579" spans="2:3">
      <c r="B579" s="125">
        <v>43511</v>
      </c>
      <c r="C579" s="65">
        <v>2.4900000000000002</v>
      </c>
    </row>
    <row r="580" spans="2:3">
      <c r="B580" s="125">
        <v>43515</v>
      </c>
      <c r="C580" s="65">
        <v>2.4700000000000002</v>
      </c>
    </row>
    <row r="581" spans="2:3">
      <c r="B581" s="125">
        <v>43516</v>
      </c>
      <c r="C581" s="65">
        <v>2.4700000000000002</v>
      </c>
    </row>
    <row r="582" spans="2:3">
      <c r="B582" s="125">
        <v>43517</v>
      </c>
      <c r="C582" s="65">
        <v>2.5099999999999998</v>
      </c>
    </row>
    <row r="583" spans="2:3">
      <c r="B583" s="125">
        <v>43518</v>
      </c>
      <c r="C583" s="65">
        <v>2.4700000000000002</v>
      </c>
    </row>
    <row r="584" spans="2:3">
      <c r="B584" s="125">
        <v>43521</v>
      </c>
      <c r="C584" s="65">
        <v>2.48</v>
      </c>
    </row>
    <row r="585" spans="2:3">
      <c r="B585" s="125">
        <v>43522</v>
      </c>
      <c r="C585" s="65">
        <v>2.4500000000000002</v>
      </c>
    </row>
    <row r="586" spans="2:3">
      <c r="B586" s="125">
        <v>43523</v>
      </c>
      <c r="C586" s="65">
        <v>2.4900000000000002</v>
      </c>
    </row>
    <row r="587" spans="2:3">
      <c r="B587" s="125">
        <v>43524</v>
      </c>
      <c r="C587" s="65">
        <v>2.52</v>
      </c>
    </row>
    <row r="588" spans="2:3" hidden="1">
      <c r="B588" s="125">
        <v>43525</v>
      </c>
      <c r="C588" s="65">
        <v>2.56</v>
      </c>
    </row>
    <row r="589" spans="2:3" hidden="1">
      <c r="B589" s="125">
        <v>43528</v>
      </c>
      <c r="C589" s="65">
        <v>2.5299999999999998</v>
      </c>
    </row>
    <row r="590" spans="2:3" hidden="1">
      <c r="B590" s="125">
        <v>43529</v>
      </c>
      <c r="C590" s="65">
        <v>2.5299999999999998</v>
      </c>
    </row>
    <row r="591" spans="2:3" hidden="1">
      <c r="B591" s="125">
        <v>43530</v>
      </c>
      <c r="C591" s="65">
        <v>2.4900000000000002</v>
      </c>
    </row>
    <row r="592" spans="2:3" hidden="1">
      <c r="B592" s="125">
        <v>43531</v>
      </c>
      <c r="C592" s="65">
        <v>2.44</v>
      </c>
    </row>
    <row r="593" spans="2:3" hidden="1">
      <c r="B593" s="125">
        <v>43532</v>
      </c>
      <c r="C593" s="65">
        <v>2.42</v>
      </c>
    </row>
    <row r="594" spans="2:3" hidden="1">
      <c r="B594" s="125">
        <v>43535</v>
      </c>
      <c r="C594" s="65">
        <v>2.44</v>
      </c>
    </row>
    <row r="595" spans="2:3" hidden="1">
      <c r="B595" s="125">
        <v>43536</v>
      </c>
      <c r="C595" s="65">
        <v>2.41</v>
      </c>
    </row>
    <row r="596" spans="2:3" hidden="1">
      <c r="B596" s="125">
        <v>43537</v>
      </c>
      <c r="C596" s="65">
        <v>2.42</v>
      </c>
    </row>
    <row r="597" spans="2:3" hidden="1">
      <c r="B597" s="125">
        <v>43538</v>
      </c>
      <c r="C597" s="65">
        <v>2.4300000000000002</v>
      </c>
    </row>
    <row r="598" spans="2:3" hidden="1">
      <c r="B598" s="125">
        <v>43539</v>
      </c>
      <c r="C598" s="65">
        <v>2.4</v>
      </c>
    </row>
    <row r="599" spans="2:3" hidden="1">
      <c r="B599" s="125">
        <v>43542</v>
      </c>
      <c r="C599" s="65">
        <v>2.42</v>
      </c>
    </row>
    <row r="600" spans="2:3" hidden="1">
      <c r="B600" s="125">
        <v>43543</v>
      </c>
      <c r="C600" s="65">
        <v>2.42</v>
      </c>
    </row>
    <row r="601" spans="2:3" hidden="1">
      <c r="B601" s="125">
        <v>43544</v>
      </c>
      <c r="C601" s="65">
        <v>2.34</v>
      </c>
    </row>
    <row r="602" spans="2:3" hidden="1">
      <c r="B602" s="125">
        <v>43545</v>
      </c>
      <c r="C602" s="65">
        <v>2.34</v>
      </c>
    </row>
    <row r="603" spans="2:3" hidden="1">
      <c r="B603" s="125">
        <v>43546</v>
      </c>
      <c r="C603" s="65">
        <v>2.2400000000000002</v>
      </c>
    </row>
    <row r="604" spans="2:3" hidden="1">
      <c r="B604" s="125">
        <v>43549</v>
      </c>
      <c r="C604" s="65">
        <v>2.21</v>
      </c>
    </row>
    <row r="605" spans="2:3" hidden="1">
      <c r="B605" s="125">
        <v>43550</v>
      </c>
      <c r="C605" s="65">
        <v>2.1800000000000002</v>
      </c>
    </row>
    <row r="606" spans="2:3" hidden="1">
      <c r="B606" s="125">
        <v>43551</v>
      </c>
      <c r="C606" s="65">
        <v>2.1800000000000002</v>
      </c>
    </row>
    <row r="607" spans="2:3" hidden="1">
      <c r="B607" s="125">
        <v>43552</v>
      </c>
      <c r="C607" s="65">
        <v>2.2000000000000002</v>
      </c>
    </row>
    <row r="608" spans="2:3" hidden="1">
      <c r="B608" s="125">
        <v>43553</v>
      </c>
      <c r="C608" s="65">
        <v>2.23</v>
      </c>
    </row>
    <row r="609" spans="2:3" hidden="1">
      <c r="B609" s="125">
        <v>43556</v>
      </c>
      <c r="C609" s="65">
        <v>2.31</v>
      </c>
    </row>
    <row r="610" spans="2:3" hidden="1">
      <c r="B610" s="125">
        <v>43557</v>
      </c>
      <c r="C610" s="65">
        <v>2.2799999999999998</v>
      </c>
    </row>
    <row r="611" spans="2:3" hidden="1">
      <c r="B611" s="125">
        <v>43558</v>
      </c>
      <c r="C611" s="65">
        <v>2.3199999999999998</v>
      </c>
    </row>
    <row r="612" spans="2:3" hidden="1">
      <c r="B612" s="125">
        <v>43559</v>
      </c>
      <c r="C612" s="65">
        <v>2.3199999999999998</v>
      </c>
    </row>
    <row r="613" spans="2:3" hidden="1">
      <c r="B613" s="125">
        <v>43560</v>
      </c>
      <c r="C613" s="65">
        <v>2.31</v>
      </c>
    </row>
    <row r="614" spans="2:3" hidden="1">
      <c r="B614" s="125">
        <v>43563</v>
      </c>
      <c r="C614" s="65">
        <v>2.33</v>
      </c>
    </row>
    <row r="615" spans="2:3" hidden="1">
      <c r="B615" s="125">
        <v>43564</v>
      </c>
      <c r="C615" s="65">
        <v>2.31</v>
      </c>
    </row>
    <row r="616" spans="2:3" hidden="1">
      <c r="B616" s="125">
        <v>43565</v>
      </c>
      <c r="C616" s="65">
        <v>2.2799999999999998</v>
      </c>
    </row>
    <row r="617" spans="2:3" hidden="1">
      <c r="B617" s="125">
        <v>43566</v>
      </c>
      <c r="C617" s="65">
        <v>2.31</v>
      </c>
    </row>
    <row r="618" spans="2:3" hidden="1">
      <c r="B618" s="125">
        <v>43567</v>
      </c>
      <c r="C618" s="65">
        <v>2.38</v>
      </c>
    </row>
    <row r="619" spans="2:3" hidden="1">
      <c r="B619" s="125">
        <v>43570</v>
      </c>
      <c r="C619" s="65">
        <v>2.37</v>
      </c>
    </row>
    <row r="620" spans="2:3" hidden="1">
      <c r="B620" s="125">
        <v>43571</v>
      </c>
      <c r="C620" s="65">
        <v>2.41</v>
      </c>
    </row>
    <row r="621" spans="2:3" hidden="1">
      <c r="B621" s="125">
        <v>43572</v>
      </c>
      <c r="C621" s="65">
        <v>2.4</v>
      </c>
    </row>
    <row r="622" spans="2:3" hidden="1">
      <c r="B622" s="125">
        <v>43573</v>
      </c>
      <c r="C622" s="65">
        <v>2.38</v>
      </c>
    </row>
    <row r="623" spans="2:3" hidden="1">
      <c r="B623" s="125">
        <v>43577</v>
      </c>
      <c r="C623" s="65">
        <v>2.39</v>
      </c>
    </row>
    <row r="624" spans="2:3" hidden="1">
      <c r="B624" s="125">
        <v>43578</v>
      </c>
      <c r="C624" s="65">
        <v>2.36</v>
      </c>
    </row>
    <row r="625" spans="2:3" hidden="1">
      <c r="B625" s="125">
        <v>43579</v>
      </c>
      <c r="C625" s="65">
        <v>2.3199999999999998</v>
      </c>
    </row>
    <row r="626" spans="2:3" hidden="1">
      <c r="B626" s="125">
        <v>43580</v>
      </c>
      <c r="C626" s="65">
        <v>2.33</v>
      </c>
    </row>
    <row r="627" spans="2:3" hidden="1">
      <c r="B627" s="125">
        <v>43581</v>
      </c>
      <c r="C627" s="65">
        <v>2.29</v>
      </c>
    </row>
    <row r="628" spans="2:3" hidden="1">
      <c r="B628" s="125">
        <v>43584</v>
      </c>
      <c r="C628" s="65">
        <v>2.3199999999999998</v>
      </c>
    </row>
    <row r="629" spans="2:3" hidden="1">
      <c r="B629" s="125">
        <v>43585</v>
      </c>
      <c r="C629" s="65">
        <v>2.2799999999999998</v>
      </c>
    </row>
    <row r="630" spans="2:3" hidden="1">
      <c r="B630" s="125">
        <v>43586</v>
      </c>
      <c r="C630" s="65">
        <v>2.31</v>
      </c>
    </row>
    <row r="631" spans="2:3" hidden="1">
      <c r="B631" s="125">
        <v>43587</v>
      </c>
      <c r="C631" s="65">
        <v>2.34</v>
      </c>
    </row>
    <row r="632" spans="2:3" hidden="1">
      <c r="B632" s="125">
        <v>43588</v>
      </c>
      <c r="C632" s="65">
        <v>2.33</v>
      </c>
    </row>
    <row r="633" spans="2:3" hidden="1">
      <c r="B633" s="125">
        <v>43591</v>
      </c>
      <c r="C633" s="65">
        <v>2.2999999999999998</v>
      </c>
    </row>
    <row r="634" spans="2:3" hidden="1">
      <c r="B634" s="125">
        <v>43592</v>
      </c>
      <c r="C634" s="65">
        <v>2.25</v>
      </c>
    </row>
    <row r="635" spans="2:3" hidden="1">
      <c r="B635" s="125">
        <v>43593</v>
      </c>
      <c r="C635" s="65">
        <v>2.2799999999999998</v>
      </c>
    </row>
    <row r="636" spans="2:3" hidden="1">
      <c r="B636" s="125">
        <v>43594</v>
      </c>
      <c r="C636" s="65">
        <v>2.25</v>
      </c>
    </row>
    <row r="637" spans="2:3" hidden="1">
      <c r="B637" s="125">
        <v>43595</v>
      </c>
      <c r="C637" s="65">
        <v>2.2599999999999998</v>
      </c>
    </row>
    <row r="638" spans="2:3" hidden="1">
      <c r="B638" s="125">
        <v>43598</v>
      </c>
      <c r="C638" s="65">
        <v>2.1800000000000002</v>
      </c>
    </row>
    <row r="639" spans="2:3" hidden="1">
      <c r="B639" s="125">
        <v>43599</v>
      </c>
      <c r="C639" s="65">
        <v>2.2000000000000002</v>
      </c>
    </row>
    <row r="640" spans="2:3" hidden="1">
      <c r="B640" s="125">
        <v>43600</v>
      </c>
      <c r="C640" s="65">
        <v>2.15</v>
      </c>
    </row>
    <row r="641" spans="2:3" hidden="1">
      <c r="B641" s="125">
        <v>43601</v>
      </c>
      <c r="C641" s="65">
        <v>2.1800000000000002</v>
      </c>
    </row>
    <row r="642" spans="2:3" hidden="1">
      <c r="B642" s="125">
        <v>43602</v>
      </c>
      <c r="C642" s="65">
        <v>2.17</v>
      </c>
    </row>
    <row r="643" spans="2:3" hidden="1">
      <c r="B643" s="125">
        <v>43605</v>
      </c>
      <c r="C643" s="65">
        <v>2.21</v>
      </c>
    </row>
    <row r="644" spans="2:3" hidden="1">
      <c r="B644" s="125">
        <v>43606</v>
      </c>
      <c r="C644" s="65">
        <v>2.23</v>
      </c>
    </row>
    <row r="645" spans="2:3" hidden="1">
      <c r="B645" s="125">
        <v>43607</v>
      </c>
      <c r="C645" s="65">
        <v>2.19</v>
      </c>
    </row>
    <row r="646" spans="2:3" hidden="1">
      <c r="B646" s="125">
        <v>43608</v>
      </c>
      <c r="C646" s="65">
        <v>2.11</v>
      </c>
    </row>
    <row r="647" spans="2:3" hidden="1">
      <c r="B647" s="125">
        <v>43609</v>
      </c>
      <c r="C647" s="65">
        <v>2.12</v>
      </c>
    </row>
    <row r="648" spans="2:3" hidden="1">
      <c r="B648" s="125">
        <v>43613</v>
      </c>
      <c r="C648" s="65">
        <v>2.06</v>
      </c>
    </row>
    <row r="649" spans="2:3" hidden="1">
      <c r="B649" s="125">
        <v>43614</v>
      </c>
      <c r="C649" s="65">
        <v>2.0499999999999998</v>
      </c>
    </row>
    <row r="650" spans="2:3" hidden="1">
      <c r="B650" s="125">
        <v>43615</v>
      </c>
      <c r="C650" s="65">
        <v>2.0299999999999998</v>
      </c>
    </row>
    <row r="651" spans="2:3" hidden="1">
      <c r="B651" s="125">
        <v>43616</v>
      </c>
      <c r="C651" s="65">
        <v>1.93</v>
      </c>
    </row>
    <row r="652" spans="2:3" hidden="1">
      <c r="B652" s="125">
        <v>43619</v>
      </c>
      <c r="C652" s="65">
        <v>1.83</v>
      </c>
    </row>
    <row r="653" spans="2:3" hidden="1">
      <c r="B653" s="125">
        <v>43620</v>
      </c>
      <c r="C653" s="65">
        <v>1.89</v>
      </c>
    </row>
    <row r="654" spans="2:3" hidden="1">
      <c r="B654" s="125">
        <v>43621</v>
      </c>
      <c r="C654" s="65">
        <v>1.86</v>
      </c>
    </row>
    <row r="655" spans="2:3" hidden="1">
      <c r="B655" s="125">
        <v>43622</v>
      </c>
      <c r="C655" s="65">
        <v>1.88</v>
      </c>
    </row>
    <row r="656" spans="2:3" hidden="1">
      <c r="B656" s="125">
        <v>43623</v>
      </c>
      <c r="C656" s="65">
        <v>1.85</v>
      </c>
    </row>
    <row r="657" spans="2:3" hidden="1">
      <c r="B657" s="125">
        <v>43626</v>
      </c>
      <c r="C657" s="65">
        <v>1.91</v>
      </c>
    </row>
    <row r="658" spans="2:3" hidden="1">
      <c r="B658" s="125">
        <v>43627</v>
      </c>
      <c r="C658" s="65">
        <v>1.92</v>
      </c>
    </row>
    <row r="659" spans="2:3" hidden="1">
      <c r="B659" s="125">
        <v>43628</v>
      </c>
      <c r="C659" s="65">
        <v>1.88</v>
      </c>
    </row>
    <row r="660" spans="2:3" hidden="1">
      <c r="B660" s="125">
        <v>43629</v>
      </c>
      <c r="C660" s="65">
        <v>1.84</v>
      </c>
    </row>
    <row r="661" spans="2:3" hidden="1">
      <c r="B661" s="125">
        <v>43630</v>
      </c>
      <c r="C661" s="65">
        <v>1.85</v>
      </c>
    </row>
    <row r="662" spans="2:3" hidden="1">
      <c r="B662" s="125">
        <v>43633</v>
      </c>
      <c r="C662" s="65">
        <v>1.85</v>
      </c>
    </row>
    <row r="663" spans="2:3" hidden="1">
      <c r="B663" s="125">
        <v>43634</v>
      </c>
      <c r="C663" s="65">
        <v>1.83</v>
      </c>
    </row>
    <row r="664" spans="2:3" hidden="1">
      <c r="B664" s="125">
        <v>43635</v>
      </c>
      <c r="C664" s="65">
        <v>1.77</v>
      </c>
    </row>
    <row r="665" spans="2:3" hidden="1">
      <c r="B665" s="125">
        <v>43636</v>
      </c>
      <c r="C665" s="65">
        <v>1.74</v>
      </c>
    </row>
    <row r="666" spans="2:3" hidden="1">
      <c r="B666" s="125">
        <v>43637</v>
      </c>
      <c r="C666" s="65">
        <v>1.8</v>
      </c>
    </row>
    <row r="667" spans="2:3" hidden="1">
      <c r="B667" s="125">
        <v>43640</v>
      </c>
      <c r="C667" s="65">
        <v>1.75</v>
      </c>
    </row>
    <row r="668" spans="2:3" hidden="1">
      <c r="B668" s="125">
        <v>43641</v>
      </c>
      <c r="C668" s="65">
        <v>1.73</v>
      </c>
    </row>
    <row r="669" spans="2:3" hidden="1">
      <c r="B669" s="125">
        <v>43642</v>
      </c>
      <c r="C669" s="65">
        <v>1.8</v>
      </c>
    </row>
    <row r="670" spans="2:3" hidden="1">
      <c r="B670" s="125">
        <v>43643</v>
      </c>
      <c r="C670" s="65">
        <v>1.76</v>
      </c>
    </row>
    <row r="671" spans="2:3" hidden="1">
      <c r="B671" s="125">
        <v>43644</v>
      </c>
      <c r="C671" s="65">
        <v>1.76</v>
      </c>
    </row>
    <row r="672" spans="2:3" hidden="1">
      <c r="B672" s="125">
        <v>43647</v>
      </c>
      <c r="C672" s="65">
        <v>1.79</v>
      </c>
    </row>
    <row r="673" spans="2:3" hidden="1">
      <c r="B673" s="125">
        <v>43648</v>
      </c>
      <c r="C673" s="65">
        <v>1.75</v>
      </c>
    </row>
    <row r="674" spans="2:3" hidden="1">
      <c r="B674" s="125">
        <v>43649</v>
      </c>
      <c r="C674" s="65">
        <v>1.74</v>
      </c>
    </row>
    <row r="675" spans="2:3" hidden="1">
      <c r="B675" s="125">
        <v>43651</v>
      </c>
      <c r="C675" s="65">
        <v>1.84</v>
      </c>
    </row>
    <row r="676" spans="2:3" hidden="1">
      <c r="B676" s="125">
        <v>43654</v>
      </c>
      <c r="C676" s="65">
        <v>1.86</v>
      </c>
    </row>
    <row r="677" spans="2:3" hidden="1">
      <c r="B677" s="125">
        <v>43655</v>
      </c>
      <c r="C677" s="65">
        <v>1.88</v>
      </c>
    </row>
    <row r="678" spans="2:3" hidden="1">
      <c r="B678" s="125">
        <v>43656</v>
      </c>
      <c r="C678" s="65">
        <v>1.82</v>
      </c>
    </row>
    <row r="679" spans="2:3" hidden="1">
      <c r="B679" s="125">
        <v>43657</v>
      </c>
      <c r="C679" s="65">
        <v>1.88</v>
      </c>
    </row>
    <row r="680" spans="2:3" hidden="1">
      <c r="B680" s="125">
        <v>43658</v>
      </c>
      <c r="C680" s="65">
        <v>1.86</v>
      </c>
    </row>
    <row r="681" spans="2:3" hidden="1">
      <c r="B681" s="125">
        <v>43661</v>
      </c>
      <c r="C681" s="65">
        <v>1.84</v>
      </c>
    </row>
    <row r="682" spans="2:3" hidden="1">
      <c r="B682" s="125">
        <v>43662</v>
      </c>
      <c r="C682" s="65">
        <v>1.88</v>
      </c>
    </row>
    <row r="683" spans="2:3" hidden="1">
      <c r="B683" s="125">
        <v>43663</v>
      </c>
      <c r="C683" s="65">
        <v>1.83</v>
      </c>
    </row>
    <row r="684" spans="2:3" hidden="1">
      <c r="B684" s="125">
        <v>43664</v>
      </c>
      <c r="C684" s="65">
        <v>1.78</v>
      </c>
    </row>
    <row r="685" spans="2:3" hidden="1">
      <c r="B685" s="125">
        <v>43665</v>
      </c>
      <c r="C685" s="65">
        <v>1.8</v>
      </c>
    </row>
    <row r="686" spans="2:3" hidden="1">
      <c r="B686" s="125">
        <v>43668</v>
      </c>
      <c r="C686" s="65">
        <v>1.8</v>
      </c>
    </row>
    <row r="687" spans="2:3" hidden="1">
      <c r="B687" s="125">
        <v>43669</v>
      </c>
      <c r="C687" s="65">
        <v>1.83</v>
      </c>
    </row>
    <row r="688" spans="2:3" hidden="1">
      <c r="B688" s="125">
        <v>43670</v>
      </c>
      <c r="C688" s="65">
        <v>1.82</v>
      </c>
    </row>
    <row r="689" spans="2:3" hidden="1">
      <c r="B689" s="125">
        <v>43671</v>
      </c>
      <c r="C689" s="65">
        <v>1.85</v>
      </c>
    </row>
    <row r="690" spans="2:3" hidden="1">
      <c r="B690" s="125">
        <v>43672</v>
      </c>
      <c r="C690" s="65">
        <v>1.85</v>
      </c>
    </row>
    <row r="691" spans="2:3" hidden="1">
      <c r="B691" s="125">
        <v>43675</v>
      </c>
      <c r="C691" s="65">
        <v>1.84</v>
      </c>
    </row>
    <row r="692" spans="2:3" hidden="1">
      <c r="B692" s="125">
        <v>43676</v>
      </c>
      <c r="C692" s="65">
        <v>1.84</v>
      </c>
    </row>
    <row r="693" spans="2:3" hidden="1">
      <c r="B693" s="125">
        <v>43677</v>
      </c>
      <c r="C693" s="65">
        <v>1.84</v>
      </c>
    </row>
    <row r="694" spans="2:3" hidden="1">
      <c r="B694" s="125">
        <v>43678</v>
      </c>
      <c r="C694" s="65">
        <v>1.68</v>
      </c>
    </row>
    <row r="695" spans="2:3" hidden="1">
      <c r="B695" s="125">
        <v>43679</v>
      </c>
      <c r="C695" s="65">
        <v>1.66</v>
      </c>
    </row>
    <row r="696" spans="2:3" hidden="1">
      <c r="B696" s="125">
        <v>43682</v>
      </c>
      <c r="C696" s="65">
        <v>1.55</v>
      </c>
    </row>
    <row r="697" spans="2:3" hidden="1">
      <c r="B697" s="125">
        <v>43683</v>
      </c>
      <c r="C697" s="65">
        <v>1.53</v>
      </c>
    </row>
    <row r="698" spans="2:3" hidden="1">
      <c r="B698" s="125">
        <v>43684</v>
      </c>
      <c r="C698" s="65">
        <v>1.52</v>
      </c>
    </row>
    <row r="699" spans="2:3" hidden="1">
      <c r="B699" s="125">
        <v>43685</v>
      </c>
      <c r="C699" s="65">
        <v>1.54</v>
      </c>
    </row>
    <row r="700" spans="2:3" hidden="1">
      <c r="B700" s="125">
        <v>43686</v>
      </c>
      <c r="C700" s="65">
        <v>1.57</v>
      </c>
    </row>
    <row r="701" spans="2:3" hidden="1">
      <c r="B701" s="125">
        <v>43689</v>
      </c>
      <c r="C701" s="65">
        <v>1.49</v>
      </c>
    </row>
    <row r="702" spans="2:3" hidden="1">
      <c r="B702" s="125">
        <v>43690</v>
      </c>
      <c r="C702" s="65">
        <v>1.57</v>
      </c>
    </row>
    <row r="703" spans="2:3" hidden="1">
      <c r="B703" s="125">
        <v>43691</v>
      </c>
      <c r="C703" s="65">
        <v>1.51</v>
      </c>
    </row>
    <row r="704" spans="2:3" hidden="1">
      <c r="B704" s="125">
        <v>43692</v>
      </c>
      <c r="C704" s="65">
        <v>1.42</v>
      </c>
    </row>
    <row r="705" spans="2:3" hidden="1">
      <c r="B705" s="125">
        <v>43693</v>
      </c>
      <c r="C705" s="65">
        <v>1.42</v>
      </c>
    </row>
    <row r="706" spans="2:3" hidden="1">
      <c r="B706" s="125">
        <v>43696</v>
      </c>
      <c r="C706" s="65">
        <v>1.47</v>
      </c>
    </row>
    <row r="707" spans="2:3" hidden="1">
      <c r="B707" s="125">
        <v>43697</v>
      </c>
      <c r="C707" s="65">
        <v>1.42</v>
      </c>
    </row>
    <row r="708" spans="2:3" hidden="1">
      <c r="B708" s="125">
        <v>43698</v>
      </c>
      <c r="C708" s="65">
        <v>1.47</v>
      </c>
    </row>
    <row r="709" spans="2:3" hidden="1">
      <c r="B709" s="125">
        <v>43699</v>
      </c>
      <c r="C709" s="65">
        <v>1.5</v>
      </c>
    </row>
  </sheetData>
  <autoFilter ref="B14:C709">
    <filterColumn colId="0">
      <filters>
        <dateGroupItem year="2019" month="2" dateTimeGrouping="month"/>
      </filters>
    </filterColumn>
  </autoFilter>
  <mergeCells count="1">
    <mergeCell ref="B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B11"/>
  <sheetViews>
    <sheetView workbookViewId="0">
      <selection activeCell="F8" sqref="F8"/>
    </sheetView>
  </sheetViews>
  <sheetFormatPr defaultColWidth="9.1796875" defaultRowHeight="11.5"/>
  <cols>
    <col min="1" max="1" width="2" style="1" customWidth="1"/>
    <col min="2" max="16384" width="9.1796875" style="1"/>
  </cols>
  <sheetData>
    <row r="1" spans="2:2" ht="15.5">
      <c r="B1" s="2"/>
    </row>
    <row r="11" spans="2:2" ht="40">
      <c r="B11" s="3" t="s">
        <v>39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M210"/>
  <sheetViews>
    <sheetView showGridLines="0" workbookViewId="0">
      <selection activeCell="B1" sqref="B1"/>
    </sheetView>
  </sheetViews>
  <sheetFormatPr defaultRowHeight="14.5"/>
  <cols>
    <col min="1" max="1" width="2" customWidth="1"/>
    <col min="2" max="2" width="32.54296875" style="133" customWidth="1"/>
    <col min="3" max="3" width="23.453125" style="133" customWidth="1"/>
    <col min="4" max="4" width="23.453125" customWidth="1"/>
    <col min="5" max="5" width="24.26953125" customWidth="1"/>
    <col min="6" max="6" width="23.453125" customWidth="1"/>
    <col min="7" max="7" width="19.81640625" customWidth="1"/>
    <col min="8" max="8" width="22" customWidth="1"/>
    <col min="9" max="9" width="24.08984375" customWidth="1"/>
    <col min="10" max="10" width="20.7265625" customWidth="1"/>
    <col min="11" max="257" width="10.1796875" customWidth="1"/>
    <col min="258" max="258" width="32.54296875" customWidth="1"/>
    <col min="259" max="260" width="23.453125" customWidth="1"/>
    <col min="261" max="261" width="24.26953125" customWidth="1"/>
    <col min="262" max="262" width="23.453125" customWidth="1"/>
    <col min="263" max="263" width="19.81640625" customWidth="1"/>
    <col min="264" max="264" width="22" customWidth="1"/>
    <col min="265" max="265" width="24.08984375" customWidth="1"/>
    <col min="266" max="266" width="20.7265625" customWidth="1"/>
    <col min="267" max="513" width="10.1796875" customWidth="1"/>
    <col min="514" max="514" width="32.54296875" customWidth="1"/>
    <col min="515" max="516" width="23.453125" customWidth="1"/>
    <col min="517" max="517" width="24.26953125" customWidth="1"/>
    <col min="518" max="518" width="23.453125" customWidth="1"/>
    <col min="519" max="519" width="19.81640625" customWidth="1"/>
    <col min="520" max="520" width="22" customWidth="1"/>
    <col min="521" max="521" width="24.08984375" customWidth="1"/>
    <col min="522" max="522" width="20.7265625" customWidth="1"/>
    <col min="523" max="769" width="10.1796875" customWidth="1"/>
    <col min="770" max="770" width="32.54296875" customWidth="1"/>
    <col min="771" max="772" width="23.453125" customWidth="1"/>
    <col min="773" max="773" width="24.26953125" customWidth="1"/>
    <col min="774" max="774" width="23.453125" customWidth="1"/>
    <col min="775" max="775" width="19.81640625" customWidth="1"/>
    <col min="776" max="776" width="22" customWidth="1"/>
    <col min="777" max="777" width="24.08984375" customWidth="1"/>
    <col min="778" max="778" width="20.7265625" customWidth="1"/>
    <col min="779" max="1025" width="10.1796875" customWidth="1"/>
    <col min="1026" max="1026" width="32.54296875" customWidth="1"/>
    <col min="1027" max="1028" width="23.453125" customWidth="1"/>
    <col min="1029" max="1029" width="24.26953125" customWidth="1"/>
    <col min="1030" max="1030" width="23.453125" customWidth="1"/>
    <col min="1031" max="1031" width="19.81640625" customWidth="1"/>
    <col min="1032" max="1032" width="22" customWidth="1"/>
    <col min="1033" max="1033" width="24.08984375" customWidth="1"/>
    <col min="1034" max="1034" width="20.7265625" customWidth="1"/>
    <col min="1035" max="1281" width="10.1796875" customWidth="1"/>
    <col min="1282" max="1282" width="32.54296875" customWidth="1"/>
    <col min="1283" max="1284" width="23.453125" customWidth="1"/>
    <col min="1285" max="1285" width="24.26953125" customWidth="1"/>
    <col min="1286" max="1286" width="23.453125" customWidth="1"/>
    <col min="1287" max="1287" width="19.81640625" customWidth="1"/>
    <col min="1288" max="1288" width="22" customWidth="1"/>
    <col min="1289" max="1289" width="24.08984375" customWidth="1"/>
    <col min="1290" max="1290" width="20.7265625" customWidth="1"/>
    <col min="1291" max="1537" width="10.1796875" customWidth="1"/>
    <col min="1538" max="1538" width="32.54296875" customWidth="1"/>
    <col min="1539" max="1540" width="23.453125" customWidth="1"/>
    <col min="1541" max="1541" width="24.26953125" customWidth="1"/>
    <col min="1542" max="1542" width="23.453125" customWidth="1"/>
    <col min="1543" max="1543" width="19.81640625" customWidth="1"/>
    <col min="1544" max="1544" width="22" customWidth="1"/>
    <col min="1545" max="1545" width="24.08984375" customWidth="1"/>
    <col min="1546" max="1546" width="20.7265625" customWidth="1"/>
    <col min="1547" max="1793" width="10.1796875" customWidth="1"/>
    <col min="1794" max="1794" width="32.54296875" customWidth="1"/>
    <col min="1795" max="1796" width="23.453125" customWidth="1"/>
    <col min="1797" max="1797" width="24.26953125" customWidth="1"/>
    <col min="1798" max="1798" width="23.453125" customWidth="1"/>
    <col min="1799" max="1799" width="19.81640625" customWidth="1"/>
    <col min="1800" max="1800" width="22" customWidth="1"/>
    <col min="1801" max="1801" width="24.08984375" customWidth="1"/>
    <col min="1802" max="1802" width="20.7265625" customWidth="1"/>
    <col min="1803" max="2049" width="10.1796875" customWidth="1"/>
    <col min="2050" max="2050" width="32.54296875" customWidth="1"/>
    <col min="2051" max="2052" width="23.453125" customWidth="1"/>
    <col min="2053" max="2053" width="24.26953125" customWidth="1"/>
    <col min="2054" max="2054" width="23.453125" customWidth="1"/>
    <col min="2055" max="2055" width="19.81640625" customWidth="1"/>
    <col min="2056" max="2056" width="22" customWidth="1"/>
    <col min="2057" max="2057" width="24.08984375" customWidth="1"/>
    <col min="2058" max="2058" width="20.7265625" customWidth="1"/>
    <col min="2059" max="2305" width="10.1796875" customWidth="1"/>
    <col min="2306" max="2306" width="32.54296875" customWidth="1"/>
    <col min="2307" max="2308" width="23.453125" customWidth="1"/>
    <col min="2309" max="2309" width="24.26953125" customWidth="1"/>
    <col min="2310" max="2310" width="23.453125" customWidth="1"/>
    <col min="2311" max="2311" width="19.81640625" customWidth="1"/>
    <col min="2312" max="2312" width="22" customWidth="1"/>
    <col min="2313" max="2313" width="24.08984375" customWidth="1"/>
    <col min="2314" max="2314" width="20.7265625" customWidth="1"/>
    <col min="2315" max="2561" width="10.1796875" customWidth="1"/>
    <col min="2562" max="2562" width="32.54296875" customWidth="1"/>
    <col min="2563" max="2564" width="23.453125" customWidth="1"/>
    <col min="2565" max="2565" width="24.26953125" customWidth="1"/>
    <col min="2566" max="2566" width="23.453125" customWidth="1"/>
    <col min="2567" max="2567" width="19.81640625" customWidth="1"/>
    <col min="2568" max="2568" width="22" customWidth="1"/>
    <col min="2569" max="2569" width="24.08984375" customWidth="1"/>
    <col min="2570" max="2570" width="20.7265625" customWidth="1"/>
    <col min="2571" max="2817" width="10.1796875" customWidth="1"/>
    <col min="2818" max="2818" width="32.54296875" customWidth="1"/>
    <col min="2819" max="2820" width="23.453125" customWidth="1"/>
    <col min="2821" max="2821" width="24.26953125" customWidth="1"/>
    <col min="2822" max="2822" width="23.453125" customWidth="1"/>
    <col min="2823" max="2823" width="19.81640625" customWidth="1"/>
    <col min="2824" max="2824" width="22" customWidth="1"/>
    <col min="2825" max="2825" width="24.08984375" customWidth="1"/>
    <col min="2826" max="2826" width="20.7265625" customWidth="1"/>
    <col min="2827" max="3073" width="10.1796875" customWidth="1"/>
    <col min="3074" max="3074" width="32.54296875" customWidth="1"/>
    <col min="3075" max="3076" width="23.453125" customWidth="1"/>
    <col min="3077" max="3077" width="24.26953125" customWidth="1"/>
    <col min="3078" max="3078" width="23.453125" customWidth="1"/>
    <col min="3079" max="3079" width="19.81640625" customWidth="1"/>
    <col min="3080" max="3080" width="22" customWidth="1"/>
    <col min="3081" max="3081" width="24.08984375" customWidth="1"/>
    <col min="3082" max="3082" width="20.7265625" customWidth="1"/>
    <col min="3083" max="3329" width="10.1796875" customWidth="1"/>
    <col min="3330" max="3330" width="32.54296875" customWidth="1"/>
    <col min="3331" max="3332" width="23.453125" customWidth="1"/>
    <col min="3333" max="3333" width="24.26953125" customWidth="1"/>
    <col min="3334" max="3334" width="23.453125" customWidth="1"/>
    <col min="3335" max="3335" width="19.81640625" customWidth="1"/>
    <col min="3336" max="3336" width="22" customWidth="1"/>
    <col min="3337" max="3337" width="24.08984375" customWidth="1"/>
    <col min="3338" max="3338" width="20.7265625" customWidth="1"/>
    <col min="3339" max="3585" width="10.1796875" customWidth="1"/>
    <col min="3586" max="3586" width="32.54296875" customWidth="1"/>
    <col min="3587" max="3588" width="23.453125" customWidth="1"/>
    <col min="3589" max="3589" width="24.26953125" customWidth="1"/>
    <col min="3590" max="3590" width="23.453125" customWidth="1"/>
    <col min="3591" max="3591" width="19.81640625" customWidth="1"/>
    <col min="3592" max="3592" width="22" customWidth="1"/>
    <col min="3593" max="3593" width="24.08984375" customWidth="1"/>
    <col min="3594" max="3594" width="20.7265625" customWidth="1"/>
    <col min="3595" max="3841" width="10.1796875" customWidth="1"/>
    <col min="3842" max="3842" width="32.54296875" customWidth="1"/>
    <col min="3843" max="3844" width="23.453125" customWidth="1"/>
    <col min="3845" max="3845" width="24.26953125" customWidth="1"/>
    <col min="3846" max="3846" width="23.453125" customWidth="1"/>
    <col min="3847" max="3847" width="19.81640625" customWidth="1"/>
    <col min="3848" max="3848" width="22" customWidth="1"/>
    <col min="3849" max="3849" width="24.08984375" customWidth="1"/>
    <col min="3850" max="3850" width="20.7265625" customWidth="1"/>
    <col min="3851" max="4097" width="10.1796875" customWidth="1"/>
    <col min="4098" max="4098" width="32.54296875" customWidth="1"/>
    <col min="4099" max="4100" width="23.453125" customWidth="1"/>
    <col min="4101" max="4101" width="24.26953125" customWidth="1"/>
    <col min="4102" max="4102" width="23.453125" customWidth="1"/>
    <col min="4103" max="4103" width="19.81640625" customWidth="1"/>
    <col min="4104" max="4104" width="22" customWidth="1"/>
    <col min="4105" max="4105" width="24.08984375" customWidth="1"/>
    <col min="4106" max="4106" width="20.7265625" customWidth="1"/>
    <col min="4107" max="4353" width="10.1796875" customWidth="1"/>
    <col min="4354" max="4354" width="32.54296875" customWidth="1"/>
    <col min="4355" max="4356" width="23.453125" customWidth="1"/>
    <col min="4357" max="4357" width="24.26953125" customWidth="1"/>
    <col min="4358" max="4358" width="23.453125" customWidth="1"/>
    <col min="4359" max="4359" width="19.81640625" customWidth="1"/>
    <col min="4360" max="4360" width="22" customWidth="1"/>
    <col min="4361" max="4361" width="24.08984375" customWidth="1"/>
    <col min="4362" max="4362" width="20.7265625" customWidth="1"/>
    <col min="4363" max="4609" width="10.1796875" customWidth="1"/>
    <col min="4610" max="4610" width="32.54296875" customWidth="1"/>
    <col min="4611" max="4612" width="23.453125" customWidth="1"/>
    <col min="4613" max="4613" width="24.26953125" customWidth="1"/>
    <col min="4614" max="4614" width="23.453125" customWidth="1"/>
    <col min="4615" max="4615" width="19.81640625" customWidth="1"/>
    <col min="4616" max="4616" width="22" customWidth="1"/>
    <col min="4617" max="4617" width="24.08984375" customWidth="1"/>
    <col min="4618" max="4618" width="20.7265625" customWidth="1"/>
    <col min="4619" max="4865" width="10.1796875" customWidth="1"/>
    <col min="4866" max="4866" width="32.54296875" customWidth="1"/>
    <col min="4867" max="4868" width="23.453125" customWidth="1"/>
    <col min="4869" max="4869" width="24.26953125" customWidth="1"/>
    <col min="4870" max="4870" width="23.453125" customWidth="1"/>
    <col min="4871" max="4871" width="19.81640625" customWidth="1"/>
    <col min="4872" max="4872" width="22" customWidth="1"/>
    <col min="4873" max="4873" width="24.08984375" customWidth="1"/>
    <col min="4874" max="4874" width="20.7265625" customWidth="1"/>
    <col min="4875" max="5121" width="10.1796875" customWidth="1"/>
    <col min="5122" max="5122" width="32.54296875" customWidth="1"/>
    <col min="5123" max="5124" width="23.453125" customWidth="1"/>
    <col min="5125" max="5125" width="24.26953125" customWidth="1"/>
    <col min="5126" max="5126" width="23.453125" customWidth="1"/>
    <col min="5127" max="5127" width="19.81640625" customWidth="1"/>
    <col min="5128" max="5128" width="22" customWidth="1"/>
    <col min="5129" max="5129" width="24.08984375" customWidth="1"/>
    <col min="5130" max="5130" width="20.7265625" customWidth="1"/>
    <col min="5131" max="5377" width="10.1796875" customWidth="1"/>
    <col min="5378" max="5378" width="32.54296875" customWidth="1"/>
    <col min="5379" max="5380" width="23.453125" customWidth="1"/>
    <col min="5381" max="5381" width="24.26953125" customWidth="1"/>
    <col min="5382" max="5382" width="23.453125" customWidth="1"/>
    <col min="5383" max="5383" width="19.81640625" customWidth="1"/>
    <col min="5384" max="5384" width="22" customWidth="1"/>
    <col min="5385" max="5385" width="24.08984375" customWidth="1"/>
    <col min="5386" max="5386" width="20.7265625" customWidth="1"/>
    <col min="5387" max="5633" width="10.1796875" customWidth="1"/>
    <col min="5634" max="5634" width="32.54296875" customWidth="1"/>
    <col min="5635" max="5636" width="23.453125" customWidth="1"/>
    <col min="5637" max="5637" width="24.26953125" customWidth="1"/>
    <col min="5638" max="5638" width="23.453125" customWidth="1"/>
    <col min="5639" max="5639" width="19.81640625" customWidth="1"/>
    <col min="5640" max="5640" width="22" customWidth="1"/>
    <col min="5641" max="5641" width="24.08984375" customWidth="1"/>
    <col min="5642" max="5642" width="20.7265625" customWidth="1"/>
    <col min="5643" max="5889" width="10.1796875" customWidth="1"/>
    <col min="5890" max="5890" width="32.54296875" customWidth="1"/>
    <col min="5891" max="5892" width="23.453125" customWidth="1"/>
    <col min="5893" max="5893" width="24.26953125" customWidth="1"/>
    <col min="5894" max="5894" width="23.453125" customWidth="1"/>
    <col min="5895" max="5895" width="19.81640625" customWidth="1"/>
    <col min="5896" max="5896" width="22" customWidth="1"/>
    <col min="5897" max="5897" width="24.08984375" customWidth="1"/>
    <col min="5898" max="5898" width="20.7265625" customWidth="1"/>
    <col min="5899" max="6145" width="10.1796875" customWidth="1"/>
    <col min="6146" max="6146" width="32.54296875" customWidth="1"/>
    <col min="6147" max="6148" width="23.453125" customWidth="1"/>
    <col min="6149" max="6149" width="24.26953125" customWidth="1"/>
    <col min="6150" max="6150" width="23.453125" customWidth="1"/>
    <col min="6151" max="6151" width="19.81640625" customWidth="1"/>
    <col min="6152" max="6152" width="22" customWidth="1"/>
    <col min="6153" max="6153" width="24.08984375" customWidth="1"/>
    <col min="6154" max="6154" width="20.7265625" customWidth="1"/>
    <col min="6155" max="6401" width="10.1796875" customWidth="1"/>
    <col min="6402" max="6402" width="32.54296875" customWidth="1"/>
    <col min="6403" max="6404" width="23.453125" customWidth="1"/>
    <col min="6405" max="6405" width="24.26953125" customWidth="1"/>
    <col min="6406" max="6406" width="23.453125" customWidth="1"/>
    <col min="6407" max="6407" width="19.81640625" customWidth="1"/>
    <col min="6408" max="6408" width="22" customWidth="1"/>
    <col min="6409" max="6409" width="24.08984375" customWidth="1"/>
    <col min="6410" max="6410" width="20.7265625" customWidth="1"/>
    <col min="6411" max="6657" width="10.1796875" customWidth="1"/>
    <col min="6658" max="6658" width="32.54296875" customWidth="1"/>
    <col min="6659" max="6660" width="23.453125" customWidth="1"/>
    <col min="6661" max="6661" width="24.26953125" customWidth="1"/>
    <col min="6662" max="6662" width="23.453125" customWidth="1"/>
    <col min="6663" max="6663" width="19.81640625" customWidth="1"/>
    <col min="6664" max="6664" width="22" customWidth="1"/>
    <col min="6665" max="6665" width="24.08984375" customWidth="1"/>
    <col min="6666" max="6666" width="20.7265625" customWidth="1"/>
    <col min="6667" max="6913" width="10.1796875" customWidth="1"/>
    <col min="6914" max="6914" width="32.54296875" customWidth="1"/>
    <col min="6915" max="6916" width="23.453125" customWidth="1"/>
    <col min="6917" max="6917" width="24.26953125" customWidth="1"/>
    <col min="6918" max="6918" width="23.453125" customWidth="1"/>
    <col min="6919" max="6919" width="19.81640625" customWidth="1"/>
    <col min="6920" max="6920" width="22" customWidth="1"/>
    <col min="6921" max="6921" width="24.08984375" customWidth="1"/>
    <col min="6922" max="6922" width="20.7265625" customWidth="1"/>
    <col min="6923" max="7169" width="10.1796875" customWidth="1"/>
    <col min="7170" max="7170" width="32.54296875" customWidth="1"/>
    <col min="7171" max="7172" width="23.453125" customWidth="1"/>
    <col min="7173" max="7173" width="24.26953125" customWidth="1"/>
    <col min="7174" max="7174" width="23.453125" customWidth="1"/>
    <col min="7175" max="7175" width="19.81640625" customWidth="1"/>
    <col min="7176" max="7176" width="22" customWidth="1"/>
    <col min="7177" max="7177" width="24.08984375" customWidth="1"/>
    <col min="7178" max="7178" width="20.7265625" customWidth="1"/>
    <col min="7179" max="7425" width="10.1796875" customWidth="1"/>
    <col min="7426" max="7426" width="32.54296875" customWidth="1"/>
    <col min="7427" max="7428" width="23.453125" customWidth="1"/>
    <col min="7429" max="7429" width="24.26953125" customWidth="1"/>
    <col min="7430" max="7430" width="23.453125" customWidth="1"/>
    <col min="7431" max="7431" width="19.81640625" customWidth="1"/>
    <col min="7432" max="7432" width="22" customWidth="1"/>
    <col min="7433" max="7433" width="24.08984375" customWidth="1"/>
    <col min="7434" max="7434" width="20.7265625" customWidth="1"/>
    <col min="7435" max="7681" width="10.1796875" customWidth="1"/>
    <col min="7682" max="7682" width="32.54296875" customWidth="1"/>
    <col min="7683" max="7684" width="23.453125" customWidth="1"/>
    <col min="7685" max="7685" width="24.26953125" customWidth="1"/>
    <col min="7686" max="7686" width="23.453125" customWidth="1"/>
    <col min="7687" max="7687" width="19.81640625" customWidth="1"/>
    <col min="7688" max="7688" width="22" customWidth="1"/>
    <col min="7689" max="7689" width="24.08984375" customWidth="1"/>
    <col min="7690" max="7690" width="20.7265625" customWidth="1"/>
    <col min="7691" max="7937" width="10.1796875" customWidth="1"/>
    <col min="7938" max="7938" width="32.54296875" customWidth="1"/>
    <col min="7939" max="7940" width="23.453125" customWidth="1"/>
    <col min="7941" max="7941" width="24.26953125" customWidth="1"/>
    <col min="7942" max="7942" width="23.453125" customWidth="1"/>
    <col min="7943" max="7943" width="19.81640625" customWidth="1"/>
    <col min="7944" max="7944" width="22" customWidth="1"/>
    <col min="7945" max="7945" width="24.08984375" customWidth="1"/>
    <col min="7946" max="7946" width="20.7265625" customWidth="1"/>
    <col min="7947" max="8193" width="10.1796875" customWidth="1"/>
    <col min="8194" max="8194" width="32.54296875" customWidth="1"/>
    <col min="8195" max="8196" width="23.453125" customWidth="1"/>
    <col min="8197" max="8197" width="24.26953125" customWidth="1"/>
    <col min="8198" max="8198" width="23.453125" customWidth="1"/>
    <col min="8199" max="8199" width="19.81640625" customWidth="1"/>
    <col min="8200" max="8200" width="22" customWidth="1"/>
    <col min="8201" max="8201" width="24.08984375" customWidth="1"/>
    <col min="8202" max="8202" width="20.7265625" customWidth="1"/>
    <col min="8203" max="8449" width="10.1796875" customWidth="1"/>
    <col min="8450" max="8450" width="32.54296875" customWidth="1"/>
    <col min="8451" max="8452" width="23.453125" customWidth="1"/>
    <col min="8453" max="8453" width="24.26953125" customWidth="1"/>
    <col min="8454" max="8454" width="23.453125" customWidth="1"/>
    <col min="8455" max="8455" width="19.81640625" customWidth="1"/>
    <col min="8456" max="8456" width="22" customWidth="1"/>
    <col min="8457" max="8457" width="24.08984375" customWidth="1"/>
    <col min="8458" max="8458" width="20.7265625" customWidth="1"/>
    <col min="8459" max="8705" width="10.1796875" customWidth="1"/>
    <col min="8706" max="8706" width="32.54296875" customWidth="1"/>
    <col min="8707" max="8708" width="23.453125" customWidth="1"/>
    <col min="8709" max="8709" width="24.26953125" customWidth="1"/>
    <col min="8710" max="8710" width="23.453125" customWidth="1"/>
    <col min="8711" max="8711" width="19.81640625" customWidth="1"/>
    <col min="8712" max="8712" width="22" customWidth="1"/>
    <col min="8713" max="8713" width="24.08984375" customWidth="1"/>
    <col min="8714" max="8714" width="20.7265625" customWidth="1"/>
    <col min="8715" max="8961" width="10.1796875" customWidth="1"/>
    <col min="8962" max="8962" width="32.54296875" customWidth="1"/>
    <col min="8963" max="8964" width="23.453125" customWidth="1"/>
    <col min="8965" max="8965" width="24.26953125" customWidth="1"/>
    <col min="8966" max="8966" width="23.453125" customWidth="1"/>
    <col min="8967" max="8967" width="19.81640625" customWidth="1"/>
    <col min="8968" max="8968" width="22" customWidth="1"/>
    <col min="8969" max="8969" width="24.08984375" customWidth="1"/>
    <col min="8970" max="8970" width="20.7265625" customWidth="1"/>
    <col min="8971" max="9217" width="10.1796875" customWidth="1"/>
    <col min="9218" max="9218" width="32.54296875" customWidth="1"/>
    <col min="9219" max="9220" width="23.453125" customWidth="1"/>
    <col min="9221" max="9221" width="24.26953125" customWidth="1"/>
    <col min="9222" max="9222" width="23.453125" customWidth="1"/>
    <col min="9223" max="9223" width="19.81640625" customWidth="1"/>
    <col min="9224" max="9224" width="22" customWidth="1"/>
    <col min="9225" max="9225" width="24.08984375" customWidth="1"/>
    <col min="9226" max="9226" width="20.7265625" customWidth="1"/>
    <col min="9227" max="9473" width="10.1796875" customWidth="1"/>
    <col min="9474" max="9474" width="32.54296875" customWidth="1"/>
    <col min="9475" max="9476" width="23.453125" customWidth="1"/>
    <col min="9477" max="9477" width="24.26953125" customWidth="1"/>
    <col min="9478" max="9478" width="23.453125" customWidth="1"/>
    <col min="9479" max="9479" width="19.81640625" customWidth="1"/>
    <col min="9480" max="9480" width="22" customWidth="1"/>
    <col min="9481" max="9481" width="24.08984375" customWidth="1"/>
    <col min="9482" max="9482" width="20.7265625" customWidth="1"/>
    <col min="9483" max="9729" width="10.1796875" customWidth="1"/>
    <col min="9730" max="9730" width="32.54296875" customWidth="1"/>
    <col min="9731" max="9732" width="23.453125" customWidth="1"/>
    <col min="9733" max="9733" width="24.26953125" customWidth="1"/>
    <col min="9734" max="9734" width="23.453125" customWidth="1"/>
    <col min="9735" max="9735" width="19.81640625" customWidth="1"/>
    <col min="9736" max="9736" width="22" customWidth="1"/>
    <col min="9737" max="9737" width="24.08984375" customWidth="1"/>
    <col min="9738" max="9738" width="20.7265625" customWidth="1"/>
    <col min="9739" max="9985" width="10.1796875" customWidth="1"/>
    <col min="9986" max="9986" width="32.54296875" customWidth="1"/>
    <col min="9987" max="9988" width="23.453125" customWidth="1"/>
    <col min="9989" max="9989" width="24.26953125" customWidth="1"/>
    <col min="9990" max="9990" width="23.453125" customWidth="1"/>
    <col min="9991" max="9991" width="19.81640625" customWidth="1"/>
    <col min="9992" max="9992" width="22" customWidth="1"/>
    <col min="9993" max="9993" width="24.08984375" customWidth="1"/>
    <col min="9994" max="9994" width="20.7265625" customWidth="1"/>
    <col min="9995" max="10241" width="10.1796875" customWidth="1"/>
    <col min="10242" max="10242" width="32.54296875" customWidth="1"/>
    <col min="10243" max="10244" width="23.453125" customWidth="1"/>
    <col min="10245" max="10245" width="24.26953125" customWidth="1"/>
    <col min="10246" max="10246" width="23.453125" customWidth="1"/>
    <col min="10247" max="10247" width="19.81640625" customWidth="1"/>
    <col min="10248" max="10248" width="22" customWidth="1"/>
    <col min="10249" max="10249" width="24.08984375" customWidth="1"/>
    <col min="10250" max="10250" width="20.7265625" customWidth="1"/>
    <col min="10251" max="10497" width="10.1796875" customWidth="1"/>
    <col min="10498" max="10498" width="32.54296875" customWidth="1"/>
    <col min="10499" max="10500" width="23.453125" customWidth="1"/>
    <col min="10501" max="10501" width="24.26953125" customWidth="1"/>
    <col min="10502" max="10502" width="23.453125" customWidth="1"/>
    <col min="10503" max="10503" width="19.81640625" customWidth="1"/>
    <col min="10504" max="10504" width="22" customWidth="1"/>
    <col min="10505" max="10505" width="24.08984375" customWidth="1"/>
    <col min="10506" max="10506" width="20.7265625" customWidth="1"/>
    <col min="10507" max="10753" width="10.1796875" customWidth="1"/>
    <col min="10754" max="10754" width="32.54296875" customWidth="1"/>
    <col min="10755" max="10756" width="23.453125" customWidth="1"/>
    <col min="10757" max="10757" width="24.26953125" customWidth="1"/>
    <col min="10758" max="10758" width="23.453125" customWidth="1"/>
    <col min="10759" max="10759" width="19.81640625" customWidth="1"/>
    <col min="10760" max="10760" width="22" customWidth="1"/>
    <col min="10761" max="10761" width="24.08984375" customWidth="1"/>
    <col min="10762" max="10762" width="20.7265625" customWidth="1"/>
    <col min="10763" max="11009" width="10.1796875" customWidth="1"/>
    <col min="11010" max="11010" width="32.54296875" customWidth="1"/>
    <col min="11011" max="11012" width="23.453125" customWidth="1"/>
    <col min="11013" max="11013" width="24.26953125" customWidth="1"/>
    <col min="11014" max="11014" width="23.453125" customWidth="1"/>
    <col min="11015" max="11015" width="19.81640625" customWidth="1"/>
    <col min="11016" max="11016" width="22" customWidth="1"/>
    <col min="11017" max="11017" width="24.08984375" customWidth="1"/>
    <col min="11018" max="11018" width="20.7265625" customWidth="1"/>
    <col min="11019" max="11265" width="10.1796875" customWidth="1"/>
    <col min="11266" max="11266" width="32.54296875" customWidth="1"/>
    <col min="11267" max="11268" width="23.453125" customWidth="1"/>
    <col min="11269" max="11269" width="24.26953125" customWidth="1"/>
    <col min="11270" max="11270" width="23.453125" customWidth="1"/>
    <col min="11271" max="11271" width="19.81640625" customWidth="1"/>
    <col min="11272" max="11272" width="22" customWidth="1"/>
    <col min="11273" max="11273" width="24.08984375" customWidth="1"/>
    <col min="11274" max="11274" width="20.7265625" customWidth="1"/>
    <col min="11275" max="11521" width="10.1796875" customWidth="1"/>
    <col min="11522" max="11522" width="32.54296875" customWidth="1"/>
    <col min="11523" max="11524" width="23.453125" customWidth="1"/>
    <col min="11525" max="11525" width="24.26953125" customWidth="1"/>
    <col min="11526" max="11526" width="23.453125" customWidth="1"/>
    <col min="11527" max="11527" width="19.81640625" customWidth="1"/>
    <col min="11528" max="11528" width="22" customWidth="1"/>
    <col min="11529" max="11529" width="24.08984375" customWidth="1"/>
    <col min="11530" max="11530" width="20.7265625" customWidth="1"/>
    <col min="11531" max="11777" width="10.1796875" customWidth="1"/>
    <col min="11778" max="11778" width="32.54296875" customWidth="1"/>
    <col min="11779" max="11780" width="23.453125" customWidth="1"/>
    <col min="11781" max="11781" width="24.26953125" customWidth="1"/>
    <col min="11782" max="11782" width="23.453125" customWidth="1"/>
    <col min="11783" max="11783" width="19.81640625" customWidth="1"/>
    <col min="11784" max="11784" width="22" customWidth="1"/>
    <col min="11785" max="11785" width="24.08984375" customWidth="1"/>
    <col min="11786" max="11786" width="20.7265625" customWidth="1"/>
    <col min="11787" max="12033" width="10.1796875" customWidth="1"/>
    <col min="12034" max="12034" width="32.54296875" customWidth="1"/>
    <col min="12035" max="12036" width="23.453125" customWidth="1"/>
    <col min="12037" max="12037" width="24.26953125" customWidth="1"/>
    <col min="12038" max="12038" width="23.453125" customWidth="1"/>
    <col min="12039" max="12039" width="19.81640625" customWidth="1"/>
    <col min="12040" max="12040" width="22" customWidth="1"/>
    <col min="12041" max="12041" width="24.08984375" customWidth="1"/>
    <col min="12042" max="12042" width="20.7265625" customWidth="1"/>
    <col min="12043" max="12289" width="10.1796875" customWidth="1"/>
    <col min="12290" max="12290" width="32.54296875" customWidth="1"/>
    <col min="12291" max="12292" width="23.453125" customWidth="1"/>
    <col min="12293" max="12293" width="24.26953125" customWidth="1"/>
    <col min="12294" max="12294" width="23.453125" customWidth="1"/>
    <col min="12295" max="12295" width="19.81640625" customWidth="1"/>
    <col min="12296" max="12296" width="22" customWidth="1"/>
    <col min="12297" max="12297" width="24.08984375" customWidth="1"/>
    <col min="12298" max="12298" width="20.7265625" customWidth="1"/>
    <col min="12299" max="12545" width="10.1796875" customWidth="1"/>
    <col min="12546" max="12546" width="32.54296875" customWidth="1"/>
    <col min="12547" max="12548" width="23.453125" customWidth="1"/>
    <col min="12549" max="12549" width="24.26953125" customWidth="1"/>
    <col min="12550" max="12550" width="23.453125" customWidth="1"/>
    <col min="12551" max="12551" width="19.81640625" customWidth="1"/>
    <col min="12552" max="12552" width="22" customWidth="1"/>
    <col min="12553" max="12553" width="24.08984375" customWidth="1"/>
    <col min="12554" max="12554" width="20.7265625" customWidth="1"/>
    <col min="12555" max="12801" width="10.1796875" customWidth="1"/>
    <col min="12802" max="12802" width="32.54296875" customWidth="1"/>
    <col min="12803" max="12804" width="23.453125" customWidth="1"/>
    <col min="12805" max="12805" width="24.26953125" customWidth="1"/>
    <col min="12806" max="12806" width="23.453125" customWidth="1"/>
    <col min="12807" max="12807" width="19.81640625" customWidth="1"/>
    <col min="12808" max="12808" width="22" customWidth="1"/>
    <col min="12809" max="12809" width="24.08984375" customWidth="1"/>
    <col min="12810" max="12810" width="20.7265625" customWidth="1"/>
    <col min="12811" max="13057" width="10.1796875" customWidth="1"/>
    <col min="13058" max="13058" width="32.54296875" customWidth="1"/>
    <col min="13059" max="13060" width="23.453125" customWidth="1"/>
    <col min="13061" max="13061" width="24.26953125" customWidth="1"/>
    <col min="13062" max="13062" width="23.453125" customWidth="1"/>
    <col min="13063" max="13063" width="19.81640625" customWidth="1"/>
    <col min="13064" max="13064" width="22" customWidth="1"/>
    <col min="13065" max="13065" width="24.08984375" customWidth="1"/>
    <col min="13066" max="13066" width="20.7265625" customWidth="1"/>
    <col min="13067" max="13313" width="10.1796875" customWidth="1"/>
    <col min="13314" max="13314" width="32.54296875" customWidth="1"/>
    <col min="13315" max="13316" width="23.453125" customWidth="1"/>
    <col min="13317" max="13317" width="24.26953125" customWidth="1"/>
    <col min="13318" max="13318" width="23.453125" customWidth="1"/>
    <col min="13319" max="13319" width="19.81640625" customWidth="1"/>
    <col min="13320" max="13320" width="22" customWidth="1"/>
    <col min="13321" max="13321" width="24.08984375" customWidth="1"/>
    <col min="13322" max="13322" width="20.7265625" customWidth="1"/>
    <col min="13323" max="13569" width="10.1796875" customWidth="1"/>
    <col min="13570" max="13570" width="32.54296875" customWidth="1"/>
    <col min="13571" max="13572" width="23.453125" customWidth="1"/>
    <col min="13573" max="13573" width="24.26953125" customWidth="1"/>
    <col min="13574" max="13574" width="23.453125" customWidth="1"/>
    <col min="13575" max="13575" width="19.81640625" customWidth="1"/>
    <col min="13576" max="13576" width="22" customWidth="1"/>
    <col min="13577" max="13577" width="24.08984375" customWidth="1"/>
    <col min="13578" max="13578" width="20.7265625" customWidth="1"/>
    <col min="13579" max="13825" width="10.1796875" customWidth="1"/>
    <col min="13826" max="13826" width="32.54296875" customWidth="1"/>
    <col min="13827" max="13828" width="23.453125" customWidth="1"/>
    <col min="13829" max="13829" width="24.26953125" customWidth="1"/>
    <col min="13830" max="13830" width="23.453125" customWidth="1"/>
    <col min="13831" max="13831" width="19.81640625" customWidth="1"/>
    <col min="13832" max="13832" width="22" customWidth="1"/>
    <col min="13833" max="13833" width="24.08984375" customWidth="1"/>
    <col min="13834" max="13834" width="20.7265625" customWidth="1"/>
    <col min="13835" max="14081" width="10.1796875" customWidth="1"/>
    <col min="14082" max="14082" width="32.54296875" customWidth="1"/>
    <col min="14083" max="14084" width="23.453125" customWidth="1"/>
    <col min="14085" max="14085" width="24.26953125" customWidth="1"/>
    <col min="14086" max="14086" width="23.453125" customWidth="1"/>
    <col min="14087" max="14087" width="19.81640625" customWidth="1"/>
    <col min="14088" max="14088" width="22" customWidth="1"/>
    <col min="14089" max="14089" width="24.08984375" customWidth="1"/>
    <col min="14090" max="14090" width="20.7265625" customWidth="1"/>
    <col min="14091" max="14337" width="10.1796875" customWidth="1"/>
    <col min="14338" max="14338" width="32.54296875" customWidth="1"/>
    <col min="14339" max="14340" width="23.453125" customWidth="1"/>
    <col min="14341" max="14341" width="24.26953125" customWidth="1"/>
    <col min="14342" max="14342" width="23.453125" customWidth="1"/>
    <col min="14343" max="14343" width="19.81640625" customWidth="1"/>
    <col min="14344" max="14344" width="22" customWidth="1"/>
    <col min="14345" max="14345" width="24.08984375" customWidth="1"/>
    <col min="14346" max="14346" width="20.7265625" customWidth="1"/>
    <col min="14347" max="14593" width="10.1796875" customWidth="1"/>
    <col min="14594" max="14594" width="32.54296875" customWidth="1"/>
    <col min="14595" max="14596" width="23.453125" customWidth="1"/>
    <col min="14597" max="14597" width="24.26953125" customWidth="1"/>
    <col min="14598" max="14598" width="23.453125" customWidth="1"/>
    <col min="14599" max="14599" width="19.81640625" customWidth="1"/>
    <col min="14600" max="14600" width="22" customWidth="1"/>
    <col min="14601" max="14601" width="24.08984375" customWidth="1"/>
    <col min="14602" max="14602" width="20.7265625" customWidth="1"/>
    <col min="14603" max="14849" width="10.1796875" customWidth="1"/>
    <col min="14850" max="14850" width="32.54296875" customWidth="1"/>
    <col min="14851" max="14852" width="23.453125" customWidth="1"/>
    <col min="14853" max="14853" width="24.26953125" customWidth="1"/>
    <col min="14854" max="14854" width="23.453125" customWidth="1"/>
    <col min="14855" max="14855" width="19.81640625" customWidth="1"/>
    <col min="14856" max="14856" width="22" customWidth="1"/>
    <col min="14857" max="14857" width="24.08984375" customWidth="1"/>
    <col min="14858" max="14858" width="20.7265625" customWidth="1"/>
    <col min="14859" max="15105" width="10.1796875" customWidth="1"/>
    <col min="15106" max="15106" width="32.54296875" customWidth="1"/>
    <col min="15107" max="15108" width="23.453125" customWidth="1"/>
    <col min="15109" max="15109" width="24.26953125" customWidth="1"/>
    <col min="15110" max="15110" width="23.453125" customWidth="1"/>
    <col min="15111" max="15111" width="19.81640625" customWidth="1"/>
    <col min="15112" max="15112" width="22" customWidth="1"/>
    <col min="15113" max="15113" width="24.08984375" customWidth="1"/>
    <col min="15114" max="15114" width="20.7265625" customWidth="1"/>
    <col min="15115" max="15361" width="10.1796875" customWidth="1"/>
    <col min="15362" max="15362" width="32.54296875" customWidth="1"/>
    <col min="15363" max="15364" width="23.453125" customWidth="1"/>
    <col min="15365" max="15365" width="24.26953125" customWidth="1"/>
    <col min="15366" max="15366" width="23.453125" customWidth="1"/>
    <col min="15367" max="15367" width="19.81640625" customWidth="1"/>
    <col min="15368" max="15368" width="22" customWidth="1"/>
    <col min="15369" max="15369" width="24.08984375" customWidth="1"/>
    <col min="15370" max="15370" width="20.7265625" customWidth="1"/>
    <col min="15371" max="15617" width="10.1796875" customWidth="1"/>
    <col min="15618" max="15618" width="32.54296875" customWidth="1"/>
    <col min="15619" max="15620" width="23.453125" customWidth="1"/>
    <col min="15621" max="15621" width="24.26953125" customWidth="1"/>
    <col min="15622" max="15622" width="23.453125" customWidth="1"/>
    <col min="15623" max="15623" width="19.81640625" customWidth="1"/>
    <col min="15624" max="15624" width="22" customWidth="1"/>
    <col min="15625" max="15625" width="24.08984375" customWidth="1"/>
    <col min="15626" max="15626" width="20.7265625" customWidth="1"/>
    <col min="15627" max="15873" width="10.1796875" customWidth="1"/>
    <col min="15874" max="15874" width="32.54296875" customWidth="1"/>
    <col min="15875" max="15876" width="23.453125" customWidth="1"/>
    <col min="15877" max="15877" width="24.26953125" customWidth="1"/>
    <col min="15878" max="15878" width="23.453125" customWidth="1"/>
    <col min="15879" max="15879" width="19.81640625" customWidth="1"/>
    <col min="15880" max="15880" width="22" customWidth="1"/>
    <col min="15881" max="15881" width="24.08984375" customWidth="1"/>
    <col min="15882" max="15882" width="20.7265625" customWidth="1"/>
    <col min="15883" max="16129" width="10.1796875" customWidth="1"/>
    <col min="16130" max="16130" width="32.54296875" customWidth="1"/>
    <col min="16131" max="16132" width="23.453125" customWidth="1"/>
    <col min="16133" max="16133" width="24.26953125" customWidth="1"/>
    <col min="16134" max="16134" width="23.453125" customWidth="1"/>
    <col min="16135" max="16135" width="19.81640625" customWidth="1"/>
    <col min="16136" max="16136" width="22" customWidth="1"/>
    <col min="16137" max="16137" width="24.08984375" customWidth="1"/>
    <col min="16138" max="16138" width="20.7265625" customWidth="1"/>
    <col min="16139" max="16384" width="10.1796875" customWidth="1"/>
  </cols>
  <sheetData>
    <row r="1" spans="2:13" ht="15.5">
      <c r="B1" s="129" t="s">
        <v>143</v>
      </c>
      <c r="C1" s="129"/>
      <c r="D1" s="130"/>
      <c r="E1" s="130"/>
      <c r="F1" s="130"/>
      <c r="G1" s="130"/>
      <c r="H1" s="130"/>
      <c r="I1" s="130"/>
      <c r="J1" s="130"/>
      <c r="K1" s="130"/>
      <c r="L1" s="130"/>
      <c r="M1" s="130"/>
    </row>
    <row r="2" spans="2:13" ht="15.5">
      <c r="B2" s="129"/>
      <c r="C2" s="131"/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2:13">
      <c r="B3" s="133" t="s">
        <v>144</v>
      </c>
      <c r="F3" s="134">
        <v>5.96E-2</v>
      </c>
      <c r="G3" s="135" t="s">
        <v>145</v>
      </c>
    </row>
    <row r="4" spans="2:13">
      <c r="B4" s="133" t="s">
        <v>146</v>
      </c>
      <c r="F4" s="136" t="s">
        <v>147</v>
      </c>
      <c r="G4" s="137"/>
      <c r="H4" s="137"/>
    </row>
    <row r="5" spans="2:13">
      <c r="B5" s="133" t="s">
        <v>148</v>
      </c>
      <c r="F5" s="138">
        <f>'[2]Relative Equity Volatility'!B4</f>
        <v>1.2300759010501607</v>
      </c>
      <c r="G5" s="139" t="s">
        <v>145</v>
      </c>
      <c r="H5" s="137"/>
    </row>
    <row r="6" spans="2:13">
      <c r="G6" s="140"/>
      <c r="H6" s="140"/>
      <c r="I6" s="140"/>
      <c r="J6" s="140"/>
    </row>
    <row r="7" spans="2:13" s="147" customFormat="1" ht="31">
      <c r="B7" s="141" t="s">
        <v>149</v>
      </c>
      <c r="C7" s="142" t="s">
        <v>150</v>
      </c>
      <c r="D7" s="143" t="s">
        <v>151</v>
      </c>
      <c r="E7" s="144" t="s">
        <v>152</v>
      </c>
      <c r="F7" s="144" t="s">
        <v>153</v>
      </c>
      <c r="G7" s="144" t="s">
        <v>154</v>
      </c>
      <c r="H7" s="145" t="s">
        <v>155</v>
      </c>
      <c r="I7" s="144" t="s">
        <v>156</v>
      </c>
      <c r="J7" s="146" t="s">
        <v>157</v>
      </c>
      <c r="K7" s="135" t="s">
        <v>158</v>
      </c>
    </row>
    <row r="8" spans="2:13" ht="15.5" hidden="1">
      <c r="B8" s="148" t="str">
        <f>'[2]Sovereign Ratings (Moody''s,S&amp;P)'!A2</f>
        <v>Abu Dhabi</v>
      </c>
      <c r="C8" s="149" t="str">
        <f>VLOOKUP(B8,'[2]Regional lookup table'!$A$2:$B$156,2)</f>
        <v>Middle East</v>
      </c>
      <c r="D8" s="150" t="str">
        <f>'[2]Sovereign Ratings (Moody''s,S&amp;P)'!C2</f>
        <v>Aa2</v>
      </c>
      <c r="E8" s="151">
        <f t="shared" ref="E8:E71" si="0">VLOOKUP(D8,$K$9:$L$29,2)/10000</f>
        <v>5.5987260310332385E-3</v>
      </c>
      <c r="F8" s="151">
        <f>$F$3+G8</f>
        <v>6.6486857967356205E-2</v>
      </c>
      <c r="G8" s="152">
        <f>IF($F$4="Yes",E8*$F$5,E8)</f>
        <v>6.8868579673562009E-3</v>
      </c>
      <c r="H8" s="152">
        <f>VLOOKUP(B8,'[2]10-year CDS Spreads'!$A$2:$D$152,4)</f>
        <v>8.199999999999999E-3</v>
      </c>
      <c r="I8" s="152">
        <f>IF(J8="NA","NA",$F$3+J8)</f>
        <v>6.9686622388611313E-2</v>
      </c>
      <c r="J8" s="153">
        <f>IF(H8="NA","NA",H8*$F$5)</f>
        <v>1.0086622388611317E-2</v>
      </c>
      <c r="K8" s="154" t="s">
        <v>159</v>
      </c>
      <c r="L8" s="154" t="s">
        <v>160</v>
      </c>
    </row>
    <row r="9" spans="2:13" ht="15.5" hidden="1">
      <c r="B9" s="148" t="str">
        <f>'[2]Sovereign Ratings (Moody''s,S&amp;P)'!A3</f>
        <v>Albania</v>
      </c>
      <c r="C9" s="149" t="str">
        <f>VLOOKUP(B9,'[2]Regional lookup table'!$A$3:$B$156,2)</f>
        <v>Eastern Europe &amp; Russia</v>
      </c>
      <c r="D9" s="150" t="str">
        <f>'[2]Sovereign Ratings (Moody''s,S&amp;P)'!C3</f>
        <v>B1</v>
      </c>
      <c r="E9" s="151">
        <f t="shared" si="0"/>
        <v>5.0795714354283386E-2</v>
      </c>
      <c r="F9" s="151">
        <f t="shared" ref="F9:F72" si="1">$F$3+G9</f>
        <v>0.12208258410383171</v>
      </c>
      <c r="G9" s="152">
        <f t="shared" ref="G9:G72" si="2">IF($F$4="Yes",E9*$F$5,E9)</f>
        <v>6.2482584103831722E-2</v>
      </c>
      <c r="H9" s="152" t="str">
        <f>VLOOKUP(B9,'[2]10-year CDS Spreads'!$A$2:$D$152,4)</f>
        <v>NA</v>
      </c>
      <c r="I9" s="152" t="str">
        <f t="shared" ref="I9:I72" si="3">IF(J9="NA","NA",$F$3+J9)</f>
        <v>NA</v>
      </c>
      <c r="J9" s="153" t="str">
        <f t="shared" ref="J9:J72" si="4">IF(H9="NA","NA",H9*$F$5)</f>
        <v>NA</v>
      </c>
      <c r="K9" s="155" t="s">
        <v>161</v>
      </c>
      <c r="L9" s="156">
        <f t="shared" ref="L9:L24" si="5">D189</f>
        <v>79.400114621925923</v>
      </c>
    </row>
    <row r="10" spans="2:13" ht="15.5" hidden="1">
      <c r="B10" s="148" t="str">
        <f>'[2]Sovereign Ratings (Moody''s,S&amp;P)'!A4</f>
        <v>Andorra (Principality of)</v>
      </c>
      <c r="C10" s="149" t="str">
        <f>VLOOKUP(B10,'[2]Regional lookup table'!$A$3:$B$156,2)</f>
        <v>Western Europe</v>
      </c>
      <c r="D10" s="150" t="str">
        <f>'[2]Sovereign Ratings (Moody''s,S&amp;P)'!C4</f>
        <v>Baa2</v>
      </c>
      <c r="E10" s="151">
        <f t="shared" si="0"/>
        <v>2.147874895541842E-2</v>
      </c>
      <c r="F10" s="151">
        <f t="shared" si="1"/>
        <v>8.6020491474766508E-2</v>
      </c>
      <c r="G10" s="152">
        <f t="shared" si="2"/>
        <v>2.6420491474766512E-2</v>
      </c>
      <c r="H10" s="152" t="str">
        <f>VLOOKUP(B10,'[2]10-year CDS Spreads'!$A$2:$D$152,4)</f>
        <v>NA</v>
      </c>
      <c r="I10" s="152" t="str">
        <f t="shared" si="3"/>
        <v>NA</v>
      </c>
      <c r="J10" s="153" t="str">
        <f t="shared" si="4"/>
        <v>NA</v>
      </c>
      <c r="K10" s="155" t="s">
        <v>162</v>
      </c>
      <c r="L10" s="156">
        <f t="shared" si="5"/>
        <v>95.68731762129535</v>
      </c>
    </row>
    <row r="11" spans="2:13" ht="15.5" hidden="1">
      <c r="B11" s="148" t="str">
        <f>'[2]Sovereign Ratings (Moody''s,S&amp;P)'!A5</f>
        <v>Angola</v>
      </c>
      <c r="C11" s="149" t="str">
        <f>VLOOKUP(B11,'[2]Regional lookup table'!$A$3:$B$156,2)</f>
        <v>Africa</v>
      </c>
      <c r="D11" s="150" t="str">
        <f>'[2]Sovereign Ratings (Moody''s,S&amp;P)'!C5</f>
        <v>B3</v>
      </c>
      <c r="E11" s="151">
        <f t="shared" si="0"/>
        <v>7.3394208515908457E-2</v>
      </c>
      <c r="F11" s="151">
        <f t="shared" si="1"/>
        <v>0.14988044717206947</v>
      </c>
      <c r="G11" s="152">
        <f t="shared" si="2"/>
        <v>9.028044717206947E-2</v>
      </c>
      <c r="H11" s="152">
        <f>VLOOKUP(B11,'[2]10-year CDS Spreads'!$A$2:$D$152,4)</f>
        <v>5.4899999999999997E-2</v>
      </c>
      <c r="I11" s="152">
        <f t="shared" si="3"/>
        <v>0.12713116696765381</v>
      </c>
      <c r="J11" s="153">
        <f t="shared" si="4"/>
        <v>6.7531166967653822E-2</v>
      </c>
      <c r="K11" s="155" t="s">
        <v>163</v>
      </c>
      <c r="L11" s="156">
        <f t="shared" si="5"/>
        <v>135.38737493225833</v>
      </c>
    </row>
    <row r="12" spans="2:13" ht="15.5" hidden="1">
      <c r="B12" s="148" t="str">
        <f>'[2]Sovereign Ratings (Moody''s,S&amp;P)'!A6</f>
        <v>Argentina</v>
      </c>
      <c r="C12" s="149" t="str">
        <f>VLOOKUP(B12,'[2]Regional lookup table'!$A$3:$B$156,2)</f>
        <v>Central and South America</v>
      </c>
      <c r="D12" s="150" t="str">
        <f>'[2]Sovereign Ratings (Moody''s,S&amp;P)'!C6</f>
        <v>B2</v>
      </c>
      <c r="E12" s="151">
        <f t="shared" si="0"/>
        <v>6.2094961435095908E-2</v>
      </c>
      <c r="F12" s="151">
        <f t="shared" si="1"/>
        <v>0.13598151563795058</v>
      </c>
      <c r="G12" s="152">
        <f t="shared" si="2"/>
        <v>7.6381515637950578E-2</v>
      </c>
      <c r="H12" s="152">
        <f>VLOOKUP(B12,'[2]10-year CDS Spreads'!$A$2:$D$152,4)</f>
        <v>7.9000000000000001E-2</v>
      </c>
      <c r="I12" s="152">
        <f t="shared" si="3"/>
        <v>0.1567759961829627</v>
      </c>
      <c r="J12" s="153">
        <f t="shared" si="4"/>
        <v>9.7175996182962701E-2</v>
      </c>
      <c r="K12" s="155" t="s">
        <v>164</v>
      </c>
      <c r="L12" s="156">
        <f t="shared" si="5"/>
        <v>44.789808248265899</v>
      </c>
    </row>
    <row r="13" spans="2:13" ht="15.5" hidden="1">
      <c r="B13" s="148" t="str">
        <f>'[2]Sovereign Ratings (Moody''s,S&amp;P)'!A7</f>
        <v>Armenia</v>
      </c>
      <c r="C13" s="149" t="str">
        <f>VLOOKUP(B13,'[2]Regional lookup table'!$A$3:$B$156,2)</f>
        <v>Eastern Europe &amp; Russia</v>
      </c>
      <c r="D13" s="150" t="str">
        <f>'[2]Sovereign Ratings (Moody''s,S&amp;P)'!C7</f>
        <v>B1</v>
      </c>
      <c r="E13" s="151">
        <f t="shared" si="0"/>
        <v>5.0795714354283386E-2</v>
      </c>
      <c r="F13" s="151">
        <f t="shared" si="1"/>
        <v>0.12208258410383171</v>
      </c>
      <c r="G13" s="152">
        <f t="shared" si="2"/>
        <v>6.2482584103831722E-2</v>
      </c>
      <c r="H13" s="152" t="str">
        <f>VLOOKUP(B13,'[2]10-year CDS Spreads'!$A$2:$D$152,4)</f>
        <v>NA</v>
      </c>
      <c r="I13" s="152" t="str">
        <f t="shared" si="3"/>
        <v>NA</v>
      </c>
      <c r="J13" s="153" t="str">
        <f t="shared" si="4"/>
        <v>NA</v>
      </c>
      <c r="K13" s="155" t="s">
        <v>165</v>
      </c>
      <c r="L13" s="156">
        <f t="shared" si="5"/>
        <v>55.987260310332381</v>
      </c>
    </row>
    <row r="14" spans="2:13" ht="15.5" hidden="1">
      <c r="B14" s="148" t="str">
        <f>'[2]Sovereign Ratings (Moody''s,S&amp;P)'!A8</f>
        <v>Aruba</v>
      </c>
      <c r="C14" s="149" t="str">
        <f>VLOOKUP(B14,'[2]Regional lookup table'!$A$3:$B$156,2)</f>
        <v>Caribbean</v>
      </c>
      <c r="D14" s="150" t="str">
        <f>'[2]Sovereign Ratings (Moody''s,S&amp;P)'!C8</f>
        <v>Baa1</v>
      </c>
      <c r="E14" s="151">
        <f t="shared" si="0"/>
        <v>1.8017718318052423E-2</v>
      </c>
      <c r="F14" s="151">
        <f t="shared" si="1"/>
        <v>8.1763161094946329E-2</v>
      </c>
      <c r="G14" s="152">
        <f t="shared" si="2"/>
        <v>2.2163161094946322E-2</v>
      </c>
      <c r="H14" s="152" t="str">
        <f>VLOOKUP(B14,'[2]10-year CDS Spreads'!$A$2:$D$152,4)</f>
        <v>NA</v>
      </c>
      <c r="I14" s="152" t="str">
        <f t="shared" si="3"/>
        <v>NA</v>
      </c>
      <c r="J14" s="153" t="str">
        <f t="shared" si="4"/>
        <v>NA</v>
      </c>
      <c r="K14" s="155" t="s">
        <v>166</v>
      </c>
      <c r="L14" s="156">
        <f t="shared" si="5"/>
        <v>68.202662559859448</v>
      </c>
    </row>
    <row r="15" spans="2:13" ht="15.5" hidden="1">
      <c r="B15" s="148" t="str">
        <f>'[2]Sovereign Ratings (Moody''s,S&amp;P)'!A9</f>
        <v>Australia</v>
      </c>
      <c r="C15" s="149" t="str">
        <f>VLOOKUP(B15,'[2]Regional lookup table'!$A$3:$B$156,2)</f>
        <v>Australia &amp; New Zealand</v>
      </c>
      <c r="D15" s="150" t="str">
        <f>'[2]Sovereign Ratings (Moody''s,S&amp;P)'!C9</f>
        <v>Aaa</v>
      </c>
      <c r="E15" s="151">
        <f t="shared" si="0"/>
        <v>0</v>
      </c>
      <c r="F15" s="151">
        <f t="shared" si="1"/>
        <v>5.96E-2</v>
      </c>
      <c r="G15" s="152">
        <f t="shared" si="2"/>
        <v>0</v>
      </c>
      <c r="H15" s="152">
        <f>VLOOKUP(B15,'[2]10-year CDS Spreads'!$A$2:$D$152,4)</f>
        <v>1.1999999999999997E-3</v>
      </c>
      <c r="I15" s="152">
        <f t="shared" si="3"/>
        <v>6.1076091081260192E-2</v>
      </c>
      <c r="J15" s="153">
        <f t="shared" si="4"/>
        <v>1.4760910812601925E-3</v>
      </c>
      <c r="K15" s="155" t="s">
        <v>167</v>
      </c>
      <c r="L15" s="156">
        <f t="shared" si="5"/>
        <v>0</v>
      </c>
    </row>
    <row r="16" spans="2:13" ht="15.5" hidden="1">
      <c r="B16" s="148" t="str">
        <f>'[2]Sovereign Ratings (Moody''s,S&amp;P)'!A10</f>
        <v>Austria</v>
      </c>
      <c r="C16" s="149" t="str">
        <f>VLOOKUP(B16,'[2]Regional lookup table'!$A$3:$B$156,2)</f>
        <v>Western Europe</v>
      </c>
      <c r="D16" s="150" t="str">
        <f>'[2]Sovereign Ratings (Moody''s,S&amp;P)'!C10</f>
        <v>Aa1</v>
      </c>
      <c r="E16" s="151">
        <f t="shared" si="0"/>
        <v>4.4789808248265903E-3</v>
      </c>
      <c r="F16" s="151">
        <f t="shared" si="1"/>
        <v>6.5109486373884959E-2</v>
      </c>
      <c r="G16" s="152">
        <f t="shared" si="2"/>
        <v>5.5094863738849604E-3</v>
      </c>
      <c r="H16" s="152">
        <f>VLOOKUP(B16,'[2]10-year CDS Spreads'!$A$2:$D$152,4)</f>
        <v>0</v>
      </c>
      <c r="I16" s="152">
        <f t="shared" si="3"/>
        <v>5.96E-2</v>
      </c>
      <c r="J16" s="153">
        <f t="shared" si="4"/>
        <v>0</v>
      </c>
      <c r="K16" s="155" t="s">
        <v>168</v>
      </c>
      <c r="L16" s="156">
        <f t="shared" si="5"/>
        <v>507.95714354283388</v>
      </c>
    </row>
    <row r="17" spans="2:12" ht="15.5" hidden="1">
      <c r="B17" s="148" t="str">
        <f>'[2]Sovereign Ratings (Moody''s,S&amp;P)'!A11</f>
        <v>Azerbaijan</v>
      </c>
      <c r="C17" s="149" t="str">
        <f>VLOOKUP(B17,'[2]Regional lookup table'!$A$3:$B$156,2)</f>
        <v>Eastern Europe &amp; Russia</v>
      </c>
      <c r="D17" s="150" t="str">
        <f>'[2]Sovereign Ratings (Moody''s,S&amp;P)'!C11</f>
        <v>Ba2</v>
      </c>
      <c r="E17" s="151">
        <f t="shared" si="0"/>
        <v>3.3897741242437607E-2</v>
      </c>
      <c r="F17" s="151">
        <f t="shared" si="1"/>
        <v>0.10129679460235663</v>
      </c>
      <c r="G17" s="152">
        <f t="shared" si="2"/>
        <v>4.1696794602356632E-2</v>
      </c>
      <c r="H17" s="152" t="str">
        <f>VLOOKUP(B17,'[2]10-year CDS Spreads'!$A$2:$D$152,4)</f>
        <v>NA</v>
      </c>
      <c r="I17" s="152" t="str">
        <f t="shared" si="3"/>
        <v>NA</v>
      </c>
      <c r="J17" s="153" t="str">
        <f t="shared" si="4"/>
        <v>NA</v>
      </c>
      <c r="K17" s="155" t="s">
        <v>169</v>
      </c>
      <c r="L17" s="156">
        <f t="shared" si="5"/>
        <v>620.94961435095911</v>
      </c>
    </row>
    <row r="18" spans="2:12" ht="15.5" hidden="1">
      <c r="B18" s="148" t="str">
        <f>'[2]Sovereign Ratings (Moody''s,S&amp;P)'!A12</f>
        <v>Bahamas</v>
      </c>
      <c r="C18" s="149" t="str">
        <f>VLOOKUP(B18,'[2]Regional lookup table'!$A$3:$B$156,2)</f>
        <v>Caribbean</v>
      </c>
      <c r="D18" s="150" t="str">
        <f>'[2]Sovereign Ratings (Moody''s,S&amp;P)'!C12</f>
        <v>Baa3</v>
      </c>
      <c r="E18" s="151">
        <f t="shared" si="0"/>
        <v>2.4837984574038366E-2</v>
      </c>
      <c r="F18" s="151">
        <f t="shared" si="1"/>
        <v>9.0152606255180234E-2</v>
      </c>
      <c r="G18" s="152">
        <f t="shared" si="2"/>
        <v>3.0552606255180234E-2</v>
      </c>
      <c r="H18" s="152" t="str">
        <f>VLOOKUP(B18,'[2]10-year CDS Spreads'!$A$2:$D$152,4)</f>
        <v>NA</v>
      </c>
      <c r="I18" s="152" t="str">
        <f t="shared" si="3"/>
        <v>NA</v>
      </c>
      <c r="J18" s="153" t="str">
        <f t="shared" si="4"/>
        <v>NA</v>
      </c>
      <c r="K18" s="155" t="s">
        <v>170</v>
      </c>
      <c r="L18" s="156">
        <f t="shared" si="5"/>
        <v>733.94208515908451</v>
      </c>
    </row>
    <row r="19" spans="2:12" ht="15.5" hidden="1">
      <c r="B19" s="148" t="str">
        <f>'[2]Sovereign Ratings (Moody''s,S&amp;P)'!A13</f>
        <v>Bahrain</v>
      </c>
      <c r="C19" s="149" t="str">
        <f>VLOOKUP(B19,'[2]Regional lookup table'!$A$3:$B$156,2)</f>
        <v>Middle East</v>
      </c>
      <c r="D19" s="150" t="str">
        <f>'[2]Sovereign Ratings (Moody''s,S&amp;P)'!C13</f>
        <v>B2</v>
      </c>
      <c r="E19" s="151">
        <f t="shared" si="0"/>
        <v>6.2094961435095908E-2</v>
      </c>
      <c r="F19" s="151">
        <f t="shared" si="1"/>
        <v>0.13598151563795058</v>
      </c>
      <c r="G19" s="152">
        <f t="shared" si="2"/>
        <v>7.6381515637950578E-2</v>
      </c>
      <c r="H19" s="152">
        <f>VLOOKUP(B19,'[2]10-year CDS Spreads'!$A$2:$D$152,4)</f>
        <v>3.4199999999999994E-2</v>
      </c>
      <c r="I19" s="152">
        <f t="shared" si="3"/>
        <v>0.10166859581591549</v>
      </c>
      <c r="J19" s="153">
        <f t="shared" si="4"/>
        <v>4.2068595815915488E-2</v>
      </c>
      <c r="K19" s="155" t="s">
        <v>171</v>
      </c>
      <c r="L19" s="156">
        <f t="shared" si="5"/>
        <v>281.97220192658312</v>
      </c>
    </row>
    <row r="20" spans="2:12" ht="15.5" hidden="1">
      <c r="B20" s="148" t="str">
        <f>'[2]Sovereign Ratings (Moody''s,S&amp;P)'!A14</f>
        <v>Bangladesh</v>
      </c>
      <c r="C20" s="149" t="str">
        <f>VLOOKUP(B20,'[2]Regional lookup table'!$A$3:$B$156,2)</f>
        <v>Asia</v>
      </c>
      <c r="D20" s="150" t="str">
        <f>'[2]Sovereign Ratings (Moody''s,S&amp;P)'!C14</f>
        <v>Ba3</v>
      </c>
      <c r="E20" s="151">
        <f t="shared" si="0"/>
        <v>4.0616212479677498E-2</v>
      </c>
      <c r="F20" s="151">
        <f t="shared" si="1"/>
        <v>0.10956102416318408</v>
      </c>
      <c r="G20" s="152">
        <f t="shared" si="2"/>
        <v>4.9961024163184084E-2</v>
      </c>
      <c r="H20" s="152" t="str">
        <f>VLOOKUP(B20,'[2]10-year CDS Spreads'!$A$2:$D$152,4)</f>
        <v>NA</v>
      </c>
      <c r="I20" s="152" t="str">
        <f t="shared" si="3"/>
        <v>NA</v>
      </c>
      <c r="J20" s="153" t="str">
        <f t="shared" si="4"/>
        <v>NA</v>
      </c>
      <c r="K20" s="155" t="s">
        <v>172</v>
      </c>
      <c r="L20" s="156">
        <f t="shared" si="5"/>
        <v>338.97741242437604</v>
      </c>
    </row>
    <row r="21" spans="2:12" ht="15.5" hidden="1">
      <c r="B21" s="148" t="str">
        <f>'[2]Sovereign Ratings (Moody''s,S&amp;P)'!A15</f>
        <v>Barbados</v>
      </c>
      <c r="C21" s="149" t="str">
        <f>VLOOKUP(B21,'[2]Regional lookup table'!$A$3:$B$156,2)</f>
        <v>Caribbean</v>
      </c>
      <c r="D21" s="150" t="str">
        <f>'[2]Sovereign Ratings (Moody''s,S&amp;P)'!C15</f>
        <v>Caa3</v>
      </c>
      <c r="E21" s="151">
        <f t="shared" si="0"/>
        <v>0.11278888077063325</v>
      </c>
      <c r="F21" s="151">
        <f t="shared" si="1"/>
        <v>0.19833888414237583</v>
      </c>
      <c r="G21" s="152">
        <f t="shared" si="2"/>
        <v>0.13873888414237584</v>
      </c>
      <c r="H21" s="152" t="str">
        <f>VLOOKUP(B21,'[2]10-year CDS Spreads'!$A$2:$D$152,4)</f>
        <v>NA</v>
      </c>
      <c r="I21" s="152" t="str">
        <f t="shared" si="3"/>
        <v>NA</v>
      </c>
      <c r="J21" s="153" t="str">
        <f t="shared" si="4"/>
        <v>NA</v>
      </c>
      <c r="K21" s="155" t="s">
        <v>173</v>
      </c>
      <c r="L21" s="156">
        <f t="shared" si="5"/>
        <v>406.16212479677495</v>
      </c>
    </row>
    <row r="22" spans="2:12" ht="15.5" hidden="1">
      <c r="B22" s="148" t="str">
        <f>'[2]Sovereign Ratings (Moody''s,S&amp;P)'!A16</f>
        <v>Belarus</v>
      </c>
      <c r="C22" s="149" t="str">
        <f>VLOOKUP(B22,'[2]Regional lookup table'!$A$3:$B$156,2)</f>
        <v>Eastern Europe &amp; Russia</v>
      </c>
      <c r="D22" s="150" t="str">
        <f>'[2]Sovereign Ratings (Moody''s,S&amp;P)'!C16</f>
        <v>B3</v>
      </c>
      <c r="E22" s="151">
        <f t="shared" si="0"/>
        <v>7.3394208515908457E-2</v>
      </c>
      <c r="F22" s="151">
        <f t="shared" si="1"/>
        <v>0.14988044717206947</v>
      </c>
      <c r="G22" s="152">
        <f t="shared" si="2"/>
        <v>9.028044717206947E-2</v>
      </c>
      <c r="H22" s="152" t="str">
        <f>VLOOKUP(B22,'[2]10-year CDS Spreads'!$A$2:$D$152,4)</f>
        <v>NA</v>
      </c>
      <c r="I22" s="152" t="str">
        <f t="shared" si="3"/>
        <v>NA</v>
      </c>
      <c r="J22" s="153" t="str">
        <f t="shared" si="4"/>
        <v>NA</v>
      </c>
      <c r="K22" s="155" t="s">
        <v>174</v>
      </c>
      <c r="L22" s="156">
        <f t="shared" si="5"/>
        <v>180.17718318052422</v>
      </c>
    </row>
    <row r="23" spans="2:12" ht="15.5" hidden="1">
      <c r="B23" s="148" t="str">
        <f>'[2]Sovereign Ratings (Moody''s,S&amp;P)'!A17</f>
        <v>Belgium</v>
      </c>
      <c r="C23" s="149" t="str">
        <f>VLOOKUP(B23,'[2]Regional lookup table'!$A$3:$B$156,2)</f>
        <v>Western Europe</v>
      </c>
      <c r="D23" s="150" t="str">
        <f>'[2]Sovereign Ratings (Moody''s,S&amp;P)'!C17</f>
        <v>Aa3</v>
      </c>
      <c r="E23" s="151">
        <f t="shared" si="0"/>
        <v>6.8202662559859444E-3</v>
      </c>
      <c r="F23" s="151">
        <f t="shared" si="1"/>
        <v>6.7989445160233919E-2</v>
      </c>
      <c r="G23" s="152">
        <f t="shared" si="2"/>
        <v>8.389445160233917E-3</v>
      </c>
      <c r="H23" s="152">
        <f>VLOOKUP(B23,'[2]10-year CDS Spreads'!$A$2:$D$152,4)</f>
        <v>1.8999999999999998E-3</v>
      </c>
      <c r="I23" s="152">
        <f t="shared" si="3"/>
        <v>6.1937144211995303E-2</v>
      </c>
      <c r="J23" s="153">
        <f t="shared" si="4"/>
        <v>2.3371442119953052E-3</v>
      </c>
      <c r="K23" s="155" t="s">
        <v>175</v>
      </c>
      <c r="L23" s="156">
        <f t="shared" si="5"/>
        <v>214.78748955418422</v>
      </c>
    </row>
    <row r="24" spans="2:12" ht="15.5" hidden="1">
      <c r="B24" s="148" t="str">
        <f>'[2]Sovereign Ratings (Moody''s,S&amp;P)'!A18</f>
        <v>Belize</v>
      </c>
      <c r="C24" s="149" t="str">
        <f>VLOOKUP(B24,'[2]Regional lookup table'!$A$3:$B$156,2)</f>
        <v>Central and South America</v>
      </c>
      <c r="D24" s="150" t="str">
        <f>'[2]Sovereign Ratings (Moody''s,S&amp;P)'!C18</f>
        <v>B3</v>
      </c>
      <c r="E24" s="151">
        <f t="shared" si="0"/>
        <v>7.3394208515908457E-2</v>
      </c>
      <c r="F24" s="151">
        <f t="shared" si="1"/>
        <v>0.14988044717206947</v>
      </c>
      <c r="G24" s="152">
        <f t="shared" si="2"/>
        <v>9.028044717206947E-2</v>
      </c>
      <c r="H24" s="152" t="str">
        <f>VLOOKUP(B24,'[2]10-year CDS Spreads'!$A$2:$D$152,4)</f>
        <v>NA</v>
      </c>
      <c r="I24" s="152" t="str">
        <f t="shared" si="3"/>
        <v>NA</v>
      </c>
      <c r="J24" s="153" t="str">
        <f t="shared" si="4"/>
        <v>NA</v>
      </c>
      <c r="K24" s="155" t="s">
        <v>176</v>
      </c>
      <c r="L24" s="156">
        <f t="shared" si="5"/>
        <v>248.37984574038364</v>
      </c>
    </row>
    <row r="25" spans="2:12" ht="15.5" hidden="1">
      <c r="B25" s="148" t="str">
        <f>'[2]Sovereign Ratings (Moody''s,S&amp;P)'!A19</f>
        <v>Benin</v>
      </c>
      <c r="C25" s="149" t="str">
        <f>VLOOKUP(B25,'[2]Regional lookup table'!$A$3:$B$156,2)</f>
        <v>Africa</v>
      </c>
      <c r="D25" s="150" t="str">
        <f>'[2]Sovereign Ratings (Moody''s,S&amp;P)'!C19</f>
        <v>B1</v>
      </c>
      <c r="E25" s="151">
        <f t="shared" si="0"/>
        <v>5.0795714354283386E-2</v>
      </c>
      <c r="F25" s="151">
        <f t="shared" si="1"/>
        <v>0.12208258410383171</v>
      </c>
      <c r="G25" s="152">
        <f t="shared" si="2"/>
        <v>6.2482584103831722E-2</v>
      </c>
      <c r="H25" s="152" t="str">
        <f>VLOOKUP(B25,'[2]10-year CDS Spreads'!$A$2:$D$152,4)</f>
        <v>NA</v>
      </c>
      <c r="I25" s="152" t="str">
        <f t="shared" si="3"/>
        <v>NA</v>
      </c>
      <c r="J25" s="153" t="str">
        <f t="shared" si="4"/>
        <v>NA</v>
      </c>
      <c r="K25" s="157" t="s">
        <v>177</v>
      </c>
      <c r="L25" s="156">
        <v>1800</v>
      </c>
    </row>
    <row r="26" spans="2:12" ht="15.5" hidden="1">
      <c r="B26" s="148" t="str">
        <f>'[2]Sovereign Ratings (Moody''s,S&amp;P)'!A20</f>
        <v>Bermuda</v>
      </c>
      <c r="C26" s="149" t="str">
        <f>VLOOKUP(B26,'[2]Regional lookup table'!$A$3:$B$156,2)</f>
        <v>Caribbean</v>
      </c>
      <c r="D26" s="150" t="str">
        <f>'[2]Sovereign Ratings (Moody''s,S&amp;P)'!C20</f>
        <v>A2</v>
      </c>
      <c r="E26" s="151">
        <f t="shared" si="0"/>
        <v>9.5687317621295353E-3</v>
      </c>
      <c r="F26" s="151">
        <f t="shared" si="1"/>
        <v>7.1370266344208788E-2</v>
      </c>
      <c r="G26" s="152">
        <f t="shared" si="2"/>
        <v>1.1770266344208781E-2</v>
      </c>
      <c r="H26" s="152" t="str">
        <f>VLOOKUP(B26,'[2]10-year CDS Spreads'!$A$2:$D$152,4)</f>
        <v>NA</v>
      </c>
      <c r="I26" s="152" t="str">
        <f t="shared" si="3"/>
        <v>NA</v>
      </c>
      <c r="J26" s="153" t="str">
        <f t="shared" si="4"/>
        <v>NA</v>
      </c>
      <c r="K26" s="157" t="str">
        <f t="shared" ref="K26:L28" si="6">C207</f>
        <v>Caa1</v>
      </c>
      <c r="L26" s="156">
        <f t="shared" si="6"/>
        <v>845.91660577974926</v>
      </c>
    </row>
    <row r="27" spans="2:12" ht="15.5" hidden="1">
      <c r="B27" s="148" t="str">
        <f>'[2]Sovereign Ratings (Moody''s,S&amp;P)'!A21</f>
        <v>Bolivia</v>
      </c>
      <c r="C27" s="149" t="str">
        <f>VLOOKUP(B27,'[2]Regional lookup table'!$A$3:$B$156,2)</f>
        <v>Central and South America</v>
      </c>
      <c r="D27" s="150" t="str">
        <f>'[2]Sovereign Ratings (Moody''s,S&amp;P)'!C21</f>
        <v>Ba3</v>
      </c>
      <c r="E27" s="151">
        <f t="shared" si="0"/>
        <v>4.0616212479677498E-2</v>
      </c>
      <c r="F27" s="151">
        <f t="shared" si="1"/>
        <v>0.10956102416318408</v>
      </c>
      <c r="G27" s="152">
        <f t="shared" si="2"/>
        <v>4.9961024163184084E-2</v>
      </c>
      <c r="H27" s="152" t="str">
        <f>VLOOKUP(B27,'[2]10-year CDS Spreads'!$A$2:$D$152,4)</f>
        <v>NA</v>
      </c>
      <c r="I27" s="152" t="str">
        <f t="shared" si="3"/>
        <v>NA</v>
      </c>
      <c r="J27" s="153" t="str">
        <f t="shared" si="4"/>
        <v>NA</v>
      </c>
      <c r="K27" s="157" t="str">
        <f t="shared" si="6"/>
        <v>Caa2</v>
      </c>
      <c r="L27" s="156">
        <f t="shared" si="6"/>
        <v>1015.9142870856678</v>
      </c>
    </row>
    <row r="28" spans="2:12" ht="15.5" hidden="1">
      <c r="B28" s="148" t="str">
        <f>'[2]Sovereign Ratings (Moody''s,S&amp;P)'!A22</f>
        <v>Bosnia and Herzegovina</v>
      </c>
      <c r="C28" s="149" t="str">
        <f>VLOOKUP(B28,'[2]Regional lookup table'!$A$3:$B$156,2)</f>
        <v>Eastern Europe &amp; Russia</v>
      </c>
      <c r="D28" s="150" t="str">
        <f>'[2]Sovereign Ratings (Moody''s,S&amp;P)'!C22</f>
        <v>B3</v>
      </c>
      <c r="E28" s="151">
        <f t="shared" si="0"/>
        <v>7.3394208515908457E-2</v>
      </c>
      <c r="F28" s="151">
        <f t="shared" si="1"/>
        <v>0.14988044717206947</v>
      </c>
      <c r="G28" s="152">
        <f t="shared" si="2"/>
        <v>9.028044717206947E-2</v>
      </c>
      <c r="H28" s="152" t="str">
        <f>VLOOKUP(B28,'[2]10-year CDS Spreads'!$A$2:$D$152,4)</f>
        <v>NA</v>
      </c>
      <c r="I28" s="152" t="str">
        <f t="shared" si="3"/>
        <v>NA</v>
      </c>
      <c r="J28" s="153" t="str">
        <f t="shared" si="4"/>
        <v>NA</v>
      </c>
      <c r="K28" s="157" t="str">
        <f t="shared" si="6"/>
        <v>Caa3</v>
      </c>
      <c r="L28" s="156">
        <f t="shared" si="6"/>
        <v>1127.8888077063325</v>
      </c>
    </row>
    <row r="29" spans="2:12" ht="15.5" hidden="1">
      <c r="B29" s="148" t="str">
        <f>'[2]Sovereign Ratings (Moody''s,S&amp;P)'!A23</f>
        <v>Botswana</v>
      </c>
      <c r="C29" s="149" t="str">
        <f>VLOOKUP(B29,'[2]Regional lookup table'!$A$3:$B$156,2)</f>
        <v>Africa</v>
      </c>
      <c r="D29" s="150" t="str">
        <f>'[2]Sovereign Ratings (Moody''s,S&amp;P)'!C23</f>
        <v>A2</v>
      </c>
      <c r="E29" s="151">
        <f t="shared" si="0"/>
        <v>9.5687317621295353E-3</v>
      </c>
      <c r="F29" s="151">
        <f t="shared" si="1"/>
        <v>7.1370266344208788E-2</v>
      </c>
      <c r="G29" s="152">
        <f t="shared" si="2"/>
        <v>1.1770266344208781E-2</v>
      </c>
      <c r="H29" s="152" t="str">
        <f>VLOOKUP(B29,'[2]10-year CDS Spreads'!$A$2:$D$152,4)</f>
        <v>NA</v>
      </c>
      <c r="I29" s="152" t="str">
        <f t="shared" si="3"/>
        <v>NA</v>
      </c>
      <c r="J29" s="153" t="str">
        <f t="shared" si="4"/>
        <v>NA</v>
      </c>
      <c r="K29" s="157" t="s">
        <v>178</v>
      </c>
      <c r="L29" s="158" t="str">
        <f>D210</f>
        <v>NA</v>
      </c>
    </row>
    <row r="30" spans="2:12" ht="15.5" hidden="1">
      <c r="B30" s="148" t="str">
        <f>'[2]Sovereign Ratings (Moody''s,S&amp;P)'!A24</f>
        <v>Brazil</v>
      </c>
      <c r="C30" s="149" t="str">
        <f>VLOOKUP(B30,'[2]Regional lookup table'!$A$3:$B$156,2)</f>
        <v>Central and South America</v>
      </c>
      <c r="D30" s="150" t="str">
        <f>'[2]Sovereign Ratings (Moody''s,S&amp;P)'!C24</f>
        <v>Ba2</v>
      </c>
      <c r="E30" s="151">
        <f t="shared" si="0"/>
        <v>3.3897741242437607E-2</v>
      </c>
      <c r="F30" s="151">
        <f t="shared" si="1"/>
        <v>0.10129679460235663</v>
      </c>
      <c r="G30" s="152">
        <f t="shared" si="2"/>
        <v>4.1696794602356632E-2</v>
      </c>
      <c r="H30" s="152">
        <f>VLOOKUP(B30,'[2]10-year CDS Spreads'!$A$2:$D$152,4)</f>
        <v>2.5700000000000001E-2</v>
      </c>
      <c r="I30" s="152">
        <f t="shared" si="3"/>
        <v>9.1212950656989131E-2</v>
      </c>
      <c r="J30" s="153">
        <f t="shared" si="4"/>
        <v>3.1612950656989131E-2</v>
      </c>
    </row>
    <row r="31" spans="2:12" ht="15.5" hidden="1">
      <c r="B31" s="148" t="str">
        <f>'[2]Sovereign Ratings (Moody''s,S&amp;P)'!A25</f>
        <v>Bulgaria</v>
      </c>
      <c r="C31" s="149" t="str">
        <f>VLOOKUP(B31,'[2]Regional lookup table'!$A$3:$B$156,2)</f>
        <v>Eastern Europe &amp; Russia</v>
      </c>
      <c r="D31" s="150" t="str">
        <f>'[2]Sovereign Ratings (Moody''s,S&amp;P)'!C25</f>
        <v>Baa2</v>
      </c>
      <c r="E31" s="151">
        <f t="shared" si="0"/>
        <v>2.147874895541842E-2</v>
      </c>
      <c r="F31" s="151">
        <f t="shared" si="1"/>
        <v>8.6020491474766508E-2</v>
      </c>
      <c r="G31" s="152">
        <f t="shared" si="2"/>
        <v>2.6420491474766512E-2</v>
      </c>
      <c r="H31" s="152">
        <f>VLOOKUP(B31,'[2]10-year CDS Spreads'!$A$2:$D$152,4)</f>
        <v>9.9999999999999985E-3</v>
      </c>
      <c r="I31" s="152">
        <f t="shared" si="3"/>
        <v>7.1900759010501608E-2</v>
      </c>
      <c r="J31" s="153">
        <f t="shared" si="4"/>
        <v>1.2300759010501606E-2</v>
      </c>
    </row>
    <row r="32" spans="2:12" ht="15.5" hidden="1">
      <c r="B32" s="148" t="str">
        <f>'[2]Sovereign Ratings (Moody''s,S&amp;P)'!A26</f>
        <v>Burkina Faso</v>
      </c>
      <c r="C32" s="149" t="str">
        <f>VLOOKUP(B32,'[2]Regional lookup table'!$A$3:$B$156,2)</f>
        <v>Africa</v>
      </c>
      <c r="D32" s="150" t="str">
        <f>'[2]Sovereign Ratings (Moody''s,S&amp;P)'!C26</f>
        <v>B2</v>
      </c>
      <c r="E32" s="151">
        <f t="shared" si="0"/>
        <v>6.2094961435095908E-2</v>
      </c>
      <c r="F32" s="151">
        <f t="shared" si="1"/>
        <v>0.13598151563795058</v>
      </c>
      <c r="G32" s="152">
        <f t="shared" si="2"/>
        <v>7.6381515637950578E-2</v>
      </c>
      <c r="H32" s="152" t="str">
        <f>VLOOKUP(B32,'[2]10-year CDS Spreads'!$A$2:$D$152,4)</f>
        <v>NA</v>
      </c>
      <c r="I32" s="152" t="str">
        <f t="shared" si="3"/>
        <v>NA</v>
      </c>
      <c r="J32" s="153" t="str">
        <f t="shared" si="4"/>
        <v>NA</v>
      </c>
    </row>
    <row r="33" spans="2:10" ht="15.5" hidden="1">
      <c r="B33" s="148" t="str">
        <f>'[2]Sovereign Ratings (Moody''s,S&amp;P)'!A27</f>
        <v>Cambodia</v>
      </c>
      <c r="C33" s="149" t="str">
        <f>VLOOKUP(B33,'[2]Regional lookup table'!$A$3:$B$156,2)</f>
        <v>Asia</v>
      </c>
      <c r="D33" s="150" t="str">
        <f>'[2]Sovereign Ratings (Moody''s,S&amp;P)'!C27</f>
        <v>B2</v>
      </c>
      <c r="E33" s="151">
        <f t="shared" si="0"/>
        <v>6.2094961435095908E-2</v>
      </c>
      <c r="F33" s="151">
        <f t="shared" si="1"/>
        <v>0.13598151563795058</v>
      </c>
      <c r="G33" s="152">
        <f t="shared" si="2"/>
        <v>7.6381515637950578E-2</v>
      </c>
      <c r="H33" s="152">
        <f>VLOOKUP(B33,'[2]10-year CDS Spreads'!$A$2:$D$152,4)</f>
        <v>4.3299999999999998E-2</v>
      </c>
      <c r="I33" s="152">
        <f t="shared" si="3"/>
        <v>0.11286228651547195</v>
      </c>
      <c r="J33" s="153">
        <f t="shared" si="4"/>
        <v>5.3262286515471956E-2</v>
      </c>
    </row>
    <row r="34" spans="2:10" ht="15.5" hidden="1">
      <c r="B34" s="148" t="str">
        <f>'[2]Sovereign Ratings (Moody''s,S&amp;P)'!A28</f>
        <v>Cameroon</v>
      </c>
      <c r="C34" s="149" t="str">
        <f>VLOOKUP(B34,'[2]Regional lookup table'!$A$3:$B$156,2)</f>
        <v>Africa</v>
      </c>
      <c r="D34" s="150" t="str">
        <f>'[2]Sovereign Ratings (Moody''s,S&amp;P)'!C28</f>
        <v>B2</v>
      </c>
      <c r="E34" s="151">
        <f t="shared" si="0"/>
        <v>6.2094961435095908E-2</v>
      </c>
      <c r="F34" s="151">
        <f t="shared" si="1"/>
        <v>0.13598151563795058</v>
      </c>
      <c r="G34" s="152">
        <f t="shared" si="2"/>
        <v>7.6381515637950578E-2</v>
      </c>
      <c r="H34" s="152">
        <f>VLOOKUP(B34,'[2]10-year CDS Spreads'!$A$2:$D$152,4)</f>
        <v>5.7199999999999994E-2</v>
      </c>
      <c r="I34" s="152">
        <f t="shared" si="3"/>
        <v>0.12996034154006919</v>
      </c>
      <c r="J34" s="153">
        <f t="shared" si="4"/>
        <v>7.0360341540069191E-2</v>
      </c>
    </row>
    <row r="35" spans="2:10" ht="15.5" hidden="1">
      <c r="B35" s="148" t="str">
        <f>'[2]Sovereign Ratings (Moody''s,S&amp;P)'!A29</f>
        <v>Canada</v>
      </c>
      <c r="C35" s="149" t="str">
        <f>VLOOKUP(B35,'[2]Regional lookup table'!$A$3:$B$156,2)</f>
        <v>North America</v>
      </c>
      <c r="D35" s="150" t="str">
        <f>'[2]Sovereign Ratings (Moody''s,S&amp;P)'!C29</f>
        <v>Aaa</v>
      </c>
      <c r="E35" s="151">
        <f t="shared" si="0"/>
        <v>0</v>
      </c>
      <c r="F35" s="151">
        <f t="shared" si="1"/>
        <v>5.96E-2</v>
      </c>
      <c r="G35" s="152">
        <f t="shared" si="2"/>
        <v>0</v>
      </c>
      <c r="H35" s="152" t="str">
        <f>VLOOKUP(B35,'[2]10-year CDS Spreads'!$A$2:$D$152,4)</f>
        <v>NA</v>
      </c>
      <c r="I35" s="152" t="str">
        <f t="shared" si="3"/>
        <v>NA</v>
      </c>
      <c r="J35" s="153" t="str">
        <f t="shared" si="4"/>
        <v>NA</v>
      </c>
    </row>
    <row r="36" spans="2:10" ht="15.5" hidden="1">
      <c r="B36" s="148" t="str">
        <f>'[2]Sovereign Ratings (Moody''s,S&amp;P)'!A30</f>
        <v>Cape Verde</v>
      </c>
      <c r="C36" s="149" t="str">
        <f>VLOOKUP(B36,'[2]Regional lookup table'!$A$3:$B$156,2)</f>
        <v>Africa</v>
      </c>
      <c r="D36" s="150" t="str">
        <f>'[2]Sovereign Ratings (Moody''s,S&amp;P)'!C30</f>
        <v>B2</v>
      </c>
      <c r="E36" s="151">
        <f t="shared" si="0"/>
        <v>6.2094961435095908E-2</v>
      </c>
      <c r="F36" s="151">
        <f t="shared" si="1"/>
        <v>0.13598151563795058</v>
      </c>
      <c r="G36" s="152">
        <f t="shared" si="2"/>
        <v>7.6381515637950578E-2</v>
      </c>
      <c r="H36" s="152" t="str">
        <f>VLOOKUP(B36,'[2]10-year CDS Spreads'!$A$2:$D$152,4)</f>
        <v>NA</v>
      </c>
      <c r="I36" s="152" t="str">
        <f t="shared" si="3"/>
        <v>NA</v>
      </c>
      <c r="J36" s="153" t="str">
        <f t="shared" si="4"/>
        <v>NA</v>
      </c>
    </row>
    <row r="37" spans="2:10" ht="15.5" hidden="1">
      <c r="B37" s="148" t="str">
        <f>'[2]Sovereign Ratings (Moody''s,S&amp;P)'!A31</f>
        <v>Cayman Islands</v>
      </c>
      <c r="C37" s="149" t="str">
        <f>VLOOKUP(B37,'[2]Regional lookup table'!$A$3:$B$156,2)</f>
        <v>Caribbean</v>
      </c>
      <c r="D37" s="150" t="str">
        <f>'[2]Sovereign Ratings (Moody''s,S&amp;P)'!C31</f>
        <v>Aa3</v>
      </c>
      <c r="E37" s="151">
        <f t="shared" si="0"/>
        <v>6.8202662559859444E-3</v>
      </c>
      <c r="F37" s="151">
        <f t="shared" si="1"/>
        <v>6.7989445160233919E-2</v>
      </c>
      <c r="G37" s="152">
        <f t="shared" si="2"/>
        <v>8.389445160233917E-3</v>
      </c>
      <c r="H37" s="152">
        <f>VLOOKUP(B37,'[2]10-year CDS Spreads'!$A$2:$D$152,4)</f>
        <v>7.0999999999999995E-3</v>
      </c>
      <c r="I37" s="152">
        <f t="shared" si="3"/>
        <v>6.8333538897456136E-2</v>
      </c>
      <c r="J37" s="153">
        <f t="shared" si="4"/>
        <v>8.7335388974561414E-3</v>
      </c>
    </row>
    <row r="38" spans="2:10" ht="15.5" hidden="1">
      <c r="B38" s="148" t="str">
        <f>'[2]Sovereign Ratings (Moody''s,S&amp;P)'!A32</f>
        <v>Chile</v>
      </c>
      <c r="C38" s="149" t="str">
        <f>VLOOKUP(B38,'[2]Regional lookup table'!$A$3:$B$156,2)</f>
        <v>Central and South America</v>
      </c>
      <c r="D38" s="150" t="str">
        <f>'[2]Sovereign Ratings (Moody''s,S&amp;P)'!C32</f>
        <v>A1</v>
      </c>
      <c r="E38" s="151">
        <f t="shared" si="0"/>
        <v>7.9400114621925918E-3</v>
      </c>
      <c r="F38" s="151">
        <f t="shared" si="1"/>
        <v>6.9366816753705152E-2</v>
      </c>
      <c r="G38" s="152">
        <f t="shared" si="2"/>
        <v>9.7668167537051567E-3</v>
      </c>
      <c r="H38" s="152">
        <f>VLOOKUP(B38,'[2]10-year CDS Spreads'!$A$2:$D$152,4)</f>
        <v>8.0999999999999996E-3</v>
      </c>
      <c r="I38" s="152">
        <f t="shared" si="3"/>
        <v>6.9563614798506299E-2</v>
      </c>
      <c r="J38" s="153">
        <f t="shared" si="4"/>
        <v>9.9636147985063019E-3</v>
      </c>
    </row>
    <row r="39" spans="2:10" ht="15.5" hidden="1">
      <c r="B39" s="148" t="str">
        <f>'[2]Sovereign Ratings (Moody''s,S&amp;P)'!A33</f>
        <v>China</v>
      </c>
      <c r="C39" s="149" t="str">
        <f>VLOOKUP(B39,'[2]Regional lookup table'!$A$3:$B$156,2)</f>
        <v>Asia</v>
      </c>
      <c r="D39" s="150" t="str">
        <f>'[2]Sovereign Ratings (Moody''s,S&amp;P)'!C33</f>
        <v>A1</v>
      </c>
      <c r="E39" s="151">
        <f t="shared" si="0"/>
        <v>7.9400114621925918E-3</v>
      </c>
      <c r="F39" s="151">
        <f t="shared" si="1"/>
        <v>6.9366816753705152E-2</v>
      </c>
      <c r="G39" s="152">
        <f t="shared" si="2"/>
        <v>9.7668167537051567E-3</v>
      </c>
      <c r="H39" s="152">
        <f>VLOOKUP(B39,'[2]10-year CDS Spreads'!$A$2:$D$152,4)</f>
        <v>8.4000000000000012E-3</v>
      </c>
      <c r="I39" s="152">
        <f t="shared" si="3"/>
        <v>6.9932637568821357E-2</v>
      </c>
      <c r="J39" s="153">
        <f t="shared" si="4"/>
        <v>1.0332637568821352E-2</v>
      </c>
    </row>
    <row r="40" spans="2:10" ht="15.5" hidden="1">
      <c r="B40" s="148" t="str">
        <f>'[2]Sovereign Ratings (Moody''s,S&amp;P)'!A34</f>
        <v>Colombia</v>
      </c>
      <c r="C40" s="149" t="str">
        <f>VLOOKUP(B40,'[2]Regional lookup table'!$A$3:$B$156,2)</f>
        <v>Central and South America</v>
      </c>
      <c r="D40" s="150" t="str">
        <f>'[2]Sovereign Ratings (Moody''s,S&amp;P)'!C34</f>
        <v>Baa2</v>
      </c>
      <c r="E40" s="151">
        <f t="shared" si="0"/>
        <v>2.147874895541842E-2</v>
      </c>
      <c r="F40" s="151">
        <f t="shared" si="1"/>
        <v>8.6020491474766508E-2</v>
      </c>
      <c r="G40" s="152">
        <f t="shared" si="2"/>
        <v>2.6420491474766512E-2</v>
      </c>
      <c r="H40" s="152">
        <f>VLOOKUP(B40,'[2]10-year CDS Spreads'!$A$2:$D$152,4)</f>
        <v>2.07E-2</v>
      </c>
      <c r="I40" s="152">
        <f t="shared" si="3"/>
        <v>8.506257115173832E-2</v>
      </c>
      <c r="J40" s="153">
        <f t="shared" si="4"/>
        <v>2.5462571151738327E-2</v>
      </c>
    </row>
    <row r="41" spans="2:10" ht="15.5" hidden="1">
      <c r="B41" s="148" t="str">
        <f>'[2]Sovereign Ratings (Moody''s,S&amp;P)'!A35</f>
        <v>Congo (Democratic Republic of)</v>
      </c>
      <c r="C41" s="149" t="str">
        <f>VLOOKUP(B41,'[2]Regional lookup table'!$A$3:$B$156,2)</f>
        <v>Africa</v>
      </c>
      <c r="D41" s="150" t="str">
        <f>'[2]Sovereign Ratings (Moody''s,S&amp;P)'!C35</f>
        <v>B3</v>
      </c>
      <c r="E41" s="151">
        <f t="shared" si="0"/>
        <v>7.3394208515908457E-2</v>
      </c>
      <c r="F41" s="151">
        <f t="shared" si="1"/>
        <v>0.14988044717206947</v>
      </c>
      <c r="G41" s="152">
        <f t="shared" si="2"/>
        <v>9.028044717206947E-2</v>
      </c>
      <c r="H41" s="152" t="str">
        <f>VLOOKUP(B41,'[2]10-year CDS Spreads'!$A$2:$D$152,4)</f>
        <v>NA</v>
      </c>
      <c r="I41" s="152" t="str">
        <f t="shared" si="3"/>
        <v>NA</v>
      </c>
      <c r="J41" s="153" t="str">
        <f t="shared" si="4"/>
        <v>NA</v>
      </c>
    </row>
    <row r="42" spans="2:10" ht="15.5" hidden="1">
      <c r="B42" s="148" t="str">
        <f>'[2]Sovereign Ratings (Moody''s,S&amp;P)'!A36</f>
        <v>Congo (Republic of)</v>
      </c>
      <c r="C42" s="149" t="str">
        <f>VLOOKUP(B42,'[2]Regional lookup table'!$A$3:$B$156,2)</f>
        <v>Africa</v>
      </c>
      <c r="D42" s="150" t="str">
        <f>'[2]Sovereign Ratings (Moody''s,S&amp;P)'!C36</f>
        <v>Caa2</v>
      </c>
      <c r="E42" s="151">
        <f t="shared" si="0"/>
        <v>0.10159142870856677</v>
      </c>
      <c r="F42" s="151">
        <f t="shared" si="1"/>
        <v>0.18456516820766344</v>
      </c>
      <c r="G42" s="152">
        <f t="shared" si="2"/>
        <v>0.12496516820766344</v>
      </c>
      <c r="H42" s="152" t="str">
        <f>VLOOKUP(B42,'[2]10-year CDS Spreads'!$A$2:$D$152,4)</f>
        <v>NA</v>
      </c>
      <c r="I42" s="152" t="str">
        <f t="shared" si="3"/>
        <v>NA</v>
      </c>
      <c r="J42" s="153" t="str">
        <f t="shared" si="4"/>
        <v>NA</v>
      </c>
    </row>
    <row r="43" spans="2:10" ht="15.5" hidden="1">
      <c r="B43" s="148" t="str">
        <f>'[2]Sovereign Ratings (Moody''s,S&amp;P)'!A37</f>
        <v>Cook Islands</v>
      </c>
      <c r="C43" s="149" t="str">
        <f>VLOOKUP(B43,'[2]Regional lookup table'!$A$3:$B$156,2)</f>
        <v>Australia &amp; New Zealand</v>
      </c>
      <c r="D43" s="150" t="str">
        <f>'[2]Sovereign Ratings (Moody''s,S&amp;P)'!C37</f>
        <v>B1</v>
      </c>
      <c r="E43" s="151">
        <f t="shared" si="0"/>
        <v>5.0795714354283386E-2</v>
      </c>
      <c r="F43" s="151">
        <f t="shared" si="1"/>
        <v>0.12208258410383171</v>
      </c>
      <c r="G43" s="152">
        <f t="shared" si="2"/>
        <v>6.2482584103831722E-2</v>
      </c>
      <c r="H43" s="152" t="str">
        <f>VLOOKUP(B43,'[2]10-year CDS Spreads'!$A$2:$D$152,4)</f>
        <v>NA</v>
      </c>
      <c r="I43" s="152" t="str">
        <f t="shared" si="3"/>
        <v>NA</v>
      </c>
      <c r="J43" s="153" t="str">
        <f t="shared" si="4"/>
        <v>NA</v>
      </c>
    </row>
    <row r="44" spans="2:10" ht="15.5" hidden="1">
      <c r="B44" s="148" t="str">
        <f>'[2]Sovereign Ratings (Moody''s,S&amp;P)'!A38</f>
        <v>Costa Rica</v>
      </c>
      <c r="C44" s="149" t="str">
        <f>VLOOKUP(B44,'[2]Regional lookup table'!$A$3:$B$156,2)</f>
        <v>Central and South America</v>
      </c>
      <c r="D44" s="150" t="str">
        <f>'[2]Sovereign Ratings (Moody''s,S&amp;P)'!C38</f>
        <v>B1</v>
      </c>
      <c r="E44" s="151">
        <f t="shared" si="0"/>
        <v>5.0795714354283386E-2</v>
      </c>
      <c r="F44" s="151">
        <f t="shared" si="1"/>
        <v>0.12208258410383171</v>
      </c>
      <c r="G44" s="152">
        <f t="shared" si="2"/>
        <v>6.2482584103831722E-2</v>
      </c>
      <c r="H44" s="152">
        <f>VLOOKUP(B44,'[2]10-year CDS Spreads'!$A$2:$D$152,4)</f>
        <v>4.1299999999999996E-2</v>
      </c>
      <c r="I44" s="152">
        <f t="shared" si="3"/>
        <v>0.11040213471337162</v>
      </c>
      <c r="J44" s="153">
        <f t="shared" si="4"/>
        <v>5.0802134713371631E-2</v>
      </c>
    </row>
    <row r="45" spans="2:10" ht="15.5" hidden="1">
      <c r="B45" s="148" t="str">
        <f>'[2]Sovereign Ratings (Moody''s,S&amp;P)'!A39</f>
        <v>Côte d'Ivoire</v>
      </c>
      <c r="C45" s="149" t="str">
        <f>VLOOKUP(B45,'[2]Regional lookup table'!$A$3:$B$156,2)</f>
        <v>Africa</v>
      </c>
      <c r="D45" s="150" t="str">
        <f>'[2]Sovereign Ratings (Moody''s,S&amp;P)'!C39</f>
        <v>Ba3</v>
      </c>
      <c r="E45" s="151">
        <f t="shared" si="0"/>
        <v>4.0616212479677498E-2</v>
      </c>
      <c r="F45" s="151">
        <f t="shared" si="1"/>
        <v>0.10956102416318408</v>
      </c>
      <c r="G45" s="152">
        <f t="shared" si="2"/>
        <v>4.9961024163184084E-2</v>
      </c>
      <c r="H45" s="152" t="str">
        <f>VLOOKUP(B45,'[2]10-year CDS Spreads'!$A$2:$D$152,4)</f>
        <v>NA</v>
      </c>
      <c r="I45" s="152" t="str">
        <f t="shared" si="3"/>
        <v>NA</v>
      </c>
      <c r="J45" s="153" t="str">
        <f t="shared" si="4"/>
        <v>NA</v>
      </c>
    </row>
    <row r="46" spans="2:10" ht="15.5" hidden="1">
      <c r="B46" s="148" t="str">
        <f>'[2]Sovereign Ratings (Moody''s,S&amp;P)'!A40</f>
        <v>Croatia</v>
      </c>
      <c r="C46" s="149" t="str">
        <f>VLOOKUP(B46,'[2]Regional lookup table'!$A$3:$B$156,2)</f>
        <v>Eastern Europe &amp; Russia</v>
      </c>
      <c r="D46" s="150" t="str">
        <f>'[2]Sovereign Ratings (Moody''s,S&amp;P)'!C40</f>
        <v>Ba2</v>
      </c>
      <c r="E46" s="151">
        <f t="shared" si="0"/>
        <v>3.3897741242437607E-2</v>
      </c>
      <c r="F46" s="151">
        <f t="shared" si="1"/>
        <v>0.10129679460235663</v>
      </c>
      <c r="G46" s="152">
        <f t="shared" si="2"/>
        <v>4.1696794602356632E-2</v>
      </c>
      <c r="H46" s="152">
        <f>VLOOKUP(B46,'[2]10-year CDS Spreads'!$A$2:$D$152,4)</f>
        <v>1.21E-2</v>
      </c>
      <c r="I46" s="152">
        <f t="shared" si="3"/>
        <v>7.4483918402706947E-2</v>
      </c>
      <c r="J46" s="153">
        <f t="shared" si="4"/>
        <v>1.4883918402706944E-2</v>
      </c>
    </row>
    <row r="47" spans="2:10" ht="15.5" hidden="1">
      <c r="B47" s="148" t="str">
        <f>'[2]Sovereign Ratings (Moody''s,S&amp;P)'!A41</f>
        <v>Cuba</v>
      </c>
      <c r="C47" s="149" t="str">
        <f>VLOOKUP(B47,'[2]Regional lookup table'!$A$3:$B$156,2)</f>
        <v>Caribbean</v>
      </c>
      <c r="D47" s="150" t="str">
        <f>'[2]Sovereign Ratings (Moody''s,S&amp;P)'!C41</f>
        <v>Caa2</v>
      </c>
      <c r="E47" s="151">
        <f t="shared" si="0"/>
        <v>0.10159142870856677</v>
      </c>
      <c r="F47" s="151">
        <f t="shared" si="1"/>
        <v>0.18456516820766344</v>
      </c>
      <c r="G47" s="152">
        <f t="shared" si="2"/>
        <v>0.12496516820766344</v>
      </c>
      <c r="H47" s="152" t="str">
        <f>VLOOKUP(B47,'[2]10-year CDS Spreads'!$A$2:$D$152,4)</f>
        <v>NA</v>
      </c>
      <c r="I47" s="152" t="str">
        <f t="shared" si="3"/>
        <v>NA</v>
      </c>
      <c r="J47" s="153" t="str">
        <f t="shared" si="4"/>
        <v>NA</v>
      </c>
    </row>
    <row r="48" spans="2:10" ht="15.5" hidden="1">
      <c r="B48" s="148" t="str">
        <f>'[2]Sovereign Ratings (Moody''s,S&amp;P)'!A42</f>
        <v>Curacao</v>
      </c>
      <c r="C48" s="149" t="str">
        <f>VLOOKUP(B48,'[2]Regional lookup table'!$A$3:$B$156,2)</f>
        <v>Caribbean</v>
      </c>
      <c r="D48" s="150" t="str">
        <f>'[2]Sovereign Ratings (Moody''s,S&amp;P)'!C42</f>
        <v>A3</v>
      </c>
      <c r="E48" s="151">
        <f t="shared" si="0"/>
        <v>1.3538737493225832E-2</v>
      </c>
      <c r="F48" s="151">
        <f t="shared" si="1"/>
        <v>7.6253674721061357E-2</v>
      </c>
      <c r="G48" s="152">
        <f t="shared" si="2"/>
        <v>1.665367472106136E-2</v>
      </c>
      <c r="H48" s="152" t="str">
        <f>VLOOKUP(B48,'[2]10-year CDS Spreads'!$A$2:$D$152,4)</f>
        <v>NA</v>
      </c>
      <c r="I48" s="152" t="str">
        <f t="shared" si="3"/>
        <v>NA</v>
      </c>
      <c r="J48" s="153" t="str">
        <f t="shared" si="4"/>
        <v>NA</v>
      </c>
    </row>
    <row r="49" spans="2:10" ht="15.5" hidden="1">
      <c r="B49" s="148" t="str">
        <f>'[2]Sovereign Ratings (Moody''s,S&amp;P)'!A43</f>
        <v>Cyprus</v>
      </c>
      <c r="C49" s="149" t="str">
        <f>VLOOKUP(B49,'[2]Regional lookup table'!$A$3:$B$156,2)</f>
        <v>Western Europe</v>
      </c>
      <c r="D49" s="150" t="str">
        <f>'[2]Sovereign Ratings (Moody''s,S&amp;P)'!C43</f>
        <v>Ba2</v>
      </c>
      <c r="E49" s="151">
        <f t="shared" si="0"/>
        <v>3.3897741242437607E-2</v>
      </c>
      <c r="F49" s="151">
        <f t="shared" si="1"/>
        <v>0.10129679460235663</v>
      </c>
      <c r="G49" s="152">
        <f t="shared" si="2"/>
        <v>4.1696794602356632E-2</v>
      </c>
      <c r="H49" s="152">
        <f>VLOOKUP(B49,'[2]10-year CDS Spreads'!$A$2:$D$152,4)</f>
        <v>1.2699999999999999E-2</v>
      </c>
      <c r="I49" s="152">
        <f t="shared" si="3"/>
        <v>7.5221963943337036E-2</v>
      </c>
      <c r="J49" s="153">
        <f t="shared" si="4"/>
        <v>1.5621963943337041E-2</v>
      </c>
    </row>
    <row r="50" spans="2:10" ht="15.5" hidden="1">
      <c r="B50" s="148" t="str">
        <f>'[2]Sovereign Ratings (Moody''s,S&amp;P)'!A44</f>
        <v>Czech Republic</v>
      </c>
      <c r="C50" s="149" t="str">
        <f>VLOOKUP(B50,'[2]Regional lookup table'!$A$3:$B$156,2)</f>
        <v>Eastern Europe &amp; Russia</v>
      </c>
      <c r="D50" s="150" t="str">
        <f>'[2]Sovereign Ratings (Moody''s,S&amp;P)'!C44</f>
        <v>A1</v>
      </c>
      <c r="E50" s="151">
        <f t="shared" si="0"/>
        <v>7.9400114621925918E-3</v>
      </c>
      <c r="F50" s="151">
        <f t="shared" si="1"/>
        <v>6.9366816753705152E-2</v>
      </c>
      <c r="G50" s="152">
        <f t="shared" si="2"/>
        <v>9.7668167537051567E-3</v>
      </c>
      <c r="H50" s="152">
        <f>VLOOKUP(B50,'[2]10-year CDS Spreads'!$A$2:$D$152,4)</f>
        <v>4.4999999999999997E-3</v>
      </c>
      <c r="I50" s="152">
        <f t="shared" si="3"/>
        <v>6.5135341554725723E-2</v>
      </c>
      <c r="J50" s="153">
        <f t="shared" si="4"/>
        <v>5.5353415547257229E-3</v>
      </c>
    </row>
    <row r="51" spans="2:10" ht="15.5" hidden="1">
      <c r="B51" s="148" t="str">
        <f>'[2]Sovereign Ratings (Moody''s,S&amp;P)'!A45</f>
        <v>Denmark</v>
      </c>
      <c r="C51" s="149" t="str">
        <f>VLOOKUP(B51,'[2]Regional lookup table'!$A$3:$B$156,2)</f>
        <v>Western Europe</v>
      </c>
      <c r="D51" s="150" t="str">
        <f>'[2]Sovereign Ratings (Moody''s,S&amp;P)'!C45</f>
        <v>Aaa</v>
      </c>
      <c r="E51" s="151">
        <f t="shared" si="0"/>
        <v>0</v>
      </c>
      <c r="F51" s="151">
        <f t="shared" si="1"/>
        <v>5.96E-2</v>
      </c>
      <c r="G51" s="152">
        <f t="shared" si="2"/>
        <v>0</v>
      </c>
      <c r="H51" s="152">
        <f>VLOOKUP(B51,'[2]10-year CDS Spreads'!$A$2:$D$152,4)</f>
        <v>0</v>
      </c>
      <c r="I51" s="152">
        <f t="shared" si="3"/>
        <v>5.96E-2</v>
      </c>
      <c r="J51" s="153">
        <f t="shared" si="4"/>
        <v>0</v>
      </c>
    </row>
    <row r="52" spans="2:10" ht="15.5" hidden="1">
      <c r="B52" s="148" t="str">
        <f>'[2]Sovereign Ratings (Moody''s,S&amp;P)'!A46</f>
        <v>Dominican Republic</v>
      </c>
      <c r="C52" s="149" t="str">
        <f>VLOOKUP(B52,'[2]Regional lookup table'!$A$3:$B$156,2)</f>
        <v>Caribbean</v>
      </c>
      <c r="D52" s="150" t="str">
        <f>'[2]Sovereign Ratings (Moody''s,S&amp;P)'!C46</f>
        <v>Ba3</v>
      </c>
      <c r="E52" s="151">
        <f t="shared" si="0"/>
        <v>4.0616212479677498E-2</v>
      </c>
      <c r="F52" s="151">
        <f t="shared" si="1"/>
        <v>0.10956102416318408</v>
      </c>
      <c r="G52" s="152">
        <f t="shared" si="2"/>
        <v>4.9961024163184084E-2</v>
      </c>
      <c r="H52" s="152" t="str">
        <f>VLOOKUP(B52,'[2]10-year CDS Spreads'!$A$2:$D$152,4)</f>
        <v>NA</v>
      </c>
      <c r="I52" s="152" t="str">
        <f t="shared" si="3"/>
        <v>NA</v>
      </c>
      <c r="J52" s="153" t="str">
        <f t="shared" si="4"/>
        <v>NA</v>
      </c>
    </row>
    <row r="53" spans="2:10" ht="15.5" hidden="1">
      <c r="B53" s="148" t="str">
        <f>'[2]Sovereign Ratings (Moody''s,S&amp;P)'!A47</f>
        <v>Ecuador</v>
      </c>
      <c r="C53" s="149" t="str">
        <f>VLOOKUP(B53,'[2]Regional lookup table'!$A$3:$B$156,2)</f>
        <v>Central and South America</v>
      </c>
      <c r="D53" s="150" t="str">
        <f>'[2]Sovereign Ratings (Moody''s,S&amp;P)'!C47</f>
        <v>B3</v>
      </c>
      <c r="E53" s="151">
        <f t="shared" si="0"/>
        <v>7.3394208515908457E-2</v>
      </c>
      <c r="F53" s="151">
        <f t="shared" si="1"/>
        <v>0.14988044717206947</v>
      </c>
      <c r="G53" s="152">
        <f t="shared" si="2"/>
        <v>9.028044717206947E-2</v>
      </c>
      <c r="H53" s="152" t="str">
        <f>VLOOKUP(B53,'[2]10-year CDS Spreads'!$A$2:$D$152,4)</f>
        <v>NA</v>
      </c>
      <c r="I53" s="152" t="str">
        <f t="shared" si="3"/>
        <v>NA</v>
      </c>
      <c r="J53" s="153" t="str">
        <f t="shared" si="4"/>
        <v>NA</v>
      </c>
    </row>
    <row r="54" spans="2:10" ht="15.5" hidden="1">
      <c r="B54" s="148" t="str">
        <f>'[2]Sovereign Ratings (Moody''s,S&amp;P)'!A48</f>
        <v>Egypt</v>
      </c>
      <c r="C54" s="149" t="str">
        <f>VLOOKUP(B54,'[2]Regional lookup table'!$A$3:$B$156,2)</f>
        <v>Africa</v>
      </c>
      <c r="D54" s="150" t="str">
        <f>'[2]Sovereign Ratings (Moody''s,S&amp;P)'!C48</f>
        <v>B3</v>
      </c>
      <c r="E54" s="151">
        <f t="shared" si="0"/>
        <v>7.3394208515908457E-2</v>
      </c>
      <c r="F54" s="151">
        <f t="shared" si="1"/>
        <v>0.14988044717206947</v>
      </c>
      <c r="G54" s="152">
        <f t="shared" si="2"/>
        <v>9.028044717206947E-2</v>
      </c>
      <c r="H54" s="152">
        <f>VLOOKUP(B54,'[2]10-year CDS Spreads'!$A$2:$D$152,4)</f>
        <v>4.2799999999999998E-2</v>
      </c>
      <c r="I54" s="152">
        <f t="shared" si="3"/>
        <v>0.11224724856494687</v>
      </c>
      <c r="J54" s="153">
        <f t="shared" si="4"/>
        <v>5.2647248564946875E-2</v>
      </c>
    </row>
    <row r="55" spans="2:10" ht="15.5" hidden="1">
      <c r="B55" s="148" t="str">
        <f>'[2]Sovereign Ratings (Moody''s,S&amp;P)'!A49</f>
        <v>El Salvador</v>
      </c>
      <c r="C55" s="149" t="str">
        <f>VLOOKUP(B55,'[2]Regional lookup table'!$A$3:$B$156,2)</f>
        <v>Central and South America</v>
      </c>
      <c r="D55" s="150" t="str">
        <f>'[2]Sovereign Ratings (Moody''s,S&amp;P)'!C49</f>
        <v>Caa1</v>
      </c>
      <c r="E55" s="151">
        <f t="shared" si="0"/>
        <v>8.4591660577974931E-2</v>
      </c>
      <c r="F55" s="151">
        <f t="shared" si="1"/>
        <v>0.16365416310678188</v>
      </c>
      <c r="G55" s="152">
        <f t="shared" si="2"/>
        <v>0.10405416310678188</v>
      </c>
      <c r="H55" s="152">
        <f>VLOOKUP(B55,'[2]10-year CDS Spreads'!$A$2:$D$152,4)</f>
        <v>5.0799999999999998E-2</v>
      </c>
      <c r="I55" s="152">
        <f t="shared" si="3"/>
        <v>0.12208785577334816</v>
      </c>
      <c r="J55" s="153">
        <f t="shared" si="4"/>
        <v>6.2487855773348165E-2</v>
      </c>
    </row>
    <row r="56" spans="2:10" ht="15.5" hidden="1">
      <c r="B56" s="148" t="str">
        <f>'[2]Sovereign Ratings (Moody''s,S&amp;P)'!A50</f>
        <v>Estonia</v>
      </c>
      <c r="C56" s="149" t="str">
        <f>VLOOKUP(B56,'[2]Regional lookup table'!$A$3:$B$156,2)</f>
        <v>Eastern Europe &amp; Russia</v>
      </c>
      <c r="D56" s="150" t="str">
        <f>'[2]Sovereign Ratings (Moody''s,S&amp;P)'!C50</f>
        <v>A1</v>
      </c>
      <c r="E56" s="151">
        <f t="shared" si="0"/>
        <v>7.9400114621925918E-3</v>
      </c>
      <c r="F56" s="151">
        <f t="shared" si="1"/>
        <v>6.9366816753705152E-2</v>
      </c>
      <c r="G56" s="152">
        <f t="shared" si="2"/>
        <v>9.7668167537051567E-3</v>
      </c>
      <c r="H56" s="152">
        <f>VLOOKUP(B56,'[2]10-year CDS Spreads'!$A$2:$D$152,4)</f>
        <v>5.6999999999999993E-3</v>
      </c>
      <c r="I56" s="152">
        <f t="shared" si="3"/>
        <v>6.6611432635985915E-2</v>
      </c>
      <c r="J56" s="153">
        <f t="shared" si="4"/>
        <v>7.0114326359859156E-3</v>
      </c>
    </row>
    <row r="57" spans="2:10" ht="15.5" hidden="1">
      <c r="B57" s="148" t="str">
        <f>'[2]Sovereign Ratings (Moody''s,S&amp;P)'!A51</f>
        <v>Ethiopia</v>
      </c>
      <c r="C57" s="149" t="str">
        <f>VLOOKUP(B57,'[2]Regional lookup table'!$A$3:$B$156,2)</f>
        <v>Africa</v>
      </c>
      <c r="D57" s="150" t="str">
        <f>'[2]Sovereign Ratings (Moody''s,S&amp;P)'!C51</f>
        <v>B1</v>
      </c>
      <c r="E57" s="151">
        <f t="shared" si="0"/>
        <v>5.0795714354283386E-2</v>
      </c>
      <c r="F57" s="151">
        <f t="shared" si="1"/>
        <v>0.12208258410383171</v>
      </c>
      <c r="G57" s="152">
        <f t="shared" si="2"/>
        <v>6.2482584103831722E-2</v>
      </c>
      <c r="H57" s="152" t="str">
        <f>VLOOKUP(B57,'[2]10-year CDS Spreads'!$A$2:$D$152,4)</f>
        <v>NA</v>
      </c>
      <c r="I57" s="152" t="str">
        <f t="shared" si="3"/>
        <v>NA</v>
      </c>
      <c r="J57" s="153" t="str">
        <f t="shared" si="4"/>
        <v>NA</v>
      </c>
    </row>
    <row r="58" spans="2:10" ht="15.5" hidden="1">
      <c r="B58" s="148" t="str">
        <f>'[2]Sovereign Ratings (Moody''s,S&amp;P)'!A52</f>
        <v>Fiji</v>
      </c>
      <c r="C58" s="149" t="str">
        <f>VLOOKUP(B58,'[2]Regional lookup table'!$A$3:$B$156,2)</f>
        <v>Asia</v>
      </c>
      <c r="D58" s="150" t="str">
        <f>'[2]Sovereign Ratings (Moody''s,S&amp;P)'!C52</f>
        <v>Ba3</v>
      </c>
      <c r="E58" s="151">
        <f t="shared" si="0"/>
        <v>4.0616212479677498E-2</v>
      </c>
      <c r="F58" s="151">
        <f t="shared" si="1"/>
        <v>0.10956102416318408</v>
      </c>
      <c r="G58" s="152">
        <f t="shared" si="2"/>
        <v>4.9961024163184084E-2</v>
      </c>
      <c r="H58" s="152" t="str">
        <f>VLOOKUP(B58,'[2]10-year CDS Spreads'!$A$2:$D$152,4)</f>
        <v>NA</v>
      </c>
      <c r="I58" s="152" t="str">
        <f t="shared" si="3"/>
        <v>NA</v>
      </c>
      <c r="J58" s="153" t="str">
        <f t="shared" si="4"/>
        <v>NA</v>
      </c>
    </row>
    <row r="59" spans="2:10" ht="15.5" hidden="1">
      <c r="B59" s="148" t="str">
        <f>'[2]Sovereign Ratings (Moody''s,S&amp;P)'!A53</f>
        <v>Finland</v>
      </c>
      <c r="C59" s="149" t="str">
        <f>VLOOKUP(B59,'[2]Regional lookup table'!$A$3:$B$156,2)</f>
        <v>Western Europe</v>
      </c>
      <c r="D59" s="150" t="str">
        <f>'[2]Sovereign Ratings (Moody''s,S&amp;P)'!C53</f>
        <v>Aa1</v>
      </c>
      <c r="E59" s="151">
        <f t="shared" si="0"/>
        <v>4.4789808248265903E-3</v>
      </c>
      <c r="F59" s="151">
        <f t="shared" si="1"/>
        <v>6.5109486373884959E-2</v>
      </c>
      <c r="G59" s="152">
        <f t="shared" si="2"/>
        <v>5.5094863738849604E-3</v>
      </c>
      <c r="H59" s="152">
        <f>VLOOKUP(B59,'[2]10-year CDS Spreads'!$A$2:$D$152,4)</f>
        <v>0</v>
      </c>
      <c r="I59" s="152">
        <f t="shared" si="3"/>
        <v>5.96E-2</v>
      </c>
      <c r="J59" s="153">
        <f t="shared" si="4"/>
        <v>0</v>
      </c>
    </row>
    <row r="60" spans="2:10" ht="15.5" hidden="1">
      <c r="B60" s="148" t="str">
        <f>'[2]Sovereign Ratings (Moody''s,S&amp;P)'!A54</f>
        <v>France</v>
      </c>
      <c r="C60" s="149" t="str">
        <f>VLOOKUP(B60,'[2]Regional lookup table'!$A$3:$B$156,2)</f>
        <v>Western Europe</v>
      </c>
      <c r="D60" s="150" t="str">
        <f>'[2]Sovereign Ratings (Moody''s,S&amp;P)'!C54</f>
        <v>Aa2</v>
      </c>
      <c r="E60" s="151">
        <f t="shared" si="0"/>
        <v>5.5987260310332385E-3</v>
      </c>
      <c r="F60" s="151">
        <f t="shared" si="1"/>
        <v>6.6486857967356205E-2</v>
      </c>
      <c r="G60" s="152">
        <f t="shared" si="2"/>
        <v>6.8868579673562009E-3</v>
      </c>
      <c r="H60" s="152">
        <f>VLOOKUP(B60,'[2]10-year CDS Spreads'!$A$2:$D$152,4)</f>
        <v>3.1000000000000003E-3</v>
      </c>
      <c r="I60" s="152">
        <f t="shared" si="3"/>
        <v>6.3413235293255502E-2</v>
      </c>
      <c r="J60" s="153">
        <f t="shared" si="4"/>
        <v>3.8132352932554988E-3</v>
      </c>
    </row>
    <row r="61" spans="2:10" ht="15.5" hidden="1">
      <c r="B61" s="148" t="str">
        <f>'[2]Sovereign Ratings (Moody''s,S&amp;P)'!A55</f>
        <v>Gabon</v>
      </c>
      <c r="C61" s="149" t="str">
        <f>VLOOKUP(B61,'[2]Regional lookup table'!$A$3:$B$156,2)</f>
        <v>Africa</v>
      </c>
      <c r="D61" s="150" t="str">
        <f>'[2]Sovereign Ratings (Moody''s,S&amp;P)'!C55</f>
        <v>Caa1</v>
      </c>
      <c r="E61" s="151">
        <f t="shared" si="0"/>
        <v>8.4591660577974931E-2</v>
      </c>
      <c r="F61" s="151">
        <f t="shared" si="1"/>
        <v>0.16365416310678188</v>
      </c>
      <c r="G61" s="152">
        <f t="shared" si="2"/>
        <v>0.10405416310678188</v>
      </c>
      <c r="H61" s="152" t="str">
        <f>VLOOKUP(B61,'[2]10-year CDS Spreads'!$A$2:$D$152,4)</f>
        <v>NA</v>
      </c>
      <c r="I61" s="152" t="str">
        <f t="shared" si="3"/>
        <v>NA</v>
      </c>
      <c r="J61" s="153" t="str">
        <f t="shared" si="4"/>
        <v>NA</v>
      </c>
    </row>
    <row r="62" spans="2:10" ht="15.5" hidden="1">
      <c r="B62" s="148" t="str">
        <f>'[2]Sovereign Ratings (Moody''s,S&amp;P)'!A56</f>
        <v>Georgia</v>
      </c>
      <c r="C62" s="149" t="str">
        <f>VLOOKUP(B62,'[2]Regional lookup table'!$A$3:$B$156,2)</f>
        <v>Eastern Europe &amp; Russia</v>
      </c>
      <c r="D62" s="150" t="str">
        <f>'[2]Sovereign Ratings (Moody''s,S&amp;P)'!C56</f>
        <v>Ba2</v>
      </c>
      <c r="E62" s="151">
        <f t="shared" si="0"/>
        <v>3.3897741242437607E-2</v>
      </c>
      <c r="F62" s="151">
        <f t="shared" si="1"/>
        <v>0.10129679460235663</v>
      </c>
      <c r="G62" s="152">
        <f t="shared" si="2"/>
        <v>4.1696794602356632E-2</v>
      </c>
      <c r="H62" s="152" t="str">
        <f>VLOOKUP(B62,'[2]10-year CDS Spreads'!$A$2:$D$152,4)</f>
        <v>NA</v>
      </c>
      <c r="I62" s="152" t="str">
        <f t="shared" si="3"/>
        <v>NA</v>
      </c>
      <c r="J62" s="153" t="str">
        <f t="shared" si="4"/>
        <v>NA</v>
      </c>
    </row>
    <row r="63" spans="2:10" ht="15.5" hidden="1">
      <c r="B63" s="148" t="str">
        <f>'[2]Sovereign Ratings (Moody''s,S&amp;P)'!A57</f>
        <v>Germany</v>
      </c>
      <c r="C63" s="149" t="str">
        <f>VLOOKUP(B63,'[2]Regional lookup table'!$A$3:$B$156,2)</f>
        <v>Western Europe</v>
      </c>
      <c r="D63" s="150" t="str">
        <f>'[2]Sovereign Ratings (Moody''s,S&amp;P)'!C57</f>
        <v>Aaa</v>
      </c>
      <c r="E63" s="151">
        <f t="shared" si="0"/>
        <v>0</v>
      </c>
      <c r="F63" s="151">
        <f t="shared" si="1"/>
        <v>5.96E-2</v>
      </c>
      <c r="G63" s="152">
        <f t="shared" si="2"/>
        <v>0</v>
      </c>
      <c r="H63" s="152">
        <f>VLOOKUP(B63,'[2]10-year CDS Spreads'!$A$2:$D$152,4)</f>
        <v>0</v>
      </c>
      <c r="I63" s="152">
        <f t="shared" si="3"/>
        <v>5.96E-2</v>
      </c>
      <c r="J63" s="153">
        <f t="shared" si="4"/>
        <v>0</v>
      </c>
    </row>
    <row r="64" spans="2:10" ht="15.5" hidden="1">
      <c r="B64" s="148" t="str">
        <f>'[2]Sovereign Ratings (Moody''s,S&amp;P)'!A58</f>
        <v>Ghana</v>
      </c>
      <c r="C64" s="149" t="str">
        <f>VLOOKUP(B64,'[2]Regional lookup table'!$A$3:$B$156,2)</f>
        <v>Africa</v>
      </c>
      <c r="D64" s="150" t="str">
        <f>'[2]Sovereign Ratings (Moody''s,S&amp;P)'!C58</f>
        <v>B3</v>
      </c>
      <c r="E64" s="151">
        <f t="shared" si="0"/>
        <v>7.3394208515908457E-2</v>
      </c>
      <c r="F64" s="151">
        <f t="shared" si="1"/>
        <v>0.14988044717206947</v>
      </c>
      <c r="G64" s="152">
        <f t="shared" si="2"/>
        <v>9.028044717206947E-2</v>
      </c>
      <c r="H64" s="152" t="str">
        <f>VLOOKUP(B64,'[2]10-year CDS Spreads'!$A$2:$D$152,4)</f>
        <v>NA</v>
      </c>
      <c r="I64" s="152" t="str">
        <f t="shared" si="3"/>
        <v>NA</v>
      </c>
      <c r="J64" s="153" t="str">
        <f t="shared" si="4"/>
        <v>NA</v>
      </c>
    </row>
    <row r="65" spans="2:10" ht="15.5" hidden="1">
      <c r="B65" s="148" t="str">
        <f>'[2]Sovereign Ratings (Moody''s,S&amp;P)'!A59</f>
        <v>Greece</v>
      </c>
      <c r="C65" s="149" t="str">
        <f>VLOOKUP(B65,'[2]Regional lookup table'!$A$3:$B$156,2)</f>
        <v>Western Europe</v>
      </c>
      <c r="D65" s="150" t="str">
        <f>'[2]Sovereign Ratings (Moody''s,S&amp;P)'!C59</f>
        <v>B3</v>
      </c>
      <c r="E65" s="151">
        <f t="shared" si="0"/>
        <v>7.3394208515908457E-2</v>
      </c>
      <c r="F65" s="151">
        <f t="shared" si="1"/>
        <v>0.14988044717206947</v>
      </c>
      <c r="G65" s="152">
        <f t="shared" si="2"/>
        <v>9.028044717206947E-2</v>
      </c>
      <c r="H65" s="152">
        <f>VLOOKUP(B65,'[2]10-year CDS Spreads'!$A$2:$D$152,4)</f>
        <v>4.7999999999999994E-2</v>
      </c>
      <c r="I65" s="152">
        <f t="shared" si="3"/>
        <v>0.11864364325040772</v>
      </c>
      <c r="J65" s="153">
        <f t="shared" si="4"/>
        <v>5.9043643250407708E-2</v>
      </c>
    </row>
    <row r="66" spans="2:10" ht="15.5" hidden="1">
      <c r="B66" s="148" t="str">
        <f>'[2]Sovereign Ratings (Moody''s,S&amp;P)'!A60</f>
        <v>Guatemala</v>
      </c>
      <c r="C66" s="149" t="str">
        <f>VLOOKUP(B66,'[2]Regional lookup table'!$A$3:$B$156,2)</f>
        <v>Central and South America</v>
      </c>
      <c r="D66" s="150" t="str">
        <f>'[2]Sovereign Ratings (Moody''s,S&amp;P)'!C60</f>
        <v>Ba1</v>
      </c>
      <c r="E66" s="151">
        <f t="shared" si="0"/>
        <v>2.8197220192658311E-2</v>
      </c>
      <c r="F66" s="151">
        <f t="shared" si="1"/>
        <v>9.428472103559396E-2</v>
      </c>
      <c r="G66" s="152">
        <f t="shared" si="2"/>
        <v>3.468472103559396E-2</v>
      </c>
      <c r="H66" s="152">
        <f>VLOOKUP(B66,'[2]10-year CDS Spreads'!$A$2:$D$152,4)</f>
        <v>2.2499999999999999E-2</v>
      </c>
      <c r="I66" s="152">
        <f t="shared" si="3"/>
        <v>8.7276707773628615E-2</v>
      </c>
      <c r="J66" s="153">
        <f t="shared" si="4"/>
        <v>2.7676707773628614E-2</v>
      </c>
    </row>
    <row r="67" spans="2:10" ht="15.5" hidden="1">
      <c r="B67" s="148" t="str">
        <f>'[2]Sovereign Ratings (Moody''s,S&amp;P)'!A61</f>
        <v>Guernsey (States of)</v>
      </c>
      <c r="C67" s="149" t="str">
        <f>VLOOKUP(B67,'[2]Regional lookup table'!$A$3:$B$156,2)</f>
        <v>Western Europe</v>
      </c>
      <c r="D67" s="150" t="str">
        <f>'[2]Sovereign Ratings (Moody''s,S&amp;P)'!C61</f>
        <v>Aa3</v>
      </c>
      <c r="E67" s="151">
        <f t="shared" si="0"/>
        <v>6.8202662559859444E-3</v>
      </c>
      <c r="F67" s="151">
        <f t="shared" si="1"/>
        <v>6.7989445160233919E-2</v>
      </c>
      <c r="G67" s="152">
        <f t="shared" si="2"/>
        <v>8.389445160233917E-3</v>
      </c>
      <c r="H67" s="152" t="str">
        <f>VLOOKUP(B67,'[2]10-year CDS Spreads'!$A$2:$D$152,4)</f>
        <v>NA</v>
      </c>
      <c r="I67" s="152" t="str">
        <f t="shared" si="3"/>
        <v>NA</v>
      </c>
      <c r="J67" s="153" t="str">
        <f t="shared" si="4"/>
        <v>NA</v>
      </c>
    </row>
    <row r="68" spans="2:10" ht="15.5" hidden="1">
      <c r="B68" s="148" t="str">
        <f>'[2]Sovereign Ratings (Moody''s,S&amp;P)'!A62</f>
        <v>Honduras</v>
      </c>
      <c r="C68" s="149" t="str">
        <f>VLOOKUP(B68,'[2]Regional lookup table'!$A$3:$B$156,2)</f>
        <v>Central and South America</v>
      </c>
      <c r="D68" s="150" t="str">
        <f>'[2]Sovereign Ratings (Moody''s,S&amp;P)'!C62</f>
        <v>B1</v>
      </c>
      <c r="E68" s="151">
        <f t="shared" si="0"/>
        <v>5.0795714354283386E-2</v>
      </c>
      <c r="F68" s="151">
        <f t="shared" si="1"/>
        <v>0.12208258410383171</v>
      </c>
      <c r="G68" s="152">
        <f t="shared" si="2"/>
        <v>6.2482584103831722E-2</v>
      </c>
      <c r="H68" s="152" t="str">
        <f>VLOOKUP(B68,'[2]10-year CDS Spreads'!$A$2:$D$152,4)</f>
        <v>NA</v>
      </c>
      <c r="I68" s="152" t="str">
        <f t="shared" si="3"/>
        <v>NA</v>
      </c>
      <c r="J68" s="153" t="str">
        <f t="shared" si="4"/>
        <v>NA</v>
      </c>
    </row>
    <row r="69" spans="2:10" ht="15.5" hidden="1">
      <c r="B69" s="148" t="str">
        <f>'[2]Sovereign Ratings (Moody''s,S&amp;P)'!A63</f>
        <v>Hong Kong</v>
      </c>
      <c r="C69" s="149" t="str">
        <f>VLOOKUP(B69,'[2]Regional lookup table'!$A$3:$B$156,2)</f>
        <v>Asia</v>
      </c>
      <c r="D69" s="150" t="str">
        <f>'[2]Sovereign Ratings (Moody''s,S&amp;P)'!C63</f>
        <v>Aa2</v>
      </c>
      <c r="E69" s="151">
        <f t="shared" si="0"/>
        <v>5.5987260310332385E-3</v>
      </c>
      <c r="F69" s="151">
        <f t="shared" si="1"/>
        <v>6.6486857967356205E-2</v>
      </c>
      <c r="G69" s="152">
        <f t="shared" si="2"/>
        <v>6.8868579673562009E-3</v>
      </c>
      <c r="H69" s="152">
        <f>VLOOKUP(B69,'[2]10-year CDS Spreads'!$A$2:$D$152,4)</f>
        <v>3.7000000000000002E-3</v>
      </c>
      <c r="I69" s="152">
        <f t="shared" si="3"/>
        <v>6.4151280833885591E-2</v>
      </c>
      <c r="J69" s="153">
        <f t="shared" si="4"/>
        <v>4.5512808338855947E-3</v>
      </c>
    </row>
    <row r="70" spans="2:10" ht="15.5" hidden="1">
      <c r="B70" s="148" t="str">
        <f>'[2]Sovereign Ratings (Moody''s,S&amp;P)'!A64</f>
        <v>Hungary</v>
      </c>
      <c r="C70" s="149" t="str">
        <f>VLOOKUP(B70,'[2]Regional lookup table'!$A$3:$B$156,2)</f>
        <v>Eastern Europe &amp; Russia</v>
      </c>
      <c r="D70" s="150" t="str">
        <f>'[2]Sovereign Ratings (Moody''s,S&amp;P)'!C64</f>
        <v>Baa3</v>
      </c>
      <c r="E70" s="151">
        <f t="shared" si="0"/>
        <v>2.4837984574038366E-2</v>
      </c>
      <c r="F70" s="151">
        <f t="shared" si="1"/>
        <v>9.0152606255180234E-2</v>
      </c>
      <c r="G70" s="152">
        <f t="shared" si="2"/>
        <v>3.0552606255180234E-2</v>
      </c>
      <c r="H70" s="152">
        <f>VLOOKUP(B70,'[2]10-year CDS Spreads'!$A$2:$D$152,4)</f>
        <v>1.0999999999999999E-2</v>
      </c>
      <c r="I70" s="152">
        <f t="shared" si="3"/>
        <v>7.313083491155177E-2</v>
      </c>
      <c r="J70" s="153">
        <f t="shared" si="4"/>
        <v>1.3530834911551767E-2</v>
      </c>
    </row>
    <row r="71" spans="2:10" ht="15.5" hidden="1">
      <c r="B71" s="148" t="str">
        <f>'[2]Sovereign Ratings (Moody''s,S&amp;P)'!A65</f>
        <v>Iceland</v>
      </c>
      <c r="C71" s="149" t="str">
        <f>VLOOKUP(B71,'[2]Regional lookup table'!$A$3:$B$156,2)</f>
        <v>Western Europe</v>
      </c>
      <c r="D71" s="150" t="str">
        <f>'[2]Sovereign Ratings (Moody''s,S&amp;P)'!C65</f>
        <v>A3</v>
      </c>
      <c r="E71" s="151">
        <f t="shared" si="0"/>
        <v>1.3538737493225832E-2</v>
      </c>
      <c r="F71" s="151">
        <f t="shared" si="1"/>
        <v>7.6253674721061357E-2</v>
      </c>
      <c r="G71" s="152">
        <f t="shared" si="2"/>
        <v>1.665367472106136E-2</v>
      </c>
      <c r="H71" s="152">
        <f>VLOOKUP(B71,'[2]10-year CDS Spreads'!$A$2:$D$152,4)</f>
        <v>5.0000000000000001E-3</v>
      </c>
      <c r="I71" s="152">
        <f t="shared" si="3"/>
        <v>6.5750379505250811E-2</v>
      </c>
      <c r="J71" s="153">
        <f t="shared" si="4"/>
        <v>6.150379505250804E-3</v>
      </c>
    </row>
    <row r="72" spans="2:10" ht="15.5" hidden="1">
      <c r="B72" s="148" t="str">
        <f>'[2]Sovereign Ratings (Moody''s,S&amp;P)'!A66</f>
        <v>India</v>
      </c>
      <c r="C72" s="149" t="str">
        <f>VLOOKUP(B72,'[2]Regional lookup table'!$A$3:$B$156,2)</f>
        <v>Asia</v>
      </c>
      <c r="D72" s="150" t="str">
        <f>'[2]Sovereign Ratings (Moody''s,S&amp;P)'!C66</f>
        <v>Baa2</v>
      </c>
      <c r="E72" s="151">
        <f t="shared" ref="E72:E135" si="7">VLOOKUP(D72,$K$9:$L$29,2)/10000</f>
        <v>2.147874895541842E-2</v>
      </c>
      <c r="F72" s="151">
        <f t="shared" si="1"/>
        <v>8.6020491474766508E-2</v>
      </c>
      <c r="G72" s="152">
        <f t="shared" si="2"/>
        <v>2.6420491474766512E-2</v>
      </c>
      <c r="H72" s="152">
        <f>VLOOKUP(B72,'[2]10-year CDS Spreads'!$A$2:$D$152,4)</f>
        <v>1.55E-2</v>
      </c>
      <c r="I72" s="152">
        <f t="shared" si="3"/>
        <v>7.8666176466277493E-2</v>
      </c>
      <c r="J72" s="153">
        <f t="shared" si="4"/>
        <v>1.9066176466277493E-2</v>
      </c>
    </row>
    <row r="73" spans="2:10" ht="15.5" hidden="1">
      <c r="B73" s="148" t="str">
        <f>'[2]Sovereign Ratings (Moody''s,S&amp;P)'!A67</f>
        <v>Indonesia</v>
      </c>
      <c r="C73" s="149" t="str">
        <f>VLOOKUP(B73,'[2]Regional lookup table'!$A$3:$B$156,2)</f>
        <v>Asia</v>
      </c>
      <c r="D73" s="150" t="str">
        <f>'[2]Sovereign Ratings (Moody''s,S&amp;P)'!C67</f>
        <v>Baa2</v>
      </c>
      <c r="E73" s="151">
        <f t="shared" si="7"/>
        <v>2.147874895541842E-2</v>
      </c>
      <c r="F73" s="151">
        <f>$F$3+G73</f>
        <v>8.6020491474766508E-2</v>
      </c>
      <c r="G73" s="152">
        <f>IF($F$4="Yes",E73*$F$5,E73)</f>
        <v>2.6420491474766512E-2</v>
      </c>
      <c r="H73" s="152">
        <f>VLOOKUP(B73,'[2]10-year CDS Spreads'!$A$2:$D$152,4)</f>
        <v>0</v>
      </c>
      <c r="I73" s="152">
        <f>IF(J73="NA","NA",$F$3+J73)</f>
        <v>5.96E-2</v>
      </c>
      <c r="J73" s="153">
        <f t="shared" ref="J73:J138" si="8">IF(H73="NA","NA",H73*$F$5)</f>
        <v>0</v>
      </c>
    </row>
    <row r="74" spans="2:10" ht="15.5" hidden="1">
      <c r="B74" s="148" t="str">
        <f>'[2]Sovereign Ratings (Moody''s,S&amp;P)'!A68</f>
        <v>Iraq</v>
      </c>
      <c r="C74" s="149" t="str">
        <f>VLOOKUP(B74,'[2]Regional lookup table'!$A$3:$B$156,2)</f>
        <v>Middle East</v>
      </c>
      <c r="D74" s="150" t="str">
        <f>'[2]Sovereign Ratings (Moody''s,S&amp;P)'!C68</f>
        <v>Caa1</v>
      </c>
      <c r="E74" s="151">
        <f t="shared" si="7"/>
        <v>8.4591660577974931E-2</v>
      </c>
      <c r="F74" s="151">
        <f t="shared" ref="F74:F142" si="9">$F$3+G74</f>
        <v>0.16365416310678188</v>
      </c>
      <c r="G74" s="152">
        <f t="shared" ref="G74:G128" si="10">IF($F$4="Yes",E74*$F$5,E74)</f>
        <v>0.10405416310678188</v>
      </c>
      <c r="H74" s="152">
        <f>VLOOKUP(B74,'[2]10-year CDS Spreads'!$A$2:$D$152,4)</f>
        <v>5.7999999999999996E-2</v>
      </c>
      <c r="I74" s="152">
        <f t="shared" ref="I74:I142" si="11">IF(J74="NA","NA",$F$3+J74)</f>
        <v>0.13094440226090931</v>
      </c>
      <c r="J74" s="153">
        <f t="shared" si="8"/>
        <v>7.1344402260909323E-2</v>
      </c>
    </row>
    <row r="75" spans="2:10" ht="15.5" hidden="1">
      <c r="B75" s="148" t="str">
        <f>'[2]Sovereign Ratings (Moody''s,S&amp;P)'!A69</f>
        <v>Ireland</v>
      </c>
      <c r="C75" s="149" t="str">
        <f>VLOOKUP(B75,'[2]Regional lookup table'!$A$3:$B$156,2)</f>
        <v>Western Europe</v>
      </c>
      <c r="D75" s="150" t="str">
        <f>'[2]Sovereign Ratings (Moody''s,S&amp;P)'!C69</f>
        <v>A2</v>
      </c>
      <c r="E75" s="151">
        <f t="shared" si="7"/>
        <v>9.5687317621295353E-3</v>
      </c>
      <c r="F75" s="151">
        <f t="shared" si="9"/>
        <v>7.1370266344208788E-2</v>
      </c>
      <c r="G75" s="152">
        <f t="shared" si="10"/>
        <v>1.1770266344208781E-2</v>
      </c>
      <c r="H75" s="152">
        <f>VLOOKUP(B75,'[2]10-year CDS Spreads'!$A$2:$D$152,4)</f>
        <v>3.7999999999999996E-3</v>
      </c>
      <c r="I75" s="152">
        <f t="shared" si="11"/>
        <v>6.4274288423990605E-2</v>
      </c>
      <c r="J75" s="153">
        <f t="shared" si="8"/>
        <v>4.6742884239906104E-3</v>
      </c>
    </row>
    <row r="76" spans="2:10" ht="15.5" hidden="1">
      <c r="B76" s="148" t="str">
        <f>'[2]Sovereign Ratings (Moody''s,S&amp;P)'!A70</f>
        <v>Isle of Man</v>
      </c>
      <c r="C76" s="149" t="str">
        <f>VLOOKUP(B76,'[2]Regional lookup table'!$A$3:$B$156,2)</f>
        <v>Western Europe</v>
      </c>
      <c r="D76" s="150" t="str">
        <f>'[2]Sovereign Ratings (Moody''s,S&amp;P)'!C70</f>
        <v>Aa2</v>
      </c>
      <c r="E76" s="151">
        <f t="shared" si="7"/>
        <v>5.5987260310332385E-3</v>
      </c>
      <c r="F76" s="151">
        <f t="shared" si="9"/>
        <v>6.6486857967356205E-2</v>
      </c>
      <c r="G76" s="152">
        <f t="shared" si="10"/>
        <v>6.8868579673562009E-3</v>
      </c>
      <c r="H76" s="152" t="str">
        <f>VLOOKUP(B76,'[2]10-year CDS Spreads'!$A$2:$D$152,4)</f>
        <v>NA</v>
      </c>
      <c r="I76" s="152" t="str">
        <f t="shared" si="11"/>
        <v>NA</v>
      </c>
      <c r="J76" s="153" t="str">
        <f t="shared" si="8"/>
        <v>NA</v>
      </c>
    </row>
    <row r="77" spans="2:10" ht="15.5" hidden="1">
      <c r="B77" s="148" t="str">
        <f>'[2]Sovereign Ratings (Moody''s,S&amp;P)'!A71</f>
        <v>Israel</v>
      </c>
      <c r="C77" s="149" t="str">
        <f>VLOOKUP(B77,'[2]Regional lookup table'!$A$3:$B$156,2)</f>
        <v>Middle East</v>
      </c>
      <c r="D77" s="150" t="str">
        <f>'[2]Sovereign Ratings (Moody''s,S&amp;P)'!C71</f>
        <v>A1</v>
      </c>
      <c r="E77" s="151">
        <f t="shared" si="7"/>
        <v>7.9400114621925918E-3</v>
      </c>
      <c r="F77" s="151">
        <f t="shared" si="9"/>
        <v>6.9366816753705152E-2</v>
      </c>
      <c r="G77" s="152">
        <f t="shared" si="10"/>
        <v>9.7668167537051567E-3</v>
      </c>
      <c r="H77" s="152">
        <f>VLOOKUP(B77,'[2]10-year CDS Spreads'!$A$2:$D$152,4)</f>
        <v>8.0999999999999996E-3</v>
      </c>
      <c r="I77" s="152">
        <f t="shared" si="11"/>
        <v>6.9563614798506299E-2</v>
      </c>
      <c r="J77" s="153">
        <f t="shared" si="8"/>
        <v>9.9636147985063019E-3</v>
      </c>
    </row>
    <row r="78" spans="2:10" ht="15.5" hidden="1">
      <c r="B78" s="148" t="str">
        <f>'[2]Sovereign Ratings (Moody''s,S&amp;P)'!A72</f>
        <v>Italy</v>
      </c>
      <c r="C78" s="149" t="str">
        <f>VLOOKUP(B78,'[2]Regional lookup table'!$A$3:$B$156,2)</f>
        <v>Western Europe</v>
      </c>
      <c r="D78" s="150" t="str">
        <f>'[2]Sovereign Ratings (Moody''s,S&amp;P)'!C72</f>
        <v>Baa3</v>
      </c>
      <c r="E78" s="151">
        <f t="shared" si="7"/>
        <v>2.4837984574038366E-2</v>
      </c>
      <c r="F78" s="151">
        <f t="shared" si="9"/>
        <v>9.0152606255180234E-2</v>
      </c>
      <c r="G78" s="152">
        <f t="shared" si="10"/>
        <v>3.0552606255180234E-2</v>
      </c>
      <c r="H78" s="152">
        <f>VLOOKUP(B78,'[2]10-year CDS Spreads'!$A$2:$D$152,4)</f>
        <v>2.1400000000000002E-2</v>
      </c>
      <c r="I78" s="152">
        <f t="shared" si="11"/>
        <v>8.5923624282473438E-2</v>
      </c>
      <c r="J78" s="153">
        <f t="shared" si="8"/>
        <v>2.6323624282473444E-2</v>
      </c>
    </row>
    <row r="79" spans="2:10" ht="15.5" hidden="1">
      <c r="B79" s="148" t="str">
        <f>'[2]Sovereign Ratings (Moody''s,S&amp;P)'!A73</f>
        <v>Jamaica</v>
      </c>
      <c r="C79" s="149" t="str">
        <f>VLOOKUP(B79,'[2]Regional lookup table'!$A$3:$B$156,2)</f>
        <v>Caribbean</v>
      </c>
      <c r="D79" s="150" t="str">
        <f>'[2]Sovereign Ratings (Moody''s,S&amp;P)'!C73</f>
        <v>B3</v>
      </c>
      <c r="E79" s="151">
        <f t="shared" si="7"/>
        <v>7.3394208515908457E-2</v>
      </c>
      <c r="F79" s="151">
        <f t="shared" si="9"/>
        <v>0.14988044717206947</v>
      </c>
      <c r="G79" s="152">
        <f t="shared" si="10"/>
        <v>9.028044717206947E-2</v>
      </c>
      <c r="H79" s="152" t="str">
        <f>VLOOKUP(B79,'[2]10-year CDS Spreads'!$A$2:$D$152,4)</f>
        <v>NA</v>
      </c>
      <c r="I79" s="152" t="str">
        <f t="shared" si="11"/>
        <v>NA</v>
      </c>
      <c r="J79" s="153" t="str">
        <f t="shared" si="8"/>
        <v>NA</v>
      </c>
    </row>
    <row r="80" spans="2:10" ht="15.5" hidden="1">
      <c r="B80" s="148" t="str">
        <f>'[2]Sovereign Ratings (Moody''s,S&amp;P)'!A74</f>
        <v>Japan</v>
      </c>
      <c r="C80" s="149" t="str">
        <f>VLOOKUP(B80,'[2]Regional lookup table'!$A$3:$B$156,2)</f>
        <v>Asia</v>
      </c>
      <c r="D80" s="150" t="str">
        <f>'[2]Sovereign Ratings (Moody''s,S&amp;P)'!C74</f>
        <v>A1</v>
      </c>
      <c r="E80" s="151">
        <f t="shared" si="7"/>
        <v>7.9400114621925918E-3</v>
      </c>
      <c r="F80" s="151">
        <f t="shared" si="9"/>
        <v>6.9366816753705152E-2</v>
      </c>
      <c r="G80" s="152">
        <f t="shared" si="10"/>
        <v>9.7668167537051567E-3</v>
      </c>
      <c r="H80" s="152">
        <f>VLOOKUP(B80,'[2]10-year CDS Spreads'!$A$2:$D$152,4)</f>
        <v>1.4000000000000002E-3</v>
      </c>
      <c r="I80" s="152">
        <f t="shared" si="11"/>
        <v>6.1322106261470229E-2</v>
      </c>
      <c r="J80" s="153">
        <f t="shared" si="8"/>
        <v>1.7221062614702252E-3</v>
      </c>
    </row>
    <row r="81" spans="2:10" ht="15.5" hidden="1">
      <c r="B81" s="148" t="str">
        <f>'[2]Sovereign Ratings (Moody''s,S&amp;P)'!A75</f>
        <v>Jersey (States of)</v>
      </c>
      <c r="C81" s="149" t="str">
        <f>VLOOKUP(B81,'[2]Regional lookup table'!$A$3:$B$156,2)</f>
        <v>Western Europe</v>
      </c>
      <c r="D81" s="150" t="str">
        <f>'[2]Sovereign Ratings (Moody''s,S&amp;P)'!C75</f>
        <v>Aa3</v>
      </c>
      <c r="E81" s="151">
        <f t="shared" si="7"/>
        <v>6.8202662559859444E-3</v>
      </c>
      <c r="F81" s="151">
        <f t="shared" si="9"/>
        <v>6.7989445160233919E-2</v>
      </c>
      <c r="G81" s="152">
        <f t="shared" si="10"/>
        <v>8.389445160233917E-3</v>
      </c>
      <c r="H81" s="152" t="str">
        <f>VLOOKUP(B81,'[2]10-year CDS Spreads'!$A$2:$D$152,4)</f>
        <v>NA</v>
      </c>
      <c r="I81" s="152" t="str">
        <f t="shared" si="11"/>
        <v>NA</v>
      </c>
      <c r="J81" s="153" t="str">
        <f t="shared" si="8"/>
        <v>NA</v>
      </c>
    </row>
    <row r="82" spans="2:10" ht="15.5" hidden="1">
      <c r="B82" s="148" t="str">
        <f>'[2]Sovereign Ratings (Moody''s,S&amp;P)'!A76</f>
        <v>Jordan</v>
      </c>
      <c r="C82" s="149" t="str">
        <f>VLOOKUP(B82,'[2]Regional lookup table'!$A$3:$B$156,2)</f>
        <v>Middle East</v>
      </c>
      <c r="D82" s="150" t="str">
        <f>'[2]Sovereign Ratings (Moody''s,S&amp;P)'!C76</f>
        <v>B1</v>
      </c>
      <c r="E82" s="151">
        <f t="shared" si="7"/>
        <v>5.0795714354283386E-2</v>
      </c>
      <c r="F82" s="151">
        <f t="shared" si="9"/>
        <v>0.12208258410383171</v>
      </c>
      <c r="G82" s="152">
        <f t="shared" si="10"/>
        <v>6.2482584103831722E-2</v>
      </c>
      <c r="H82" s="152" t="str">
        <f>VLOOKUP(B82,'[2]10-year CDS Spreads'!$A$2:$D$152,4)</f>
        <v>NA</v>
      </c>
      <c r="I82" s="152" t="str">
        <f t="shared" si="11"/>
        <v>NA</v>
      </c>
      <c r="J82" s="153" t="str">
        <f t="shared" si="8"/>
        <v>NA</v>
      </c>
    </row>
    <row r="83" spans="2:10" ht="15.5" hidden="1">
      <c r="B83" s="148" t="str">
        <f>'[2]Sovereign Ratings (Moody''s,S&amp;P)'!A77</f>
        <v>Kazakhstan</v>
      </c>
      <c r="C83" s="149" t="str">
        <f>VLOOKUP(B83,'[2]Regional lookup table'!$A$3:$B$156,2)</f>
        <v>Eastern Europe &amp; Russia</v>
      </c>
      <c r="D83" s="150" t="str">
        <f>'[2]Sovereign Ratings (Moody''s,S&amp;P)'!C77</f>
        <v>Baa3</v>
      </c>
      <c r="E83" s="151">
        <f t="shared" si="7"/>
        <v>2.4837984574038366E-2</v>
      </c>
      <c r="F83" s="151">
        <f t="shared" si="9"/>
        <v>9.0152606255180234E-2</v>
      </c>
      <c r="G83" s="152">
        <f t="shared" si="10"/>
        <v>3.0552606255180234E-2</v>
      </c>
      <c r="H83" s="152">
        <f>VLOOKUP(B83,'[2]10-year CDS Spreads'!$A$2:$D$152,4)</f>
        <v>1.0200000000000001E-2</v>
      </c>
      <c r="I83" s="152">
        <f t="shared" si="11"/>
        <v>7.2146774190711638E-2</v>
      </c>
      <c r="J83" s="153">
        <f t="shared" si="8"/>
        <v>1.2546774190711641E-2</v>
      </c>
    </row>
    <row r="84" spans="2:10" ht="15.5" hidden="1">
      <c r="B84" s="148" t="str">
        <f>'[2]Sovereign Ratings (Moody''s,S&amp;P)'!A78</f>
        <v>Kenya</v>
      </c>
      <c r="C84" s="149" t="str">
        <f>VLOOKUP(B84,'[2]Regional lookup table'!$A$3:$B$156,2)</f>
        <v>Africa</v>
      </c>
      <c r="D84" s="150" t="str">
        <f>'[2]Sovereign Ratings (Moody''s,S&amp;P)'!C78</f>
        <v>B2</v>
      </c>
      <c r="E84" s="151">
        <f t="shared" si="7"/>
        <v>6.2094961435095908E-2</v>
      </c>
      <c r="F84" s="151">
        <f t="shared" si="9"/>
        <v>0.13598151563795058</v>
      </c>
      <c r="G84" s="152">
        <f t="shared" si="10"/>
        <v>7.6381515637950578E-2</v>
      </c>
      <c r="H84" s="152">
        <f>VLOOKUP(B84,'[2]10-year CDS Spreads'!$A$2:$D$152,4)</f>
        <v>5.5999999999999994E-2</v>
      </c>
      <c r="I84" s="152">
        <f t="shared" si="11"/>
        <v>0.12848425045880901</v>
      </c>
      <c r="J84" s="153">
        <f t="shared" si="8"/>
        <v>6.8884250458808999E-2</v>
      </c>
    </row>
    <row r="85" spans="2:10" ht="15.5" hidden="1">
      <c r="B85" s="148" t="str">
        <f>'[2]Sovereign Ratings (Moody''s,S&amp;P)'!A79</f>
        <v>Korea</v>
      </c>
      <c r="C85" s="149" t="str">
        <f>VLOOKUP(B85,'[2]Regional lookup table'!$A$3:$B$156,2)</f>
        <v>Asia</v>
      </c>
      <c r="D85" s="150" t="str">
        <f>'[2]Sovereign Ratings (Moody''s,S&amp;P)'!C79</f>
        <v>Aa2</v>
      </c>
      <c r="E85" s="151">
        <f t="shared" si="7"/>
        <v>5.5987260310332385E-3</v>
      </c>
      <c r="F85" s="151">
        <f>$F$3+G85</f>
        <v>6.6486857967356205E-2</v>
      </c>
      <c r="G85" s="152">
        <f>IF($F$4="Yes",E85*$F$5,E85)</f>
        <v>6.8868579673562009E-3</v>
      </c>
      <c r="H85" s="152">
        <f>VLOOKUP(B85,'[2]10-year CDS Spreads'!$A$2:$D$152,4)</f>
        <v>3.4000000000000002E-3</v>
      </c>
      <c r="I85" s="152">
        <f>IF(J85="NA","NA",$F$3+J85)</f>
        <v>6.3782258063570546E-2</v>
      </c>
      <c r="J85" s="153">
        <f t="shared" si="8"/>
        <v>4.1822580635705467E-3</v>
      </c>
    </row>
    <row r="86" spans="2:10" ht="15.5" hidden="1">
      <c r="B86" s="148" t="str">
        <f>'[2]Sovereign Ratings (Moody''s,S&amp;P)'!A80</f>
        <v>Kuwait</v>
      </c>
      <c r="C86" s="149" t="str">
        <f>VLOOKUP(B86,'[2]Regional lookup table'!$A$3:$B$156,2)</f>
        <v>Middle East</v>
      </c>
      <c r="D86" s="150" t="str">
        <f>'[2]Sovereign Ratings (Moody''s,S&amp;P)'!C80</f>
        <v>Aa2</v>
      </c>
      <c r="E86" s="151">
        <f t="shared" si="7"/>
        <v>5.5987260310332385E-3</v>
      </c>
      <c r="F86" s="151">
        <f t="shared" si="9"/>
        <v>6.6486857967356205E-2</v>
      </c>
      <c r="G86" s="152">
        <f t="shared" si="10"/>
        <v>6.8868579673562009E-3</v>
      </c>
      <c r="H86" s="152">
        <f>VLOOKUP(B86,'[2]10-year CDS Spreads'!$A$2:$D$152,4)</f>
        <v>8.6999999999999994E-3</v>
      </c>
      <c r="I86" s="152">
        <f t="shared" si="11"/>
        <v>7.0301660339136401E-2</v>
      </c>
      <c r="J86" s="153">
        <f t="shared" si="8"/>
        <v>1.0701660339136398E-2</v>
      </c>
    </row>
    <row r="87" spans="2:10" ht="15.5" hidden="1">
      <c r="B87" s="148" t="str">
        <f>'[2]Sovereign Ratings (Moody''s,S&amp;P)'!A81</f>
        <v>Kyrgyzstan</v>
      </c>
      <c r="C87" s="149" t="str">
        <f>VLOOKUP(B87,'[2]Regional lookup table'!$A$3:$B$156,2)</f>
        <v>Eastern Europe &amp; Russia</v>
      </c>
      <c r="D87" s="150" t="str">
        <f>'[2]Sovereign Ratings (Moody''s,S&amp;P)'!C81</f>
        <v>B2</v>
      </c>
      <c r="E87" s="151">
        <f t="shared" si="7"/>
        <v>6.2094961435095908E-2</v>
      </c>
      <c r="F87" s="151">
        <f t="shared" si="9"/>
        <v>0.13598151563795058</v>
      </c>
      <c r="G87" s="152">
        <f t="shared" si="10"/>
        <v>7.6381515637950578E-2</v>
      </c>
      <c r="H87" s="152" t="str">
        <f>VLOOKUP(B87,'[2]10-year CDS Spreads'!$A$2:$D$152,4)</f>
        <v>NA</v>
      </c>
      <c r="I87" s="152" t="str">
        <f t="shared" si="11"/>
        <v>NA</v>
      </c>
      <c r="J87" s="153" t="str">
        <f t="shared" si="8"/>
        <v>NA</v>
      </c>
    </row>
    <row r="88" spans="2:10" ht="15.5" hidden="1">
      <c r="B88" s="148" t="str">
        <f>'[2]Sovereign Ratings (Moody''s,S&amp;P)'!A82</f>
        <v>Latvia</v>
      </c>
      <c r="C88" s="149" t="str">
        <f>VLOOKUP(B88,'[2]Regional lookup table'!$A$3:$B$156,2)</f>
        <v>Eastern Europe &amp; Russia</v>
      </c>
      <c r="D88" s="150" t="str">
        <f>'[2]Sovereign Ratings (Moody''s,S&amp;P)'!C82</f>
        <v>A3</v>
      </c>
      <c r="E88" s="151">
        <f t="shared" si="7"/>
        <v>1.3538737493225832E-2</v>
      </c>
      <c r="F88" s="151">
        <f t="shared" si="9"/>
        <v>7.6253674721061357E-2</v>
      </c>
      <c r="G88" s="152">
        <f t="shared" si="10"/>
        <v>1.665367472106136E-2</v>
      </c>
      <c r="H88" s="152">
        <f>VLOOKUP(B88,'[2]10-year CDS Spreads'!$A$2:$D$152,4)</f>
        <v>8.2999999999999984E-3</v>
      </c>
      <c r="I88" s="152">
        <f t="shared" si="11"/>
        <v>6.9809629978716328E-2</v>
      </c>
      <c r="J88" s="153">
        <f t="shared" si="8"/>
        <v>1.0209629978716332E-2</v>
      </c>
    </row>
    <row r="89" spans="2:10" ht="15.5" hidden="1">
      <c r="B89" s="148" t="str">
        <f>'[2]Sovereign Ratings (Moody''s,S&amp;P)'!A83</f>
        <v>Lebanon</v>
      </c>
      <c r="C89" s="149" t="str">
        <f>VLOOKUP(B89,'[2]Regional lookup table'!$A$3:$B$156,2)</f>
        <v>Middle East</v>
      </c>
      <c r="D89" s="150" t="str">
        <f>'[2]Sovereign Ratings (Moody''s,S&amp;P)'!C83</f>
        <v>B3</v>
      </c>
      <c r="E89" s="151">
        <f t="shared" si="7"/>
        <v>7.3394208515908457E-2</v>
      </c>
      <c r="F89" s="151">
        <f t="shared" si="9"/>
        <v>0.14988044717206947</v>
      </c>
      <c r="G89" s="152">
        <f t="shared" si="10"/>
        <v>9.028044717206947E-2</v>
      </c>
      <c r="H89" s="152">
        <f>VLOOKUP(B89,'[2]10-year CDS Spreads'!$A$2:$D$152,4)</f>
        <v>7.6200000000000004E-2</v>
      </c>
      <c r="I89" s="152">
        <f t="shared" si="11"/>
        <v>0.15333178366002226</v>
      </c>
      <c r="J89" s="153">
        <f t="shared" si="8"/>
        <v>9.3731783660022258E-2</v>
      </c>
    </row>
    <row r="90" spans="2:10" ht="15.5" hidden="1">
      <c r="B90" s="148" t="str">
        <f>'[2]Sovereign Ratings (Moody''s,S&amp;P)'!A84</f>
        <v>Liechtenstein</v>
      </c>
      <c r="C90" s="149" t="str">
        <f>VLOOKUP(B90,'[2]Regional lookup table'!$A$3:$B$156,2)</f>
        <v>Western Europe</v>
      </c>
      <c r="D90" s="150" t="str">
        <f>'[2]Sovereign Ratings (Moody''s,S&amp;P)'!C84</f>
        <v>Aaa</v>
      </c>
      <c r="E90" s="151">
        <f t="shared" si="7"/>
        <v>0</v>
      </c>
      <c r="F90" s="151">
        <f t="shared" si="9"/>
        <v>5.96E-2</v>
      </c>
      <c r="G90" s="152">
        <f t="shared" si="10"/>
        <v>0</v>
      </c>
      <c r="H90" s="152" t="str">
        <f>VLOOKUP(B90,'[2]10-year CDS Spreads'!$A$2:$D$152,4)</f>
        <v>NA</v>
      </c>
      <c r="I90" s="152" t="str">
        <f t="shared" si="11"/>
        <v>NA</v>
      </c>
      <c r="J90" s="153" t="str">
        <f t="shared" si="8"/>
        <v>NA</v>
      </c>
    </row>
    <row r="91" spans="2:10" ht="15.5" hidden="1">
      <c r="B91" s="148" t="str">
        <f>'[2]Sovereign Ratings (Moody''s,S&amp;P)'!A85</f>
        <v>Lithuania</v>
      </c>
      <c r="C91" s="149" t="str">
        <f>VLOOKUP(B91,'[2]Regional lookup table'!$A$3:$B$156,2)</f>
        <v>Eastern Europe &amp; Russia</v>
      </c>
      <c r="D91" s="150" t="str">
        <f>'[2]Sovereign Ratings (Moody''s,S&amp;P)'!C85</f>
        <v>A3</v>
      </c>
      <c r="E91" s="151">
        <f t="shared" si="7"/>
        <v>1.3538737493225832E-2</v>
      </c>
      <c r="F91" s="151">
        <f t="shared" si="9"/>
        <v>7.6253674721061357E-2</v>
      </c>
      <c r="G91" s="152">
        <f t="shared" si="10"/>
        <v>1.665367472106136E-2</v>
      </c>
      <c r="H91" s="152">
        <f>VLOOKUP(B91,'[2]10-year CDS Spreads'!$A$2:$D$152,4)</f>
        <v>8.4000000000000012E-3</v>
      </c>
      <c r="I91" s="152">
        <f t="shared" si="11"/>
        <v>6.9932637568821357E-2</v>
      </c>
      <c r="J91" s="153">
        <f t="shared" si="8"/>
        <v>1.0332637568821352E-2</v>
      </c>
    </row>
    <row r="92" spans="2:10" ht="15.5" hidden="1">
      <c r="B92" s="148" t="str">
        <f>'[2]Sovereign Ratings (Moody''s,S&amp;P)'!A86</f>
        <v>Luxembourg</v>
      </c>
      <c r="C92" s="149" t="str">
        <f>VLOOKUP(B92,'[2]Regional lookup table'!$A$3:$B$156,2)</f>
        <v>Western Europe</v>
      </c>
      <c r="D92" s="150" t="str">
        <f>'[2]Sovereign Ratings (Moody''s,S&amp;P)'!C86</f>
        <v>Aaa</v>
      </c>
      <c r="E92" s="151">
        <f t="shared" si="7"/>
        <v>0</v>
      </c>
      <c r="F92" s="151">
        <f t="shared" si="9"/>
        <v>5.96E-2</v>
      </c>
      <c r="G92" s="152">
        <f t="shared" si="10"/>
        <v>0</v>
      </c>
      <c r="H92" s="152" t="str">
        <f>VLOOKUP(B92,'[2]10-year CDS Spreads'!$A$2:$D$152,4)</f>
        <v>NA</v>
      </c>
      <c r="I92" s="152" t="str">
        <f t="shared" si="11"/>
        <v>NA</v>
      </c>
      <c r="J92" s="153" t="str">
        <f t="shared" si="8"/>
        <v>NA</v>
      </c>
    </row>
    <row r="93" spans="2:10" ht="15.5" hidden="1">
      <c r="B93" s="148" t="str">
        <f>'[2]Sovereign Ratings (Moody''s,S&amp;P)'!A87</f>
        <v>Macao</v>
      </c>
      <c r="C93" s="149" t="str">
        <f>VLOOKUP(B93,'[2]Regional lookup table'!$A$3:$B$156,2)</f>
        <v>Asia</v>
      </c>
      <c r="D93" s="150" t="str">
        <f>'[2]Sovereign Ratings (Moody''s,S&amp;P)'!C87</f>
        <v>Aa3</v>
      </c>
      <c r="E93" s="151">
        <f t="shared" si="7"/>
        <v>6.8202662559859444E-3</v>
      </c>
      <c r="F93" s="151">
        <f t="shared" si="9"/>
        <v>6.7989445160233919E-2</v>
      </c>
      <c r="G93" s="152">
        <f t="shared" si="10"/>
        <v>8.389445160233917E-3</v>
      </c>
      <c r="H93" s="152" t="str">
        <f>VLOOKUP(B93,'[2]10-year CDS Spreads'!$A$2:$D$152,4)</f>
        <v>NA</v>
      </c>
      <c r="I93" s="152" t="str">
        <f t="shared" si="11"/>
        <v>NA</v>
      </c>
      <c r="J93" s="153" t="str">
        <f t="shared" si="8"/>
        <v>NA</v>
      </c>
    </row>
    <row r="94" spans="2:10" ht="15.5" hidden="1">
      <c r="B94" s="148" t="str">
        <f>'[2]Sovereign Ratings (Moody''s,S&amp;P)'!A88</f>
        <v>Macedonia</v>
      </c>
      <c r="C94" s="149" t="str">
        <f>VLOOKUP(B94,'[2]Regional lookup table'!$A$3:$B$156,2)</f>
        <v>Eastern Europe &amp; Russia</v>
      </c>
      <c r="D94" s="150" t="str">
        <f>'[2]Sovereign Ratings (Moody''s,S&amp;P)'!C88</f>
        <v>Ba3</v>
      </c>
      <c r="E94" s="151">
        <f t="shared" si="7"/>
        <v>4.0616212479677498E-2</v>
      </c>
      <c r="F94" s="151">
        <f t="shared" si="9"/>
        <v>0.10956102416318408</v>
      </c>
      <c r="G94" s="152">
        <f t="shared" si="10"/>
        <v>4.9961024163184084E-2</v>
      </c>
      <c r="H94" s="152">
        <f>VLOOKUP(B94,'[2]10-year CDS Spreads'!$A$2:$D$152,4)</f>
        <v>1.2400000000000001E-2</v>
      </c>
      <c r="I94" s="152">
        <f t="shared" si="11"/>
        <v>7.4852941173021992E-2</v>
      </c>
      <c r="J94" s="153">
        <f t="shared" si="8"/>
        <v>1.5252941173021995E-2</v>
      </c>
    </row>
    <row r="95" spans="2:10" ht="15.5" hidden="1">
      <c r="B95" s="148" t="str">
        <f>'[2]Sovereign Ratings (Moody''s,S&amp;P)'!A89</f>
        <v>Malaysia</v>
      </c>
      <c r="C95" s="149" t="str">
        <f>VLOOKUP(B95,'[2]Regional lookup table'!$A$3:$B$156,2)</f>
        <v>Asia</v>
      </c>
      <c r="D95" s="150" t="str">
        <f>'[2]Sovereign Ratings (Moody''s,S&amp;P)'!C89</f>
        <v>A3</v>
      </c>
      <c r="E95" s="151">
        <f t="shared" si="7"/>
        <v>1.3538737493225832E-2</v>
      </c>
      <c r="F95" s="151">
        <f>$F$3+G95</f>
        <v>7.6253674721061357E-2</v>
      </c>
      <c r="G95" s="152">
        <f>IF($F$4="Yes",E95*$F$5,E95)</f>
        <v>1.665367472106136E-2</v>
      </c>
      <c r="H95" s="152">
        <f>VLOOKUP(B95,'[2]10-year CDS Spreads'!$A$2:$D$152,4)</f>
        <v>1.4700000000000001E-2</v>
      </c>
      <c r="I95" s="152">
        <f>IF(J95="NA","NA",$F$3+J95)</f>
        <v>7.7682115745437361E-2</v>
      </c>
      <c r="J95" s="153">
        <f>IF(H95="NA","NA",H95*$F$5)</f>
        <v>1.8082115745437364E-2</v>
      </c>
    </row>
    <row r="96" spans="2:10" ht="15.5" hidden="1">
      <c r="B96" s="148" t="str">
        <f>'[2]Sovereign Ratings (Moody''s,S&amp;P)'!A90</f>
        <v>Maldives</v>
      </c>
      <c r="C96" s="149" t="str">
        <f>VLOOKUP(B96,'[2]Regional lookup table'!$A$3:$B$156,2)</f>
        <v>Asia</v>
      </c>
      <c r="D96" s="150" t="str">
        <f>'[2]Sovereign Ratings (Moody''s,S&amp;P)'!C90</f>
        <v>B2</v>
      </c>
      <c r="E96" s="151">
        <f t="shared" si="7"/>
        <v>6.2094961435095908E-2</v>
      </c>
      <c r="F96" s="151">
        <f t="shared" si="9"/>
        <v>0.13598151563795058</v>
      </c>
      <c r="G96" s="152">
        <f t="shared" si="10"/>
        <v>7.6381515637950578E-2</v>
      </c>
      <c r="H96" s="152" t="str">
        <f>VLOOKUP(B96,'[2]10-year CDS Spreads'!$A$2:$D$152,4)</f>
        <v>NA</v>
      </c>
      <c r="I96" s="152" t="str">
        <f t="shared" si="11"/>
        <v>NA</v>
      </c>
      <c r="J96" s="153" t="str">
        <f t="shared" si="8"/>
        <v>NA</v>
      </c>
    </row>
    <row r="97" spans="2:10" ht="15.5" hidden="1">
      <c r="B97" s="148" t="str">
        <f>'[2]Sovereign Ratings (Moody''s,S&amp;P)'!A91</f>
        <v>Malta</v>
      </c>
      <c r="C97" s="149" t="str">
        <f>VLOOKUP(B97,'[2]Regional lookup table'!$A$3:$B$156,2)</f>
        <v>Western Europe</v>
      </c>
      <c r="D97" s="150" t="str">
        <f>'[2]Sovereign Ratings (Moody''s,S&amp;P)'!C91</f>
        <v>A3</v>
      </c>
      <c r="E97" s="151">
        <f t="shared" si="7"/>
        <v>1.3538737493225832E-2</v>
      </c>
      <c r="F97" s="151">
        <f t="shared" si="9"/>
        <v>7.6253674721061357E-2</v>
      </c>
      <c r="G97" s="152">
        <f t="shared" si="10"/>
        <v>1.665367472106136E-2</v>
      </c>
      <c r="H97" s="152" t="str">
        <f>VLOOKUP(B97,'[2]10-year CDS Spreads'!$A$2:$D$152,4)</f>
        <v>NA</v>
      </c>
      <c r="I97" s="152" t="str">
        <f t="shared" si="11"/>
        <v>NA</v>
      </c>
      <c r="J97" s="153" t="str">
        <f t="shared" si="8"/>
        <v>NA</v>
      </c>
    </row>
    <row r="98" spans="2:10" ht="15.5" hidden="1">
      <c r="B98" s="148" t="str">
        <f>'[2]Sovereign Ratings (Moody''s,S&amp;P)'!A92</f>
        <v>Mauritius</v>
      </c>
      <c r="C98" s="149" t="str">
        <f>VLOOKUP(B98,'[2]Regional lookup table'!$A$3:$B$156,2)</f>
        <v>Asia</v>
      </c>
      <c r="D98" s="150" t="str">
        <f>'[2]Sovereign Ratings (Moody''s,S&amp;P)'!C92</f>
        <v>Baa1</v>
      </c>
      <c r="E98" s="151">
        <f t="shared" si="7"/>
        <v>1.8017718318052423E-2</v>
      </c>
      <c r="F98" s="151">
        <f t="shared" si="9"/>
        <v>8.1763161094946329E-2</v>
      </c>
      <c r="G98" s="152">
        <f t="shared" si="10"/>
        <v>2.2163161094946322E-2</v>
      </c>
      <c r="H98" s="152" t="str">
        <f>VLOOKUP(B98,'[2]10-year CDS Spreads'!$A$2:$D$152,4)</f>
        <v>NA</v>
      </c>
      <c r="I98" s="152" t="str">
        <f t="shared" si="11"/>
        <v>NA</v>
      </c>
      <c r="J98" s="153" t="str">
        <f t="shared" si="8"/>
        <v>NA</v>
      </c>
    </row>
    <row r="99" spans="2:10" ht="15.5" hidden="1">
      <c r="B99" s="148" t="str">
        <f>'[2]Sovereign Ratings (Moody''s,S&amp;P)'!A93</f>
        <v>Mexico</v>
      </c>
      <c r="C99" s="149" t="str">
        <f>VLOOKUP(B99,'[2]Regional lookup table'!$A$3:$B$156,2)</f>
        <v>Central and South America</v>
      </c>
      <c r="D99" s="150" t="str">
        <f>'[2]Sovereign Ratings (Moody''s,S&amp;P)'!C93</f>
        <v>A3</v>
      </c>
      <c r="E99" s="151">
        <f t="shared" si="7"/>
        <v>1.3538737493225832E-2</v>
      </c>
      <c r="F99" s="151">
        <f t="shared" si="9"/>
        <v>7.6253674721061357E-2</v>
      </c>
      <c r="G99" s="152">
        <f t="shared" si="10"/>
        <v>1.665367472106136E-2</v>
      </c>
      <c r="H99" s="152">
        <f>VLOOKUP(B99,'[2]10-year CDS Spreads'!$A$2:$D$152,4)</f>
        <v>2.0500000000000001E-2</v>
      </c>
      <c r="I99" s="152">
        <f t="shared" si="11"/>
        <v>8.481655597152829E-2</v>
      </c>
      <c r="J99" s="153">
        <f t="shared" si="8"/>
        <v>2.5216555971528297E-2</v>
      </c>
    </row>
    <row r="100" spans="2:10" ht="15.5" hidden="1">
      <c r="B100" s="148" t="str">
        <f>'[2]Sovereign Ratings (Moody''s,S&amp;P)'!A94</f>
        <v>Moldova</v>
      </c>
      <c r="C100" s="149" t="str">
        <f>VLOOKUP(B100,'[2]Regional lookup table'!$A$3:$B$156,2)</f>
        <v>Eastern Europe &amp; Russia</v>
      </c>
      <c r="D100" s="150" t="str">
        <f>'[2]Sovereign Ratings (Moody''s,S&amp;P)'!C94</f>
        <v>B3</v>
      </c>
      <c r="E100" s="151">
        <f t="shared" si="7"/>
        <v>7.3394208515908457E-2</v>
      </c>
      <c r="F100" s="151">
        <f t="shared" si="9"/>
        <v>0.14988044717206947</v>
      </c>
      <c r="G100" s="152">
        <f t="shared" si="10"/>
        <v>9.028044717206947E-2</v>
      </c>
      <c r="H100" s="152" t="str">
        <f>VLOOKUP(B100,'[2]10-year CDS Spreads'!$A$2:$D$152,4)</f>
        <v>NA</v>
      </c>
      <c r="I100" s="152" t="str">
        <f t="shared" si="11"/>
        <v>NA</v>
      </c>
      <c r="J100" s="153" t="str">
        <f t="shared" si="8"/>
        <v>NA</v>
      </c>
    </row>
    <row r="101" spans="2:10" ht="15.5" hidden="1">
      <c r="B101" s="148" t="str">
        <f>'[2]Sovereign Ratings (Moody''s,S&amp;P)'!A95</f>
        <v>Mongolia</v>
      </c>
      <c r="C101" s="149" t="str">
        <f>VLOOKUP(B101,'[2]Regional lookup table'!$A$3:$B$156,2)</f>
        <v>Asia</v>
      </c>
      <c r="D101" s="150" t="str">
        <f>'[2]Sovereign Ratings (Moody''s,S&amp;P)'!C95</f>
        <v>B3</v>
      </c>
      <c r="E101" s="151">
        <f t="shared" si="7"/>
        <v>7.3394208515908457E-2</v>
      </c>
      <c r="F101" s="151">
        <f t="shared" si="9"/>
        <v>0.14988044717206947</v>
      </c>
      <c r="G101" s="152">
        <f t="shared" si="10"/>
        <v>9.028044717206947E-2</v>
      </c>
      <c r="H101" s="152" t="str">
        <f>VLOOKUP(B101,'[2]10-year CDS Spreads'!$A$2:$D$152,4)</f>
        <v>NA</v>
      </c>
      <c r="I101" s="152" t="str">
        <f t="shared" si="11"/>
        <v>NA</v>
      </c>
      <c r="J101" s="153" t="str">
        <f t="shared" si="8"/>
        <v>NA</v>
      </c>
    </row>
    <row r="102" spans="2:10" ht="15.5" hidden="1">
      <c r="B102" s="148" t="str">
        <f>'[2]Sovereign Ratings (Moody''s,S&amp;P)'!A96</f>
        <v>Montenegro</v>
      </c>
      <c r="C102" s="149" t="str">
        <f>VLOOKUP(B102,'[2]Regional lookup table'!$A$3:$B$156,2)</f>
        <v>Eastern Europe &amp; Russia</v>
      </c>
      <c r="D102" s="150" t="str">
        <f>'[2]Sovereign Ratings (Moody''s,S&amp;P)'!C96</f>
        <v>B1</v>
      </c>
      <c r="E102" s="151">
        <f t="shared" si="7"/>
        <v>5.0795714354283386E-2</v>
      </c>
      <c r="F102" s="151">
        <f t="shared" si="9"/>
        <v>0.12208258410383171</v>
      </c>
      <c r="G102" s="152">
        <f t="shared" si="10"/>
        <v>6.2482584103831722E-2</v>
      </c>
      <c r="H102" s="152" t="str">
        <f>VLOOKUP(B102,'[2]10-year CDS Spreads'!$A$2:$D$152,4)</f>
        <v>NA</v>
      </c>
      <c r="I102" s="152" t="str">
        <f t="shared" si="11"/>
        <v>NA</v>
      </c>
      <c r="J102" s="153" t="str">
        <f t="shared" si="8"/>
        <v>NA</v>
      </c>
    </row>
    <row r="103" spans="2:10" ht="15.5" hidden="1">
      <c r="B103" s="148" t="str">
        <f>'[2]Sovereign Ratings (Moody''s,S&amp;P)'!A97</f>
        <v>Montserrat</v>
      </c>
      <c r="C103" s="149" t="str">
        <f>VLOOKUP(B103,'[2]Regional lookup table'!$A$3:$B$156,2)</f>
        <v>Caribbean</v>
      </c>
      <c r="D103" s="150" t="str">
        <f>'[2]Sovereign Ratings (Moody''s,S&amp;P)'!C97</f>
        <v>Baa3</v>
      </c>
      <c r="E103" s="151">
        <f t="shared" si="7"/>
        <v>2.4837984574038366E-2</v>
      </c>
      <c r="F103" s="151">
        <f t="shared" si="9"/>
        <v>9.0152606255180234E-2</v>
      </c>
      <c r="G103" s="152">
        <f t="shared" si="10"/>
        <v>3.0552606255180234E-2</v>
      </c>
      <c r="H103" s="152" t="str">
        <f>VLOOKUP(B103,'[2]10-year CDS Spreads'!$A$2:$D$152,4)</f>
        <v>NA</v>
      </c>
      <c r="I103" s="152" t="str">
        <f t="shared" si="11"/>
        <v>NA</v>
      </c>
      <c r="J103" s="153" t="str">
        <f t="shared" si="8"/>
        <v>NA</v>
      </c>
    </row>
    <row r="104" spans="2:10" ht="15.5" hidden="1">
      <c r="B104" s="148" t="str">
        <f>'[2]Sovereign Ratings (Moody''s,S&amp;P)'!A98</f>
        <v>Morocco</v>
      </c>
      <c r="C104" s="149" t="str">
        <f>VLOOKUP(B104,'[2]Regional lookup table'!$A$3:$B$156,2)</f>
        <v>Africa</v>
      </c>
      <c r="D104" s="150" t="str">
        <f>'[2]Sovereign Ratings (Moody''s,S&amp;P)'!C98</f>
        <v>Ba1</v>
      </c>
      <c r="E104" s="151">
        <f t="shared" si="7"/>
        <v>2.8197220192658311E-2</v>
      </c>
      <c r="F104" s="151">
        <f t="shared" si="9"/>
        <v>9.428472103559396E-2</v>
      </c>
      <c r="G104" s="152">
        <f t="shared" si="10"/>
        <v>3.468472103559396E-2</v>
      </c>
      <c r="H104" s="152">
        <f>VLOOKUP(B104,'[2]10-year CDS Spreads'!$A$2:$D$152,4)</f>
        <v>1.3500000000000002E-2</v>
      </c>
      <c r="I104" s="152">
        <f t="shared" si="11"/>
        <v>7.6206024664177169E-2</v>
      </c>
      <c r="J104" s="153">
        <f t="shared" si="8"/>
        <v>1.6606024664177172E-2</v>
      </c>
    </row>
    <row r="105" spans="2:10" ht="15.5" hidden="1">
      <c r="B105" s="148" t="str">
        <f>'[2]Sovereign Ratings (Moody''s,S&amp;P)'!A99</f>
        <v>Mozambique</v>
      </c>
      <c r="C105" s="149" t="str">
        <f>VLOOKUP(B105,'[2]Regional lookup table'!$A$3:$B$156,2)</f>
        <v>Africa</v>
      </c>
      <c r="D105" s="150" t="str">
        <f>'[2]Sovereign Ratings (Moody''s,S&amp;P)'!C99</f>
        <v>Caa3</v>
      </c>
      <c r="E105" s="151">
        <f t="shared" si="7"/>
        <v>0.11278888077063325</v>
      </c>
      <c r="F105" s="151">
        <f t="shared" si="9"/>
        <v>0.19833888414237583</v>
      </c>
      <c r="G105" s="152">
        <f t="shared" si="10"/>
        <v>0.13873888414237584</v>
      </c>
      <c r="H105" s="152" t="str">
        <f>VLOOKUP(B105,'[2]10-year CDS Spreads'!$A$2:$D$152,4)</f>
        <v>NA</v>
      </c>
      <c r="I105" s="152" t="str">
        <f t="shared" si="11"/>
        <v>NA</v>
      </c>
      <c r="J105" s="153" t="str">
        <f t="shared" si="8"/>
        <v>NA</v>
      </c>
    </row>
    <row r="106" spans="2:10" ht="15.5" hidden="1">
      <c r="B106" s="148" t="str">
        <f>'[2]Sovereign Ratings (Moody''s,S&amp;P)'!A100</f>
        <v>Namibia</v>
      </c>
      <c r="C106" s="149" t="str">
        <f>VLOOKUP(B106,'[2]Regional lookup table'!$A$3:$B$156,2)</f>
        <v>Africa</v>
      </c>
      <c r="D106" s="150" t="str">
        <f>'[2]Sovereign Ratings (Moody''s,S&amp;P)'!C100</f>
        <v>Ba1</v>
      </c>
      <c r="E106" s="151">
        <f t="shared" si="7"/>
        <v>2.8197220192658311E-2</v>
      </c>
      <c r="F106" s="151">
        <f t="shared" si="9"/>
        <v>9.428472103559396E-2</v>
      </c>
      <c r="G106" s="152">
        <f t="shared" si="10"/>
        <v>3.468472103559396E-2</v>
      </c>
      <c r="H106" s="152" t="str">
        <f>VLOOKUP(B106,'[2]10-year CDS Spreads'!$A$2:$D$152,4)</f>
        <v>NA</v>
      </c>
      <c r="I106" s="152" t="str">
        <f t="shared" si="11"/>
        <v>NA</v>
      </c>
      <c r="J106" s="153" t="str">
        <f t="shared" si="8"/>
        <v>NA</v>
      </c>
    </row>
    <row r="107" spans="2:10" ht="15.5" hidden="1">
      <c r="B107" s="148" t="str">
        <f>'[2]Sovereign Ratings (Moody''s,S&amp;P)'!A101</f>
        <v>Netherlands</v>
      </c>
      <c r="C107" s="149" t="str">
        <f>VLOOKUP(B107,'[2]Regional lookup table'!$A$3:$B$156,2)</f>
        <v>Western Europe</v>
      </c>
      <c r="D107" s="150" t="str">
        <f>'[2]Sovereign Ratings (Moody''s,S&amp;P)'!C101</f>
        <v>Aaa</v>
      </c>
      <c r="E107" s="151">
        <f t="shared" si="7"/>
        <v>0</v>
      </c>
      <c r="F107" s="151">
        <f t="shared" si="9"/>
        <v>5.96E-2</v>
      </c>
      <c r="G107" s="152">
        <f t="shared" si="10"/>
        <v>0</v>
      </c>
      <c r="H107" s="152">
        <f>VLOOKUP(B107,'[2]10-year CDS Spreads'!$A$2:$D$152,4)</f>
        <v>0</v>
      </c>
      <c r="I107" s="152">
        <f t="shared" si="11"/>
        <v>5.96E-2</v>
      </c>
      <c r="J107" s="153">
        <f t="shared" si="8"/>
        <v>0</v>
      </c>
    </row>
    <row r="108" spans="2:10" ht="15.5" hidden="1">
      <c r="B108" s="148" t="str">
        <f>'[2]Sovereign Ratings (Moody''s,S&amp;P)'!A102</f>
        <v>New Zealand</v>
      </c>
      <c r="C108" s="149" t="str">
        <f>VLOOKUP(B108,'[2]Regional lookup table'!$A$3:$B$156,2)</f>
        <v>Australia &amp; New Zealand</v>
      </c>
      <c r="D108" s="150" t="str">
        <f>'[2]Sovereign Ratings (Moody''s,S&amp;P)'!C102</f>
        <v>Aaa</v>
      </c>
      <c r="E108" s="151">
        <f t="shared" si="7"/>
        <v>0</v>
      </c>
      <c r="F108" s="151">
        <f t="shared" si="9"/>
        <v>5.96E-2</v>
      </c>
      <c r="G108" s="152">
        <f t="shared" si="10"/>
        <v>0</v>
      </c>
      <c r="H108" s="152">
        <f>VLOOKUP(B108,'[2]10-year CDS Spreads'!$A$2:$D$152,4)</f>
        <v>8.9999999999999976E-4</v>
      </c>
      <c r="I108" s="152">
        <f t="shared" si="11"/>
        <v>6.0707068310945148E-2</v>
      </c>
      <c r="J108" s="153">
        <f t="shared" si="8"/>
        <v>1.1070683109451443E-3</v>
      </c>
    </row>
    <row r="109" spans="2:10" ht="15.5" hidden="1">
      <c r="B109" s="148" t="str">
        <f>'[2]Sovereign Ratings (Moody''s,S&amp;P)'!A103</f>
        <v>Nicaragua</v>
      </c>
      <c r="C109" s="149" t="str">
        <f>VLOOKUP(B109,'[2]Regional lookup table'!$A$3:$B$156,2)</f>
        <v>Central and South America</v>
      </c>
      <c r="D109" s="150" t="str">
        <f>'[2]Sovereign Ratings (Moody''s,S&amp;P)'!C103</f>
        <v>B2</v>
      </c>
      <c r="E109" s="151">
        <f t="shared" si="7"/>
        <v>6.2094961435095908E-2</v>
      </c>
      <c r="F109" s="151">
        <f t="shared" si="9"/>
        <v>0.13598151563795058</v>
      </c>
      <c r="G109" s="152">
        <f t="shared" si="10"/>
        <v>7.6381515637950578E-2</v>
      </c>
      <c r="H109" s="152" t="str">
        <f>VLOOKUP(B109,'[2]10-year CDS Spreads'!$A$2:$D$152,4)</f>
        <v>NA</v>
      </c>
      <c r="I109" s="152" t="str">
        <f t="shared" si="11"/>
        <v>NA</v>
      </c>
      <c r="J109" s="153" t="str">
        <f t="shared" si="8"/>
        <v>NA</v>
      </c>
    </row>
    <row r="110" spans="2:10" ht="15.5" hidden="1">
      <c r="B110" s="148" t="str">
        <f>'[2]Sovereign Ratings (Moody''s,S&amp;P)'!A104</f>
        <v>Nigeria</v>
      </c>
      <c r="C110" s="149" t="str">
        <f>VLOOKUP(B110,'[2]Regional lookup table'!$A$3:$B$156,2)</f>
        <v>Africa</v>
      </c>
      <c r="D110" s="150" t="str">
        <f>'[2]Sovereign Ratings (Moody''s,S&amp;P)'!C104</f>
        <v>B2</v>
      </c>
      <c r="E110" s="151">
        <f t="shared" si="7"/>
        <v>6.2094961435095908E-2</v>
      </c>
      <c r="F110" s="151">
        <f t="shared" si="9"/>
        <v>0.13598151563795058</v>
      </c>
      <c r="G110" s="152">
        <f t="shared" si="10"/>
        <v>7.6381515637950578E-2</v>
      </c>
      <c r="H110" s="152">
        <f>VLOOKUP(B110,'[2]10-year CDS Spreads'!$A$2:$D$152,4)</f>
        <v>4.2099999999999999E-2</v>
      </c>
      <c r="I110" s="152">
        <f t="shared" si="11"/>
        <v>0.11138619543421177</v>
      </c>
      <c r="J110" s="153">
        <f t="shared" si="8"/>
        <v>5.1786195434211764E-2</v>
      </c>
    </row>
    <row r="111" spans="2:10" ht="15.5" hidden="1">
      <c r="B111" s="148" t="str">
        <f>'[2]Sovereign Ratings (Moody''s,S&amp;P)'!A105</f>
        <v>Norway</v>
      </c>
      <c r="C111" s="149" t="str">
        <f>VLOOKUP(B111,'[2]Regional lookup table'!$A$3:$B$156,2)</f>
        <v>Western Europe</v>
      </c>
      <c r="D111" s="150" t="str">
        <f>'[2]Sovereign Ratings (Moody''s,S&amp;P)'!C105</f>
        <v>Aaa</v>
      </c>
      <c r="E111" s="151">
        <f t="shared" si="7"/>
        <v>0</v>
      </c>
      <c r="F111" s="151">
        <f t="shared" si="9"/>
        <v>5.96E-2</v>
      </c>
      <c r="G111" s="152">
        <f t="shared" si="10"/>
        <v>0</v>
      </c>
      <c r="H111" s="152">
        <f>VLOOKUP(B111,'[2]10-year CDS Spreads'!$A$2:$D$152,4)</f>
        <v>0</v>
      </c>
      <c r="I111" s="152">
        <f t="shared" si="11"/>
        <v>5.96E-2</v>
      </c>
      <c r="J111" s="153">
        <f t="shared" si="8"/>
        <v>0</v>
      </c>
    </row>
    <row r="112" spans="2:10" ht="15.5" hidden="1">
      <c r="B112" s="148" t="str">
        <f>'[2]Sovereign Ratings (Moody''s,S&amp;P)'!A106</f>
        <v>Oman</v>
      </c>
      <c r="C112" s="149" t="str">
        <f>VLOOKUP(B112,'[2]Regional lookup table'!$A$3:$B$156,2)</f>
        <v>Middle East</v>
      </c>
      <c r="D112" s="150" t="str">
        <f>'[2]Sovereign Ratings (Moody''s,S&amp;P)'!C106</f>
        <v>Baa3</v>
      </c>
      <c r="E112" s="151">
        <f t="shared" si="7"/>
        <v>2.4837984574038366E-2</v>
      </c>
      <c r="F112" s="151">
        <f t="shared" si="9"/>
        <v>9.0152606255180234E-2</v>
      </c>
      <c r="G112" s="152">
        <f t="shared" si="10"/>
        <v>3.0552606255180234E-2</v>
      </c>
      <c r="H112" s="152" t="str">
        <f>VLOOKUP(B112,'[2]10-year CDS Spreads'!$A$2:$D$152,4)</f>
        <v>NA</v>
      </c>
      <c r="I112" s="152" t="str">
        <f t="shared" si="11"/>
        <v>NA</v>
      </c>
      <c r="J112" s="153" t="str">
        <f t="shared" si="8"/>
        <v>NA</v>
      </c>
    </row>
    <row r="113" spans="2:10" ht="15.5" hidden="1">
      <c r="B113" s="148" t="str">
        <f>'[2]Sovereign Ratings (Moody''s,S&amp;P)'!A107</f>
        <v>Pakistan</v>
      </c>
      <c r="C113" s="149" t="str">
        <f>VLOOKUP(B113,'[2]Regional lookup table'!$A$3:$B$156,2)</f>
        <v>Asia</v>
      </c>
      <c r="D113" s="150" t="str">
        <f>'[2]Sovereign Ratings (Moody''s,S&amp;P)'!C107</f>
        <v>B3</v>
      </c>
      <c r="E113" s="151">
        <f t="shared" si="7"/>
        <v>7.3394208515908457E-2</v>
      </c>
      <c r="F113" s="151">
        <f t="shared" si="9"/>
        <v>0.14988044717206947</v>
      </c>
      <c r="G113" s="152">
        <f t="shared" si="10"/>
        <v>9.028044717206947E-2</v>
      </c>
      <c r="H113" s="152">
        <f>VLOOKUP(B113,'[2]10-year CDS Spreads'!$A$2:$D$152,4)</f>
        <v>4.7899999999999998E-2</v>
      </c>
      <c r="I113" s="152">
        <f t="shared" si="11"/>
        <v>0.1185206356603027</v>
      </c>
      <c r="J113" s="153">
        <f t="shared" si="8"/>
        <v>5.89206356603027E-2</v>
      </c>
    </row>
    <row r="114" spans="2:10" ht="15.5" hidden="1">
      <c r="B114" s="148" t="str">
        <f>'[2]Sovereign Ratings (Moody''s,S&amp;P)'!A108</f>
        <v>Panama</v>
      </c>
      <c r="C114" s="149" t="str">
        <f>VLOOKUP(B114,'[2]Regional lookup table'!$A$3:$B$156,2)</f>
        <v>Central and South America</v>
      </c>
      <c r="D114" s="150" t="str">
        <f>'[2]Sovereign Ratings (Moody''s,S&amp;P)'!C108</f>
        <v>Baa2</v>
      </c>
      <c r="E114" s="151">
        <f t="shared" si="7"/>
        <v>2.147874895541842E-2</v>
      </c>
      <c r="F114" s="151">
        <f t="shared" si="9"/>
        <v>8.6020491474766508E-2</v>
      </c>
      <c r="G114" s="152">
        <f t="shared" si="10"/>
        <v>2.6420491474766512E-2</v>
      </c>
      <c r="H114" s="152">
        <f>VLOOKUP(B114,'[2]10-year CDS Spreads'!$A$2:$D$152,4)</f>
        <v>1.1200000000000002E-2</v>
      </c>
      <c r="I114" s="152">
        <f t="shared" si="11"/>
        <v>7.33768500917618E-2</v>
      </c>
      <c r="J114" s="153">
        <f t="shared" si="8"/>
        <v>1.3776850091761801E-2</v>
      </c>
    </row>
    <row r="115" spans="2:10" ht="15.5" hidden="1">
      <c r="B115" s="148" t="str">
        <f>'[2]Sovereign Ratings (Moody''s,S&amp;P)'!A109</f>
        <v>Papua New Guinea</v>
      </c>
      <c r="C115" s="149" t="str">
        <f>VLOOKUP(B115,'[2]Regional lookup table'!$A$3:$B$156,2)</f>
        <v>Asia</v>
      </c>
      <c r="D115" s="150" t="str">
        <f>'[2]Sovereign Ratings (Moody''s,S&amp;P)'!C109</f>
        <v>B2</v>
      </c>
      <c r="E115" s="151">
        <f t="shared" si="7"/>
        <v>6.2094961435095908E-2</v>
      </c>
      <c r="F115" s="151">
        <f t="shared" si="9"/>
        <v>0.13598151563795058</v>
      </c>
      <c r="G115" s="152">
        <f t="shared" si="10"/>
        <v>7.6381515637950578E-2</v>
      </c>
      <c r="H115" s="152" t="str">
        <f>VLOOKUP(B115,'[2]10-year CDS Spreads'!$A$2:$D$152,4)</f>
        <v>NA</v>
      </c>
      <c r="I115" s="152" t="str">
        <f t="shared" si="11"/>
        <v>NA</v>
      </c>
      <c r="J115" s="153" t="str">
        <f t="shared" si="8"/>
        <v>NA</v>
      </c>
    </row>
    <row r="116" spans="2:10" ht="15.5" hidden="1">
      <c r="B116" s="148" t="str">
        <f>'[2]Sovereign Ratings (Moody''s,S&amp;P)'!A110</f>
        <v>Paraguay</v>
      </c>
      <c r="C116" s="149" t="str">
        <f>VLOOKUP(B116,'[2]Regional lookup table'!$A$3:$B$156,2)</f>
        <v>Central and South America</v>
      </c>
      <c r="D116" s="150" t="str">
        <f>'[2]Sovereign Ratings (Moody''s,S&amp;P)'!C110</f>
        <v>Ba1</v>
      </c>
      <c r="E116" s="151">
        <f t="shared" si="7"/>
        <v>2.8197220192658311E-2</v>
      </c>
      <c r="F116" s="151">
        <f t="shared" si="9"/>
        <v>9.428472103559396E-2</v>
      </c>
      <c r="G116" s="152">
        <f t="shared" si="10"/>
        <v>3.468472103559396E-2</v>
      </c>
      <c r="H116" s="152" t="str">
        <f>VLOOKUP(B116,'[2]10-year CDS Spreads'!$A$2:$D$152,4)</f>
        <v>NA</v>
      </c>
      <c r="I116" s="152" t="str">
        <f t="shared" si="11"/>
        <v>NA</v>
      </c>
      <c r="J116" s="153" t="str">
        <f t="shared" si="8"/>
        <v>NA</v>
      </c>
    </row>
    <row r="117" spans="2:10" ht="15.5" hidden="1">
      <c r="B117" s="148" t="str">
        <f>'[2]Sovereign Ratings (Moody''s,S&amp;P)'!A111</f>
        <v>Peru</v>
      </c>
      <c r="C117" s="149" t="str">
        <f>VLOOKUP(B117,'[2]Regional lookup table'!$A$3:$B$156,2)</f>
        <v>Central and South America</v>
      </c>
      <c r="D117" s="150" t="str">
        <f>'[2]Sovereign Ratings (Moody''s,S&amp;P)'!C111</f>
        <v>A3</v>
      </c>
      <c r="E117" s="151">
        <f t="shared" si="7"/>
        <v>1.3538737493225832E-2</v>
      </c>
      <c r="F117" s="151">
        <f t="shared" si="9"/>
        <v>7.6253674721061357E-2</v>
      </c>
      <c r="G117" s="152">
        <f t="shared" si="10"/>
        <v>1.665367472106136E-2</v>
      </c>
      <c r="H117" s="152">
        <f>VLOOKUP(B117,'[2]10-year CDS Spreads'!$A$2:$D$152,4)</f>
        <v>1.3100000000000001E-2</v>
      </c>
      <c r="I117" s="152">
        <f t="shared" si="11"/>
        <v>7.5713994303757109E-2</v>
      </c>
      <c r="J117" s="153">
        <f t="shared" si="8"/>
        <v>1.6113994303757106E-2</v>
      </c>
    </row>
    <row r="118" spans="2:10" ht="15.5" hidden="1">
      <c r="B118" s="148" t="str">
        <f>'[2]Sovereign Ratings (Moody''s,S&amp;P)'!A112</f>
        <v>Philippines</v>
      </c>
      <c r="C118" s="149" t="str">
        <f>VLOOKUP(B118,'[2]Regional lookup table'!$A$3:$B$156,2)</f>
        <v>Asia</v>
      </c>
      <c r="D118" s="150" t="str">
        <f>'[2]Sovereign Ratings (Moody''s,S&amp;P)'!C112</f>
        <v>Baa2</v>
      </c>
      <c r="E118" s="151">
        <f t="shared" si="7"/>
        <v>2.147874895541842E-2</v>
      </c>
      <c r="F118" s="151">
        <f t="shared" si="9"/>
        <v>8.6020491474766508E-2</v>
      </c>
      <c r="G118" s="152">
        <f t="shared" si="10"/>
        <v>2.6420491474766512E-2</v>
      </c>
      <c r="H118" s="152">
        <f>VLOOKUP(B118,'[2]10-year CDS Spreads'!$A$2:$D$152,4)</f>
        <v>1.14E-2</v>
      </c>
      <c r="I118" s="152">
        <f t="shared" si="11"/>
        <v>7.362286527197183E-2</v>
      </c>
      <c r="J118" s="153">
        <f t="shared" si="8"/>
        <v>1.4022865271971833E-2</v>
      </c>
    </row>
    <row r="119" spans="2:10" ht="15.5" hidden="1">
      <c r="B119" s="148" t="str">
        <f>'[2]Sovereign Ratings (Moody''s,S&amp;P)'!A113</f>
        <v>Poland</v>
      </c>
      <c r="C119" s="149" t="str">
        <f>VLOOKUP(B119,'[2]Regional lookup table'!$A$3:$B$156,2)</f>
        <v>Eastern Europe &amp; Russia</v>
      </c>
      <c r="D119" s="150" t="str">
        <f>'[2]Sovereign Ratings (Moody''s,S&amp;P)'!C113</f>
        <v>A2</v>
      </c>
      <c r="E119" s="151">
        <f t="shared" si="7"/>
        <v>9.5687317621295353E-3</v>
      </c>
      <c r="F119" s="151">
        <f t="shared" si="9"/>
        <v>7.1370266344208788E-2</v>
      </c>
      <c r="G119" s="152">
        <f t="shared" si="10"/>
        <v>1.1770266344208781E-2</v>
      </c>
      <c r="H119" s="152">
        <f>VLOOKUP(B119,'[2]10-year CDS Spreads'!$A$2:$D$152,4)</f>
        <v>7.9000000000000008E-3</v>
      </c>
      <c r="I119" s="152">
        <f t="shared" si="11"/>
        <v>6.9317599618296269E-2</v>
      </c>
      <c r="J119" s="153">
        <f t="shared" si="8"/>
        <v>9.7175996182962705E-3</v>
      </c>
    </row>
    <row r="120" spans="2:10" ht="15.5" hidden="1">
      <c r="B120" s="148" t="str">
        <f>'[2]Sovereign Ratings (Moody''s,S&amp;P)'!A114</f>
        <v>Portugal</v>
      </c>
      <c r="C120" s="149" t="str">
        <f>VLOOKUP(B120,'[2]Regional lookup table'!$A$3:$B$156,2)</f>
        <v>Western Europe</v>
      </c>
      <c r="D120" s="150" t="str">
        <f>'[2]Sovereign Ratings (Moody''s,S&amp;P)'!C114</f>
        <v>Baa3</v>
      </c>
      <c r="E120" s="151">
        <f t="shared" si="7"/>
        <v>2.4837984574038366E-2</v>
      </c>
      <c r="F120" s="151">
        <f t="shared" si="9"/>
        <v>9.0152606255180234E-2</v>
      </c>
      <c r="G120" s="152">
        <f t="shared" si="10"/>
        <v>3.0552606255180234E-2</v>
      </c>
      <c r="H120" s="152">
        <f>VLOOKUP(B120,'[2]10-year CDS Spreads'!$A$2:$D$152,4)</f>
        <v>1.0599999999999998E-2</v>
      </c>
      <c r="I120" s="152">
        <f t="shared" si="11"/>
        <v>7.2638804551131697E-2</v>
      </c>
      <c r="J120" s="153">
        <f t="shared" si="8"/>
        <v>1.3038804551131702E-2</v>
      </c>
    </row>
    <row r="121" spans="2:10" ht="15.5" hidden="1">
      <c r="B121" s="148" t="str">
        <f>'[2]Sovereign Ratings (Moody''s,S&amp;P)'!A115</f>
        <v>Qatar</v>
      </c>
      <c r="C121" s="149" t="str">
        <f>VLOOKUP(B121,'[2]Regional lookup table'!$A$3:$B$156,2)</f>
        <v>Middle East</v>
      </c>
      <c r="D121" s="150" t="str">
        <f>'[2]Sovereign Ratings (Moody''s,S&amp;P)'!C115</f>
        <v>Aa3</v>
      </c>
      <c r="E121" s="151">
        <f t="shared" si="7"/>
        <v>6.8202662559859444E-3</v>
      </c>
      <c r="F121" s="151">
        <f t="shared" si="9"/>
        <v>6.7989445160233919E-2</v>
      </c>
      <c r="G121" s="152">
        <f t="shared" si="10"/>
        <v>8.389445160233917E-3</v>
      </c>
      <c r="H121" s="152" t="str">
        <f>VLOOKUP(B121,'[2]10-year CDS Spreads'!$A$2:$D$152,4)</f>
        <v>NA</v>
      </c>
      <c r="I121" s="152" t="str">
        <f t="shared" si="11"/>
        <v>NA</v>
      </c>
      <c r="J121" s="153" t="str">
        <f t="shared" si="8"/>
        <v>NA</v>
      </c>
    </row>
    <row r="122" spans="2:10" ht="15.5" hidden="1">
      <c r="B122" s="148" t="str">
        <f>'[2]Sovereign Ratings (Moody''s,S&amp;P)'!A116</f>
        <v>Ras Al Khaimah (Emirate of)</v>
      </c>
      <c r="C122" s="149" t="str">
        <f>VLOOKUP(B122,'[2]Regional lookup table'!$A$3:$B$156,2)</f>
        <v>Middle East</v>
      </c>
      <c r="D122" s="150" t="str">
        <f>'[2]Sovereign Ratings (Moody''s,S&amp;P)'!C116</f>
        <v>A2</v>
      </c>
      <c r="E122" s="151">
        <f t="shared" si="7"/>
        <v>9.5687317621295353E-3</v>
      </c>
      <c r="F122" s="151">
        <f t="shared" si="9"/>
        <v>7.1370266344208788E-2</v>
      </c>
      <c r="G122" s="152">
        <f t="shared" si="10"/>
        <v>1.1770266344208781E-2</v>
      </c>
      <c r="H122" s="152">
        <f>VLOOKUP(B122,'[2]10-year CDS Spreads'!$A$2:$D$152,4)</f>
        <v>1.1200000000000002E-2</v>
      </c>
      <c r="I122" s="152">
        <f t="shared" si="11"/>
        <v>7.33768500917618E-2</v>
      </c>
      <c r="J122" s="153">
        <f t="shared" si="8"/>
        <v>1.3776850091761801E-2</v>
      </c>
    </row>
    <row r="123" spans="2:10" ht="15.5" hidden="1">
      <c r="B123" s="148" t="str">
        <f>'[2]Sovereign Ratings (Moody''s,S&amp;P)'!A117</f>
        <v>Romania</v>
      </c>
      <c r="C123" s="149" t="str">
        <f>VLOOKUP(B123,'[2]Regional lookup table'!$A$3:$B$156,2)</f>
        <v>Eastern Europe &amp; Russia</v>
      </c>
      <c r="D123" s="150" t="str">
        <f>'[2]Sovereign Ratings (Moody''s,S&amp;P)'!C117</f>
        <v>Baa3</v>
      </c>
      <c r="E123" s="151">
        <f t="shared" si="7"/>
        <v>2.4837984574038366E-2</v>
      </c>
      <c r="F123" s="151">
        <f t="shared" si="9"/>
        <v>9.0152606255180234E-2</v>
      </c>
      <c r="G123" s="152">
        <f t="shared" si="10"/>
        <v>3.0552606255180234E-2</v>
      </c>
      <c r="H123" s="152">
        <f>VLOOKUP(B123,'[2]10-year CDS Spreads'!$A$2:$D$152,4)</f>
        <v>1.2199999999999999E-2</v>
      </c>
      <c r="I123" s="152">
        <f t="shared" si="11"/>
        <v>7.4606925992811962E-2</v>
      </c>
      <c r="J123" s="153">
        <f t="shared" si="8"/>
        <v>1.500692599281196E-2</v>
      </c>
    </row>
    <row r="124" spans="2:10" ht="15.5" hidden="1">
      <c r="B124" s="148" t="str">
        <f>'[2]Sovereign Ratings (Moody''s,S&amp;P)'!A118</f>
        <v>Russia</v>
      </c>
      <c r="C124" s="149" t="str">
        <f>VLOOKUP(B124,'[2]Regional lookup table'!$A$3:$B$156,2)</f>
        <v>Eastern Europe &amp; Russia</v>
      </c>
      <c r="D124" s="150" t="str">
        <f>'[2]Sovereign Ratings (Moody''s,S&amp;P)'!C118</f>
        <v>Ba1</v>
      </c>
      <c r="E124" s="151">
        <f t="shared" si="7"/>
        <v>2.8197220192658311E-2</v>
      </c>
      <c r="F124" s="151">
        <f t="shared" si="9"/>
        <v>9.428472103559396E-2</v>
      </c>
      <c r="G124" s="152">
        <f t="shared" si="10"/>
        <v>3.468472103559396E-2</v>
      </c>
      <c r="H124" s="152">
        <f>VLOOKUP(B124,'[2]10-year CDS Spreads'!$A$2:$D$152,4)</f>
        <v>1.7500000000000002E-2</v>
      </c>
      <c r="I124" s="152">
        <f t="shared" si="11"/>
        <v>8.1126328268377818E-2</v>
      </c>
      <c r="J124" s="153">
        <f t="shared" si="8"/>
        <v>2.1526328268377814E-2</v>
      </c>
    </row>
    <row r="125" spans="2:10" ht="15.5" hidden="1">
      <c r="B125" s="148" t="str">
        <f>'[2]Sovereign Ratings (Moody''s,S&amp;P)'!A119</f>
        <v>Rwanda</v>
      </c>
      <c r="C125" s="149" t="str">
        <f>VLOOKUP(B125,'[2]Regional lookup table'!$A$3:$B$156,2)</f>
        <v>Africa</v>
      </c>
      <c r="D125" s="150" t="str">
        <f>'[2]Sovereign Ratings (Moody''s,S&amp;P)'!C119</f>
        <v>B2</v>
      </c>
      <c r="E125" s="151">
        <f t="shared" si="7"/>
        <v>6.2094961435095908E-2</v>
      </c>
      <c r="F125" s="151">
        <f t="shared" si="9"/>
        <v>0.13598151563795058</v>
      </c>
      <c r="G125" s="152">
        <f t="shared" si="10"/>
        <v>7.6381515637950578E-2</v>
      </c>
      <c r="H125" s="152">
        <f>VLOOKUP(B125,'[2]10-year CDS Spreads'!$A$2:$D$152,4)</f>
        <v>4.0599999999999997E-2</v>
      </c>
      <c r="I125" s="152">
        <f t="shared" si="11"/>
        <v>0.10954108158263652</v>
      </c>
      <c r="J125" s="153">
        <f t="shared" si="8"/>
        <v>4.9941081582636521E-2</v>
      </c>
    </row>
    <row r="126" spans="2:10" ht="15.5" hidden="1">
      <c r="B126" s="148" t="str">
        <f>'[2]Sovereign Ratings (Moody''s,S&amp;P)'!A120</f>
        <v>Saudi Arabia</v>
      </c>
      <c r="C126" s="149" t="str">
        <f>VLOOKUP(B126,'[2]Regional lookup table'!$A$3:$B$156,2)</f>
        <v>Middle East</v>
      </c>
      <c r="D126" s="150" t="str">
        <f>'[2]Sovereign Ratings (Moody''s,S&amp;P)'!C120</f>
        <v>A1</v>
      </c>
      <c r="E126" s="151">
        <f t="shared" si="7"/>
        <v>7.9400114621925918E-3</v>
      </c>
      <c r="F126" s="151">
        <f t="shared" si="9"/>
        <v>6.9366816753705152E-2</v>
      </c>
      <c r="G126" s="152">
        <f t="shared" si="10"/>
        <v>9.7668167537051567E-3</v>
      </c>
      <c r="H126" s="152">
        <f>VLOOKUP(B126,'[2]10-year CDS Spreads'!$A$2:$D$152,4)</f>
        <v>1.2E-2</v>
      </c>
      <c r="I126" s="152">
        <f t="shared" si="11"/>
        <v>7.4360910812601932E-2</v>
      </c>
      <c r="J126" s="153">
        <f t="shared" si="8"/>
        <v>1.4760910812601929E-2</v>
      </c>
    </row>
    <row r="127" spans="2:10" ht="15.5" hidden="1">
      <c r="B127" s="148" t="str">
        <f>'[2]Sovereign Ratings (Moody''s,S&amp;P)'!A121</f>
        <v>Senegal</v>
      </c>
      <c r="C127" s="149" t="str">
        <f>VLOOKUP(B127,'[2]Regional lookup table'!$A$3:$B$156,2)</f>
        <v>Africa</v>
      </c>
      <c r="D127" s="150" t="str">
        <f>'[2]Sovereign Ratings (Moody''s,S&amp;P)'!C121</f>
        <v>Ba3</v>
      </c>
      <c r="E127" s="151">
        <f t="shared" si="7"/>
        <v>4.0616212479677498E-2</v>
      </c>
      <c r="F127" s="151">
        <f t="shared" si="9"/>
        <v>0.10956102416318408</v>
      </c>
      <c r="G127" s="152">
        <f t="shared" si="10"/>
        <v>4.9961024163184084E-2</v>
      </c>
      <c r="H127" s="152">
        <f>VLOOKUP(B127,'[2]10-year CDS Spreads'!$A$2:$D$152,4)</f>
        <v>4.1099999999999998E-2</v>
      </c>
      <c r="I127" s="152">
        <f t="shared" si="11"/>
        <v>0.11015611953316159</v>
      </c>
      <c r="J127" s="153">
        <f t="shared" si="8"/>
        <v>5.0556119533161602E-2</v>
      </c>
    </row>
    <row r="128" spans="2:10" ht="15.5" hidden="1">
      <c r="B128" s="148" t="str">
        <f>'[2]Sovereign Ratings (Moody''s,S&amp;P)'!A122</f>
        <v>Serbia</v>
      </c>
      <c r="C128" s="149" t="str">
        <f>VLOOKUP(B128,'[2]Regional lookup table'!$A$3:$B$156,2)</f>
        <v>Eastern Europe &amp; Russia</v>
      </c>
      <c r="D128" s="150" t="str">
        <f>'[2]Sovereign Ratings (Moody''s,S&amp;P)'!C122</f>
        <v>Ba3</v>
      </c>
      <c r="E128" s="151">
        <f t="shared" si="7"/>
        <v>4.0616212479677498E-2</v>
      </c>
      <c r="F128" s="151">
        <f t="shared" si="9"/>
        <v>0.10956102416318408</v>
      </c>
      <c r="G128" s="152">
        <f t="shared" si="10"/>
        <v>4.9961024163184084E-2</v>
      </c>
      <c r="H128" s="152">
        <f>VLOOKUP(B128,'[2]10-year CDS Spreads'!$A$2:$D$152,4)</f>
        <v>1.3500000000000002E-2</v>
      </c>
      <c r="I128" s="152">
        <f t="shared" si="11"/>
        <v>7.6206024664177169E-2</v>
      </c>
      <c r="J128" s="153">
        <f t="shared" si="8"/>
        <v>1.6606024664177172E-2</v>
      </c>
    </row>
    <row r="129" spans="2:10" ht="15.5" hidden="1">
      <c r="B129" s="148" t="str">
        <f>'[2]Sovereign Ratings (Moody''s,S&amp;P)'!A123</f>
        <v>Sharjah</v>
      </c>
      <c r="C129" s="149" t="str">
        <f>VLOOKUP(B129,'[2]Regional lookup table'!$A$3:$B$156,2)</f>
        <v>Middle East</v>
      </c>
      <c r="D129" s="150" t="str">
        <f>'[2]Sovereign Ratings (Moody''s,S&amp;P)'!C123</f>
        <v>A3</v>
      </c>
      <c r="E129" s="151">
        <f t="shared" si="7"/>
        <v>1.3538737493225832E-2</v>
      </c>
      <c r="F129" s="151">
        <f t="shared" si="9"/>
        <v>7.6253674721061357E-2</v>
      </c>
      <c r="G129" s="152">
        <f>IF($F$4="Yes",E129*$F$5,E129)</f>
        <v>1.665367472106136E-2</v>
      </c>
      <c r="H129" s="152" t="str">
        <f>VLOOKUP(B129,'[2]10-year CDS Spreads'!$A$2:$D$152,4)</f>
        <v>NA</v>
      </c>
      <c r="I129" s="152" t="str">
        <f t="shared" si="11"/>
        <v>NA</v>
      </c>
      <c r="J129" s="153" t="str">
        <f t="shared" si="8"/>
        <v>NA</v>
      </c>
    </row>
    <row r="130" spans="2:10" ht="15.5" hidden="1">
      <c r="B130" s="148" t="str">
        <f>'[2]Sovereign Ratings (Moody''s,S&amp;P)'!A124</f>
        <v>Singapore</v>
      </c>
      <c r="C130" s="149" t="str">
        <f>VLOOKUP(B130,'[2]Regional lookup table'!$A$3:$B$156,2)</f>
        <v>Asia</v>
      </c>
      <c r="D130" s="150" t="str">
        <f>'[2]Sovereign Ratings (Moody''s,S&amp;P)'!C124</f>
        <v>Aaa</v>
      </c>
      <c r="E130" s="151">
        <f t="shared" si="7"/>
        <v>0</v>
      </c>
      <c r="F130" s="151">
        <f t="shared" si="9"/>
        <v>5.96E-2</v>
      </c>
      <c r="G130" s="152">
        <f t="shared" ref="G130:G158" si="12">IF($F$4="Yes",E130*$F$5,E130)</f>
        <v>0</v>
      </c>
      <c r="H130" s="152" t="str">
        <f>VLOOKUP(B130,'[2]10-year CDS Spreads'!$A$2:$D$152,4)</f>
        <v>NA</v>
      </c>
      <c r="I130" s="152" t="str">
        <f t="shared" si="11"/>
        <v>NA</v>
      </c>
      <c r="J130" s="153" t="str">
        <f t="shared" si="8"/>
        <v>NA</v>
      </c>
    </row>
    <row r="131" spans="2:10" ht="15.5" hidden="1">
      <c r="B131" s="148" t="str">
        <f>'[2]Sovereign Ratings (Moody''s,S&amp;P)'!A125</f>
        <v>Slovakia</v>
      </c>
      <c r="C131" s="149" t="str">
        <f>VLOOKUP(B131,'[2]Regional lookup table'!$A$3:$B$156,2)</f>
        <v>Eastern Europe &amp; Russia</v>
      </c>
      <c r="D131" s="150" t="str">
        <f>'[2]Sovereign Ratings (Moody''s,S&amp;P)'!C125</f>
        <v>A2</v>
      </c>
      <c r="E131" s="151">
        <f t="shared" si="7"/>
        <v>9.5687317621295353E-3</v>
      </c>
      <c r="F131" s="151">
        <f t="shared" si="9"/>
        <v>7.1370266344208788E-2</v>
      </c>
      <c r="G131" s="152">
        <f t="shared" si="12"/>
        <v>1.1770266344208781E-2</v>
      </c>
      <c r="H131" s="152">
        <f>VLOOKUP(B131,'[2]10-year CDS Spreads'!$A$2:$D$152,4)</f>
        <v>5.6999999999999993E-3</v>
      </c>
      <c r="I131" s="152">
        <f t="shared" si="11"/>
        <v>6.6611432635985915E-2</v>
      </c>
      <c r="J131" s="153">
        <f t="shared" si="8"/>
        <v>7.0114326359859156E-3</v>
      </c>
    </row>
    <row r="132" spans="2:10" ht="15.5" hidden="1">
      <c r="B132" s="148" t="str">
        <f>'[2]Sovereign Ratings (Moody''s,S&amp;P)'!A126</f>
        <v>Slovenia</v>
      </c>
      <c r="C132" s="149" t="str">
        <f>VLOOKUP(B132,'[2]Regional lookup table'!$A$3:$B$156,2)</f>
        <v>Eastern Europe &amp; Russia</v>
      </c>
      <c r="D132" s="150" t="str">
        <f>'[2]Sovereign Ratings (Moody''s,S&amp;P)'!C126</f>
        <v>Baa1</v>
      </c>
      <c r="E132" s="151">
        <f t="shared" si="7"/>
        <v>1.8017718318052423E-2</v>
      </c>
      <c r="F132" s="151">
        <f>$F$3+G132</f>
        <v>8.1763161094946329E-2</v>
      </c>
      <c r="G132" s="152">
        <f>IF($F$4="Yes",E132*$F$5,E132)</f>
        <v>2.2163161094946322E-2</v>
      </c>
      <c r="H132" s="152">
        <f>VLOOKUP(B132,'[2]10-year CDS Spreads'!$A$2:$D$152,4)</f>
        <v>1.09E-2</v>
      </c>
      <c r="I132" s="152">
        <f>IF(J132="NA","NA",$F$3+J132)</f>
        <v>7.3007827321446755E-2</v>
      </c>
      <c r="J132" s="153">
        <f>IF(H132="NA","NA",H132*$F$5)</f>
        <v>1.3407827321446752E-2</v>
      </c>
    </row>
    <row r="133" spans="2:10" ht="15.5" hidden="1">
      <c r="B133" s="148" t="str">
        <f>'[2]Sovereign Ratings (Moody''s,S&amp;P)'!A127</f>
        <v>Solomon Islands</v>
      </c>
      <c r="C133" s="149" t="str">
        <f>VLOOKUP(B133,'[2]Regional lookup table'!$A$3:$B$156,2)</f>
        <v>Asia</v>
      </c>
      <c r="D133" s="150" t="str">
        <f>'[2]Sovereign Ratings (Moody''s,S&amp;P)'!C127</f>
        <v>B3</v>
      </c>
      <c r="E133" s="151">
        <f t="shared" si="7"/>
        <v>7.3394208515908457E-2</v>
      </c>
      <c r="F133" s="151">
        <f t="shared" si="9"/>
        <v>0.14988044717206947</v>
      </c>
      <c r="G133" s="152">
        <f t="shared" si="12"/>
        <v>9.028044717206947E-2</v>
      </c>
      <c r="H133" s="152" t="str">
        <f>VLOOKUP(B133,'[2]10-year CDS Spreads'!$A$2:$D$152,4)</f>
        <v>NA</v>
      </c>
      <c r="I133" s="152" t="str">
        <f t="shared" si="11"/>
        <v>NA</v>
      </c>
      <c r="J133" s="153" t="str">
        <f t="shared" si="8"/>
        <v>NA</v>
      </c>
    </row>
    <row r="134" spans="2:10" ht="15.5" hidden="1">
      <c r="B134" s="148" t="str">
        <f>'[2]Sovereign Ratings (Moody''s,S&amp;P)'!A128</f>
        <v>South Africa</v>
      </c>
      <c r="C134" s="149" t="str">
        <f>VLOOKUP(B134,'[2]Regional lookup table'!$A$3:$B$156,2)</f>
        <v>Africa</v>
      </c>
      <c r="D134" s="150" t="str">
        <f>'[2]Sovereign Ratings (Moody''s,S&amp;P)'!C128</f>
        <v>Baa3</v>
      </c>
      <c r="E134" s="151">
        <f t="shared" si="7"/>
        <v>2.4837984574038366E-2</v>
      </c>
      <c r="F134" s="151">
        <f t="shared" si="9"/>
        <v>9.0152606255180234E-2</v>
      </c>
      <c r="G134" s="152">
        <f t="shared" si="12"/>
        <v>3.0552606255180234E-2</v>
      </c>
      <c r="H134" s="152">
        <f>VLOOKUP(B134,'[2]10-year CDS Spreads'!$A$2:$D$152,4)</f>
        <v>2.6200000000000001E-2</v>
      </c>
      <c r="I134" s="152">
        <f t="shared" si="11"/>
        <v>9.1827988607514205E-2</v>
      </c>
      <c r="J134" s="153">
        <f t="shared" si="8"/>
        <v>3.2227988607514212E-2</v>
      </c>
    </row>
    <row r="135" spans="2:10" ht="15.5" hidden="1">
      <c r="B135" s="148" t="str">
        <f>'[2]Sovereign Ratings (Moody''s,S&amp;P)'!A129</f>
        <v>Spain</v>
      </c>
      <c r="C135" s="149" t="str">
        <f>VLOOKUP(B135,'[2]Regional lookup table'!$A$3:$B$156,2)</f>
        <v>Western Europe</v>
      </c>
      <c r="D135" s="150" t="str">
        <f>'[2]Sovereign Ratings (Moody''s,S&amp;P)'!C129</f>
        <v>Baa1</v>
      </c>
      <c r="E135" s="151">
        <f t="shared" si="7"/>
        <v>1.8017718318052423E-2</v>
      </c>
      <c r="F135" s="151">
        <f t="shared" si="9"/>
        <v>8.1763161094946329E-2</v>
      </c>
      <c r="G135" s="152">
        <f t="shared" si="12"/>
        <v>2.2163161094946322E-2</v>
      </c>
      <c r="H135" s="152">
        <f>VLOOKUP(B135,'[2]10-year CDS Spreads'!$A$2:$D$152,4)</f>
        <v>9.0000000000000011E-3</v>
      </c>
      <c r="I135" s="152">
        <f t="shared" si="11"/>
        <v>7.0670683109451446E-2</v>
      </c>
      <c r="J135" s="153">
        <f t="shared" si="8"/>
        <v>1.1070683109451447E-2</v>
      </c>
    </row>
    <row r="136" spans="2:10" ht="15.5" hidden="1">
      <c r="B136" s="148" t="str">
        <f>'[2]Sovereign Ratings (Moody''s,S&amp;P)'!A130</f>
        <v>Sri Lanka</v>
      </c>
      <c r="C136" s="149" t="str">
        <f>VLOOKUP(B136,'[2]Regional lookup table'!$A$3:$B$156,2)</f>
        <v>Asia</v>
      </c>
      <c r="D136" s="150" t="str">
        <f>'[2]Sovereign Ratings (Moody''s,S&amp;P)'!C130</f>
        <v>B1</v>
      </c>
      <c r="E136" s="151">
        <f t="shared" ref="E136:E158" si="13">VLOOKUP(D136,$K$9:$L$29,2)/10000</f>
        <v>5.0795714354283386E-2</v>
      </c>
      <c r="F136" s="151">
        <f t="shared" si="9"/>
        <v>0.12208258410383171</v>
      </c>
      <c r="G136" s="152">
        <f t="shared" si="12"/>
        <v>6.2482584103831722E-2</v>
      </c>
      <c r="H136" s="152" t="str">
        <f>VLOOKUP(B136,'[2]10-year CDS Spreads'!$A$2:$D$152,4)</f>
        <v>NA</v>
      </c>
      <c r="I136" s="152" t="str">
        <f t="shared" si="11"/>
        <v>NA</v>
      </c>
      <c r="J136" s="153" t="str">
        <f t="shared" si="8"/>
        <v>NA</v>
      </c>
    </row>
    <row r="137" spans="2:10" ht="15.5" hidden="1">
      <c r="B137" s="148" t="str">
        <f>'[2]Sovereign Ratings (Moody''s,S&amp;P)'!A131</f>
        <v>St. Maarten</v>
      </c>
      <c r="C137" s="149" t="str">
        <f>VLOOKUP(B137,'[2]Regional lookup table'!$A$3:$B$156,2)</f>
        <v>Caribbean</v>
      </c>
      <c r="D137" s="150" t="str">
        <f>'[2]Sovereign Ratings (Moody''s,S&amp;P)'!C131</f>
        <v>Baa2</v>
      </c>
      <c r="E137" s="151">
        <f t="shared" si="13"/>
        <v>2.147874895541842E-2</v>
      </c>
      <c r="F137" s="151">
        <f t="shared" si="9"/>
        <v>8.6020491474766508E-2</v>
      </c>
      <c r="G137" s="152">
        <f t="shared" si="12"/>
        <v>2.6420491474766512E-2</v>
      </c>
      <c r="H137" s="152" t="str">
        <f>VLOOKUP(B137,'[2]10-year CDS Spreads'!$A$2:$D$152,4)</f>
        <v>NA</v>
      </c>
      <c r="I137" s="152" t="str">
        <f t="shared" si="11"/>
        <v>NA</v>
      </c>
      <c r="J137" s="153" t="str">
        <f t="shared" si="8"/>
        <v>NA</v>
      </c>
    </row>
    <row r="138" spans="2:10" ht="15.5" hidden="1">
      <c r="B138" s="148" t="str">
        <f>'[2]Sovereign Ratings (Moody''s,S&amp;P)'!A132</f>
        <v>St. Vincent &amp; the Grenadines</v>
      </c>
      <c r="C138" s="149" t="str">
        <f>VLOOKUP(B138,'[2]Regional lookup table'!$A$3:$B$156,2)</f>
        <v>Caribbean</v>
      </c>
      <c r="D138" s="150" t="str">
        <f>'[2]Sovereign Ratings (Moody''s,S&amp;P)'!C132</f>
        <v>B3</v>
      </c>
      <c r="E138" s="151">
        <f t="shared" si="13"/>
        <v>7.3394208515908457E-2</v>
      </c>
      <c r="F138" s="151">
        <f t="shared" si="9"/>
        <v>0.14988044717206947</v>
      </c>
      <c r="G138" s="152">
        <f t="shared" si="12"/>
        <v>9.028044717206947E-2</v>
      </c>
      <c r="H138" s="152" t="str">
        <f>VLOOKUP(B138,'[2]10-year CDS Spreads'!$A$2:$D$152,4)</f>
        <v>NA</v>
      </c>
      <c r="I138" s="152" t="str">
        <f t="shared" si="11"/>
        <v>NA</v>
      </c>
      <c r="J138" s="153" t="str">
        <f t="shared" si="8"/>
        <v>NA</v>
      </c>
    </row>
    <row r="139" spans="2:10" ht="15.5" hidden="1">
      <c r="B139" s="148" t="str">
        <f>'[2]Sovereign Ratings (Moody''s,S&amp;P)'!A133</f>
        <v>Suriname</v>
      </c>
      <c r="C139" s="149" t="str">
        <f>VLOOKUP(B139,'[2]Regional lookup table'!$A$3:$B$156,2)</f>
        <v>Central and South America</v>
      </c>
      <c r="D139" s="150" t="str">
        <f>'[2]Sovereign Ratings (Moody''s,S&amp;P)'!C133</f>
        <v>B2</v>
      </c>
      <c r="E139" s="151">
        <f t="shared" si="13"/>
        <v>6.2094961435095908E-2</v>
      </c>
      <c r="F139" s="151">
        <f>$F$3+G139</f>
        <v>0.13598151563795058</v>
      </c>
      <c r="G139" s="152">
        <f>IF($F$4="Yes",E139*$F$5,E139)</f>
        <v>7.6381515637950578E-2</v>
      </c>
      <c r="H139" s="152" t="str">
        <f>VLOOKUP(B139,'[2]10-year CDS Spreads'!$A$2:$D$152,4)</f>
        <v>NA</v>
      </c>
      <c r="I139" s="152" t="str">
        <f>IF(J139="NA","NA",$F$3+J139)</f>
        <v>NA</v>
      </c>
      <c r="J139" s="153" t="str">
        <f>IF(H139="NA","NA",H139*$F$5)</f>
        <v>NA</v>
      </c>
    </row>
    <row r="140" spans="2:10" ht="15.5" hidden="1">
      <c r="B140" s="148" t="str">
        <f>'[2]Sovereign Ratings (Moody''s,S&amp;P)'!A134</f>
        <v>Swaziland</v>
      </c>
      <c r="C140" s="149" t="str">
        <f>VLOOKUP(B140,'[2]Regional lookup table'!$A$3:$B$156,2)</f>
        <v>Africa</v>
      </c>
      <c r="D140" s="150" t="str">
        <f>'[2]Sovereign Ratings (Moody''s,S&amp;P)'!C134</f>
        <v>B2</v>
      </c>
      <c r="E140" s="151">
        <f t="shared" si="13"/>
        <v>6.2094961435095908E-2</v>
      </c>
      <c r="F140" s="151">
        <f t="shared" si="9"/>
        <v>0.13598151563795058</v>
      </c>
      <c r="G140" s="152">
        <f t="shared" si="12"/>
        <v>7.6381515637950578E-2</v>
      </c>
      <c r="H140" s="152" t="str">
        <f>VLOOKUP(B140,'[2]10-year CDS Spreads'!$A$2:$D$152,4)</f>
        <v>NA</v>
      </c>
      <c r="I140" s="152" t="str">
        <f t="shared" si="11"/>
        <v>NA</v>
      </c>
      <c r="J140" s="153" t="str">
        <f t="shared" ref="J140:J158" si="14">IF(H140="NA","NA",H140*$F$5)</f>
        <v>NA</v>
      </c>
    </row>
    <row r="141" spans="2:10" ht="15.5" hidden="1">
      <c r="B141" s="148" t="str">
        <f>'[2]Sovereign Ratings (Moody''s,S&amp;P)'!A135</f>
        <v>Sweden</v>
      </c>
      <c r="C141" s="149" t="str">
        <f>VLOOKUP(B141,'[2]Regional lookup table'!$A$3:$B$156,2)</f>
        <v>Western Europe</v>
      </c>
      <c r="D141" s="150" t="str">
        <f>'[2]Sovereign Ratings (Moody''s,S&amp;P)'!C135</f>
        <v>Aaa</v>
      </c>
      <c r="E141" s="151">
        <f t="shared" si="13"/>
        <v>0</v>
      </c>
      <c r="F141" s="151">
        <f t="shared" si="9"/>
        <v>5.96E-2</v>
      </c>
      <c r="G141" s="152">
        <f t="shared" si="12"/>
        <v>0</v>
      </c>
      <c r="H141" s="152">
        <f>VLOOKUP(B141,'[2]10-year CDS Spreads'!$A$2:$D$152,4)</f>
        <v>0</v>
      </c>
      <c r="I141" s="152">
        <f t="shared" si="11"/>
        <v>5.96E-2</v>
      </c>
      <c r="J141" s="153">
        <f t="shared" si="14"/>
        <v>0</v>
      </c>
    </row>
    <row r="142" spans="2:10" ht="15.5" hidden="1">
      <c r="B142" s="148" t="str">
        <f>'[2]Sovereign Ratings (Moody''s,S&amp;P)'!A136</f>
        <v>Switzerland</v>
      </c>
      <c r="C142" s="149" t="str">
        <f>VLOOKUP(B142,'[2]Regional lookup table'!$A$3:$B$156,2)</f>
        <v>Western Europe</v>
      </c>
      <c r="D142" s="150" t="str">
        <f>'[2]Sovereign Ratings (Moody''s,S&amp;P)'!C136</f>
        <v>Aaa</v>
      </c>
      <c r="E142" s="151">
        <f t="shared" si="13"/>
        <v>0</v>
      </c>
      <c r="F142" s="151">
        <f t="shared" si="9"/>
        <v>5.96E-2</v>
      </c>
      <c r="G142" s="152">
        <f t="shared" si="12"/>
        <v>0</v>
      </c>
      <c r="H142" s="152">
        <f>VLOOKUP(B142,'[2]10-year CDS Spreads'!$A$2:$D$152,4)</f>
        <v>0</v>
      </c>
      <c r="I142" s="152">
        <f t="shared" si="11"/>
        <v>5.96E-2</v>
      </c>
      <c r="J142" s="153">
        <f t="shared" si="14"/>
        <v>0</v>
      </c>
    </row>
    <row r="143" spans="2:10" ht="15.5" hidden="1">
      <c r="B143" s="148" t="str">
        <f>'[2]Sovereign Ratings (Moody''s,S&amp;P)'!A137</f>
        <v>Taiwan</v>
      </c>
      <c r="C143" s="149" t="str">
        <f>VLOOKUP(B143,'[2]Regional lookup table'!$A$3:$B$156,2)</f>
        <v>Asia</v>
      </c>
      <c r="D143" s="150" t="str">
        <f>'[2]Sovereign Ratings (Moody''s,S&amp;P)'!C137</f>
        <v>Aa3</v>
      </c>
      <c r="E143" s="151">
        <f t="shared" si="13"/>
        <v>6.8202662559859444E-3</v>
      </c>
      <c r="F143" s="151">
        <f>$F$3+G143</f>
        <v>6.7989445160233919E-2</v>
      </c>
      <c r="G143" s="152">
        <f>IF($F$4="Yes",E143*$F$5,E143)</f>
        <v>8.389445160233917E-3</v>
      </c>
      <c r="H143" s="152" t="str">
        <f>VLOOKUP(B143,'[2]10-year CDS Spreads'!$A$2:$D$152,4)</f>
        <v>NA</v>
      </c>
      <c r="I143" s="152" t="str">
        <f>IF(J143="NA","NA",$F$3+J143)</f>
        <v>NA</v>
      </c>
      <c r="J143" s="153" t="str">
        <f>IF(H143="NA","NA",H143*$F$5)</f>
        <v>NA</v>
      </c>
    </row>
    <row r="144" spans="2:10" ht="15.5" hidden="1">
      <c r="B144" s="148" t="str">
        <f>'[2]Sovereign Ratings (Moody''s,S&amp;P)'!A138</f>
        <v>Tajikistan</v>
      </c>
      <c r="C144" s="149" t="str">
        <f>VLOOKUP(B144,'[2]Regional lookup table'!$A$3:$B$156,2)</f>
        <v>Eastern Europe &amp; Russia</v>
      </c>
      <c r="D144" s="150" t="str">
        <f>'[2]Sovereign Ratings (Moody''s,S&amp;P)'!C138</f>
        <v>B3</v>
      </c>
      <c r="E144" s="151">
        <f t="shared" si="13"/>
        <v>7.3394208515908457E-2</v>
      </c>
      <c r="F144" s="151">
        <f>$F$3+G144</f>
        <v>0.14988044717206947</v>
      </c>
      <c r="G144" s="152">
        <f>IF($F$4="Yes",E144*$F$5,E144)</f>
        <v>9.028044717206947E-2</v>
      </c>
      <c r="H144" s="152" t="str">
        <f>VLOOKUP(B144,'[2]10-year CDS Spreads'!$A$2:$D$152,4)</f>
        <v>NA</v>
      </c>
      <c r="I144" s="152" t="str">
        <f>IF(J144="NA","NA",$F$3+J144)</f>
        <v>NA</v>
      </c>
      <c r="J144" s="153" t="str">
        <f>IF(H144="NA","NA",H144*$F$5)</f>
        <v>NA</v>
      </c>
    </row>
    <row r="145" spans="2:10" ht="15.5" hidden="1">
      <c r="B145" s="148" t="str">
        <f>'[2]Sovereign Ratings (Moody''s,S&amp;P)'!A139</f>
        <v>Tanzania</v>
      </c>
      <c r="C145" s="149" t="str">
        <f>VLOOKUP(B145,'[2]Regional lookup table'!$A$3:$B$156,2)</f>
        <v>Africa</v>
      </c>
      <c r="D145" s="150" t="str">
        <f>'[2]Sovereign Ratings (Moody''s,S&amp;P)'!C139</f>
        <v>B1</v>
      </c>
      <c r="E145" s="151">
        <f t="shared" si="13"/>
        <v>5.0795714354283386E-2</v>
      </c>
      <c r="F145" s="151">
        <f t="shared" ref="F145:F159" si="15">$F$3+G145</f>
        <v>0.12208258410383171</v>
      </c>
      <c r="G145" s="152">
        <f t="shared" si="12"/>
        <v>6.2482584103831722E-2</v>
      </c>
      <c r="H145" s="152" t="str">
        <f>VLOOKUP(B145,'[2]10-year CDS Spreads'!$A$2:$D$152,4)</f>
        <v>NA</v>
      </c>
      <c r="I145" s="152" t="str">
        <f t="shared" ref="I145:I159" si="16">IF(J145="NA","NA",$F$3+J145)</f>
        <v>NA</v>
      </c>
      <c r="J145" s="153" t="str">
        <f t="shared" si="14"/>
        <v>NA</v>
      </c>
    </row>
    <row r="146" spans="2:10" ht="15.5" hidden="1">
      <c r="B146" s="148" t="str">
        <f>'[2]Sovereign Ratings (Moody''s,S&amp;P)'!A140</f>
        <v>Thailand</v>
      </c>
      <c r="C146" s="149" t="str">
        <f>VLOOKUP(B146,'[2]Regional lookup table'!$A$3:$B$156,2)</f>
        <v>Asia</v>
      </c>
      <c r="D146" s="150" t="str">
        <f>'[2]Sovereign Ratings (Moody''s,S&amp;P)'!C140</f>
        <v>Baa1</v>
      </c>
      <c r="E146" s="151">
        <f t="shared" si="13"/>
        <v>1.8017718318052423E-2</v>
      </c>
      <c r="F146" s="151">
        <f t="shared" si="15"/>
        <v>8.1763161094946329E-2</v>
      </c>
      <c r="G146" s="152">
        <f t="shared" si="12"/>
        <v>2.2163161094946322E-2</v>
      </c>
      <c r="H146" s="152">
        <f>VLOOKUP(B146,'[2]10-year CDS Spreads'!$A$2:$D$152,4)</f>
        <v>5.3999999999999994E-3</v>
      </c>
      <c r="I146" s="152">
        <f t="shared" si="16"/>
        <v>6.624240986567087E-2</v>
      </c>
      <c r="J146" s="153">
        <f t="shared" si="14"/>
        <v>6.6424098656708676E-3</v>
      </c>
    </row>
    <row r="147" spans="2:10" ht="15.5" hidden="1">
      <c r="B147" s="148" t="str">
        <f>'[2]Sovereign Ratings (Moody''s,S&amp;P)'!A141</f>
        <v>Trinidad and Tobago</v>
      </c>
      <c r="C147" s="149" t="str">
        <f>VLOOKUP(B147,'[2]Regional lookup table'!$A$3:$B$156,2)</f>
        <v>Caribbean</v>
      </c>
      <c r="D147" s="150" t="str">
        <f>'[2]Sovereign Ratings (Moody''s,S&amp;P)'!C141</f>
        <v>Ba1</v>
      </c>
      <c r="E147" s="151">
        <f t="shared" si="13"/>
        <v>2.8197220192658311E-2</v>
      </c>
      <c r="F147" s="151">
        <f t="shared" si="15"/>
        <v>9.428472103559396E-2</v>
      </c>
      <c r="G147" s="152">
        <f t="shared" si="12"/>
        <v>3.468472103559396E-2</v>
      </c>
      <c r="H147" s="152" t="str">
        <f>VLOOKUP(B147,'[2]10-year CDS Spreads'!$A$2:$D$152,4)</f>
        <v>NA</v>
      </c>
      <c r="I147" s="152" t="str">
        <f t="shared" si="16"/>
        <v>NA</v>
      </c>
      <c r="J147" s="153" t="str">
        <f t="shared" si="14"/>
        <v>NA</v>
      </c>
    </row>
    <row r="148" spans="2:10" ht="15.5" hidden="1">
      <c r="B148" s="148" t="str">
        <f>'[2]Sovereign Ratings (Moody''s,S&amp;P)'!A142</f>
        <v>Tunisia</v>
      </c>
      <c r="C148" s="149" t="str">
        <f>VLOOKUP(B148,'[2]Regional lookup table'!$A$3:$B$156,2)</f>
        <v>Africa</v>
      </c>
      <c r="D148" s="150" t="str">
        <f>'[2]Sovereign Ratings (Moody''s,S&amp;P)'!C142</f>
        <v>B2</v>
      </c>
      <c r="E148" s="151">
        <f t="shared" si="13"/>
        <v>6.2094961435095908E-2</v>
      </c>
      <c r="F148" s="151">
        <f t="shared" si="15"/>
        <v>0.13598151563795058</v>
      </c>
      <c r="G148" s="152">
        <f t="shared" si="12"/>
        <v>7.6381515637950578E-2</v>
      </c>
      <c r="H148" s="152">
        <f>VLOOKUP(B148,'[2]10-year CDS Spreads'!$A$2:$D$152,4)</f>
        <v>3.4099999999999998E-2</v>
      </c>
      <c r="I148" s="152">
        <f t="shared" si="16"/>
        <v>0.10154558822581047</v>
      </c>
      <c r="J148" s="153">
        <f t="shared" si="14"/>
        <v>4.194558822581048E-2</v>
      </c>
    </row>
    <row r="149" spans="2:10" ht="15.5" hidden="1">
      <c r="B149" s="148" t="str">
        <f>'[2]Sovereign Ratings (Moody''s,S&amp;P)'!A143</f>
        <v>Turkey</v>
      </c>
      <c r="C149" s="149" t="str">
        <f>VLOOKUP(B149,'[2]Regional lookup table'!$A$3:$B$156,2)</f>
        <v>Western Europe</v>
      </c>
      <c r="D149" s="150" t="str">
        <f>'[2]Sovereign Ratings (Moody''s,S&amp;P)'!C143</f>
        <v>Ba3</v>
      </c>
      <c r="E149" s="151">
        <f t="shared" si="13"/>
        <v>4.0616212479677498E-2</v>
      </c>
      <c r="F149" s="151">
        <f t="shared" si="15"/>
        <v>0.10956102416318408</v>
      </c>
      <c r="G149" s="152">
        <f t="shared" si="12"/>
        <v>4.9961024163184084E-2</v>
      </c>
      <c r="H149" s="152">
        <f>VLOOKUP(B149,'[2]10-year CDS Spreads'!$A$2:$D$152,4)</f>
        <v>3.8899999999999997E-2</v>
      </c>
      <c r="I149" s="152">
        <f t="shared" si="16"/>
        <v>0.10744995255085124</v>
      </c>
      <c r="J149" s="153">
        <f t="shared" si="14"/>
        <v>4.7849952550851248E-2</v>
      </c>
    </row>
    <row r="150" spans="2:10" ht="15.5" hidden="1">
      <c r="B150" s="148" t="str">
        <f>'[2]Sovereign Ratings (Moody''s,S&amp;P)'!A144</f>
        <v>Turks and Caicos Islands</v>
      </c>
      <c r="C150" s="149" t="str">
        <f>VLOOKUP(B150,'[2]Regional lookup table'!$A$3:$B$156,2)</f>
        <v>Caribbean</v>
      </c>
      <c r="D150" s="150" t="str">
        <f>'[2]Sovereign Ratings (Moody''s,S&amp;P)'!C144</f>
        <v>Baa1</v>
      </c>
      <c r="E150" s="151">
        <f t="shared" si="13"/>
        <v>1.8017718318052423E-2</v>
      </c>
      <c r="F150" s="151">
        <f t="shared" si="15"/>
        <v>8.1763161094946329E-2</v>
      </c>
      <c r="G150" s="152">
        <f t="shared" si="12"/>
        <v>2.2163161094946322E-2</v>
      </c>
      <c r="H150" s="152" t="str">
        <f>VLOOKUP(B150,'[2]10-year CDS Spreads'!$A$2:$D$152,4)</f>
        <v>NA</v>
      </c>
      <c r="I150" s="152" t="str">
        <f t="shared" si="16"/>
        <v>NA</v>
      </c>
      <c r="J150" s="153" t="str">
        <f t="shared" si="14"/>
        <v>NA</v>
      </c>
    </row>
    <row r="151" spans="2:10" ht="15.5" hidden="1">
      <c r="B151" s="148" t="str">
        <f>'[2]Sovereign Ratings (Moody''s,S&amp;P)'!A145</f>
        <v>Uganda</v>
      </c>
      <c r="C151" s="149" t="str">
        <f>VLOOKUP(B151,'[2]Regional lookup table'!$A$3:$B$156,2)</f>
        <v>Africa</v>
      </c>
      <c r="D151" s="150" t="str">
        <f>'[2]Sovereign Ratings (Moody''s,S&amp;P)'!C145</f>
        <v>B2</v>
      </c>
      <c r="E151" s="151">
        <f t="shared" si="13"/>
        <v>6.2094961435095908E-2</v>
      </c>
      <c r="F151" s="151">
        <f t="shared" si="15"/>
        <v>0.13598151563795058</v>
      </c>
      <c r="G151" s="152">
        <f t="shared" si="12"/>
        <v>7.6381515637950578E-2</v>
      </c>
      <c r="H151" s="152" t="str">
        <f>VLOOKUP(B151,'[2]10-year CDS Spreads'!$A$2:$D$152,4)</f>
        <v>NA</v>
      </c>
      <c r="I151" s="152" t="str">
        <f t="shared" si="16"/>
        <v>NA</v>
      </c>
      <c r="J151" s="153" t="str">
        <f t="shared" si="14"/>
        <v>NA</v>
      </c>
    </row>
    <row r="152" spans="2:10" ht="15.5" hidden="1">
      <c r="B152" s="148" t="str">
        <f>'[2]Sovereign Ratings (Moody''s,S&amp;P)'!A146</f>
        <v>Ukraine</v>
      </c>
      <c r="C152" s="149" t="str">
        <f>VLOOKUP(B152,'[2]Regional lookup table'!$A$3:$B$156,2)</f>
        <v>Eastern Europe &amp; Russia</v>
      </c>
      <c r="D152" s="150" t="str">
        <f>'[2]Sovereign Ratings (Moody''s,S&amp;P)'!C146</f>
        <v>Caa1</v>
      </c>
      <c r="E152" s="151">
        <f t="shared" si="13"/>
        <v>8.4591660577974931E-2</v>
      </c>
      <c r="F152" s="151">
        <f t="shared" si="15"/>
        <v>0.16365416310678188</v>
      </c>
      <c r="G152" s="152">
        <f t="shared" si="12"/>
        <v>0.10405416310678188</v>
      </c>
      <c r="H152" s="152">
        <f>VLOOKUP(B152,'[2]10-year CDS Spreads'!$A$2:$D$152,4)</f>
        <v>7.3300000000000004E-2</v>
      </c>
      <c r="I152" s="152">
        <f t="shared" si="16"/>
        <v>0.14976456354697679</v>
      </c>
      <c r="J152" s="153">
        <f t="shared" si="14"/>
        <v>9.0164563546976786E-2</v>
      </c>
    </row>
    <row r="153" spans="2:10" ht="15.5" hidden="1">
      <c r="B153" s="148" t="str">
        <f>'[2]Sovereign Ratings (Moody''s,S&amp;P)'!A147</f>
        <v>United Arab Emirates</v>
      </c>
      <c r="C153" s="149" t="str">
        <f>VLOOKUP(B153,'[2]Regional lookup table'!$A$3:$B$156,2)</f>
        <v>Middle East</v>
      </c>
      <c r="D153" s="150" t="str">
        <f>'[2]Sovereign Ratings (Moody''s,S&amp;P)'!C147</f>
        <v>Aa2</v>
      </c>
      <c r="E153" s="151">
        <f t="shared" si="13"/>
        <v>5.5987260310332385E-3</v>
      </c>
      <c r="F153" s="151">
        <f t="shared" si="15"/>
        <v>6.6486857967356205E-2</v>
      </c>
      <c r="G153" s="152">
        <f t="shared" si="12"/>
        <v>6.8868579673562009E-3</v>
      </c>
      <c r="H153" s="152" t="str">
        <f>VLOOKUP(B153,'[2]10-year CDS Spreads'!$A$2:$D$152,4)</f>
        <v>NA</v>
      </c>
      <c r="I153" s="152" t="str">
        <f t="shared" si="16"/>
        <v>NA</v>
      </c>
      <c r="J153" s="153" t="str">
        <f t="shared" si="14"/>
        <v>NA</v>
      </c>
    </row>
    <row r="154" spans="2:10" ht="15.5" hidden="1">
      <c r="B154" s="148" t="str">
        <f>'[2]Sovereign Ratings (Moody''s,S&amp;P)'!A148</f>
        <v>United Kingdom</v>
      </c>
      <c r="C154" s="149" t="str">
        <f>VLOOKUP(B154,'[2]Regional lookup table'!$A$3:$B$156,2)</f>
        <v>Western Europe</v>
      </c>
      <c r="D154" s="150" t="str">
        <f>'[2]Sovereign Ratings (Moody''s,S&amp;P)'!C148</f>
        <v>Aa2</v>
      </c>
      <c r="E154" s="151">
        <f t="shared" si="13"/>
        <v>5.5987260310332385E-3</v>
      </c>
      <c r="F154" s="151">
        <f t="shared" si="15"/>
        <v>6.6486857967356205E-2</v>
      </c>
      <c r="G154" s="152">
        <f t="shared" si="12"/>
        <v>6.8868579673562009E-3</v>
      </c>
      <c r="H154" s="152">
        <f>VLOOKUP(B154,'[2]10-year CDS Spreads'!$A$2:$D$152,4)</f>
        <v>3.1000000000000003E-3</v>
      </c>
      <c r="I154" s="152">
        <f t="shared" si="16"/>
        <v>6.3413235293255502E-2</v>
      </c>
      <c r="J154" s="153">
        <f t="shared" si="14"/>
        <v>3.8132352932554988E-3</v>
      </c>
    </row>
    <row r="155" spans="2:10" ht="15.5">
      <c r="B155" s="148" t="str">
        <f>'[2]Sovereign Ratings (Moody''s,S&amp;P)'!A149</f>
        <v>United States</v>
      </c>
      <c r="C155" s="149" t="str">
        <f>VLOOKUP(B155,'[2]Regional lookup table'!$A$3:$B$156,2)</f>
        <v>North America</v>
      </c>
      <c r="D155" s="150" t="str">
        <f>'[2]Sovereign Ratings (Moody''s,S&amp;P)'!C149</f>
        <v>Aaa</v>
      </c>
      <c r="E155" s="151">
        <f t="shared" si="13"/>
        <v>0</v>
      </c>
      <c r="F155" s="151">
        <f t="shared" si="15"/>
        <v>5.96E-2</v>
      </c>
      <c r="G155" s="152">
        <f t="shared" si="12"/>
        <v>0</v>
      </c>
      <c r="H155" s="152">
        <f>VLOOKUP(B155,'[2]10-year CDS Spreads'!$A$2:$D$152,4)</f>
        <v>0</v>
      </c>
      <c r="I155" s="152">
        <f t="shared" si="16"/>
        <v>5.96E-2</v>
      </c>
      <c r="J155" s="153">
        <f t="shared" si="14"/>
        <v>0</v>
      </c>
    </row>
    <row r="156" spans="2:10" ht="15.5" hidden="1">
      <c r="B156" s="148" t="str">
        <f>'[2]Sovereign Ratings (Moody''s,S&amp;P)'!A150</f>
        <v>Uruguay</v>
      </c>
      <c r="C156" s="149" t="str">
        <f>VLOOKUP(B156,'[2]Regional lookup table'!$A$3:$B$156,2)</f>
        <v>Central and South America</v>
      </c>
      <c r="D156" s="150" t="str">
        <f>'[2]Sovereign Ratings (Moody''s,S&amp;P)'!C150</f>
        <v>Baa2</v>
      </c>
      <c r="E156" s="151">
        <f t="shared" si="13"/>
        <v>2.147874895541842E-2</v>
      </c>
      <c r="F156" s="151">
        <f t="shared" si="15"/>
        <v>8.6020491474766508E-2</v>
      </c>
      <c r="G156" s="152">
        <f t="shared" si="12"/>
        <v>2.6420491474766512E-2</v>
      </c>
      <c r="H156" s="152" t="str">
        <f>VLOOKUP(B156,'[2]10-year CDS Spreads'!$A$2:$D$152,4)</f>
        <v>NA</v>
      </c>
      <c r="I156" s="152" t="str">
        <f t="shared" si="16"/>
        <v>NA</v>
      </c>
      <c r="J156" s="153" t="str">
        <f t="shared" si="14"/>
        <v>NA</v>
      </c>
    </row>
    <row r="157" spans="2:10" ht="15.5" hidden="1">
      <c r="B157" s="148" t="str">
        <f>'[2]Sovereign Ratings (Moody''s,S&amp;P)'!A151</f>
        <v>Venezuela</v>
      </c>
      <c r="C157" s="149" t="str">
        <f>VLOOKUP(B157,'[2]Regional lookup table'!$A$3:$B$156,2)</f>
        <v>Central and South America</v>
      </c>
      <c r="D157" s="150" t="str">
        <f>'[2]Sovereign Ratings (Moody''s,S&amp;P)'!C151</f>
        <v>C</v>
      </c>
      <c r="E157" s="151">
        <f t="shared" si="13"/>
        <v>0.18</v>
      </c>
      <c r="F157" s="151">
        <f t="shared" si="15"/>
        <v>0.2810136621890289</v>
      </c>
      <c r="G157" s="152">
        <f t="shared" si="12"/>
        <v>0.22141366218902891</v>
      </c>
      <c r="H157" s="152" t="str">
        <f>VLOOKUP(B157,'[2]10-year CDS Spreads'!$A$2:$D$152,4)</f>
        <v>NA</v>
      </c>
      <c r="I157" s="152" t="str">
        <f t="shared" si="16"/>
        <v>NA</v>
      </c>
      <c r="J157" s="153" t="str">
        <f t="shared" si="14"/>
        <v>NA</v>
      </c>
    </row>
    <row r="158" spans="2:10" ht="15.5" hidden="1">
      <c r="B158" s="159" t="str">
        <f>'[2]Sovereign Ratings (Moody''s,S&amp;P)'!A152</f>
        <v>Vietnam</v>
      </c>
      <c r="C158" s="160" t="str">
        <f>VLOOKUP(B158,'[2]Regional lookup table'!$A$3:$B$156,2)</f>
        <v>Asia</v>
      </c>
      <c r="D158" s="161" t="str">
        <f>'[2]Sovereign Ratings (Moody''s,S&amp;P)'!C152</f>
        <v>Ba3</v>
      </c>
      <c r="E158" s="162">
        <f t="shared" si="13"/>
        <v>4.0616212479677498E-2</v>
      </c>
      <c r="F158" s="162">
        <f t="shared" si="15"/>
        <v>0.10956102416318408</v>
      </c>
      <c r="G158" s="163">
        <f t="shared" si="12"/>
        <v>4.9961024163184084E-2</v>
      </c>
      <c r="H158" s="163">
        <f>VLOOKUP(B158,'[2]10-year CDS Spreads'!$A$2:$D$152,4)</f>
        <v>2.1400000000000002E-2</v>
      </c>
      <c r="I158" s="163">
        <f t="shared" si="16"/>
        <v>8.5923624282473438E-2</v>
      </c>
      <c r="J158" s="164">
        <f t="shared" si="14"/>
        <v>2.6323624282473444E-2</v>
      </c>
    </row>
    <row r="159" spans="2:10" ht="15.5">
      <c r="B159" s="159" t="str">
        <f>'[2]Sovereign Ratings (Moody''s,S&amp;P)'!A153</f>
        <v>Zambia</v>
      </c>
      <c r="C159" s="160" t="str">
        <f>VLOOKUP(B159,'[2]Regional lookup table'!$A$3:$B$156,2)</f>
        <v>Africa</v>
      </c>
      <c r="D159" s="161" t="str">
        <f>'[2]Sovereign Ratings (Moody''s,S&amp;P)'!C153</f>
        <v>Caa1</v>
      </c>
      <c r="E159" s="162">
        <f>VLOOKUP(D159,$K$9:$L$29,2)/10000</f>
        <v>8.4591660577974931E-2</v>
      </c>
      <c r="F159" s="162">
        <f t="shared" si="15"/>
        <v>0.16365416310678188</v>
      </c>
      <c r="G159" s="163">
        <f>IF($F$4="Yes",E159*$F$5,E159)</f>
        <v>0.10405416310678188</v>
      </c>
      <c r="H159" s="163">
        <f>VLOOKUP(B159,'[2]10-year CDS Spreads'!$A$2:$D$152,4)</f>
        <v>2.1400000000000002E-2</v>
      </c>
      <c r="I159" s="163">
        <f t="shared" si="16"/>
        <v>8.5923624282473438E-2</v>
      </c>
      <c r="J159" s="164">
        <f>IF(H159="NA","NA",H159*$F$5)</f>
        <v>2.6323624282473444E-2</v>
      </c>
    </row>
    <row r="160" spans="2:10" ht="15.5">
      <c r="B160" s="165"/>
      <c r="C160" s="149"/>
      <c r="D160" s="150"/>
      <c r="E160" s="166"/>
      <c r="F160" s="167"/>
      <c r="G160" s="168"/>
      <c r="H160" s="168"/>
      <c r="I160" s="168"/>
      <c r="J160" s="168"/>
    </row>
    <row r="161" spans="2:10" ht="15.5">
      <c r="B161" s="165"/>
      <c r="C161" s="149"/>
      <c r="D161" s="150"/>
      <c r="E161" s="166"/>
      <c r="F161" s="167"/>
      <c r="G161" s="168"/>
      <c r="H161" s="168"/>
      <c r="I161" s="168"/>
      <c r="J161" s="168"/>
    </row>
    <row r="162" spans="2:10" ht="15.5">
      <c r="B162" s="289" t="s">
        <v>179</v>
      </c>
      <c r="C162" s="289"/>
      <c r="D162" s="289"/>
      <c r="E162" s="289"/>
      <c r="F162" s="289"/>
      <c r="G162" s="168"/>
      <c r="H162" s="168"/>
      <c r="I162" s="168"/>
      <c r="J162" s="168"/>
    </row>
    <row r="163" spans="2:10" s="170" customFormat="1" ht="15.5">
      <c r="B163" s="169" t="s">
        <v>149</v>
      </c>
      <c r="C163" s="169" t="s">
        <v>180</v>
      </c>
      <c r="D163" s="170" t="s">
        <v>181</v>
      </c>
      <c r="E163" s="170" t="s">
        <v>182</v>
      </c>
      <c r="F163" s="170" t="s">
        <v>183</v>
      </c>
      <c r="G163" s="171"/>
      <c r="H163" s="171"/>
      <c r="I163" s="171"/>
      <c r="J163" s="171"/>
    </row>
    <row r="164" spans="2:10" ht="15.5">
      <c r="B164" s="172" t="str">
        <f>'[2]PRS Worksheet'!A160</f>
        <v>Algeria</v>
      </c>
      <c r="C164" s="173">
        <f>'[2]PRS Worksheet'!B160</f>
        <v>65</v>
      </c>
      <c r="D164" s="174">
        <f>'[2]PRS Worksheet'!E160</f>
        <v>0.13598151563795058</v>
      </c>
      <c r="E164" s="175">
        <f>'[2]PRS Worksheet'!G160</f>
        <v>7.6381515637950578E-2</v>
      </c>
      <c r="F164" s="175">
        <f>'[2]PRS Worksheet'!D160</f>
        <v>6.2094961435095908E-2</v>
      </c>
      <c r="G164" s="168"/>
      <c r="H164" s="168"/>
      <c r="I164" s="168"/>
    </row>
    <row r="165" spans="2:10" ht="15.5">
      <c r="B165" s="172" t="str">
        <f>'[2]PRS Worksheet'!A161</f>
        <v>Brunei</v>
      </c>
      <c r="C165" s="173">
        <f>'[2]PRS Worksheet'!B161</f>
        <v>80.5</v>
      </c>
      <c r="D165" s="174">
        <f>'[2]PRS Worksheet'!E161</f>
        <v>6.9366816753705152E-2</v>
      </c>
      <c r="E165" s="175">
        <f>'[2]PRS Worksheet'!G161</f>
        <v>9.7668167537051515E-3</v>
      </c>
      <c r="F165" s="175">
        <f>'[2]PRS Worksheet'!D161</f>
        <v>7.9400114621925883E-3</v>
      </c>
      <c r="G165" s="168"/>
      <c r="H165" s="168"/>
      <c r="I165" s="168"/>
    </row>
    <row r="166" spans="2:10" ht="15.5">
      <c r="B166" s="172" t="str">
        <f>'[2]PRS Worksheet'!A162</f>
        <v>Gambia</v>
      </c>
      <c r="C166" s="173">
        <f>'[2]PRS Worksheet'!B162</f>
        <v>63.3</v>
      </c>
      <c r="D166" s="174">
        <f>'[2]PRS Worksheet'!E162</f>
        <v>0.14988044717206947</v>
      </c>
      <c r="E166" s="175">
        <f>'[2]PRS Worksheet'!G162</f>
        <v>9.028044717206947E-2</v>
      </c>
      <c r="F166" s="175">
        <f>'[2]PRS Worksheet'!D162</f>
        <v>7.3394208515908457E-2</v>
      </c>
      <c r="G166" s="168"/>
      <c r="H166" s="168"/>
      <c r="I166" s="168"/>
    </row>
    <row r="167" spans="2:10" ht="15.5">
      <c r="B167" s="172" t="str">
        <f>'[2]PRS Worksheet'!A163</f>
        <v>Guinea</v>
      </c>
      <c r="C167" s="173">
        <f>'[2]PRS Worksheet'!B163</f>
        <v>54.3</v>
      </c>
      <c r="D167" s="174">
        <f>'[2]PRS Worksheet'!E163</f>
        <v>0.22613674721061355</v>
      </c>
      <c r="E167" s="175">
        <f>'[2]PRS Worksheet'!G163</f>
        <v>0.16653674721061357</v>
      </c>
      <c r="F167" s="175">
        <f>'[2]PRS Worksheet'!D163</f>
        <v>0.1353873749322583</v>
      </c>
      <c r="G167" s="168"/>
      <c r="H167" s="168"/>
      <c r="I167" s="168"/>
    </row>
    <row r="168" spans="2:10" ht="15.5">
      <c r="B168" s="172" t="str">
        <f>'[2]PRS Worksheet'!A164</f>
        <v>Guinea-Bissau</v>
      </c>
      <c r="C168" s="173">
        <f>'[2]PRS Worksheet'!B164</f>
        <v>62</v>
      </c>
      <c r="D168" s="174">
        <f>'[2]PRS Worksheet'!E164</f>
        <v>0.16365416310678188</v>
      </c>
      <c r="E168" s="175">
        <f>'[2]PRS Worksheet'!G164</f>
        <v>0.10405416310678188</v>
      </c>
      <c r="F168" s="175">
        <f>'[2]PRS Worksheet'!D164</f>
        <v>8.4591660577974931E-2</v>
      </c>
      <c r="G168" s="168"/>
      <c r="H168" s="168"/>
      <c r="I168" s="168"/>
    </row>
    <row r="169" spans="2:10" ht="15.5">
      <c r="B169" s="172" t="str">
        <f>'[2]PRS Worksheet'!A165</f>
        <v>Guyana</v>
      </c>
      <c r="C169" s="173">
        <f>'[2]PRS Worksheet'!B165</f>
        <v>66.5</v>
      </c>
      <c r="D169" s="174">
        <f>'[2]PRS Worksheet'!E165</f>
        <v>0.12208258410383171</v>
      </c>
      <c r="E169" s="175">
        <f>'[2]PRS Worksheet'!G165</f>
        <v>6.2482584103831715E-2</v>
      </c>
      <c r="F169" s="175">
        <f>'[2]PRS Worksheet'!D165</f>
        <v>5.0795714354283379E-2</v>
      </c>
      <c r="G169" s="168"/>
      <c r="H169" s="168"/>
      <c r="I169" s="168"/>
    </row>
    <row r="170" spans="2:10" ht="15.5">
      <c r="B170" s="172" t="str">
        <f>'[2]PRS Worksheet'!A166</f>
        <v>Haiti</v>
      </c>
      <c r="C170" s="173">
        <f>'[2]PRS Worksheet'!B166</f>
        <v>60</v>
      </c>
      <c r="D170" s="174">
        <f>'[2]PRS Worksheet'!E166</f>
        <v>0.18456516820766344</v>
      </c>
      <c r="E170" s="175">
        <f>'[2]PRS Worksheet'!G166</f>
        <v>0.12496516820766344</v>
      </c>
      <c r="F170" s="175">
        <f>'[2]PRS Worksheet'!D166</f>
        <v>0.10159142870856677</v>
      </c>
      <c r="G170" s="168"/>
      <c r="H170" s="168"/>
      <c r="I170" s="168"/>
    </row>
    <row r="171" spans="2:10" ht="15.5">
      <c r="B171" s="172" t="str">
        <f>'[2]PRS Worksheet'!A167</f>
        <v>Iran</v>
      </c>
      <c r="C171" s="173">
        <f>'[2]PRS Worksheet'!B167</f>
        <v>69.3</v>
      </c>
      <c r="D171" s="174">
        <f>'[2]PRS Worksheet'!E167</f>
        <v>0.10129679460235663</v>
      </c>
      <c r="E171" s="175">
        <f>'[2]PRS Worksheet'!G167</f>
        <v>4.1696794602356632E-2</v>
      </c>
      <c r="F171" s="175">
        <f>'[2]PRS Worksheet'!D167</f>
        <v>3.3897741242437607E-2</v>
      </c>
      <c r="G171" s="168"/>
      <c r="H171" s="168"/>
      <c r="I171" s="168"/>
    </row>
    <row r="172" spans="2:10" ht="15.5">
      <c r="B172" s="172" t="str">
        <f>'[2]PRS Worksheet'!A168</f>
        <v>Korea, D.P.R.</v>
      </c>
      <c r="C172" s="173">
        <f>'[2]PRS Worksheet'!B168</f>
        <v>53</v>
      </c>
      <c r="D172" s="174">
        <f>'[2]PRS Worksheet'!E168</f>
        <v>0.22613674721061355</v>
      </c>
      <c r="E172" s="175">
        <f>'[2]PRS Worksheet'!G168</f>
        <v>0.16653674721061357</v>
      </c>
      <c r="F172" s="175">
        <f>'[2]PRS Worksheet'!D168</f>
        <v>0.1353873749322583</v>
      </c>
      <c r="G172" s="168"/>
      <c r="H172" s="168"/>
      <c r="I172" s="168"/>
    </row>
    <row r="173" spans="2:10" ht="15.5">
      <c r="B173" s="172" t="str">
        <f>'[2]PRS Worksheet'!A169</f>
        <v>Liberia</v>
      </c>
      <c r="C173" s="173">
        <f>'[2]PRS Worksheet'!B169</f>
        <v>53.5</v>
      </c>
      <c r="D173" s="174">
        <f>'[2]PRS Worksheet'!E169</f>
        <v>0.22613674721061355</v>
      </c>
      <c r="E173" s="175">
        <f>'[2]PRS Worksheet'!G169</f>
        <v>0.16653674721061357</v>
      </c>
      <c r="F173" s="175">
        <f>'[2]PRS Worksheet'!D169</f>
        <v>0.1353873749322583</v>
      </c>
      <c r="G173" s="168"/>
      <c r="H173" s="168"/>
      <c r="I173" s="168"/>
    </row>
    <row r="174" spans="2:10" ht="15.5">
      <c r="B174" s="172" t="str">
        <f>'[2]PRS Worksheet'!A170</f>
        <v>Libya</v>
      </c>
      <c r="C174" s="173">
        <f>'[2]PRS Worksheet'!B170</f>
        <v>66.5</v>
      </c>
      <c r="D174" s="174">
        <f>'[2]PRS Worksheet'!E170</f>
        <v>0.12208258410383171</v>
      </c>
      <c r="E174" s="175">
        <f>'[2]PRS Worksheet'!G170</f>
        <v>6.2482584103831715E-2</v>
      </c>
      <c r="F174" s="175">
        <f>'[2]PRS Worksheet'!D170</f>
        <v>5.0795714354283379E-2</v>
      </c>
      <c r="G174" s="168"/>
      <c r="H174" s="168"/>
      <c r="I174" s="168"/>
    </row>
    <row r="175" spans="2:10" ht="15.5">
      <c r="B175" s="172" t="str">
        <f>'[2]PRS Worksheet'!A171</f>
        <v>Madagascar</v>
      </c>
      <c r="C175" s="173">
        <f>'[2]PRS Worksheet'!B171</f>
        <v>64</v>
      </c>
      <c r="D175" s="174">
        <f>'[2]PRS Worksheet'!E171</f>
        <v>0.14988044717206947</v>
      </c>
      <c r="E175" s="175">
        <f>'[2]PRS Worksheet'!G171</f>
        <v>9.028044717206947E-2</v>
      </c>
      <c r="F175" s="175">
        <f>'[2]PRS Worksheet'!D171</f>
        <v>7.3394208515908457E-2</v>
      </c>
      <c r="G175" s="168"/>
      <c r="H175" s="168"/>
      <c r="I175" s="168"/>
    </row>
    <row r="176" spans="2:10" ht="15.5">
      <c r="B176" s="172" t="str">
        <f>'[2]PRS Worksheet'!A172</f>
        <v>Malawi</v>
      </c>
      <c r="C176" s="173">
        <f>'[2]PRS Worksheet'!B172</f>
        <v>61</v>
      </c>
      <c r="D176" s="174">
        <f>'[2]PRS Worksheet'!E172</f>
        <v>0.16365416310678188</v>
      </c>
      <c r="E176" s="175">
        <f>'[2]PRS Worksheet'!G172</f>
        <v>0.10405416310678188</v>
      </c>
      <c r="F176" s="175">
        <f>'[2]PRS Worksheet'!D172</f>
        <v>8.4591660577974931E-2</v>
      </c>
      <c r="G176" s="168"/>
      <c r="H176" s="168"/>
      <c r="I176" s="168"/>
    </row>
    <row r="177" spans="2:9" ht="15.5">
      <c r="B177" s="172" t="str">
        <f>'[2]PRS Worksheet'!A173</f>
        <v>Mali</v>
      </c>
      <c r="C177" s="173">
        <f>'[2]PRS Worksheet'!B173</f>
        <v>61.3</v>
      </c>
      <c r="D177" s="174">
        <f>'[2]PRS Worksheet'!E173</f>
        <v>0.16365416310678188</v>
      </c>
      <c r="E177" s="175">
        <f>'[2]PRS Worksheet'!G173</f>
        <v>0.10405416310678188</v>
      </c>
      <c r="F177" s="175">
        <f>'[2]PRS Worksheet'!D173</f>
        <v>8.4591660577974931E-2</v>
      </c>
      <c r="G177" s="168"/>
      <c r="H177" s="168"/>
      <c r="I177" s="168"/>
    </row>
    <row r="178" spans="2:9" ht="15.5">
      <c r="B178" s="172" t="str">
        <f>'[2]PRS Worksheet'!A174</f>
        <v>Myanmar</v>
      </c>
      <c r="C178" s="173">
        <f>'[2]PRS Worksheet'!B174</f>
        <v>62</v>
      </c>
      <c r="D178" s="174">
        <f>'[2]PRS Worksheet'!E174</f>
        <v>0.16365416310678188</v>
      </c>
      <c r="E178" s="175">
        <f>'[2]PRS Worksheet'!G174</f>
        <v>0.10405416310678188</v>
      </c>
      <c r="F178" s="175">
        <f>'[2]PRS Worksheet'!D174</f>
        <v>8.4591660577974931E-2</v>
      </c>
      <c r="G178" s="168"/>
      <c r="H178" s="168"/>
      <c r="I178" s="168"/>
    </row>
    <row r="179" spans="2:9" ht="15.5">
      <c r="B179" s="172" t="str">
        <f>'[2]PRS Worksheet'!A175</f>
        <v>Niger</v>
      </c>
      <c r="C179" s="173">
        <f>'[2]PRS Worksheet'!B175</f>
        <v>54.5</v>
      </c>
      <c r="D179" s="174">
        <f>'[2]PRS Worksheet'!E175</f>
        <v>0.22613674721061355</v>
      </c>
      <c r="E179" s="175">
        <f>'[2]PRS Worksheet'!G175</f>
        <v>0.16653674721061357</v>
      </c>
      <c r="F179" s="175">
        <f>'[2]PRS Worksheet'!D175</f>
        <v>0.1353873749322583</v>
      </c>
      <c r="G179" s="168"/>
      <c r="H179" s="168"/>
      <c r="I179" s="168"/>
    </row>
    <row r="180" spans="2:9" ht="15.5">
      <c r="B180" s="172" t="str">
        <f>'[2]PRS Worksheet'!A176</f>
        <v>Sierra Leone</v>
      </c>
      <c r="C180" s="173">
        <f>'[2]PRS Worksheet'!B176</f>
        <v>54.8</v>
      </c>
      <c r="D180" s="174">
        <f>'[2]PRS Worksheet'!E176</f>
        <v>0.22613674721061355</v>
      </c>
      <c r="E180" s="175">
        <f>'[2]PRS Worksheet'!G176</f>
        <v>0.16653674721061357</v>
      </c>
      <c r="F180" s="175">
        <f>'[2]PRS Worksheet'!D176</f>
        <v>0.1353873749322583</v>
      </c>
      <c r="G180" s="168"/>
      <c r="H180" s="168"/>
      <c r="I180" s="168"/>
    </row>
    <row r="181" spans="2:9" ht="15.5">
      <c r="B181" s="172" t="str">
        <f>'[2]PRS Worksheet'!A177</f>
        <v>Somalia</v>
      </c>
      <c r="C181" s="173">
        <f>'[2]PRS Worksheet'!B177</f>
        <v>53.5</v>
      </c>
      <c r="D181" s="174">
        <f>'[2]PRS Worksheet'!E177</f>
        <v>0.22613674721061355</v>
      </c>
      <c r="E181" s="175">
        <f>'[2]PRS Worksheet'!G177</f>
        <v>0.16653674721061357</v>
      </c>
      <c r="F181" s="175">
        <f>'[2]PRS Worksheet'!D177</f>
        <v>0.1353873749322583</v>
      </c>
      <c r="G181" s="168"/>
      <c r="H181" s="168"/>
      <c r="I181" s="168"/>
    </row>
    <row r="182" spans="2:9" ht="15.5">
      <c r="B182" s="172" t="str">
        <f>'[2]PRS Worksheet'!A178</f>
        <v>Sudan</v>
      </c>
      <c r="C182" s="173">
        <f>'[2]PRS Worksheet'!B178</f>
        <v>38.799999999999997</v>
      </c>
      <c r="D182" s="174">
        <f>'[2]PRS Worksheet'!E178</f>
        <v>0.2810136621890289</v>
      </c>
      <c r="E182" s="175">
        <f>'[2]PRS Worksheet'!G178</f>
        <v>0.22141366218902891</v>
      </c>
      <c r="F182" s="175">
        <f>'[2]PRS Worksheet'!D178</f>
        <v>0.18</v>
      </c>
      <c r="G182" s="168"/>
      <c r="H182" s="168"/>
      <c r="I182" s="168"/>
    </row>
    <row r="183" spans="2:9" ht="15.5">
      <c r="B183" s="172" t="str">
        <f>'[2]PRS Worksheet'!A179</f>
        <v>Syria</v>
      </c>
      <c r="C183" s="173">
        <f>'[2]PRS Worksheet'!B179</f>
        <v>51.8</v>
      </c>
      <c r="D183" s="174">
        <f>'[2]PRS Worksheet'!E179</f>
        <v>0.22613674721061355</v>
      </c>
      <c r="E183" s="175">
        <f>'[2]PRS Worksheet'!G179</f>
        <v>0.16653674721061357</v>
      </c>
      <c r="F183" s="175">
        <f>'[2]PRS Worksheet'!D179</f>
        <v>0.1353873749322583</v>
      </c>
      <c r="G183" s="168"/>
      <c r="H183" s="168"/>
      <c r="I183" s="168"/>
    </row>
    <row r="184" spans="2:9" ht="15.5">
      <c r="B184" s="172" t="str">
        <f>'[2]PRS Worksheet'!A180</f>
        <v>Togo</v>
      </c>
      <c r="C184" s="173">
        <f>'[2]PRS Worksheet'!B180</f>
        <v>61</v>
      </c>
      <c r="D184" s="174">
        <f>'[2]PRS Worksheet'!E180</f>
        <v>0.16365416310678188</v>
      </c>
      <c r="E184" s="175">
        <f>'[2]PRS Worksheet'!G180</f>
        <v>0.10405416310678188</v>
      </c>
      <c r="F184" s="175">
        <f>'[2]PRS Worksheet'!D180</f>
        <v>8.4591660577974931E-2</v>
      </c>
      <c r="G184" s="168"/>
      <c r="H184" s="168"/>
      <c r="I184" s="168"/>
    </row>
    <row r="185" spans="2:9" ht="15.5">
      <c r="B185" s="172" t="str">
        <f>'[2]PRS Worksheet'!A181</f>
        <v>Yemen, Republic</v>
      </c>
      <c r="C185" s="173">
        <f>'[2]PRS Worksheet'!B181</f>
        <v>48</v>
      </c>
      <c r="D185" s="174">
        <f>'[2]PRS Worksheet'!E181</f>
        <v>0.2810136621890289</v>
      </c>
      <c r="E185" s="175">
        <f>'[2]PRS Worksheet'!G181</f>
        <v>0.22141366218902891</v>
      </c>
      <c r="F185" s="175">
        <f>'[2]PRS Worksheet'!D181</f>
        <v>0.18</v>
      </c>
      <c r="G185" s="168"/>
      <c r="H185" s="168"/>
      <c r="I185" s="168"/>
    </row>
    <row r="186" spans="2:9" ht="15.5">
      <c r="B186" s="172" t="str">
        <f>'[2]PRS Worksheet'!A182</f>
        <v>Zimbabwe</v>
      </c>
      <c r="C186" s="173">
        <f>'[2]PRS Worksheet'!B182</f>
        <v>59.3</v>
      </c>
      <c r="D186" s="174">
        <f>'[2]PRS Worksheet'!E182</f>
        <v>0.18456516820766344</v>
      </c>
      <c r="E186" s="175">
        <f>'[2]PRS Worksheet'!G182</f>
        <v>0.12496516820766344</v>
      </c>
      <c r="F186" s="175">
        <f>'[2]PRS Worksheet'!D182</f>
        <v>0.10159142870856677</v>
      </c>
      <c r="G186" s="168"/>
      <c r="H186" s="168"/>
      <c r="I186" s="168"/>
    </row>
    <row r="187" spans="2:9" ht="15.5">
      <c r="B187" s="176"/>
      <c r="C187" s="177"/>
      <c r="D187" s="178"/>
      <c r="E187" s="167"/>
      <c r="F187" s="168"/>
      <c r="G187" s="168"/>
      <c r="H187" s="168"/>
      <c r="I187" s="168"/>
    </row>
    <row r="188" spans="2:9">
      <c r="C188" s="154" t="s">
        <v>159</v>
      </c>
      <c r="D188" s="154" t="s">
        <v>160</v>
      </c>
    </row>
    <row r="189" spans="2:9">
      <c r="C189" s="155" t="s">
        <v>161</v>
      </c>
      <c r="D189" s="179">
        <f>'[2]Default Spreads for Ratings'!C2</f>
        <v>79.400114621925923</v>
      </c>
    </row>
    <row r="190" spans="2:9">
      <c r="C190" s="155" t="s">
        <v>162</v>
      </c>
      <c r="D190" s="179">
        <f>'[2]Default Spreads for Ratings'!C3</f>
        <v>95.68731762129535</v>
      </c>
    </row>
    <row r="191" spans="2:9">
      <c r="C191" s="155" t="s">
        <v>163</v>
      </c>
      <c r="D191" s="179">
        <f>'[2]Default Spreads for Ratings'!C4</f>
        <v>135.38737493225833</v>
      </c>
    </row>
    <row r="192" spans="2:9">
      <c r="C192" s="155" t="s">
        <v>164</v>
      </c>
      <c r="D192" s="179">
        <f>'[2]Default Spreads for Ratings'!C5</f>
        <v>44.789808248265899</v>
      </c>
    </row>
    <row r="193" spans="3:4">
      <c r="C193" s="155" t="s">
        <v>165</v>
      </c>
      <c r="D193" s="179">
        <f>'[2]Default Spreads for Ratings'!C6</f>
        <v>55.987260310332381</v>
      </c>
    </row>
    <row r="194" spans="3:4">
      <c r="C194" s="155" t="s">
        <v>166</v>
      </c>
      <c r="D194" s="179">
        <f>'[2]Default Spreads for Ratings'!C7</f>
        <v>68.202662559859448</v>
      </c>
    </row>
    <row r="195" spans="3:4">
      <c r="C195" s="155" t="s">
        <v>167</v>
      </c>
      <c r="D195" s="179">
        <f>'[2]Default Spreads for Ratings'!C8</f>
        <v>0</v>
      </c>
    </row>
    <row r="196" spans="3:4">
      <c r="C196" s="155" t="s">
        <v>168</v>
      </c>
      <c r="D196" s="179">
        <f>'[2]Default Spreads for Ratings'!C9</f>
        <v>507.95714354283388</v>
      </c>
    </row>
    <row r="197" spans="3:4">
      <c r="C197" s="155" t="s">
        <v>169</v>
      </c>
      <c r="D197" s="179">
        <f>'[2]Default Spreads for Ratings'!C10</f>
        <v>620.94961435095911</v>
      </c>
    </row>
    <row r="198" spans="3:4">
      <c r="C198" s="155" t="s">
        <v>170</v>
      </c>
      <c r="D198" s="179">
        <f>'[2]Default Spreads for Ratings'!C11</f>
        <v>733.94208515908451</v>
      </c>
    </row>
    <row r="199" spans="3:4">
      <c r="C199" s="155" t="s">
        <v>171</v>
      </c>
      <c r="D199" s="179">
        <f>'[2]Default Spreads for Ratings'!C12</f>
        <v>281.97220192658312</v>
      </c>
    </row>
    <row r="200" spans="3:4">
      <c r="C200" s="155" t="s">
        <v>172</v>
      </c>
      <c r="D200" s="179">
        <f>'[2]Default Spreads for Ratings'!C13</f>
        <v>338.97741242437604</v>
      </c>
    </row>
    <row r="201" spans="3:4">
      <c r="C201" s="155" t="s">
        <v>173</v>
      </c>
      <c r="D201" s="179">
        <f>'[2]Default Spreads for Ratings'!C14</f>
        <v>406.16212479677495</v>
      </c>
    </row>
    <row r="202" spans="3:4">
      <c r="C202" s="155" t="s">
        <v>174</v>
      </c>
      <c r="D202" s="179">
        <f>'[2]Default Spreads for Ratings'!C15</f>
        <v>180.17718318052422</v>
      </c>
    </row>
    <row r="203" spans="3:4">
      <c r="C203" s="155" t="s">
        <v>175</v>
      </c>
      <c r="D203" s="179">
        <f>'[2]Default Spreads for Ratings'!C16</f>
        <v>214.78748955418422</v>
      </c>
    </row>
    <row r="204" spans="3:4">
      <c r="C204" s="155" t="s">
        <v>176</v>
      </c>
      <c r="D204" s="179">
        <f>'[2]Default Spreads for Ratings'!C17</f>
        <v>248.37984574038364</v>
      </c>
    </row>
    <row r="205" spans="3:4">
      <c r="C205" s="157" t="s">
        <v>177</v>
      </c>
      <c r="D205" s="179">
        <v>1800</v>
      </c>
    </row>
    <row r="206" spans="3:4">
      <c r="C206" s="157" t="s">
        <v>184</v>
      </c>
      <c r="D206" s="179">
        <f>'[2]Default Spreads for Ratings'!C18</f>
        <v>1353.8737493225831</v>
      </c>
    </row>
    <row r="207" spans="3:4">
      <c r="C207" s="155" t="s">
        <v>185</v>
      </c>
      <c r="D207" s="179">
        <f>'[2]Default Spreads for Ratings'!C19</f>
        <v>845.91660577974926</v>
      </c>
    </row>
    <row r="208" spans="3:4">
      <c r="C208" s="157" t="s">
        <v>186</v>
      </c>
      <c r="D208" s="179">
        <f>'[2]Default Spreads for Ratings'!C20</f>
        <v>1015.9142870856678</v>
      </c>
    </row>
    <row r="209" spans="3:4">
      <c r="C209" s="157" t="s">
        <v>187</v>
      </c>
      <c r="D209" s="179">
        <f>'[2]Default Spreads for Ratings'!C21</f>
        <v>1127.8888077063325</v>
      </c>
    </row>
    <row r="210" spans="3:4">
      <c r="C210" s="157" t="s">
        <v>178</v>
      </c>
      <c r="D210" s="155" t="s">
        <v>188</v>
      </c>
    </row>
  </sheetData>
  <mergeCells count="1">
    <mergeCell ref="B162:F162"/>
  </mergeCells>
  <pageMargins left="0.7" right="0.7" top="0.75" bottom="0.75" header="0.3" footer="0.3"/>
  <legacyDrawing r:id="rId1"/>
  <tableParts count="2">
    <tablePart r:id="rId2"/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06"/>
  <sheetViews>
    <sheetView showGridLines="0" workbookViewId="0">
      <selection activeCell="B1" sqref="B1"/>
    </sheetView>
  </sheetViews>
  <sheetFormatPr defaultRowHeight="14.5"/>
  <cols>
    <col min="1" max="1" width="2" customWidth="1"/>
    <col min="2" max="2" width="32" style="227" customWidth="1"/>
    <col min="3" max="3" width="19.26953125" customWidth="1"/>
    <col min="4" max="4" width="12.1796875" customWidth="1"/>
    <col min="5" max="5" width="15.08984375" customWidth="1"/>
    <col min="6" max="6" width="12" customWidth="1"/>
    <col min="7" max="7" width="18.1796875" customWidth="1"/>
    <col min="8" max="8" width="19.26953125" customWidth="1"/>
    <col min="9" max="9" width="35.453125" customWidth="1"/>
    <col min="10" max="10" width="12.7265625" customWidth="1"/>
    <col min="11" max="11" width="30.36328125" customWidth="1"/>
    <col min="12" max="12" width="20.1796875" customWidth="1"/>
    <col min="13" max="16" width="11.6328125" customWidth="1"/>
    <col min="17" max="17" width="13.453125" style="182" customWidth="1"/>
    <col min="18" max="257" width="11.6328125" customWidth="1"/>
    <col min="258" max="258" width="32" customWidth="1"/>
    <col min="259" max="259" width="19.26953125" customWidth="1"/>
    <col min="260" max="260" width="12.1796875" customWidth="1"/>
    <col min="261" max="261" width="15.08984375" customWidth="1"/>
    <col min="262" max="262" width="12" customWidth="1"/>
    <col min="263" max="263" width="18.1796875" customWidth="1"/>
    <col min="264" max="264" width="19.26953125" customWidth="1"/>
    <col min="265" max="265" width="35.453125" customWidth="1"/>
    <col min="266" max="266" width="12.7265625" customWidth="1"/>
    <col min="267" max="267" width="30.36328125" customWidth="1"/>
    <col min="268" max="268" width="20.1796875" customWidth="1"/>
    <col min="269" max="272" width="11.6328125" customWidth="1"/>
    <col min="273" max="273" width="13.453125" customWidth="1"/>
    <col min="274" max="513" width="11.6328125" customWidth="1"/>
    <col min="514" max="514" width="32" customWidth="1"/>
    <col min="515" max="515" width="19.26953125" customWidth="1"/>
    <col min="516" max="516" width="12.1796875" customWidth="1"/>
    <col min="517" max="517" width="15.08984375" customWidth="1"/>
    <col min="518" max="518" width="12" customWidth="1"/>
    <col min="519" max="519" width="18.1796875" customWidth="1"/>
    <col min="520" max="520" width="19.26953125" customWidth="1"/>
    <col min="521" max="521" width="35.453125" customWidth="1"/>
    <col min="522" max="522" width="12.7265625" customWidth="1"/>
    <col min="523" max="523" width="30.36328125" customWidth="1"/>
    <col min="524" max="524" width="20.1796875" customWidth="1"/>
    <col min="525" max="528" width="11.6328125" customWidth="1"/>
    <col min="529" max="529" width="13.453125" customWidth="1"/>
    <col min="530" max="769" width="11.6328125" customWidth="1"/>
    <col min="770" max="770" width="32" customWidth="1"/>
    <col min="771" max="771" width="19.26953125" customWidth="1"/>
    <col min="772" max="772" width="12.1796875" customWidth="1"/>
    <col min="773" max="773" width="15.08984375" customWidth="1"/>
    <col min="774" max="774" width="12" customWidth="1"/>
    <col min="775" max="775" width="18.1796875" customWidth="1"/>
    <col min="776" max="776" width="19.26953125" customWidth="1"/>
    <col min="777" max="777" width="35.453125" customWidth="1"/>
    <col min="778" max="778" width="12.7265625" customWidth="1"/>
    <col min="779" max="779" width="30.36328125" customWidth="1"/>
    <col min="780" max="780" width="20.1796875" customWidth="1"/>
    <col min="781" max="784" width="11.6328125" customWidth="1"/>
    <col min="785" max="785" width="13.453125" customWidth="1"/>
    <col min="786" max="1025" width="11.6328125" customWidth="1"/>
    <col min="1026" max="1026" width="32" customWidth="1"/>
    <col min="1027" max="1027" width="19.26953125" customWidth="1"/>
    <col min="1028" max="1028" width="12.1796875" customWidth="1"/>
    <col min="1029" max="1029" width="15.08984375" customWidth="1"/>
    <col min="1030" max="1030" width="12" customWidth="1"/>
    <col min="1031" max="1031" width="18.1796875" customWidth="1"/>
    <col min="1032" max="1032" width="19.26953125" customWidth="1"/>
    <col min="1033" max="1033" width="35.453125" customWidth="1"/>
    <col min="1034" max="1034" width="12.7265625" customWidth="1"/>
    <col min="1035" max="1035" width="30.36328125" customWidth="1"/>
    <col min="1036" max="1036" width="20.1796875" customWidth="1"/>
    <col min="1037" max="1040" width="11.6328125" customWidth="1"/>
    <col min="1041" max="1041" width="13.453125" customWidth="1"/>
    <col min="1042" max="1281" width="11.6328125" customWidth="1"/>
    <col min="1282" max="1282" width="32" customWidth="1"/>
    <col min="1283" max="1283" width="19.26953125" customWidth="1"/>
    <col min="1284" max="1284" width="12.1796875" customWidth="1"/>
    <col min="1285" max="1285" width="15.08984375" customWidth="1"/>
    <col min="1286" max="1286" width="12" customWidth="1"/>
    <col min="1287" max="1287" width="18.1796875" customWidth="1"/>
    <col min="1288" max="1288" width="19.26953125" customWidth="1"/>
    <col min="1289" max="1289" width="35.453125" customWidth="1"/>
    <col min="1290" max="1290" width="12.7265625" customWidth="1"/>
    <col min="1291" max="1291" width="30.36328125" customWidth="1"/>
    <col min="1292" max="1292" width="20.1796875" customWidth="1"/>
    <col min="1293" max="1296" width="11.6328125" customWidth="1"/>
    <col min="1297" max="1297" width="13.453125" customWidth="1"/>
    <col min="1298" max="1537" width="11.6328125" customWidth="1"/>
    <col min="1538" max="1538" width="32" customWidth="1"/>
    <col min="1539" max="1539" width="19.26953125" customWidth="1"/>
    <col min="1540" max="1540" width="12.1796875" customWidth="1"/>
    <col min="1541" max="1541" width="15.08984375" customWidth="1"/>
    <col min="1542" max="1542" width="12" customWidth="1"/>
    <col min="1543" max="1543" width="18.1796875" customWidth="1"/>
    <col min="1544" max="1544" width="19.26953125" customWidth="1"/>
    <col min="1545" max="1545" width="35.453125" customWidth="1"/>
    <col min="1546" max="1546" width="12.7265625" customWidth="1"/>
    <col min="1547" max="1547" width="30.36328125" customWidth="1"/>
    <col min="1548" max="1548" width="20.1796875" customWidth="1"/>
    <col min="1549" max="1552" width="11.6328125" customWidth="1"/>
    <col min="1553" max="1553" width="13.453125" customWidth="1"/>
    <col min="1554" max="1793" width="11.6328125" customWidth="1"/>
    <col min="1794" max="1794" width="32" customWidth="1"/>
    <col min="1795" max="1795" width="19.26953125" customWidth="1"/>
    <col min="1796" max="1796" width="12.1796875" customWidth="1"/>
    <col min="1797" max="1797" width="15.08984375" customWidth="1"/>
    <col min="1798" max="1798" width="12" customWidth="1"/>
    <col min="1799" max="1799" width="18.1796875" customWidth="1"/>
    <col min="1800" max="1800" width="19.26953125" customWidth="1"/>
    <col min="1801" max="1801" width="35.453125" customWidth="1"/>
    <col min="1802" max="1802" width="12.7265625" customWidth="1"/>
    <col min="1803" max="1803" width="30.36328125" customWidth="1"/>
    <col min="1804" max="1804" width="20.1796875" customWidth="1"/>
    <col min="1805" max="1808" width="11.6328125" customWidth="1"/>
    <col min="1809" max="1809" width="13.453125" customWidth="1"/>
    <col min="1810" max="2049" width="11.6328125" customWidth="1"/>
    <col min="2050" max="2050" width="32" customWidth="1"/>
    <col min="2051" max="2051" width="19.26953125" customWidth="1"/>
    <col min="2052" max="2052" width="12.1796875" customWidth="1"/>
    <col min="2053" max="2053" width="15.08984375" customWidth="1"/>
    <col min="2054" max="2054" width="12" customWidth="1"/>
    <col min="2055" max="2055" width="18.1796875" customWidth="1"/>
    <col min="2056" max="2056" width="19.26953125" customWidth="1"/>
    <col min="2057" max="2057" width="35.453125" customWidth="1"/>
    <col min="2058" max="2058" width="12.7265625" customWidth="1"/>
    <col min="2059" max="2059" width="30.36328125" customWidth="1"/>
    <col min="2060" max="2060" width="20.1796875" customWidth="1"/>
    <col min="2061" max="2064" width="11.6328125" customWidth="1"/>
    <col min="2065" max="2065" width="13.453125" customWidth="1"/>
    <col min="2066" max="2305" width="11.6328125" customWidth="1"/>
    <col min="2306" max="2306" width="32" customWidth="1"/>
    <col min="2307" max="2307" width="19.26953125" customWidth="1"/>
    <col min="2308" max="2308" width="12.1796875" customWidth="1"/>
    <col min="2309" max="2309" width="15.08984375" customWidth="1"/>
    <col min="2310" max="2310" width="12" customWidth="1"/>
    <col min="2311" max="2311" width="18.1796875" customWidth="1"/>
    <col min="2312" max="2312" width="19.26953125" customWidth="1"/>
    <col min="2313" max="2313" width="35.453125" customWidth="1"/>
    <col min="2314" max="2314" width="12.7265625" customWidth="1"/>
    <col min="2315" max="2315" width="30.36328125" customWidth="1"/>
    <col min="2316" max="2316" width="20.1796875" customWidth="1"/>
    <col min="2317" max="2320" width="11.6328125" customWidth="1"/>
    <col min="2321" max="2321" width="13.453125" customWidth="1"/>
    <col min="2322" max="2561" width="11.6328125" customWidth="1"/>
    <col min="2562" max="2562" width="32" customWidth="1"/>
    <col min="2563" max="2563" width="19.26953125" customWidth="1"/>
    <col min="2564" max="2564" width="12.1796875" customWidth="1"/>
    <col min="2565" max="2565" width="15.08984375" customWidth="1"/>
    <col min="2566" max="2566" width="12" customWidth="1"/>
    <col min="2567" max="2567" width="18.1796875" customWidth="1"/>
    <col min="2568" max="2568" width="19.26953125" customWidth="1"/>
    <col min="2569" max="2569" width="35.453125" customWidth="1"/>
    <col min="2570" max="2570" width="12.7265625" customWidth="1"/>
    <col min="2571" max="2571" width="30.36328125" customWidth="1"/>
    <col min="2572" max="2572" width="20.1796875" customWidth="1"/>
    <col min="2573" max="2576" width="11.6328125" customWidth="1"/>
    <col min="2577" max="2577" width="13.453125" customWidth="1"/>
    <col min="2578" max="2817" width="11.6328125" customWidth="1"/>
    <col min="2818" max="2818" width="32" customWidth="1"/>
    <col min="2819" max="2819" width="19.26953125" customWidth="1"/>
    <col min="2820" max="2820" width="12.1796875" customWidth="1"/>
    <col min="2821" max="2821" width="15.08984375" customWidth="1"/>
    <col min="2822" max="2822" width="12" customWidth="1"/>
    <col min="2823" max="2823" width="18.1796875" customWidth="1"/>
    <col min="2824" max="2824" width="19.26953125" customWidth="1"/>
    <col min="2825" max="2825" width="35.453125" customWidth="1"/>
    <col min="2826" max="2826" width="12.7265625" customWidth="1"/>
    <col min="2827" max="2827" width="30.36328125" customWidth="1"/>
    <col min="2828" max="2828" width="20.1796875" customWidth="1"/>
    <col min="2829" max="2832" width="11.6328125" customWidth="1"/>
    <col min="2833" max="2833" width="13.453125" customWidth="1"/>
    <col min="2834" max="3073" width="11.6328125" customWidth="1"/>
    <col min="3074" max="3074" width="32" customWidth="1"/>
    <col min="3075" max="3075" width="19.26953125" customWidth="1"/>
    <col min="3076" max="3076" width="12.1796875" customWidth="1"/>
    <col min="3077" max="3077" width="15.08984375" customWidth="1"/>
    <col min="3078" max="3078" width="12" customWidth="1"/>
    <col min="3079" max="3079" width="18.1796875" customWidth="1"/>
    <col min="3080" max="3080" width="19.26953125" customWidth="1"/>
    <col min="3081" max="3081" width="35.453125" customWidth="1"/>
    <col min="3082" max="3082" width="12.7265625" customWidth="1"/>
    <col min="3083" max="3083" width="30.36328125" customWidth="1"/>
    <col min="3084" max="3084" width="20.1796875" customWidth="1"/>
    <col min="3085" max="3088" width="11.6328125" customWidth="1"/>
    <col min="3089" max="3089" width="13.453125" customWidth="1"/>
    <col min="3090" max="3329" width="11.6328125" customWidth="1"/>
    <col min="3330" max="3330" width="32" customWidth="1"/>
    <col min="3331" max="3331" width="19.26953125" customWidth="1"/>
    <col min="3332" max="3332" width="12.1796875" customWidth="1"/>
    <col min="3333" max="3333" width="15.08984375" customWidth="1"/>
    <col min="3334" max="3334" width="12" customWidth="1"/>
    <col min="3335" max="3335" width="18.1796875" customWidth="1"/>
    <col min="3336" max="3336" width="19.26953125" customWidth="1"/>
    <col min="3337" max="3337" width="35.453125" customWidth="1"/>
    <col min="3338" max="3338" width="12.7265625" customWidth="1"/>
    <col min="3339" max="3339" width="30.36328125" customWidth="1"/>
    <col min="3340" max="3340" width="20.1796875" customWidth="1"/>
    <col min="3341" max="3344" width="11.6328125" customWidth="1"/>
    <col min="3345" max="3345" width="13.453125" customWidth="1"/>
    <col min="3346" max="3585" width="11.6328125" customWidth="1"/>
    <col min="3586" max="3586" width="32" customWidth="1"/>
    <col min="3587" max="3587" width="19.26953125" customWidth="1"/>
    <col min="3588" max="3588" width="12.1796875" customWidth="1"/>
    <col min="3589" max="3589" width="15.08984375" customWidth="1"/>
    <col min="3590" max="3590" width="12" customWidth="1"/>
    <col min="3591" max="3591" width="18.1796875" customWidth="1"/>
    <col min="3592" max="3592" width="19.26953125" customWidth="1"/>
    <col min="3593" max="3593" width="35.453125" customWidth="1"/>
    <col min="3594" max="3594" width="12.7265625" customWidth="1"/>
    <col min="3595" max="3595" width="30.36328125" customWidth="1"/>
    <col min="3596" max="3596" width="20.1796875" customWidth="1"/>
    <col min="3597" max="3600" width="11.6328125" customWidth="1"/>
    <col min="3601" max="3601" width="13.453125" customWidth="1"/>
    <col min="3602" max="3841" width="11.6328125" customWidth="1"/>
    <col min="3842" max="3842" width="32" customWidth="1"/>
    <col min="3843" max="3843" width="19.26953125" customWidth="1"/>
    <col min="3844" max="3844" width="12.1796875" customWidth="1"/>
    <col min="3845" max="3845" width="15.08984375" customWidth="1"/>
    <col min="3846" max="3846" width="12" customWidth="1"/>
    <col min="3847" max="3847" width="18.1796875" customWidth="1"/>
    <col min="3848" max="3848" width="19.26953125" customWidth="1"/>
    <col min="3849" max="3849" width="35.453125" customWidth="1"/>
    <col min="3850" max="3850" width="12.7265625" customWidth="1"/>
    <col min="3851" max="3851" width="30.36328125" customWidth="1"/>
    <col min="3852" max="3852" width="20.1796875" customWidth="1"/>
    <col min="3853" max="3856" width="11.6328125" customWidth="1"/>
    <col min="3857" max="3857" width="13.453125" customWidth="1"/>
    <col min="3858" max="4097" width="11.6328125" customWidth="1"/>
    <col min="4098" max="4098" width="32" customWidth="1"/>
    <col min="4099" max="4099" width="19.26953125" customWidth="1"/>
    <col min="4100" max="4100" width="12.1796875" customWidth="1"/>
    <col min="4101" max="4101" width="15.08984375" customWidth="1"/>
    <col min="4102" max="4102" width="12" customWidth="1"/>
    <col min="4103" max="4103" width="18.1796875" customWidth="1"/>
    <col min="4104" max="4104" width="19.26953125" customWidth="1"/>
    <col min="4105" max="4105" width="35.453125" customWidth="1"/>
    <col min="4106" max="4106" width="12.7265625" customWidth="1"/>
    <col min="4107" max="4107" width="30.36328125" customWidth="1"/>
    <col min="4108" max="4108" width="20.1796875" customWidth="1"/>
    <col min="4109" max="4112" width="11.6328125" customWidth="1"/>
    <col min="4113" max="4113" width="13.453125" customWidth="1"/>
    <col min="4114" max="4353" width="11.6328125" customWidth="1"/>
    <col min="4354" max="4354" width="32" customWidth="1"/>
    <col min="4355" max="4355" width="19.26953125" customWidth="1"/>
    <col min="4356" max="4356" width="12.1796875" customWidth="1"/>
    <col min="4357" max="4357" width="15.08984375" customWidth="1"/>
    <col min="4358" max="4358" width="12" customWidth="1"/>
    <col min="4359" max="4359" width="18.1796875" customWidth="1"/>
    <col min="4360" max="4360" width="19.26953125" customWidth="1"/>
    <col min="4361" max="4361" width="35.453125" customWidth="1"/>
    <col min="4362" max="4362" width="12.7265625" customWidth="1"/>
    <col min="4363" max="4363" width="30.36328125" customWidth="1"/>
    <col min="4364" max="4364" width="20.1796875" customWidth="1"/>
    <col min="4365" max="4368" width="11.6328125" customWidth="1"/>
    <col min="4369" max="4369" width="13.453125" customWidth="1"/>
    <col min="4370" max="4609" width="11.6328125" customWidth="1"/>
    <col min="4610" max="4610" width="32" customWidth="1"/>
    <col min="4611" max="4611" width="19.26953125" customWidth="1"/>
    <col min="4612" max="4612" width="12.1796875" customWidth="1"/>
    <col min="4613" max="4613" width="15.08984375" customWidth="1"/>
    <col min="4614" max="4614" width="12" customWidth="1"/>
    <col min="4615" max="4615" width="18.1796875" customWidth="1"/>
    <col min="4616" max="4616" width="19.26953125" customWidth="1"/>
    <col min="4617" max="4617" width="35.453125" customWidth="1"/>
    <col min="4618" max="4618" width="12.7265625" customWidth="1"/>
    <col min="4619" max="4619" width="30.36328125" customWidth="1"/>
    <col min="4620" max="4620" width="20.1796875" customWidth="1"/>
    <col min="4621" max="4624" width="11.6328125" customWidth="1"/>
    <col min="4625" max="4625" width="13.453125" customWidth="1"/>
    <col min="4626" max="4865" width="11.6328125" customWidth="1"/>
    <col min="4866" max="4866" width="32" customWidth="1"/>
    <col min="4867" max="4867" width="19.26953125" customWidth="1"/>
    <col min="4868" max="4868" width="12.1796875" customWidth="1"/>
    <col min="4869" max="4869" width="15.08984375" customWidth="1"/>
    <col min="4870" max="4870" width="12" customWidth="1"/>
    <col min="4871" max="4871" width="18.1796875" customWidth="1"/>
    <col min="4872" max="4872" width="19.26953125" customWidth="1"/>
    <col min="4873" max="4873" width="35.453125" customWidth="1"/>
    <col min="4874" max="4874" width="12.7265625" customWidth="1"/>
    <col min="4875" max="4875" width="30.36328125" customWidth="1"/>
    <col min="4876" max="4876" width="20.1796875" customWidth="1"/>
    <col min="4877" max="4880" width="11.6328125" customWidth="1"/>
    <col min="4881" max="4881" width="13.453125" customWidth="1"/>
    <col min="4882" max="5121" width="11.6328125" customWidth="1"/>
    <col min="5122" max="5122" width="32" customWidth="1"/>
    <col min="5123" max="5123" width="19.26953125" customWidth="1"/>
    <col min="5124" max="5124" width="12.1796875" customWidth="1"/>
    <col min="5125" max="5125" width="15.08984375" customWidth="1"/>
    <col min="5126" max="5126" width="12" customWidth="1"/>
    <col min="5127" max="5127" width="18.1796875" customWidth="1"/>
    <col min="5128" max="5128" width="19.26953125" customWidth="1"/>
    <col min="5129" max="5129" width="35.453125" customWidth="1"/>
    <col min="5130" max="5130" width="12.7265625" customWidth="1"/>
    <col min="5131" max="5131" width="30.36328125" customWidth="1"/>
    <col min="5132" max="5132" width="20.1796875" customWidth="1"/>
    <col min="5133" max="5136" width="11.6328125" customWidth="1"/>
    <col min="5137" max="5137" width="13.453125" customWidth="1"/>
    <col min="5138" max="5377" width="11.6328125" customWidth="1"/>
    <col min="5378" max="5378" width="32" customWidth="1"/>
    <col min="5379" max="5379" width="19.26953125" customWidth="1"/>
    <col min="5380" max="5380" width="12.1796875" customWidth="1"/>
    <col min="5381" max="5381" width="15.08984375" customWidth="1"/>
    <col min="5382" max="5382" width="12" customWidth="1"/>
    <col min="5383" max="5383" width="18.1796875" customWidth="1"/>
    <col min="5384" max="5384" width="19.26953125" customWidth="1"/>
    <col min="5385" max="5385" width="35.453125" customWidth="1"/>
    <col min="5386" max="5386" width="12.7265625" customWidth="1"/>
    <col min="5387" max="5387" width="30.36328125" customWidth="1"/>
    <col min="5388" max="5388" width="20.1796875" customWidth="1"/>
    <col min="5389" max="5392" width="11.6328125" customWidth="1"/>
    <col min="5393" max="5393" width="13.453125" customWidth="1"/>
    <col min="5394" max="5633" width="11.6328125" customWidth="1"/>
    <col min="5634" max="5634" width="32" customWidth="1"/>
    <col min="5635" max="5635" width="19.26953125" customWidth="1"/>
    <col min="5636" max="5636" width="12.1796875" customWidth="1"/>
    <col min="5637" max="5637" width="15.08984375" customWidth="1"/>
    <col min="5638" max="5638" width="12" customWidth="1"/>
    <col min="5639" max="5639" width="18.1796875" customWidth="1"/>
    <col min="5640" max="5640" width="19.26953125" customWidth="1"/>
    <col min="5641" max="5641" width="35.453125" customWidth="1"/>
    <col min="5642" max="5642" width="12.7265625" customWidth="1"/>
    <col min="5643" max="5643" width="30.36328125" customWidth="1"/>
    <col min="5644" max="5644" width="20.1796875" customWidth="1"/>
    <col min="5645" max="5648" width="11.6328125" customWidth="1"/>
    <col min="5649" max="5649" width="13.453125" customWidth="1"/>
    <col min="5650" max="5889" width="11.6328125" customWidth="1"/>
    <col min="5890" max="5890" width="32" customWidth="1"/>
    <col min="5891" max="5891" width="19.26953125" customWidth="1"/>
    <col min="5892" max="5892" width="12.1796875" customWidth="1"/>
    <col min="5893" max="5893" width="15.08984375" customWidth="1"/>
    <col min="5894" max="5894" width="12" customWidth="1"/>
    <col min="5895" max="5895" width="18.1796875" customWidth="1"/>
    <col min="5896" max="5896" width="19.26953125" customWidth="1"/>
    <col min="5897" max="5897" width="35.453125" customWidth="1"/>
    <col min="5898" max="5898" width="12.7265625" customWidth="1"/>
    <col min="5899" max="5899" width="30.36328125" customWidth="1"/>
    <col min="5900" max="5900" width="20.1796875" customWidth="1"/>
    <col min="5901" max="5904" width="11.6328125" customWidth="1"/>
    <col min="5905" max="5905" width="13.453125" customWidth="1"/>
    <col min="5906" max="6145" width="11.6328125" customWidth="1"/>
    <col min="6146" max="6146" width="32" customWidth="1"/>
    <col min="6147" max="6147" width="19.26953125" customWidth="1"/>
    <col min="6148" max="6148" width="12.1796875" customWidth="1"/>
    <col min="6149" max="6149" width="15.08984375" customWidth="1"/>
    <col min="6150" max="6150" width="12" customWidth="1"/>
    <col min="6151" max="6151" width="18.1796875" customWidth="1"/>
    <col min="6152" max="6152" width="19.26953125" customWidth="1"/>
    <col min="6153" max="6153" width="35.453125" customWidth="1"/>
    <col min="6154" max="6154" width="12.7265625" customWidth="1"/>
    <col min="6155" max="6155" width="30.36328125" customWidth="1"/>
    <col min="6156" max="6156" width="20.1796875" customWidth="1"/>
    <col min="6157" max="6160" width="11.6328125" customWidth="1"/>
    <col min="6161" max="6161" width="13.453125" customWidth="1"/>
    <col min="6162" max="6401" width="11.6328125" customWidth="1"/>
    <col min="6402" max="6402" width="32" customWidth="1"/>
    <col min="6403" max="6403" width="19.26953125" customWidth="1"/>
    <col min="6404" max="6404" width="12.1796875" customWidth="1"/>
    <col min="6405" max="6405" width="15.08984375" customWidth="1"/>
    <col min="6406" max="6406" width="12" customWidth="1"/>
    <col min="6407" max="6407" width="18.1796875" customWidth="1"/>
    <col min="6408" max="6408" width="19.26953125" customWidth="1"/>
    <col min="6409" max="6409" width="35.453125" customWidth="1"/>
    <col min="6410" max="6410" width="12.7265625" customWidth="1"/>
    <col min="6411" max="6411" width="30.36328125" customWidth="1"/>
    <col min="6412" max="6412" width="20.1796875" customWidth="1"/>
    <col min="6413" max="6416" width="11.6328125" customWidth="1"/>
    <col min="6417" max="6417" width="13.453125" customWidth="1"/>
    <col min="6418" max="6657" width="11.6328125" customWidth="1"/>
    <col min="6658" max="6658" width="32" customWidth="1"/>
    <col min="6659" max="6659" width="19.26953125" customWidth="1"/>
    <col min="6660" max="6660" width="12.1796875" customWidth="1"/>
    <col min="6661" max="6661" width="15.08984375" customWidth="1"/>
    <col min="6662" max="6662" width="12" customWidth="1"/>
    <col min="6663" max="6663" width="18.1796875" customWidth="1"/>
    <col min="6664" max="6664" width="19.26953125" customWidth="1"/>
    <col min="6665" max="6665" width="35.453125" customWidth="1"/>
    <col min="6666" max="6666" width="12.7265625" customWidth="1"/>
    <col min="6667" max="6667" width="30.36328125" customWidth="1"/>
    <col min="6668" max="6668" width="20.1796875" customWidth="1"/>
    <col min="6669" max="6672" width="11.6328125" customWidth="1"/>
    <col min="6673" max="6673" width="13.453125" customWidth="1"/>
    <col min="6674" max="6913" width="11.6328125" customWidth="1"/>
    <col min="6914" max="6914" width="32" customWidth="1"/>
    <col min="6915" max="6915" width="19.26953125" customWidth="1"/>
    <col min="6916" max="6916" width="12.1796875" customWidth="1"/>
    <col min="6917" max="6917" width="15.08984375" customWidth="1"/>
    <col min="6918" max="6918" width="12" customWidth="1"/>
    <col min="6919" max="6919" width="18.1796875" customWidth="1"/>
    <col min="6920" max="6920" width="19.26953125" customWidth="1"/>
    <col min="6921" max="6921" width="35.453125" customWidth="1"/>
    <col min="6922" max="6922" width="12.7265625" customWidth="1"/>
    <col min="6923" max="6923" width="30.36328125" customWidth="1"/>
    <col min="6924" max="6924" width="20.1796875" customWidth="1"/>
    <col min="6925" max="6928" width="11.6328125" customWidth="1"/>
    <col min="6929" max="6929" width="13.453125" customWidth="1"/>
    <col min="6930" max="7169" width="11.6328125" customWidth="1"/>
    <col min="7170" max="7170" width="32" customWidth="1"/>
    <col min="7171" max="7171" width="19.26953125" customWidth="1"/>
    <col min="7172" max="7172" width="12.1796875" customWidth="1"/>
    <col min="7173" max="7173" width="15.08984375" customWidth="1"/>
    <col min="7174" max="7174" width="12" customWidth="1"/>
    <col min="7175" max="7175" width="18.1796875" customWidth="1"/>
    <col min="7176" max="7176" width="19.26953125" customWidth="1"/>
    <col min="7177" max="7177" width="35.453125" customWidth="1"/>
    <col min="7178" max="7178" width="12.7265625" customWidth="1"/>
    <col min="7179" max="7179" width="30.36328125" customWidth="1"/>
    <col min="7180" max="7180" width="20.1796875" customWidth="1"/>
    <col min="7181" max="7184" width="11.6328125" customWidth="1"/>
    <col min="7185" max="7185" width="13.453125" customWidth="1"/>
    <col min="7186" max="7425" width="11.6328125" customWidth="1"/>
    <col min="7426" max="7426" width="32" customWidth="1"/>
    <col min="7427" max="7427" width="19.26953125" customWidth="1"/>
    <col min="7428" max="7428" width="12.1796875" customWidth="1"/>
    <col min="7429" max="7429" width="15.08984375" customWidth="1"/>
    <col min="7430" max="7430" width="12" customWidth="1"/>
    <col min="7431" max="7431" width="18.1796875" customWidth="1"/>
    <col min="7432" max="7432" width="19.26953125" customWidth="1"/>
    <col min="7433" max="7433" width="35.453125" customWidth="1"/>
    <col min="7434" max="7434" width="12.7265625" customWidth="1"/>
    <col min="7435" max="7435" width="30.36328125" customWidth="1"/>
    <col min="7436" max="7436" width="20.1796875" customWidth="1"/>
    <col min="7437" max="7440" width="11.6328125" customWidth="1"/>
    <col min="7441" max="7441" width="13.453125" customWidth="1"/>
    <col min="7442" max="7681" width="11.6328125" customWidth="1"/>
    <col min="7682" max="7682" width="32" customWidth="1"/>
    <col min="7683" max="7683" width="19.26953125" customWidth="1"/>
    <col min="7684" max="7684" width="12.1796875" customWidth="1"/>
    <col min="7685" max="7685" width="15.08984375" customWidth="1"/>
    <col min="7686" max="7686" width="12" customWidth="1"/>
    <col min="7687" max="7687" width="18.1796875" customWidth="1"/>
    <col min="7688" max="7688" width="19.26953125" customWidth="1"/>
    <col min="7689" max="7689" width="35.453125" customWidth="1"/>
    <col min="7690" max="7690" width="12.7265625" customWidth="1"/>
    <col min="7691" max="7691" width="30.36328125" customWidth="1"/>
    <col min="7692" max="7692" width="20.1796875" customWidth="1"/>
    <col min="7693" max="7696" width="11.6328125" customWidth="1"/>
    <col min="7697" max="7697" width="13.453125" customWidth="1"/>
    <col min="7698" max="7937" width="11.6328125" customWidth="1"/>
    <col min="7938" max="7938" width="32" customWidth="1"/>
    <col min="7939" max="7939" width="19.26953125" customWidth="1"/>
    <col min="7940" max="7940" width="12.1796875" customWidth="1"/>
    <col min="7941" max="7941" width="15.08984375" customWidth="1"/>
    <col min="7942" max="7942" width="12" customWidth="1"/>
    <col min="7943" max="7943" width="18.1796875" customWidth="1"/>
    <col min="7944" max="7944" width="19.26953125" customWidth="1"/>
    <col min="7945" max="7945" width="35.453125" customWidth="1"/>
    <col min="7946" max="7946" width="12.7265625" customWidth="1"/>
    <col min="7947" max="7947" width="30.36328125" customWidth="1"/>
    <col min="7948" max="7948" width="20.1796875" customWidth="1"/>
    <col min="7949" max="7952" width="11.6328125" customWidth="1"/>
    <col min="7953" max="7953" width="13.453125" customWidth="1"/>
    <col min="7954" max="8193" width="11.6328125" customWidth="1"/>
    <col min="8194" max="8194" width="32" customWidth="1"/>
    <col min="8195" max="8195" width="19.26953125" customWidth="1"/>
    <col min="8196" max="8196" width="12.1796875" customWidth="1"/>
    <col min="8197" max="8197" width="15.08984375" customWidth="1"/>
    <col min="8198" max="8198" width="12" customWidth="1"/>
    <col min="8199" max="8199" width="18.1796875" customWidth="1"/>
    <col min="8200" max="8200" width="19.26953125" customWidth="1"/>
    <col min="8201" max="8201" width="35.453125" customWidth="1"/>
    <col min="8202" max="8202" width="12.7265625" customWidth="1"/>
    <col min="8203" max="8203" width="30.36328125" customWidth="1"/>
    <col min="8204" max="8204" width="20.1796875" customWidth="1"/>
    <col min="8205" max="8208" width="11.6328125" customWidth="1"/>
    <col min="8209" max="8209" width="13.453125" customWidth="1"/>
    <col min="8210" max="8449" width="11.6328125" customWidth="1"/>
    <col min="8450" max="8450" width="32" customWidth="1"/>
    <col min="8451" max="8451" width="19.26953125" customWidth="1"/>
    <col min="8452" max="8452" width="12.1796875" customWidth="1"/>
    <col min="8453" max="8453" width="15.08984375" customWidth="1"/>
    <col min="8454" max="8454" width="12" customWidth="1"/>
    <col min="8455" max="8455" width="18.1796875" customWidth="1"/>
    <col min="8456" max="8456" width="19.26953125" customWidth="1"/>
    <col min="8457" max="8457" width="35.453125" customWidth="1"/>
    <col min="8458" max="8458" width="12.7265625" customWidth="1"/>
    <col min="8459" max="8459" width="30.36328125" customWidth="1"/>
    <col min="8460" max="8460" width="20.1796875" customWidth="1"/>
    <col min="8461" max="8464" width="11.6328125" customWidth="1"/>
    <col min="8465" max="8465" width="13.453125" customWidth="1"/>
    <col min="8466" max="8705" width="11.6328125" customWidth="1"/>
    <col min="8706" max="8706" width="32" customWidth="1"/>
    <col min="8707" max="8707" width="19.26953125" customWidth="1"/>
    <col min="8708" max="8708" width="12.1796875" customWidth="1"/>
    <col min="8709" max="8709" width="15.08984375" customWidth="1"/>
    <col min="8710" max="8710" width="12" customWidth="1"/>
    <col min="8711" max="8711" width="18.1796875" customWidth="1"/>
    <col min="8712" max="8712" width="19.26953125" customWidth="1"/>
    <col min="8713" max="8713" width="35.453125" customWidth="1"/>
    <col min="8714" max="8714" width="12.7265625" customWidth="1"/>
    <col min="8715" max="8715" width="30.36328125" customWidth="1"/>
    <col min="8716" max="8716" width="20.1796875" customWidth="1"/>
    <col min="8717" max="8720" width="11.6328125" customWidth="1"/>
    <col min="8721" max="8721" width="13.453125" customWidth="1"/>
    <col min="8722" max="8961" width="11.6328125" customWidth="1"/>
    <col min="8962" max="8962" width="32" customWidth="1"/>
    <col min="8963" max="8963" width="19.26953125" customWidth="1"/>
    <col min="8964" max="8964" width="12.1796875" customWidth="1"/>
    <col min="8965" max="8965" width="15.08984375" customWidth="1"/>
    <col min="8966" max="8966" width="12" customWidth="1"/>
    <col min="8967" max="8967" width="18.1796875" customWidth="1"/>
    <col min="8968" max="8968" width="19.26953125" customWidth="1"/>
    <col min="8969" max="8969" width="35.453125" customWidth="1"/>
    <col min="8970" max="8970" width="12.7265625" customWidth="1"/>
    <col min="8971" max="8971" width="30.36328125" customWidth="1"/>
    <col min="8972" max="8972" width="20.1796875" customWidth="1"/>
    <col min="8973" max="8976" width="11.6328125" customWidth="1"/>
    <col min="8977" max="8977" width="13.453125" customWidth="1"/>
    <col min="8978" max="9217" width="11.6328125" customWidth="1"/>
    <col min="9218" max="9218" width="32" customWidth="1"/>
    <col min="9219" max="9219" width="19.26953125" customWidth="1"/>
    <col min="9220" max="9220" width="12.1796875" customWidth="1"/>
    <col min="9221" max="9221" width="15.08984375" customWidth="1"/>
    <col min="9222" max="9222" width="12" customWidth="1"/>
    <col min="9223" max="9223" width="18.1796875" customWidth="1"/>
    <col min="9224" max="9224" width="19.26953125" customWidth="1"/>
    <col min="9225" max="9225" width="35.453125" customWidth="1"/>
    <col min="9226" max="9226" width="12.7265625" customWidth="1"/>
    <col min="9227" max="9227" width="30.36328125" customWidth="1"/>
    <col min="9228" max="9228" width="20.1796875" customWidth="1"/>
    <col min="9229" max="9232" width="11.6328125" customWidth="1"/>
    <col min="9233" max="9233" width="13.453125" customWidth="1"/>
    <col min="9234" max="9473" width="11.6328125" customWidth="1"/>
    <col min="9474" max="9474" width="32" customWidth="1"/>
    <col min="9475" max="9475" width="19.26953125" customWidth="1"/>
    <col min="9476" max="9476" width="12.1796875" customWidth="1"/>
    <col min="9477" max="9477" width="15.08984375" customWidth="1"/>
    <col min="9478" max="9478" width="12" customWidth="1"/>
    <col min="9479" max="9479" width="18.1796875" customWidth="1"/>
    <col min="9480" max="9480" width="19.26953125" customWidth="1"/>
    <col min="9481" max="9481" width="35.453125" customWidth="1"/>
    <col min="9482" max="9482" width="12.7265625" customWidth="1"/>
    <col min="9483" max="9483" width="30.36328125" customWidth="1"/>
    <col min="9484" max="9484" width="20.1796875" customWidth="1"/>
    <col min="9485" max="9488" width="11.6328125" customWidth="1"/>
    <col min="9489" max="9489" width="13.453125" customWidth="1"/>
    <col min="9490" max="9729" width="11.6328125" customWidth="1"/>
    <col min="9730" max="9730" width="32" customWidth="1"/>
    <col min="9731" max="9731" width="19.26953125" customWidth="1"/>
    <col min="9732" max="9732" width="12.1796875" customWidth="1"/>
    <col min="9733" max="9733" width="15.08984375" customWidth="1"/>
    <col min="9734" max="9734" width="12" customWidth="1"/>
    <col min="9735" max="9735" width="18.1796875" customWidth="1"/>
    <col min="9736" max="9736" width="19.26953125" customWidth="1"/>
    <col min="9737" max="9737" width="35.453125" customWidth="1"/>
    <col min="9738" max="9738" width="12.7265625" customWidth="1"/>
    <col min="9739" max="9739" width="30.36328125" customWidth="1"/>
    <col min="9740" max="9740" width="20.1796875" customWidth="1"/>
    <col min="9741" max="9744" width="11.6328125" customWidth="1"/>
    <col min="9745" max="9745" width="13.453125" customWidth="1"/>
    <col min="9746" max="9985" width="11.6328125" customWidth="1"/>
    <col min="9986" max="9986" width="32" customWidth="1"/>
    <col min="9987" max="9987" width="19.26953125" customWidth="1"/>
    <col min="9988" max="9988" width="12.1796875" customWidth="1"/>
    <col min="9989" max="9989" width="15.08984375" customWidth="1"/>
    <col min="9990" max="9990" width="12" customWidth="1"/>
    <col min="9991" max="9991" width="18.1796875" customWidth="1"/>
    <col min="9992" max="9992" width="19.26953125" customWidth="1"/>
    <col min="9993" max="9993" width="35.453125" customWidth="1"/>
    <col min="9994" max="9994" width="12.7265625" customWidth="1"/>
    <col min="9995" max="9995" width="30.36328125" customWidth="1"/>
    <col min="9996" max="9996" width="20.1796875" customWidth="1"/>
    <col min="9997" max="10000" width="11.6328125" customWidth="1"/>
    <col min="10001" max="10001" width="13.453125" customWidth="1"/>
    <col min="10002" max="10241" width="11.6328125" customWidth="1"/>
    <col min="10242" max="10242" width="32" customWidth="1"/>
    <col min="10243" max="10243" width="19.26953125" customWidth="1"/>
    <col min="10244" max="10244" width="12.1796875" customWidth="1"/>
    <col min="10245" max="10245" width="15.08984375" customWidth="1"/>
    <col min="10246" max="10246" width="12" customWidth="1"/>
    <col min="10247" max="10247" width="18.1796875" customWidth="1"/>
    <col min="10248" max="10248" width="19.26953125" customWidth="1"/>
    <col min="10249" max="10249" width="35.453125" customWidth="1"/>
    <col min="10250" max="10250" width="12.7265625" customWidth="1"/>
    <col min="10251" max="10251" width="30.36328125" customWidth="1"/>
    <col min="10252" max="10252" width="20.1796875" customWidth="1"/>
    <col min="10253" max="10256" width="11.6328125" customWidth="1"/>
    <col min="10257" max="10257" width="13.453125" customWidth="1"/>
    <col min="10258" max="10497" width="11.6328125" customWidth="1"/>
    <col min="10498" max="10498" width="32" customWidth="1"/>
    <col min="10499" max="10499" width="19.26953125" customWidth="1"/>
    <col min="10500" max="10500" width="12.1796875" customWidth="1"/>
    <col min="10501" max="10501" width="15.08984375" customWidth="1"/>
    <col min="10502" max="10502" width="12" customWidth="1"/>
    <col min="10503" max="10503" width="18.1796875" customWidth="1"/>
    <col min="10504" max="10504" width="19.26953125" customWidth="1"/>
    <col min="10505" max="10505" width="35.453125" customWidth="1"/>
    <col min="10506" max="10506" width="12.7265625" customWidth="1"/>
    <col min="10507" max="10507" width="30.36328125" customWidth="1"/>
    <col min="10508" max="10508" width="20.1796875" customWidth="1"/>
    <col min="10509" max="10512" width="11.6328125" customWidth="1"/>
    <col min="10513" max="10513" width="13.453125" customWidth="1"/>
    <col min="10514" max="10753" width="11.6328125" customWidth="1"/>
    <col min="10754" max="10754" width="32" customWidth="1"/>
    <col min="10755" max="10755" width="19.26953125" customWidth="1"/>
    <col min="10756" max="10756" width="12.1796875" customWidth="1"/>
    <col min="10757" max="10757" width="15.08984375" customWidth="1"/>
    <col min="10758" max="10758" width="12" customWidth="1"/>
    <col min="10759" max="10759" width="18.1796875" customWidth="1"/>
    <col min="10760" max="10760" width="19.26953125" customWidth="1"/>
    <col min="10761" max="10761" width="35.453125" customWidth="1"/>
    <col min="10762" max="10762" width="12.7265625" customWidth="1"/>
    <col min="10763" max="10763" width="30.36328125" customWidth="1"/>
    <col min="10764" max="10764" width="20.1796875" customWidth="1"/>
    <col min="10765" max="10768" width="11.6328125" customWidth="1"/>
    <col min="10769" max="10769" width="13.453125" customWidth="1"/>
    <col min="10770" max="11009" width="11.6328125" customWidth="1"/>
    <col min="11010" max="11010" width="32" customWidth="1"/>
    <col min="11011" max="11011" width="19.26953125" customWidth="1"/>
    <col min="11012" max="11012" width="12.1796875" customWidth="1"/>
    <col min="11013" max="11013" width="15.08984375" customWidth="1"/>
    <col min="11014" max="11014" width="12" customWidth="1"/>
    <col min="11015" max="11015" width="18.1796875" customWidth="1"/>
    <col min="11016" max="11016" width="19.26953125" customWidth="1"/>
    <col min="11017" max="11017" width="35.453125" customWidth="1"/>
    <col min="11018" max="11018" width="12.7265625" customWidth="1"/>
    <col min="11019" max="11019" width="30.36328125" customWidth="1"/>
    <col min="11020" max="11020" width="20.1796875" customWidth="1"/>
    <col min="11021" max="11024" width="11.6328125" customWidth="1"/>
    <col min="11025" max="11025" width="13.453125" customWidth="1"/>
    <col min="11026" max="11265" width="11.6328125" customWidth="1"/>
    <col min="11266" max="11266" width="32" customWidth="1"/>
    <col min="11267" max="11267" width="19.26953125" customWidth="1"/>
    <col min="11268" max="11268" width="12.1796875" customWidth="1"/>
    <col min="11269" max="11269" width="15.08984375" customWidth="1"/>
    <col min="11270" max="11270" width="12" customWidth="1"/>
    <col min="11271" max="11271" width="18.1796875" customWidth="1"/>
    <col min="11272" max="11272" width="19.26953125" customWidth="1"/>
    <col min="11273" max="11273" width="35.453125" customWidth="1"/>
    <col min="11274" max="11274" width="12.7265625" customWidth="1"/>
    <col min="11275" max="11275" width="30.36328125" customWidth="1"/>
    <col min="11276" max="11276" width="20.1796875" customWidth="1"/>
    <col min="11277" max="11280" width="11.6328125" customWidth="1"/>
    <col min="11281" max="11281" width="13.453125" customWidth="1"/>
    <col min="11282" max="11521" width="11.6328125" customWidth="1"/>
    <col min="11522" max="11522" width="32" customWidth="1"/>
    <col min="11523" max="11523" width="19.26953125" customWidth="1"/>
    <col min="11524" max="11524" width="12.1796875" customWidth="1"/>
    <col min="11525" max="11525" width="15.08984375" customWidth="1"/>
    <col min="11526" max="11526" width="12" customWidth="1"/>
    <col min="11527" max="11527" width="18.1796875" customWidth="1"/>
    <col min="11528" max="11528" width="19.26953125" customWidth="1"/>
    <col min="11529" max="11529" width="35.453125" customWidth="1"/>
    <col min="11530" max="11530" width="12.7265625" customWidth="1"/>
    <col min="11531" max="11531" width="30.36328125" customWidth="1"/>
    <col min="11532" max="11532" width="20.1796875" customWidth="1"/>
    <col min="11533" max="11536" width="11.6328125" customWidth="1"/>
    <col min="11537" max="11537" width="13.453125" customWidth="1"/>
    <col min="11538" max="11777" width="11.6328125" customWidth="1"/>
    <col min="11778" max="11778" width="32" customWidth="1"/>
    <col min="11779" max="11779" width="19.26953125" customWidth="1"/>
    <col min="11780" max="11780" width="12.1796875" customWidth="1"/>
    <col min="11781" max="11781" width="15.08984375" customWidth="1"/>
    <col min="11782" max="11782" width="12" customWidth="1"/>
    <col min="11783" max="11783" width="18.1796875" customWidth="1"/>
    <col min="11784" max="11784" width="19.26953125" customWidth="1"/>
    <col min="11785" max="11785" width="35.453125" customWidth="1"/>
    <col min="11786" max="11786" width="12.7265625" customWidth="1"/>
    <col min="11787" max="11787" width="30.36328125" customWidth="1"/>
    <col min="11788" max="11788" width="20.1796875" customWidth="1"/>
    <col min="11789" max="11792" width="11.6328125" customWidth="1"/>
    <col min="11793" max="11793" width="13.453125" customWidth="1"/>
    <col min="11794" max="12033" width="11.6328125" customWidth="1"/>
    <col min="12034" max="12034" width="32" customWidth="1"/>
    <col min="12035" max="12035" width="19.26953125" customWidth="1"/>
    <col min="12036" max="12036" width="12.1796875" customWidth="1"/>
    <col min="12037" max="12037" width="15.08984375" customWidth="1"/>
    <col min="12038" max="12038" width="12" customWidth="1"/>
    <col min="12039" max="12039" width="18.1796875" customWidth="1"/>
    <col min="12040" max="12040" width="19.26953125" customWidth="1"/>
    <col min="12041" max="12041" width="35.453125" customWidth="1"/>
    <col min="12042" max="12042" width="12.7265625" customWidth="1"/>
    <col min="12043" max="12043" width="30.36328125" customWidth="1"/>
    <col min="12044" max="12044" width="20.1796875" customWidth="1"/>
    <col min="12045" max="12048" width="11.6328125" customWidth="1"/>
    <col min="12049" max="12049" width="13.453125" customWidth="1"/>
    <col min="12050" max="12289" width="11.6328125" customWidth="1"/>
    <col min="12290" max="12290" width="32" customWidth="1"/>
    <col min="12291" max="12291" width="19.26953125" customWidth="1"/>
    <col min="12292" max="12292" width="12.1796875" customWidth="1"/>
    <col min="12293" max="12293" width="15.08984375" customWidth="1"/>
    <col min="12294" max="12294" width="12" customWidth="1"/>
    <col min="12295" max="12295" width="18.1796875" customWidth="1"/>
    <col min="12296" max="12296" width="19.26953125" customWidth="1"/>
    <col min="12297" max="12297" width="35.453125" customWidth="1"/>
    <col min="12298" max="12298" width="12.7265625" customWidth="1"/>
    <col min="12299" max="12299" width="30.36328125" customWidth="1"/>
    <col min="12300" max="12300" width="20.1796875" customWidth="1"/>
    <col min="12301" max="12304" width="11.6328125" customWidth="1"/>
    <col min="12305" max="12305" width="13.453125" customWidth="1"/>
    <col min="12306" max="12545" width="11.6328125" customWidth="1"/>
    <col min="12546" max="12546" width="32" customWidth="1"/>
    <col min="12547" max="12547" width="19.26953125" customWidth="1"/>
    <col min="12548" max="12548" width="12.1796875" customWidth="1"/>
    <col min="12549" max="12549" width="15.08984375" customWidth="1"/>
    <col min="12550" max="12550" width="12" customWidth="1"/>
    <col min="12551" max="12551" width="18.1796875" customWidth="1"/>
    <col min="12552" max="12552" width="19.26953125" customWidth="1"/>
    <col min="12553" max="12553" width="35.453125" customWidth="1"/>
    <col min="12554" max="12554" width="12.7265625" customWidth="1"/>
    <col min="12555" max="12555" width="30.36328125" customWidth="1"/>
    <col min="12556" max="12556" width="20.1796875" customWidth="1"/>
    <col min="12557" max="12560" width="11.6328125" customWidth="1"/>
    <col min="12561" max="12561" width="13.453125" customWidth="1"/>
    <col min="12562" max="12801" width="11.6328125" customWidth="1"/>
    <col min="12802" max="12802" width="32" customWidth="1"/>
    <col min="12803" max="12803" width="19.26953125" customWidth="1"/>
    <col min="12804" max="12804" width="12.1796875" customWidth="1"/>
    <col min="12805" max="12805" width="15.08984375" customWidth="1"/>
    <col min="12806" max="12806" width="12" customWidth="1"/>
    <col min="12807" max="12807" width="18.1796875" customWidth="1"/>
    <col min="12808" max="12808" width="19.26953125" customWidth="1"/>
    <col min="12809" max="12809" width="35.453125" customWidth="1"/>
    <col min="12810" max="12810" width="12.7265625" customWidth="1"/>
    <col min="12811" max="12811" width="30.36328125" customWidth="1"/>
    <col min="12812" max="12812" width="20.1796875" customWidth="1"/>
    <col min="12813" max="12816" width="11.6328125" customWidth="1"/>
    <col min="12817" max="12817" width="13.453125" customWidth="1"/>
    <col min="12818" max="13057" width="11.6328125" customWidth="1"/>
    <col min="13058" max="13058" width="32" customWidth="1"/>
    <col min="13059" max="13059" width="19.26953125" customWidth="1"/>
    <col min="13060" max="13060" width="12.1796875" customWidth="1"/>
    <col min="13061" max="13061" width="15.08984375" customWidth="1"/>
    <col min="13062" max="13062" width="12" customWidth="1"/>
    <col min="13063" max="13063" width="18.1796875" customWidth="1"/>
    <col min="13064" max="13064" width="19.26953125" customWidth="1"/>
    <col min="13065" max="13065" width="35.453125" customWidth="1"/>
    <col min="13066" max="13066" width="12.7265625" customWidth="1"/>
    <col min="13067" max="13067" width="30.36328125" customWidth="1"/>
    <col min="13068" max="13068" width="20.1796875" customWidth="1"/>
    <col min="13069" max="13072" width="11.6328125" customWidth="1"/>
    <col min="13073" max="13073" width="13.453125" customWidth="1"/>
    <col min="13074" max="13313" width="11.6328125" customWidth="1"/>
    <col min="13314" max="13314" width="32" customWidth="1"/>
    <col min="13315" max="13315" width="19.26953125" customWidth="1"/>
    <col min="13316" max="13316" width="12.1796875" customWidth="1"/>
    <col min="13317" max="13317" width="15.08984375" customWidth="1"/>
    <col min="13318" max="13318" width="12" customWidth="1"/>
    <col min="13319" max="13319" width="18.1796875" customWidth="1"/>
    <col min="13320" max="13320" width="19.26953125" customWidth="1"/>
    <col min="13321" max="13321" width="35.453125" customWidth="1"/>
    <col min="13322" max="13322" width="12.7265625" customWidth="1"/>
    <col min="13323" max="13323" width="30.36328125" customWidth="1"/>
    <col min="13324" max="13324" width="20.1796875" customWidth="1"/>
    <col min="13325" max="13328" width="11.6328125" customWidth="1"/>
    <col min="13329" max="13329" width="13.453125" customWidth="1"/>
    <col min="13330" max="13569" width="11.6328125" customWidth="1"/>
    <col min="13570" max="13570" width="32" customWidth="1"/>
    <col min="13571" max="13571" width="19.26953125" customWidth="1"/>
    <col min="13572" max="13572" width="12.1796875" customWidth="1"/>
    <col min="13573" max="13573" width="15.08984375" customWidth="1"/>
    <col min="13574" max="13574" width="12" customWidth="1"/>
    <col min="13575" max="13575" width="18.1796875" customWidth="1"/>
    <col min="13576" max="13576" width="19.26953125" customWidth="1"/>
    <col min="13577" max="13577" width="35.453125" customWidth="1"/>
    <col min="13578" max="13578" width="12.7265625" customWidth="1"/>
    <col min="13579" max="13579" width="30.36328125" customWidth="1"/>
    <col min="13580" max="13580" width="20.1796875" customWidth="1"/>
    <col min="13581" max="13584" width="11.6328125" customWidth="1"/>
    <col min="13585" max="13585" width="13.453125" customWidth="1"/>
    <col min="13586" max="13825" width="11.6328125" customWidth="1"/>
    <col min="13826" max="13826" width="32" customWidth="1"/>
    <col min="13827" max="13827" width="19.26953125" customWidth="1"/>
    <col min="13828" max="13828" width="12.1796875" customWidth="1"/>
    <col min="13829" max="13829" width="15.08984375" customWidth="1"/>
    <col min="13830" max="13830" width="12" customWidth="1"/>
    <col min="13831" max="13831" width="18.1796875" customWidth="1"/>
    <col min="13832" max="13832" width="19.26953125" customWidth="1"/>
    <col min="13833" max="13833" width="35.453125" customWidth="1"/>
    <col min="13834" max="13834" width="12.7265625" customWidth="1"/>
    <col min="13835" max="13835" width="30.36328125" customWidth="1"/>
    <col min="13836" max="13836" width="20.1796875" customWidth="1"/>
    <col min="13837" max="13840" width="11.6328125" customWidth="1"/>
    <col min="13841" max="13841" width="13.453125" customWidth="1"/>
    <col min="13842" max="14081" width="11.6328125" customWidth="1"/>
    <col min="14082" max="14082" width="32" customWidth="1"/>
    <col min="14083" max="14083" width="19.26953125" customWidth="1"/>
    <col min="14084" max="14084" width="12.1796875" customWidth="1"/>
    <col min="14085" max="14085" width="15.08984375" customWidth="1"/>
    <col min="14086" max="14086" width="12" customWidth="1"/>
    <col min="14087" max="14087" width="18.1796875" customWidth="1"/>
    <col min="14088" max="14088" width="19.26953125" customWidth="1"/>
    <col min="14089" max="14089" width="35.453125" customWidth="1"/>
    <col min="14090" max="14090" width="12.7265625" customWidth="1"/>
    <col min="14091" max="14091" width="30.36328125" customWidth="1"/>
    <col min="14092" max="14092" width="20.1796875" customWidth="1"/>
    <col min="14093" max="14096" width="11.6328125" customWidth="1"/>
    <col min="14097" max="14097" width="13.453125" customWidth="1"/>
    <col min="14098" max="14337" width="11.6328125" customWidth="1"/>
    <col min="14338" max="14338" width="32" customWidth="1"/>
    <col min="14339" max="14339" width="19.26953125" customWidth="1"/>
    <col min="14340" max="14340" width="12.1796875" customWidth="1"/>
    <col min="14341" max="14341" width="15.08984375" customWidth="1"/>
    <col min="14342" max="14342" width="12" customWidth="1"/>
    <col min="14343" max="14343" width="18.1796875" customWidth="1"/>
    <col min="14344" max="14344" width="19.26953125" customWidth="1"/>
    <col min="14345" max="14345" width="35.453125" customWidth="1"/>
    <col min="14346" max="14346" width="12.7265625" customWidth="1"/>
    <col min="14347" max="14347" width="30.36328125" customWidth="1"/>
    <col min="14348" max="14348" width="20.1796875" customWidth="1"/>
    <col min="14349" max="14352" width="11.6328125" customWidth="1"/>
    <col min="14353" max="14353" width="13.453125" customWidth="1"/>
    <col min="14354" max="14593" width="11.6328125" customWidth="1"/>
    <col min="14594" max="14594" width="32" customWidth="1"/>
    <col min="14595" max="14595" width="19.26953125" customWidth="1"/>
    <col min="14596" max="14596" width="12.1796875" customWidth="1"/>
    <col min="14597" max="14597" width="15.08984375" customWidth="1"/>
    <col min="14598" max="14598" width="12" customWidth="1"/>
    <col min="14599" max="14599" width="18.1796875" customWidth="1"/>
    <col min="14600" max="14600" width="19.26953125" customWidth="1"/>
    <col min="14601" max="14601" width="35.453125" customWidth="1"/>
    <col min="14602" max="14602" width="12.7265625" customWidth="1"/>
    <col min="14603" max="14603" width="30.36328125" customWidth="1"/>
    <col min="14604" max="14604" width="20.1796875" customWidth="1"/>
    <col min="14605" max="14608" width="11.6328125" customWidth="1"/>
    <col min="14609" max="14609" width="13.453125" customWidth="1"/>
    <col min="14610" max="14849" width="11.6328125" customWidth="1"/>
    <col min="14850" max="14850" width="32" customWidth="1"/>
    <col min="14851" max="14851" width="19.26953125" customWidth="1"/>
    <col min="14852" max="14852" width="12.1796875" customWidth="1"/>
    <col min="14853" max="14853" width="15.08984375" customWidth="1"/>
    <col min="14854" max="14854" width="12" customWidth="1"/>
    <col min="14855" max="14855" width="18.1796875" customWidth="1"/>
    <col min="14856" max="14856" width="19.26953125" customWidth="1"/>
    <col min="14857" max="14857" width="35.453125" customWidth="1"/>
    <col min="14858" max="14858" width="12.7265625" customWidth="1"/>
    <col min="14859" max="14859" width="30.36328125" customWidth="1"/>
    <col min="14860" max="14860" width="20.1796875" customWidth="1"/>
    <col min="14861" max="14864" width="11.6328125" customWidth="1"/>
    <col min="14865" max="14865" width="13.453125" customWidth="1"/>
    <col min="14866" max="15105" width="11.6328125" customWidth="1"/>
    <col min="15106" max="15106" width="32" customWidth="1"/>
    <col min="15107" max="15107" width="19.26953125" customWidth="1"/>
    <col min="15108" max="15108" width="12.1796875" customWidth="1"/>
    <col min="15109" max="15109" width="15.08984375" customWidth="1"/>
    <col min="15110" max="15110" width="12" customWidth="1"/>
    <col min="15111" max="15111" width="18.1796875" customWidth="1"/>
    <col min="15112" max="15112" width="19.26953125" customWidth="1"/>
    <col min="15113" max="15113" width="35.453125" customWidth="1"/>
    <col min="15114" max="15114" width="12.7265625" customWidth="1"/>
    <col min="15115" max="15115" width="30.36328125" customWidth="1"/>
    <col min="15116" max="15116" width="20.1796875" customWidth="1"/>
    <col min="15117" max="15120" width="11.6328125" customWidth="1"/>
    <col min="15121" max="15121" width="13.453125" customWidth="1"/>
    <col min="15122" max="15361" width="11.6328125" customWidth="1"/>
    <col min="15362" max="15362" width="32" customWidth="1"/>
    <col min="15363" max="15363" width="19.26953125" customWidth="1"/>
    <col min="15364" max="15364" width="12.1796875" customWidth="1"/>
    <col min="15365" max="15365" width="15.08984375" customWidth="1"/>
    <col min="15366" max="15366" width="12" customWidth="1"/>
    <col min="15367" max="15367" width="18.1796875" customWidth="1"/>
    <col min="15368" max="15368" width="19.26953125" customWidth="1"/>
    <col min="15369" max="15369" width="35.453125" customWidth="1"/>
    <col min="15370" max="15370" width="12.7265625" customWidth="1"/>
    <col min="15371" max="15371" width="30.36328125" customWidth="1"/>
    <col min="15372" max="15372" width="20.1796875" customWidth="1"/>
    <col min="15373" max="15376" width="11.6328125" customWidth="1"/>
    <col min="15377" max="15377" width="13.453125" customWidth="1"/>
    <col min="15378" max="15617" width="11.6328125" customWidth="1"/>
    <col min="15618" max="15618" width="32" customWidth="1"/>
    <col min="15619" max="15619" width="19.26953125" customWidth="1"/>
    <col min="15620" max="15620" width="12.1796875" customWidth="1"/>
    <col min="15621" max="15621" width="15.08984375" customWidth="1"/>
    <col min="15622" max="15622" width="12" customWidth="1"/>
    <col min="15623" max="15623" width="18.1796875" customWidth="1"/>
    <col min="15624" max="15624" width="19.26953125" customWidth="1"/>
    <col min="15625" max="15625" width="35.453125" customWidth="1"/>
    <col min="15626" max="15626" width="12.7265625" customWidth="1"/>
    <col min="15627" max="15627" width="30.36328125" customWidth="1"/>
    <col min="15628" max="15628" width="20.1796875" customWidth="1"/>
    <col min="15629" max="15632" width="11.6328125" customWidth="1"/>
    <col min="15633" max="15633" width="13.453125" customWidth="1"/>
    <col min="15634" max="15873" width="11.6328125" customWidth="1"/>
    <col min="15874" max="15874" width="32" customWidth="1"/>
    <col min="15875" max="15875" width="19.26953125" customWidth="1"/>
    <col min="15876" max="15876" width="12.1796875" customWidth="1"/>
    <col min="15877" max="15877" width="15.08984375" customWidth="1"/>
    <col min="15878" max="15878" width="12" customWidth="1"/>
    <col min="15879" max="15879" width="18.1796875" customWidth="1"/>
    <col min="15880" max="15880" width="19.26953125" customWidth="1"/>
    <col min="15881" max="15881" width="35.453125" customWidth="1"/>
    <col min="15882" max="15882" width="12.7265625" customWidth="1"/>
    <col min="15883" max="15883" width="30.36328125" customWidth="1"/>
    <col min="15884" max="15884" width="20.1796875" customWidth="1"/>
    <col min="15885" max="15888" width="11.6328125" customWidth="1"/>
    <col min="15889" max="15889" width="13.453125" customWidth="1"/>
    <col min="15890" max="16129" width="11.6328125" customWidth="1"/>
    <col min="16130" max="16130" width="32" customWidth="1"/>
    <col min="16131" max="16131" width="19.26953125" customWidth="1"/>
    <col min="16132" max="16132" width="12.1796875" customWidth="1"/>
    <col min="16133" max="16133" width="15.08984375" customWidth="1"/>
    <col min="16134" max="16134" width="12" customWidth="1"/>
    <col min="16135" max="16135" width="18.1796875" customWidth="1"/>
    <col min="16136" max="16136" width="19.26953125" customWidth="1"/>
    <col min="16137" max="16137" width="35.453125" customWidth="1"/>
    <col min="16138" max="16138" width="12.7265625" customWidth="1"/>
    <col min="16139" max="16139" width="30.36328125" customWidth="1"/>
    <col min="16140" max="16140" width="20.1796875" customWidth="1"/>
    <col min="16141" max="16144" width="11.6328125" customWidth="1"/>
    <col min="16145" max="16145" width="13.453125" customWidth="1"/>
    <col min="16146" max="16384" width="11.6328125" customWidth="1"/>
  </cols>
  <sheetData>
    <row r="1" spans="2:17" ht="15.5">
      <c r="B1" s="181" t="s">
        <v>191</v>
      </c>
      <c r="C1" s="295">
        <v>43470</v>
      </c>
      <c r="D1" s="296"/>
      <c r="E1" s="296"/>
      <c r="F1" s="296"/>
      <c r="G1" s="296"/>
      <c r="H1" s="296"/>
      <c r="I1" s="297" t="s">
        <v>192</v>
      </c>
      <c r="J1" s="300" t="s">
        <v>69</v>
      </c>
      <c r="K1" s="301"/>
      <c r="L1" s="302"/>
    </row>
    <row r="2" spans="2:17" ht="15.5">
      <c r="B2" s="183" t="s">
        <v>193</v>
      </c>
      <c r="C2" s="303" t="s">
        <v>194</v>
      </c>
      <c r="D2" s="304"/>
      <c r="E2" s="304"/>
      <c r="F2" s="304"/>
      <c r="G2" s="304"/>
      <c r="H2" s="304"/>
      <c r="I2" s="298"/>
      <c r="J2" s="305" t="s">
        <v>195</v>
      </c>
      <c r="K2" s="306"/>
      <c r="L2" s="307"/>
    </row>
    <row r="3" spans="2:17" ht="15.5">
      <c r="B3" s="183" t="s">
        <v>196</v>
      </c>
      <c r="C3" s="311" t="s">
        <v>197</v>
      </c>
      <c r="D3" s="312"/>
      <c r="E3" s="312"/>
      <c r="F3" s="313"/>
      <c r="G3" s="311" t="s">
        <v>198</v>
      </c>
      <c r="H3" s="312"/>
      <c r="I3" s="298"/>
      <c r="J3" s="305"/>
      <c r="K3" s="306"/>
      <c r="L3" s="307"/>
    </row>
    <row r="4" spans="2:17" ht="15.5">
      <c r="B4" s="183" t="s">
        <v>199</v>
      </c>
      <c r="C4" s="314" t="s">
        <v>200</v>
      </c>
      <c r="D4" s="315"/>
      <c r="E4" s="315"/>
      <c r="F4" s="315"/>
      <c r="G4" s="315"/>
      <c r="H4" s="315"/>
      <c r="I4" s="298"/>
      <c r="J4" s="305"/>
      <c r="K4" s="306"/>
      <c r="L4" s="307"/>
    </row>
    <row r="5" spans="2:17" ht="15.5">
      <c r="B5" s="183" t="s">
        <v>201</v>
      </c>
      <c r="C5" s="316" t="s">
        <v>202</v>
      </c>
      <c r="D5" s="317"/>
      <c r="E5" s="317"/>
      <c r="F5" s="317"/>
      <c r="G5" s="317"/>
      <c r="H5" s="317"/>
      <c r="I5" s="298"/>
      <c r="J5" s="305"/>
      <c r="K5" s="306"/>
      <c r="L5" s="307"/>
    </row>
    <row r="6" spans="2:17" s="184" customFormat="1" ht="15.5">
      <c r="B6" s="183" t="s">
        <v>203</v>
      </c>
      <c r="C6" s="303" t="s">
        <v>204</v>
      </c>
      <c r="D6" s="304"/>
      <c r="E6" s="304"/>
      <c r="F6" s="304"/>
      <c r="G6" s="304"/>
      <c r="H6" s="304"/>
      <c r="I6" s="298"/>
      <c r="J6" s="305"/>
      <c r="K6" s="306"/>
      <c r="L6" s="307"/>
      <c r="Q6" s="185"/>
    </row>
    <row r="7" spans="2:17" ht="16" thickBot="1">
      <c r="B7" s="186" t="s">
        <v>205</v>
      </c>
      <c r="C7" s="290" t="s">
        <v>206</v>
      </c>
      <c r="D7" s="291"/>
      <c r="E7" s="291"/>
      <c r="F7" s="291"/>
      <c r="G7" s="291"/>
      <c r="H7" s="291"/>
      <c r="I7" s="299"/>
      <c r="J7" s="308"/>
      <c r="K7" s="309"/>
      <c r="L7" s="310"/>
    </row>
    <row r="8" spans="2:17" ht="16" thickBot="1">
      <c r="B8" t="s">
        <v>207</v>
      </c>
      <c r="C8" s="180"/>
      <c r="D8" s="187"/>
      <c r="E8" s="180"/>
      <c r="F8" s="180"/>
      <c r="G8" s="188" t="s">
        <v>208</v>
      </c>
      <c r="H8" s="189"/>
      <c r="I8" s="180"/>
      <c r="L8" s="190"/>
    </row>
    <row r="9" spans="2:17" ht="16" thickBot="1">
      <c r="B9" t="s">
        <v>209</v>
      </c>
      <c r="C9" s="180"/>
      <c r="D9" s="187"/>
      <c r="E9" s="180"/>
      <c r="F9" s="180"/>
      <c r="G9" s="191">
        <v>0.25</v>
      </c>
      <c r="H9" s="189"/>
      <c r="I9" s="180"/>
      <c r="L9" s="190"/>
      <c r="M9" s="292" t="s">
        <v>210</v>
      </c>
      <c r="N9" s="293"/>
      <c r="O9" s="293"/>
      <c r="P9" s="293"/>
      <c r="Q9" s="294"/>
    </row>
    <row r="10" spans="2:17" ht="54" customHeight="1">
      <c r="B10" s="192" t="s">
        <v>211</v>
      </c>
      <c r="C10" s="193" t="s">
        <v>212</v>
      </c>
      <c r="D10" s="194" t="s">
        <v>213</v>
      </c>
      <c r="E10" s="193" t="s">
        <v>214</v>
      </c>
      <c r="F10" s="193" t="s">
        <v>215</v>
      </c>
      <c r="G10" s="195" t="s">
        <v>216</v>
      </c>
      <c r="H10" s="193" t="s">
        <v>217</v>
      </c>
      <c r="I10" s="195" t="s">
        <v>218</v>
      </c>
      <c r="J10" s="193" t="s">
        <v>219</v>
      </c>
      <c r="K10" s="193" t="s">
        <v>220</v>
      </c>
      <c r="L10" s="196" t="s">
        <v>221</v>
      </c>
      <c r="M10" s="193" t="s">
        <v>222</v>
      </c>
      <c r="N10" s="193" t="s">
        <v>223</v>
      </c>
      <c r="O10" s="193" t="s">
        <v>224</v>
      </c>
      <c r="P10" s="193" t="s">
        <v>225</v>
      </c>
      <c r="Q10" s="194" t="s">
        <v>226</v>
      </c>
    </row>
    <row r="11" spans="2:17" hidden="1">
      <c r="B11" s="197" t="s">
        <v>227</v>
      </c>
      <c r="C11" s="155">
        <v>48</v>
      </c>
      <c r="D11" s="198">
        <v>1.2156116959064325</v>
      </c>
      <c r="E11" s="199">
        <v>0.71058821348628254</v>
      </c>
      <c r="F11" s="199">
        <v>5.6938561540536697E-2</v>
      </c>
      <c r="G11" s="198">
        <f>IF($G$8="Effective",D11/(1+(1-F11)*E11),D11/(1+(1-$G$9)*E11))</f>
        <v>0.79299305644286233</v>
      </c>
      <c r="H11" s="199">
        <v>8.6393863078721753E-2</v>
      </c>
      <c r="I11" s="198">
        <v>0.86798131535667578</v>
      </c>
      <c r="J11" s="200">
        <v>0.66681597745463961</v>
      </c>
      <c r="K11" s="199">
        <v>0.66442375633202</v>
      </c>
      <c r="L11" s="201">
        <v>0.14223932831636255</v>
      </c>
      <c r="M11" s="198">
        <v>0.8264428272638602</v>
      </c>
      <c r="N11" s="198">
        <v>0.73846637214088284</v>
      </c>
      <c r="O11" s="202">
        <v>0.91018199015478041</v>
      </c>
      <c r="P11" s="198">
        <v>0.78427897059429152</v>
      </c>
      <c r="Q11" s="187">
        <f>AVERAGE([3]Sheet1!$H11,[3]Sheet1!$L11:$O11)</f>
        <v>0.82547029510209813</v>
      </c>
    </row>
    <row r="12" spans="2:17" hidden="1">
      <c r="B12" s="197" t="s">
        <v>228</v>
      </c>
      <c r="C12" s="155">
        <v>85</v>
      </c>
      <c r="D12" s="198">
        <v>1.2398163663663664</v>
      </c>
      <c r="E12" s="199">
        <v>0.25394288384875413</v>
      </c>
      <c r="F12" s="199">
        <v>0.11404624323361992</v>
      </c>
      <c r="G12" s="198">
        <f t="shared" ref="G12:G75" si="0">IF($G$8="Effective",D12/(1+(1-F12)*E12),D12/(1+(1-$G$9)*E12))</f>
        <v>1.0414623936237377</v>
      </c>
      <c r="H12" s="199">
        <v>4.6477228902980179E-2</v>
      </c>
      <c r="I12" s="198">
        <v>1.09222603297197</v>
      </c>
      <c r="J12" s="200">
        <v>0.51078502078685284</v>
      </c>
      <c r="K12" s="199">
        <v>0.40771427541654326</v>
      </c>
      <c r="L12" s="201">
        <v>0.1492598172635316</v>
      </c>
      <c r="M12" s="198">
        <v>1.0579989732931689</v>
      </c>
      <c r="N12" s="198">
        <v>1.1953920656189123</v>
      </c>
      <c r="O12" s="203">
        <v>0.93703235109989635</v>
      </c>
      <c r="P12" s="198">
        <v>0.99233232129102122</v>
      </c>
      <c r="Q12" s="187">
        <f>AVERAGE([3]Sheet1!$H12,[3]Sheet1!$L12:$O12)</f>
        <v>1.0549963488549938</v>
      </c>
    </row>
    <row r="13" spans="2:17" hidden="1">
      <c r="B13" s="197" t="s">
        <v>229</v>
      </c>
      <c r="C13" s="155">
        <v>18</v>
      </c>
      <c r="D13" s="198">
        <v>1.021926388888889</v>
      </c>
      <c r="E13" s="199">
        <v>0.89824807389554751</v>
      </c>
      <c r="F13" s="199">
        <v>6.4808527816189357E-2</v>
      </c>
      <c r="G13" s="198">
        <f t="shared" si="0"/>
        <v>0.61058427629154721</v>
      </c>
      <c r="H13" s="199">
        <v>3.7677262855565725E-2</v>
      </c>
      <c r="I13" s="198">
        <v>0.63449012760872248</v>
      </c>
      <c r="J13" s="200">
        <v>0.41340581347068883</v>
      </c>
      <c r="K13" s="199">
        <v>0.34188829892686035</v>
      </c>
      <c r="L13" s="201">
        <v>0.82217900972858626</v>
      </c>
      <c r="M13" s="198">
        <v>0.61075171852483912</v>
      </c>
      <c r="N13" s="198">
        <v>0.84529931162966976</v>
      </c>
      <c r="O13" s="202">
        <v>0.76081222883561583</v>
      </c>
      <c r="P13" s="198">
        <v>0.67328042235886143</v>
      </c>
      <c r="Q13" s="187">
        <f>AVERAGE([3]Sheet1!$H13,[3]Sheet1!$L13:$O13)</f>
        <v>0.70492676179154168</v>
      </c>
    </row>
    <row r="14" spans="2:17" hidden="1">
      <c r="B14" s="197" t="s">
        <v>230</v>
      </c>
      <c r="C14" s="155">
        <v>50</v>
      </c>
      <c r="D14" s="198">
        <v>0.93043000000000009</v>
      </c>
      <c r="E14" s="199">
        <v>0.3499957949444466</v>
      </c>
      <c r="F14" s="199">
        <v>0.14186222011385058</v>
      </c>
      <c r="G14" s="198">
        <f t="shared" si="0"/>
        <v>0.7369760984309518</v>
      </c>
      <c r="H14" s="199">
        <v>3.4326199047887598E-2</v>
      </c>
      <c r="I14" s="198">
        <v>0.76317292413268889</v>
      </c>
      <c r="J14" s="200">
        <v>0.53796232886974416</v>
      </c>
      <c r="K14" s="199">
        <v>0.48889660856608169</v>
      </c>
      <c r="L14" s="201">
        <v>0.20305791771207227</v>
      </c>
      <c r="M14" s="198">
        <v>0.85997351840923264</v>
      </c>
      <c r="N14" s="198">
        <v>0.88175283038136143</v>
      </c>
      <c r="O14" s="203">
        <v>0.70523095444236727</v>
      </c>
      <c r="P14" s="198">
        <v>0.85095727036123026</v>
      </c>
      <c r="Q14" s="187">
        <f>AVERAGE([3]Sheet1!$H14,[3]Sheet1!$L14:$O14)</f>
        <v>0.81221749954537614</v>
      </c>
    </row>
    <row r="15" spans="2:17" hidden="1">
      <c r="B15" s="197" t="s">
        <v>231</v>
      </c>
      <c r="C15" s="155">
        <v>14</v>
      </c>
      <c r="D15" s="198">
        <v>0.79288148148148163</v>
      </c>
      <c r="E15" s="199">
        <v>1.9543640337191819</v>
      </c>
      <c r="F15" s="199">
        <v>0.10146919013305655</v>
      </c>
      <c r="G15" s="198">
        <f t="shared" si="0"/>
        <v>0.32155493362509635</v>
      </c>
      <c r="H15" s="199">
        <v>5.9426380795158218E-2</v>
      </c>
      <c r="I15" s="198">
        <v>0.34187109553097822</v>
      </c>
      <c r="J15" s="200">
        <v>0.48777558323221165</v>
      </c>
      <c r="K15" s="199">
        <v>0.38244580488334956</v>
      </c>
      <c r="L15" s="201">
        <v>1.6733290797829687</v>
      </c>
      <c r="M15" s="198">
        <v>0.59008048966899762</v>
      </c>
      <c r="N15" s="198">
        <v>0.47138066877424006</v>
      </c>
      <c r="O15" s="202">
        <v>0.37928329212752937</v>
      </c>
      <c r="P15" s="198">
        <v>0.59226199691257841</v>
      </c>
      <c r="Q15" s="187">
        <f>AVERAGE([3]Sheet1!$H15,[3]Sheet1!$L15:$O15)</f>
        <v>0.47497550860286475</v>
      </c>
    </row>
    <row r="16" spans="2:17" hidden="1">
      <c r="B16" s="197" t="s">
        <v>232</v>
      </c>
      <c r="C16" s="155">
        <v>52</v>
      </c>
      <c r="D16" s="198">
        <v>1.1667673333333335</v>
      </c>
      <c r="E16" s="199">
        <v>0.39950878936117284</v>
      </c>
      <c r="F16" s="199">
        <v>0.11574666707381789</v>
      </c>
      <c r="G16" s="198">
        <f t="shared" si="0"/>
        <v>0.897767752412861</v>
      </c>
      <c r="H16" s="199">
        <v>7.2443841228281333E-2</v>
      </c>
      <c r="I16" s="198">
        <v>0.96788506434122124</v>
      </c>
      <c r="J16" s="200">
        <v>0.5603734143197332</v>
      </c>
      <c r="K16" s="199">
        <v>0.44280557931784481</v>
      </c>
      <c r="L16" s="201">
        <v>0.53514719997121452</v>
      </c>
      <c r="M16" s="198">
        <v>1.1437099178522798</v>
      </c>
      <c r="N16" s="198">
        <v>1.0847454262865814</v>
      </c>
      <c r="O16" s="203">
        <v>0.93671223470946652</v>
      </c>
      <c r="P16" s="198">
        <v>0.92004456368593335</v>
      </c>
      <c r="Q16" s="187">
        <f>AVERAGE([3]Sheet1!$H16,[3]Sheet1!$L16:$O16)</f>
        <v>1.0106194413750964</v>
      </c>
    </row>
    <row r="17" spans="2:17" hidden="1">
      <c r="B17" s="197" t="s">
        <v>233</v>
      </c>
      <c r="C17" s="155">
        <v>10</v>
      </c>
      <c r="D17" s="198">
        <v>0.71343888888888884</v>
      </c>
      <c r="E17" s="199">
        <v>2.0384779783807119</v>
      </c>
      <c r="F17" s="199">
        <v>0.26006803610640039</v>
      </c>
      <c r="G17" s="198">
        <f t="shared" si="0"/>
        <v>0.28211894554926537</v>
      </c>
      <c r="H17" s="199">
        <v>0.34120292318406209</v>
      </c>
      <c r="I17" s="198">
        <v>0.42823345075055169</v>
      </c>
      <c r="J17" s="200">
        <v>0.17304533402607078</v>
      </c>
      <c r="K17" s="199">
        <v>0.18288196726115774</v>
      </c>
      <c r="L17" s="201" t="s">
        <v>188</v>
      </c>
      <c r="M17" s="198">
        <v>0.33766155202325776</v>
      </c>
      <c r="N17" s="198">
        <v>0.47353512676775578</v>
      </c>
      <c r="O17" s="202">
        <v>0.40526826378964481</v>
      </c>
      <c r="P17" s="198">
        <v>0.32250415910787117</v>
      </c>
      <c r="Q17" s="187">
        <f>AVERAGE([3]Sheet1!$H17,[3]Sheet1!$L17:$O17)</f>
        <v>0.3934405104878162</v>
      </c>
    </row>
    <row r="18" spans="2:17" hidden="1">
      <c r="B18" s="197" t="s">
        <v>234</v>
      </c>
      <c r="C18" s="155">
        <v>633</v>
      </c>
      <c r="D18" s="198">
        <v>0.56929422896758552</v>
      </c>
      <c r="E18" s="199">
        <v>0.76510503786347417</v>
      </c>
      <c r="F18" s="199">
        <v>0.26985998983947729</v>
      </c>
      <c r="G18" s="198">
        <f t="shared" si="0"/>
        <v>0.36172564435326482</v>
      </c>
      <c r="H18" s="199">
        <v>0.10541817423826293</v>
      </c>
      <c r="I18" s="198">
        <v>0.4043516578768579</v>
      </c>
      <c r="J18" s="200">
        <v>0.20146464548080123</v>
      </c>
      <c r="K18" s="199">
        <v>0.20604688571762841</v>
      </c>
      <c r="L18" s="201" t="s">
        <v>188</v>
      </c>
      <c r="M18" s="198">
        <v>0.37222903221785603</v>
      </c>
      <c r="N18" s="198">
        <v>0.36327661295872771</v>
      </c>
      <c r="O18" s="203">
        <v>0.36438911849532657</v>
      </c>
      <c r="P18" s="198">
        <v>0.38572641464055496</v>
      </c>
      <c r="Q18" s="187">
        <f>AVERAGE([3]Sheet1!$H18,[3]Sheet1!$L18:$O18)</f>
        <v>0.37799456723786462</v>
      </c>
    </row>
    <row r="19" spans="2:17" hidden="1">
      <c r="B19" s="197" t="s">
        <v>235</v>
      </c>
      <c r="C19" s="155">
        <v>31</v>
      </c>
      <c r="D19" s="198">
        <v>1.2988324074074074</v>
      </c>
      <c r="E19" s="199">
        <v>0.34175445699717727</v>
      </c>
      <c r="F19" s="199">
        <v>2.5475438233270621E-2</v>
      </c>
      <c r="G19" s="198">
        <f t="shared" si="0"/>
        <v>1.0338422578246964</v>
      </c>
      <c r="H19" s="199">
        <v>1.3476256110748168E-2</v>
      </c>
      <c r="I19" s="198">
        <v>1.0479649012287298</v>
      </c>
      <c r="J19" s="200">
        <v>0.5693641956642026</v>
      </c>
      <c r="K19" s="199">
        <v>0.33489795419371121</v>
      </c>
      <c r="L19" s="201">
        <v>0.45514630862492911</v>
      </c>
      <c r="M19" s="198">
        <v>0.89439486543947133</v>
      </c>
      <c r="N19" s="198">
        <v>0.8180933816000725</v>
      </c>
      <c r="O19" s="202">
        <v>0.71013723612129176</v>
      </c>
      <c r="P19" s="198">
        <v>1.1198147273755252</v>
      </c>
      <c r="Q19" s="187">
        <f>AVERAGE([3]Sheet1!$H19,[3]Sheet1!$L19:$O19)</f>
        <v>0.91808102235301825</v>
      </c>
    </row>
    <row r="20" spans="2:17" hidden="1">
      <c r="B20" s="197" t="s">
        <v>236</v>
      </c>
      <c r="C20" s="155">
        <v>37</v>
      </c>
      <c r="D20" s="198">
        <v>1.1772472222222226</v>
      </c>
      <c r="E20" s="199">
        <v>0.23533974147621514</v>
      </c>
      <c r="F20" s="199">
        <v>3.8673485430949325E-2</v>
      </c>
      <c r="G20" s="198">
        <f t="shared" si="0"/>
        <v>1.0006310353440184</v>
      </c>
      <c r="H20" s="199">
        <v>4.2057997155326869E-2</v>
      </c>
      <c r="I20" s="198">
        <v>1.0445632745746374</v>
      </c>
      <c r="J20" s="200">
        <v>0.63959380950913169</v>
      </c>
      <c r="K20" s="199">
        <v>0.50315959073094219</v>
      </c>
      <c r="L20" s="201">
        <v>0.11510608201405589</v>
      </c>
      <c r="M20" s="198">
        <v>0.9754857901559314</v>
      </c>
      <c r="N20" s="198">
        <v>0.98936155872391329</v>
      </c>
      <c r="O20" s="203">
        <v>0.7781055630963416</v>
      </c>
      <c r="P20" s="198">
        <v>0.62680558123550467</v>
      </c>
      <c r="Q20" s="187">
        <f>AVERAGE([3]Sheet1!$H20,[3]Sheet1!$L20:$O20)</f>
        <v>0.88286435355726556</v>
      </c>
    </row>
    <row r="21" spans="2:17" hidden="1">
      <c r="B21" s="197" t="s">
        <v>237</v>
      </c>
      <c r="C21" s="155">
        <v>24</v>
      </c>
      <c r="D21" s="198">
        <v>1.0202492753623189</v>
      </c>
      <c r="E21" s="199">
        <v>1.4455051606811122</v>
      </c>
      <c r="F21" s="199">
        <v>2.5439089377065353E-2</v>
      </c>
      <c r="G21" s="198">
        <f t="shared" si="0"/>
        <v>0.48953272026419786</v>
      </c>
      <c r="H21" s="199">
        <v>3.7593176261174067E-2</v>
      </c>
      <c r="I21" s="198">
        <v>0.50865466473151821</v>
      </c>
      <c r="J21" s="200">
        <v>0.42219346886199566</v>
      </c>
      <c r="K21" s="199">
        <v>0.37288378179252196</v>
      </c>
      <c r="L21" s="201">
        <v>0.20088186881411013</v>
      </c>
      <c r="M21" s="198">
        <v>0.83335997520152549</v>
      </c>
      <c r="N21" s="198">
        <v>0.75366375204082192</v>
      </c>
      <c r="O21" s="202">
        <v>0.70004004147168253</v>
      </c>
      <c r="P21" s="198">
        <v>0.65097820976724075</v>
      </c>
      <c r="Q21" s="187">
        <f>AVERAGE([3]Sheet1!$H21,[3]Sheet1!$L21:$O21)</f>
        <v>0.68933932864255776</v>
      </c>
    </row>
    <row r="22" spans="2:17" hidden="1">
      <c r="B22" s="197" t="s">
        <v>238</v>
      </c>
      <c r="C22" s="155">
        <v>38</v>
      </c>
      <c r="D22" s="198">
        <v>1.2061323529411769</v>
      </c>
      <c r="E22" s="199">
        <v>2.967288785439341</v>
      </c>
      <c r="F22" s="199">
        <v>0.22467023269429615</v>
      </c>
      <c r="G22" s="198">
        <f t="shared" si="0"/>
        <v>0.37394042679741007</v>
      </c>
      <c r="H22" s="199">
        <v>0.1829492970246617</v>
      </c>
      <c r="I22" s="198">
        <v>0.45767101776631969</v>
      </c>
      <c r="J22" s="200">
        <v>0.37037647078361419</v>
      </c>
      <c r="K22" s="199">
        <v>0.32075726639143559</v>
      </c>
      <c r="L22" s="201">
        <v>0.36544357787129284</v>
      </c>
      <c r="M22" s="198">
        <v>0.41140971762599865</v>
      </c>
      <c r="N22" s="198">
        <v>0.45570813127557197</v>
      </c>
      <c r="O22" s="203">
        <v>0.42127089286675984</v>
      </c>
      <c r="P22" s="198">
        <v>0.5441746682636267</v>
      </c>
      <c r="Q22" s="187">
        <f>AVERAGE([3]Sheet1!$H22,[3]Sheet1!$L22:$O22)</f>
        <v>0.45804688555965534</v>
      </c>
    </row>
    <row r="23" spans="2:17" hidden="1">
      <c r="B23" s="197" t="s">
        <v>239</v>
      </c>
      <c r="C23" s="155">
        <v>42</v>
      </c>
      <c r="D23" s="198">
        <v>1.0957829059829063</v>
      </c>
      <c r="E23" s="199">
        <v>0.32994345208077647</v>
      </c>
      <c r="F23" s="199">
        <v>0.16112440310063644</v>
      </c>
      <c r="G23" s="198">
        <f t="shared" si="0"/>
        <v>0.87841295414948972</v>
      </c>
      <c r="H23" s="199">
        <v>3.9916908829766597E-2</v>
      </c>
      <c r="I23" s="198">
        <v>0.9149343033203543</v>
      </c>
      <c r="J23" s="200">
        <v>0.37071216329788187</v>
      </c>
      <c r="K23" s="199">
        <v>0.33399831073740011</v>
      </c>
      <c r="L23" s="201">
        <v>0.63164089970070902</v>
      </c>
      <c r="M23" s="198">
        <v>0.92777357812635386</v>
      </c>
      <c r="N23" s="198">
        <v>0.98035236187052655</v>
      </c>
      <c r="O23" s="202">
        <v>0.86952940068313167</v>
      </c>
      <c r="P23" s="198">
        <v>0.98593416861192995</v>
      </c>
      <c r="Q23" s="187">
        <f>AVERAGE([3]Sheet1!$H23,[3]Sheet1!$L23:$O23)</f>
        <v>0.93570476252245915</v>
      </c>
    </row>
    <row r="24" spans="2:17" hidden="1">
      <c r="B24" s="197" t="s">
        <v>240</v>
      </c>
      <c r="C24" s="155">
        <v>168</v>
      </c>
      <c r="D24" s="198">
        <v>1.217834063260341</v>
      </c>
      <c r="E24" s="199">
        <v>0.35684826752027343</v>
      </c>
      <c r="F24" s="199">
        <v>7.5971702667950225E-2</v>
      </c>
      <c r="G24" s="198">
        <f t="shared" si="0"/>
        <v>0.96071259454825286</v>
      </c>
      <c r="H24" s="199">
        <v>3.9470988051214392E-2</v>
      </c>
      <c r="I24" s="198">
        <v>1.0001911265533716</v>
      </c>
      <c r="J24" s="200">
        <v>0.54945784794688979</v>
      </c>
      <c r="K24" s="199">
        <v>0.44863392862734747</v>
      </c>
      <c r="L24" s="201">
        <v>0.23122169958875916</v>
      </c>
      <c r="M24" s="198">
        <v>0.99626205437001558</v>
      </c>
      <c r="N24" s="198">
        <v>0.94982697833182328</v>
      </c>
      <c r="O24" s="203">
        <v>0.84914430528676288</v>
      </c>
      <c r="P24" s="198">
        <v>1.0067303638556147</v>
      </c>
      <c r="Q24" s="187">
        <f>AVERAGE([3]Sheet1!$H24,[3]Sheet1!$L24:$O24)</f>
        <v>0.96043096567951769</v>
      </c>
    </row>
    <row r="25" spans="2:17" hidden="1">
      <c r="B25" s="197" t="s">
        <v>241</v>
      </c>
      <c r="C25" s="155">
        <v>14</v>
      </c>
      <c r="D25" s="198">
        <v>1.1320272727272729</v>
      </c>
      <c r="E25" s="199">
        <v>0.70696049955263662</v>
      </c>
      <c r="F25" s="199">
        <v>3.611261490082341E-2</v>
      </c>
      <c r="G25" s="198">
        <f t="shared" si="0"/>
        <v>0.73978055152708699</v>
      </c>
      <c r="H25" s="199">
        <v>2.8542052119203638E-2</v>
      </c>
      <c r="I25" s="198">
        <v>0.761515774451065</v>
      </c>
      <c r="J25" s="200">
        <v>0.28181278091140582</v>
      </c>
      <c r="K25" s="199">
        <v>0.26315139851739083</v>
      </c>
      <c r="L25" s="201">
        <v>0.3430900846086743</v>
      </c>
      <c r="M25" s="198">
        <v>0.695488281788191</v>
      </c>
      <c r="N25" s="198">
        <v>0.88527678728100334</v>
      </c>
      <c r="O25" s="202">
        <v>0.82024967067988608</v>
      </c>
      <c r="P25" s="198">
        <v>0.66746834478212691</v>
      </c>
      <c r="Q25" s="187">
        <f>AVERAGE([3]Sheet1!$H25,[3]Sheet1!$L25:$O25)</f>
        <v>0.7659997717964544</v>
      </c>
    </row>
    <row r="26" spans="2:17" hidden="1">
      <c r="B26" s="197" t="s">
        <v>242</v>
      </c>
      <c r="C26" s="155">
        <v>39</v>
      </c>
      <c r="D26" s="198">
        <v>1.5495339506172838</v>
      </c>
      <c r="E26" s="199">
        <v>0.66479142987365314</v>
      </c>
      <c r="F26" s="199">
        <v>7.3273412843062283E-2</v>
      </c>
      <c r="G26" s="198">
        <f t="shared" si="0"/>
        <v>1.0339921237819572</v>
      </c>
      <c r="H26" s="199">
        <v>7.9008505160810927E-2</v>
      </c>
      <c r="I26" s="198">
        <v>1.1226945412373202</v>
      </c>
      <c r="J26" s="200">
        <v>0.54175654357360248</v>
      </c>
      <c r="K26" s="199">
        <v>0.54334844367949997</v>
      </c>
      <c r="L26" s="201">
        <v>0.4464800846221933</v>
      </c>
      <c r="M26" s="198">
        <v>0.75275873427303275</v>
      </c>
      <c r="N26" s="198">
        <v>0.80725696952017378</v>
      </c>
      <c r="O26" s="203">
        <v>0.67773522710338785</v>
      </c>
      <c r="P26" s="198">
        <v>0.96489988547058825</v>
      </c>
      <c r="Q26" s="187">
        <f>AVERAGE([3]Sheet1!$H26,[3]Sheet1!$L26:$O26)</f>
        <v>0.86506907152090062</v>
      </c>
    </row>
    <row r="27" spans="2:17" hidden="1">
      <c r="B27" s="197" t="s">
        <v>243</v>
      </c>
      <c r="C27" s="155">
        <v>6</v>
      </c>
      <c r="D27" s="198">
        <v>1.8173888888888889</v>
      </c>
      <c r="E27" s="199">
        <v>0.36795421915461962</v>
      </c>
      <c r="F27" s="199">
        <v>3.1834855249125438E-2</v>
      </c>
      <c r="G27" s="198">
        <f t="shared" si="0"/>
        <v>1.4243242899423636</v>
      </c>
      <c r="H27" s="199">
        <v>4.4946447563352934E-2</v>
      </c>
      <c r="I27" s="198">
        <v>1.4913554180375088</v>
      </c>
      <c r="J27" s="200">
        <v>0.35754077610419849</v>
      </c>
      <c r="K27" s="199">
        <v>0.32600131705662116</v>
      </c>
      <c r="L27" s="201">
        <v>0.38518794997483458</v>
      </c>
      <c r="M27" s="198">
        <v>0.98720384638737158</v>
      </c>
      <c r="N27" s="198">
        <v>1.2650470656106723</v>
      </c>
      <c r="O27" s="202">
        <v>1.2197952276165127</v>
      </c>
      <c r="P27" s="198">
        <v>1.7946860305975219</v>
      </c>
      <c r="Q27" s="187">
        <f>AVERAGE([3]Sheet1!$H27,[3]Sheet1!$L27:$O27)</f>
        <v>1.3516175176499174</v>
      </c>
    </row>
    <row r="28" spans="2:17" hidden="1">
      <c r="B28" s="197" t="s">
        <v>244</v>
      </c>
      <c r="C28" s="155">
        <v>89</v>
      </c>
      <c r="D28" s="198">
        <v>1.1702732804232803</v>
      </c>
      <c r="E28" s="199">
        <v>0.32620357667774469</v>
      </c>
      <c r="F28" s="199">
        <v>0.10706858506641508</v>
      </c>
      <c r="G28" s="198">
        <f t="shared" si="0"/>
        <v>0.94024083735943609</v>
      </c>
      <c r="H28" s="199">
        <v>4.9324347026671225E-2</v>
      </c>
      <c r="I28" s="198">
        <v>0.98902378999477181</v>
      </c>
      <c r="J28" s="200">
        <v>0.47527181169450805</v>
      </c>
      <c r="K28" s="199">
        <v>0.42326856760488069</v>
      </c>
      <c r="L28" s="201">
        <v>0.17281971610773753</v>
      </c>
      <c r="M28" s="198">
        <v>0.91281078989702846</v>
      </c>
      <c r="N28" s="198">
        <v>1.0143943542009635</v>
      </c>
      <c r="O28" s="203">
        <v>0.98150332845382071</v>
      </c>
      <c r="P28" s="198">
        <v>0.94849956435812488</v>
      </c>
      <c r="Q28" s="187">
        <f>AVERAGE([3]Sheet1!$H28,[3]Sheet1!$L28:$O28)</f>
        <v>0.96924636538094189</v>
      </c>
    </row>
    <row r="29" spans="2:17" hidden="1">
      <c r="B29" s="197" t="s">
        <v>245</v>
      </c>
      <c r="C29" s="155">
        <v>23</v>
      </c>
      <c r="D29" s="198">
        <v>1.1683761111111113</v>
      </c>
      <c r="E29" s="199">
        <v>0.67396873123911305</v>
      </c>
      <c r="F29" s="199">
        <v>1.7525748445490121E-2</v>
      </c>
      <c r="G29" s="198">
        <f t="shared" si="0"/>
        <v>0.77608390003157435</v>
      </c>
      <c r="H29" s="199">
        <v>0.19766721455867467</v>
      </c>
      <c r="I29" s="198">
        <v>0.96728429164799401</v>
      </c>
      <c r="J29" s="200">
        <v>0.57065161885806648</v>
      </c>
      <c r="K29" s="199">
        <v>0.53577212233545379</v>
      </c>
      <c r="L29" s="201">
        <v>2.2762028895498267</v>
      </c>
      <c r="M29" s="198">
        <v>0.83200776824179257</v>
      </c>
      <c r="N29" s="198">
        <v>0.38687819831720366</v>
      </c>
      <c r="O29" s="202">
        <v>0.6054033794571696</v>
      </c>
      <c r="P29" s="198">
        <v>1.0423911214911201</v>
      </c>
      <c r="Q29" s="187">
        <f>AVERAGE([3]Sheet1!$H29,[3]Sheet1!$L29:$O29)</f>
        <v>0.766792951831056</v>
      </c>
    </row>
    <row r="30" spans="2:17" hidden="1">
      <c r="B30" s="197" t="s">
        <v>246</v>
      </c>
      <c r="C30" s="155">
        <v>119</v>
      </c>
      <c r="D30" s="198">
        <v>1.2695705612829324</v>
      </c>
      <c r="E30" s="199">
        <v>0.39183894472071235</v>
      </c>
      <c r="F30" s="199">
        <v>8.7474682304510429E-2</v>
      </c>
      <c r="G30" s="198">
        <f t="shared" si="0"/>
        <v>0.98121258375809184</v>
      </c>
      <c r="H30" s="199">
        <v>6.2170692885955177E-2</v>
      </c>
      <c r="I30" s="198">
        <v>1.0462592460215911</v>
      </c>
      <c r="J30" s="200">
        <v>0.60672253425585765</v>
      </c>
      <c r="K30" s="199">
        <v>0.41692722150292855</v>
      </c>
      <c r="L30" s="201">
        <v>0.11069758757963424</v>
      </c>
      <c r="M30" s="198">
        <v>0.98577000251683544</v>
      </c>
      <c r="N30" s="198">
        <v>0.9999471342974805</v>
      </c>
      <c r="O30" s="203">
        <v>0.83071218729754093</v>
      </c>
      <c r="P30" s="198">
        <v>0.94403176532379973</v>
      </c>
      <c r="Q30" s="187">
        <f>AVERAGE([3]Sheet1!$H30,[3]Sheet1!$L30:$O30)</f>
        <v>0.96134406709144959</v>
      </c>
    </row>
    <row r="31" spans="2:17" hidden="1">
      <c r="B31" s="197" t="s">
        <v>247</v>
      </c>
      <c r="C31" s="155">
        <v>57</v>
      </c>
      <c r="D31" s="198">
        <v>1.6798532494758911</v>
      </c>
      <c r="E31" s="199">
        <v>0.25130631707722956</v>
      </c>
      <c r="F31" s="199">
        <v>6.6042945267840394E-2</v>
      </c>
      <c r="G31" s="198">
        <f t="shared" si="0"/>
        <v>1.413447108971565</v>
      </c>
      <c r="H31" s="199">
        <v>5.6619510289616364E-2</v>
      </c>
      <c r="I31" s="198">
        <v>1.4982789281613096</v>
      </c>
      <c r="J31" s="200">
        <v>0.5360097837448855</v>
      </c>
      <c r="K31" s="199">
        <v>0.49870428196343347</v>
      </c>
      <c r="L31" s="201">
        <v>0.32478040400712183</v>
      </c>
      <c r="M31" s="198">
        <v>1.1719433135682924</v>
      </c>
      <c r="N31" s="198">
        <v>1.2196782510882951</v>
      </c>
      <c r="O31" s="202">
        <v>0.94376849596593182</v>
      </c>
      <c r="P31" s="198">
        <v>0.92832562744044655</v>
      </c>
      <c r="Q31" s="187">
        <f>AVERAGE([3]Sheet1!$H31,[3]Sheet1!$L31:$O31)</f>
        <v>1.152398923244855</v>
      </c>
    </row>
    <row r="32" spans="2:17" hidden="1">
      <c r="B32" s="197" t="s">
        <v>248</v>
      </c>
      <c r="C32" s="155">
        <v>48</v>
      </c>
      <c r="D32" s="198">
        <v>1.4522237037037042</v>
      </c>
      <c r="E32" s="199">
        <v>0.4587893408894323</v>
      </c>
      <c r="F32" s="199">
        <v>0.13214466407664444</v>
      </c>
      <c r="G32" s="198">
        <f t="shared" si="0"/>
        <v>1.0804496251601201</v>
      </c>
      <c r="H32" s="199">
        <v>6.0149274666957797E-2</v>
      </c>
      <c r="I32" s="198">
        <v>1.1495970541250109</v>
      </c>
      <c r="J32" s="200">
        <v>0.42063649654629609</v>
      </c>
      <c r="K32" s="199">
        <v>0.32236678277443553</v>
      </c>
      <c r="L32" s="201">
        <v>0.29670034968094372</v>
      </c>
      <c r="M32" s="198">
        <v>1.2210316717911434</v>
      </c>
      <c r="N32" s="198">
        <v>1.178961428130513</v>
      </c>
      <c r="O32" s="203">
        <v>1.0238598785072637</v>
      </c>
      <c r="P32" s="198">
        <v>0.9525776924015863</v>
      </c>
      <c r="Q32" s="187">
        <f>AVERAGE([3]Sheet1!$H32,[3]Sheet1!$L32:$O32)</f>
        <v>1.1052055449911034</v>
      </c>
    </row>
    <row r="33" spans="2:17" hidden="1">
      <c r="B33" s="197" t="s">
        <v>249</v>
      </c>
      <c r="C33" s="155">
        <v>23</v>
      </c>
      <c r="D33" s="198">
        <v>1.3598321637426898</v>
      </c>
      <c r="E33" s="199">
        <v>0.35468928706687525</v>
      </c>
      <c r="F33" s="199">
        <v>7.4071716861247583E-2</v>
      </c>
      <c r="G33" s="198">
        <f t="shared" si="0"/>
        <v>1.0741026392330302</v>
      </c>
      <c r="H33" s="199">
        <v>6.0942375202793969E-2</v>
      </c>
      <c r="I33" s="198">
        <v>1.1438090814341535</v>
      </c>
      <c r="J33" s="200">
        <v>0.50547280751183943</v>
      </c>
      <c r="K33" s="199">
        <v>0.39461086623709107</v>
      </c>
      <c r="L33" s="201">
        <v>0.22762405267712221</v>
      </c>
      <c r="M33" s="198">
        <v>0.69927787654312112</v>
      </c>
      <c r="N33" s="198">
        <v>0.73570562914411197</v>
      </c>
      <c r="O33" s="202">
        <v>0.62930627237198311</v>
      </c>
      <c r="P33" s="198">
        <v>1.0135440097808579</v>
      </c>
      <c r="Q33" s="187">
        <f>AVERAGE([3]Sheet1!$H33,[3]Sheet1!$L33:$O33)</f>
        <v>0.84432857385484539</v>
      </c>
    </row>
    <row r="34" spans="2:17" hidden="1">
      <c r="B34" s="197" t="s">
        <v>250</v>
      </c>
      <c r="C34" s="155">
        <v>481</v>
      </c>
      <c r="D34" s="198">
        <v>1.5117912025827276</v>
      </c>
      <c r="E34" s="199">
        <v>0.18924218340806312</v>
      </c>
      <c r="F34" s="199">
        <v>9.2841949048864843E-3</v>
      </c>
      <c r="G34" s="198">
        <f t="shared" si="0"/>
        <v>1.3238894105940096</v>
      </c>
      <c r="H34" s="199">
        <v>7.4710216238141891E-2</v>
      </c>
      <c r="I34" s="198">
        <v>1.4307835597315306</v>
      </c>
      <c r="J34" s="200">
        <v>0.60408884932035112</v>
      </c>
      <c r="K34" s="199">
        <v>0.68956567741970209</v>
      </c>
      <c r="L34" s="201">
        <v>0.49585485545724522</v>
      </c>
      <c r="M34" s="198">
        <v>1.06164550005946</v>
      </c>
      <c r="N34" s="198">
        <v>1.1948507312665528</v>
      </c>
      <c r="O34" s="203">
        <v>1.2459331067907498</v>
      </c>
      <c r="P34" s="198">
        <v>1.356530917137498</v>
      </c>
      <c r="Q34" s="187">
        <f>AVERAGE([3]Sheet1!$H34,[3]Sheet1!$L34:$O34)</f>
        <v>1.2579487629971582</v>
      </c>
    </row>
    <row r="35" spans="2:17" hidden="1">
      <c r="B35" s="197" t="s">
        <v>251</v>
      </c>
      <c r="C35" s="155">
        <v>237</v>
      </c>
      <c r="D35" s="198">
        <v>1.4652906120023765</v>
      </c>
      <c r="E35" s="199">
        <v>0.1436274405570927</v>
      </c>
      <c r="F35" s="199">
        <v>2.2599010972558713E-2</v>
      </c>
      <c r="G35" s="198">
        <f t="shared" si="0"/>
        <v>1.3227980394204517</v>
      </c>
      <c r="H35" s="199">
        <v>4.0816223992901329E-2</v>
      </c>
      <c r="I35" s="198">
        <v>1.3790871702678402</v>
      </c>
      <c r="J35" s="200">
        <v>0.64905940044206822</v>
      </c>
      <c r="K35" s="199">
        <v>0.72446101025919885</v>
      </c>
      <c r="L35" s="201">
        <v>6.6839872451023505E-2</v>
      </c>
      <c r="M35" s="198">
        <v>0.94932153068365233</v>
      </c>
      <c r="N35" s="198">
        <v>0.93900977082358394</v>
      </c>
      <c r="O35" s="202">
        <v>0.92593131102031778</v>
      </c>
      <c r="P35" s="198">
        <v>1.1295686400812541</v>
      </c>
      <c r="Q35" s="187">
        <f>AVERAGE([3]Sheet1!$H35,[3]Sheet1!$L35:$O35)</f>
        <v>1.0645836845753298</v>
      </c>
    </row>
    <row r="36" spans="2:17" hidden="1">
      <c r="B36" s="197" t="s">
        <v>252</v>
      </c>
      <c r="C36" s="155">
        <v>35</v>
      </c>
      <c r="D36" s="198">
        <v>1.2767152777777779</v>
      </c>
      <c r="E36" s="199">
        <v>0.30730408213932653</v>
      </c>
      <c r="F36" s="199">
        <v>6.138434688891057E-2</v>
      </c>
      <c r="G36" s="198">
        <f t="shared" si="0"/>
        <v>1.0375766278295051</v>
      </c>
      <c r="H36" s="199">
        <v>6.387626140445718E-2</v>
      </c>
      <c r="I36" s="198">
        <v>1.1083755117525074</v>
      </c>
      <c r="J36" s="200">
        <v>0.53896361272072801</v>
      </c>
      <c r="K36" s="199">
        <v>0.37656284188288391</v>
      </c>
      <c r="L36" s="201">
        <v>0.3327596859730928</v>
      </c>
      <c r="M36" s="198">
        <v>0.94681558011311995</v>
      </c>
      <c r="N36" s="198">
        <v>0.85929643152261603</v>
      </c>
      <c r="O36" s="203">
        <v>1.0467335023136517</v>
      </c>
      <c r="P36" s="198">
        <v>0.95816165213647664</v>
      </c>
      <c r="Q36" s="187">
        <f>AVERAGE([3]Sheet1!$H36,[3]Sheet1!$L36:$O36)</f>
        <v>0.9838765355676744</v>
      </c>
    </row>
    <row r="37" spans="2:17" hidden="1">
      <c r="B37" s="197" t="s">
        <v>253</v>
      </c>
      <c r="C37" s="155">
        <v>116</v>
      </c>
      <c r="D37" s="198">
        <v>1.3225290429042904</v>
      </c>
      <c r="E37" s="199">
        <v>0.22138258160429081</v>
      </c>
      <c r="F37" s="199">
        <v>4.3629841406150657E-2</v>
      </c>
      <c r="G37" s="198">
        <f t="shared" si="0"/>
        <v>1.1342085330595382</v>
      </c>
      <c r="H37" s="199">
        <v>4.0755646890432082E-2</v>
      </c>
      <c r="I37" s="198">
        <v>1.1823979253907428</v>
      </c>
      <c r="J37" s="200">
        <v>0.64925241515898446</v>
      </c>
      <c r="K37" s="199">
        <v>0.57291756945382677</v>
      </c>
      <c r="L37" s="201">
        <v>0.15340125652700629</v>
      </c>
      <c r="M37" s="198">
        <v>1.1429175647542409</v>
      </c>
      <c r="N37" s="198">
        <v>1.0305869828588605</v>
      </c>
      <c r="O37" s="202">
        <v>1.0350924136130288</v>
      </c>
      <c r="P37" s="198">
        <v>1.0244695712358811</v>
      </c>
      <c r="Q37" s="187">
        <f>AVERAGE([3]Sheet1!$H37,[3]Sheet1!$L37:$O37)</f>
        <v>1.0830928915705509</v>
      </c>
    </row>
    <row r="38" spans="2:17" hidden="1">
      <c r="B38" s="197" t="s">
        <v>254</v>
      </c>
      <c r="C38" s="155">
        <v>19</v>
      </c>
      <c r="D38" s="198">
        <v>1.1909614379084967</v>
      </c>
      <c r="E38" s="199">
        <v>9.7687702471810023E-2</v>
      </c>
      <c r="F38" s="199">
        <v>7.6716030811586566E-2</v>
      </c>
      <c r="G38" s="198">
        <f t="shared" si="0"/>
        <v>1.1096612447660905</v>
      </c>
      <c r="H38" s="199">
        <v>9.3434536418016689E-2</v>
      </c>
      <c r="I38" s="198">
        <v>1.2240277060430294</v>
      </c>
      <c r="J38" s="200">
        <v>0.57698227208346764</v>
      </c>
      <c r="K38" s="199">
        <v>0.62714472614580818</v>
      </c>
      <c r="L38" s="201">
        <v>4.4109106763081893</v>
      </c>
      <c r="M38" s="198">
        <v>1.3785902435694062</v>
      </c>
      <c r="N38" s="198">
        <v>1.164240864957417</v>
      </c>
      <c r="O38" s="203">
        <v>0.97133804664494106</v>
      </c>
      <c r="P38" s="198">
        <v>1.0791543873676892</v>
      </c>
      <c r="Q38" s="187">
        <f>AVERAGE([3]Sheet1!$H38,[3]Sheet1!$L38:$O38)</f>
        <v>1.1634702497164966</v>
      </c>
    </row>
    <row r="39" spans="2:17" hidden="1">
      <c r="B39" s="197" t="s">
        <v>255</v>
      </c>
      <c r="C39" s="155">
        <v>160</v>
      </c>
      <c r="D39" s="198">
        <v>1.01628018018018</v>
      </c>
      <c r="E39" s="199">
        <v>0.19378784702476856</v>
      </c>
      <c r="F39" s="199">
        <v>0.11671762312941365</v>
      </c>
      <c r="G39" s="198">
        <f t="shared" si="0"/>
        <v>0.88731677464030068</v>
      </c>
      <c r="H39" s="199">
        <v>7.6346996548730769E-2</v>
      </c>
      <c r="I39" s="198">
        <v>0.96066030351745013</v>
      </c>
      <c r="J39" s="200">
        <v>0.51586008483009205</v>
      </c>
      <c r="K39" s="199">
        <v>0.4668778154926882</v>
      </c>
      <c r="L39" s="201">
        <v>0.28038162629617691</v>
      </c>
      <c r="M39" s="198">
        <v>1.0143380182516697</v>
      </c>
      <c r="N39" s="198">
        <v>0.97977327153557281</v>
      </c>
      <c r="O39" s="202">
        <v>0.82585920724887107</v>
      </c>
      <c r="P39" s="198">
        <v>0.91332212369413268</v>
      </c>
      <c r="Q39" s="187">
        <f>AVERAGE([3]Sheet1!$H39,[3]Sheet1!$L39:$O39)</f>
        <v>0.93879058484953926</v>
      </c>
    </row>
    <row r="40" spans="2:17" hidden="1">
      <c r="B40" s="197" t="s">
        <v>256</v>
      </c>
      <c r="C40" s="155">
        <v>52</v>
      </c>
      <c r="D40" s="198">
        <v>1.0073425120772952</v>
      </c>
      <c r="E40" s="199">
        <v>0.48879400795326</v>
      </c>
      <c r="F40" s="199">
        <v>7.6153849314545302E-2</v>
      </c>
      <c r="G40" s="198">
        <f t="shared" si="0"/>
        <v>0.73711826775401001</v>
      </c>
      <c r="H40" s="199">
        <v>9.0155803596656939E-2</v>
      </c>
      <c r="I40" s="198">
        <v>0.81015878396309304</v>
      </c>
      <c r="J40" s="200">
        <v>0.43092685932052205</v>
      </c>
      <c r="K40" s="199">
        <v>0.40143175253395441</v>
      </c>
      <c r="L40" s="201">
        <v>8.7558424662249112E-2</v>
      </c>
      <c r="M40" s="198">
        <v>1.1909553905213561</v>
      </c>
      <c r="N40" s="198">
        <v>1.0654127428021691</v>
      </c>
      <c r="O40" s="203">
        <v>1.0094288297404486</v>
      </c>
      <c r="P40" s="198">
        <v>1.1280526539619411</v>
      </c>
      <c r="Q40" s="187">
        <f>AVERAGE([3]Sheet1!$H40,[3]Sheet1!$L40:$O40)</f>
        <v>1.0408016801978017</v>
      </c>
    </row>
    <row r="41" spans="2:17" hidden="1">
      <c r="B41" s="197" t="s">
        <v>257</v>
      </c>
      <c r="C41" s="155">
        <v>120</v>
      </c>
      <c r="D41" s="198">
        <v>1.3301927437641725</v>
      </c>
      <c r="E41" s="199">
        <v>0.19854021947496472</v>
      </c>
      <c r="F41" s="199">
        <v>1.9314876579370907E-2</v>
      </c>
      <c r="G41" s="198">
        <f t="shared" si="0"/>
        <v>1.1577915956362539</v>
      </c>
      <c r="H41" s="199">
        <v>4.6309935738668567E-2</v>
      </c>
      <c r="I41" s="198">
        <v>1.2140124334135816</v>
      </c>
      <c r="J41" s="200">
        <v>0.69439944286533506</v>
      </c>
      <c r="K41" s="199">
        <v>0.54337168001581271</v>
      </c>
      <c r="L41" s="201">
        <v>0.24594103709416404</v>
      </c>
      <c r="M41" s="198">
        <v>0.98610681685636126</v>
      </c>
      <c r="N41" s="198">
        <v>0.97829234899628914</v>
      </c>
      <c r="O41" s="202">
        <v>0.96578988276543765</v>
      </c>
      <c r="P41" s="198">
        <v>0.95716683157974236</v>
      </c>
      <c r="Q41" s="187">
        <f>AVERAGE([3]Sheet1!$H41,[3]Sheet1!$L41:$O41)</f>
        <v>1.0202736627222824</v>
      </c>
    </row>
    <row r="42" spans="2:17" hidden="1">
      <c r="B42" s="197" t="s">
        <v>258</v>
      </c>
      <c r="C42" s="155">
        <v>91</v>
      </c>
      <c r="D42" s="198">
        <v>1.1920144927536236</v>
      </c>
      <c r="E42" s="199">
        <v>0.33640960384645746</v>
      </c>
      <c r="F42" s="199">
        <v>3.2345200757488972E-2</v>
      </c>
      <c r="G42" s="198">
        <f t="shared" si="0"/>
        <v>0.95185469668119138</v>
      </c>
      <c r="H42" s="199">
        <v>8.6656051462635324E-3</v>
      </c>
      <c r="I42" s="198">
        <v>0.96017519579922372</v>
      </c>
      <c r="J42" s="200">
        <v>0.6328889073191557</v>
      </c>
      <c r="K42" s="199">
        <v>0.46148462695520232</v>
      </c>
      <c r="L42" s="201">
        <v>0.13937678576756518</v>
      </c>
      <c r="M42" s="198">
        <v>0.9416297085134433</v>
      </c>
      <c r="N42" s="198">
        <v>0.82195580918899658</v>
      </c>
      <c r="O42" s="203">
        <v>0.62801576352857125</v>
      </c>
      <c r="P42" s="198">
        <v>0.69977481842592981</v>
      </c>
      <c r="Q42" s="187">
        <f>AVERAGE([3]Sheet1!$H42,[3]Sheet1!$L42:$O42)</f>
        <v>0.81031025909123289</v>
      </c>
    </row>
    <row r="43" spans="2:17" hidden="1">
      <c r="B43" s="197" t="s">
        <v>259</v>
      </c>
      <c r="C43" s="155">
        <v>33</v>
      </c>
      <c r="D43" s="198">
        <v>0.71687777777777772</v>
      </c>
      <c r="E43" s="199">
        <v>0.66264044594474958</v>
      </c>
      <c r="F43" s="199">
        <v>9.6390188268963825E-2</v>
      </c>
      <c r="G43" s="198">
        <f t="shared" si="0"/>
        <v>0.47888256196569401</v>
      </c>
      <c r="H43" s="199">
        <v>3.4273555594826886E-2</v>
      </c>
      <c r="I43" s="198">
        <v>0.49587806644422544</v>
      </c>
      <c r="J43" s="200">
        <v>0.54965110830595276</v>
      </c>
      <c r="K43" s="199">
        <v>0.29067662291101459</v>
      </c>
      <c r="L43" s="201">
        <v>0.25270760155438737</v>
      </c>
      <c r="M43" s="198">
        <v>0.57909430928918826</v>
      </c>
      <c r="N43" s="198">
        <v>0.77419510664876223</v>
      </c>
      <c r="O43" s="202">
        <v>0.61582042547062832</v>
      </c>
      <c r="P43" s="198">
        <v>0.55737082155423068</v>
      </c>
      <c r="Q43" s="187">
        <f>AVERAGE([3]Sheet1!$H43,[3]Sheet1!$L43:$O43)</f>
        <v>0.60447174588140695</v>
      </c>
    </row>
    <row r="44" spans="2:17" hidden="1">
      <c r="B44" s="197" t="s">
        <v>260</v>
      </c>
      <c r="C44" s="155">
        <v>259</v>
      </c>
      <c r="D44" s="198">
        <v>0.70254169000933675</v>
      </c>
      <c r="E44" s="199">
        <v>11.383075526277935</v>
      </c>
      <c r="F44" s="199">
        <v>0.20382431786356273</v>
      </c>
      <c r="G44" s="198">
        <f t="shared" si="0"/>
        <v>7.3662483149697755E-2</v>
      </c>
      <c r="H44" s="199">
        <v>2.5826135410733413E-2</v>
      </c>
      <c r="I44" s="198">
        <v>7.5615335031345252E-2</v>
      </c>
      <c r="J44" s="200">
        <v>0.30644051349838164</v>
      </c>
      <c r="K44" s="199">
        <v>0.27326283385015138</v>
      </c>
      <c r="L44" s="201">
        <v>0.52606291325678978</v>
      </c>
      <c r="M44" s="198">
        <v>6.3207362763439523E-2</v>
      </c>
      <c r="N44" s="198">
        <v>5.58494718753152E-2</v>
      </c>
      <c r="O44" s="203">
        <v>6.7631146451552882E-2</v>
      </c>
      <c r="P44" s="198">
        <v>7.0289080325756217E-2</v>
      </c>
      <c r="Q44" s="187">
        <f>AVERAGE([3]Sheet1!$H44,[3]Sheet1!$L44:$O44)</f>
        <v>6.6518479289481819E-2</v>
      </c>
    </row>
    <row r="45" spans="2:17" hidden="1">
      <c r="B45" s="197" t="s">
        <v>261</v>
      </c>
      <c r="C45" s="155">
        <v>83</v>
      </c>
      <c r="D45" s="198">
        <v>0.81095108024691342</v>
      </c>
      <c r="E45" s="199">
        <v>0.46801588609982725</v>
      </c>
      <c r="F45" s="199">
        <v>5.1745267012941479E-2</v>
      </c>
      <c r="G45" s="198">
        <f t="shared" si="0"/>
        <v>0.60025457325600229</v>
      </c>
      <c r="H45" s="199">
        <v>1.8264666329511185E-2</v>
      </c>
      <c r="I45" s="198">
        <v>0.61142199192503821</v>
      </c>
      <c r="J45" s="200">
        <v>0.44014468324502815</v>
      </c>
      <c r="K45" s="199">
        <v>0.27455863641303507</v>
      </c>
      <c r="L45" s="201">
        <v>0.23212985993237509</v>
      </c>
      <c r="M45" s="198">
        <v>0.82365294067176009</v>
      </c>
      <c r="N45" s="198">
        <v>0.7416481757000527</v>
      </c>
      <c r="O45" s="202">
        <v>0.62945787807798448</v>
      </c>
      <c r="P45" s="198">
        <v>0.55631901720276644</v>
      </c>
      <c r="Q45" s="187">
        <f>AVERAGE([3]Sheet1!$H45,[3]Sheet1!$L45:$O45)</f>
        <v>0.67250000071552041</v>
      </c>
    </row>
    <row r="46" spans="2:17" hidden="1">
      <c r="B46" s="197" t="s">
        <v>262</v>
      </c>
      <c r="C46" s="155">
        <v>18</v>
      </c>
      <c r="D46" s="198">
        <v>1.6240375</v>
      </c>
      <c r="E46" s="199">
        <v>0.44855980236730103</v>
      </c>
      <c r="F46" s="199">
        <v>4.7054648970767866E-2</v>
      </c>
      <c r="G46" s="198">
        <f t="shared" si="0"/>
        <v>1.2152150372821948</v>
      </c>
      <c r="H46" s="199">
        <v>1.556556753546777E-2</v>
      </c>
      <c r="I46" s="198">
        <v>1.234429635135682</v>
      </c>
      <c r="J46" s="200">
        <v>0.50316753803155223</v>
      </c>
      <c r="K46" s="199">
        <v>0.40989628897603486</v>
      </c>
      <c r="L46" s="201">
        <v>0.17335383239253538</v>
      </c>
      <c r="M46" s="198">
        <v>1.257310037504739</v>
      </c>
      <c r="N46" s="198">
        <v>0.61083825745632381</v>
      </c>
      <c r="O46" s="203">
        <v>0.92782334432638702</v>
      </c>
      <c r="P46" s="198">
        <v>1.4147585160608243</v>
      </c>
      <c r="Q46" s="187">
        <f>AVERAGE([3]Sheet1!$H46,[3]Sheet1!$L46:$O46)</f>
        <v>1.0890319580967911</v>
      </c>
    </row>
    <row r="47" spans="2:17" hidden="1">
      <c r="B47" s="197" t="s">
        <v>263</v>
      </c>
      <c r="C47" s="155">
        <v>30</v>
      </c>
      <c r="D47" s="198">
        <v>0.88463931623931624</v>
      </c>
      <c r="E47" s="199">
        <v>0.50670871911956539</v>
      </c>
      <c r="F47" s="199">
        <v>0.16960085606266179</v>
      </c>
      <c r="G47" s="198">
        <f t="shared" si="0"/>
        <v>0.64102833233985645</v>
      </c>
      <c r="H47" s="199">
        <v>4.0101778498252048E-2</v>
      </c>
      <c r="I47" s="198">
        <v>0.66780864677192153</v>
      </c>
      <c r="J47" s="200">
        <v>0.48222890308754862</v>
      </c>
      <c r="K47" s="199">
        <v>0.4351294607662971</v>
      </c>
      <c r="L47" s="201">
        <v>0.36616180245032387</v>
      </c>
      <c r="M47" s="198">
        <v>0.92145392383388303</v>
      </c>
      <c r="N47" s="198">
        <v>1.003465779242618</v>
      </c>
      <c r="O47" s="202">
        <v>0.69319245782890693</v>
      </c>
      <c r="P47" s="198">
        <v>0.67368656968976759</v>
      </c>
      <c r="Q47" s="187">
        <f>AVERAGE([3]Sheet1!$H47,[3]Sheet1!$L47:$O47)</f>
        <v>0.7919214754734194</v>
      </c>
    </row>
    <row r="48" spans="2:17" hidden="1">
      <c r="B48" s="197" t="s">
        <v>264</v>
      </c>
      <c r="C48" s="155">
        <v>21</v>
      </c>
      <c r="D48" s="198">
        <v>1.6214868055555556</v>
      </c>
      <c r="E48" s="199">
        <v>1.4640225495407349</v>
      </c>
      <c r="F48" s="199">
        <v>0</v>
      </c>
      <c r="G48" s="198">
        <f t="shared" si="0"/>
        <v>0.77286641311656645</v>
      </c>
      <c r="H48" s="199">
        <v>3.242097813529491E-2</v>
      </c>
      <c r="I48" s="198">
        <v>0.79876309391982148</v>
      </c>
      <c r="J48" s="200">
        <v>0.72436608566660554</v>
      </c>
      <c r="K48" s="199">
        <v>0.69475481172532183</v>
      </c>
      <c r="L48" s="201">
        <v>0.76385871142668671</v>
      </c>
      <c r="M48" s="198">
        <v>0.67626115243049012</v>
      </c>
      <c r="N48" s="198">
        <v>0.84213429384042704</v>
      </c>
      <c r="O48" s="203">
        <v>0.46860806206954692</v>
      </c>
      <c r="P48" s="198">
        <v>0.72015964506798358</v>
      </c>
      <c r="Q48" s="187">
        <f>AVERAGE([3]Sheet1!$H48,[3]Sheet1!$L48:$O48)</f>
        <v>0.70118524946565386</v>
      </c>
    </row>
    <row r="49" spans="2:17" hidden="1">
      <c r="B49" s="197" t="s">
        <v>265</v>
      </c>
      <c r="C49" s="155">
        <v>248</v>
      </c>
      <c r="D49" s="198">
        <v>1.1219401449275359</v>
      </c>
      <c r="E49" s="199">
        <v>0.14862464519215543</v>
      </c>
      <c r="F49" s="199">
        <v>5.4584003770822002E-2</v>
      </c>
      <c r="G49" s="198">
        <f t="shared" si="0"/>
        <v>1.0094214646525388</v>
      </c>
      <c r="H49" s="199">
        <v>3.0560226731903766E-2</v>
      </c>
      <c r="I49" s="198">
        <v>1.0412420580286896</v>
      </c>
      <c r="J49" s="200">
        <v>0.55012351176208452</v>
      </c>
      <c r="K49" s="199">
        <v>0.56321834039206675</v>
      </c>
      <c r="L49" s="201">
        <v>0.11520925698376264</v>
      </c>
      <c r="M49" s="198">
        <v>0.90415545578260093</v>
      </c>
      <c r="N49" s="198">
        <v>0.91697354099694839</v>
      </c>
      <c r="O49" s="202">
        <v>0.9228608512768256</v>
      </c>
      <c r="P49" s="198">
        <v>0.88508346966591411</v>
      </c>
      <c r="Q49" s="187">
        <f>AVERAGE([3]Sheet1!$H49,[3]Sheet1!$L49:$O49)</f>
        <v>0.93406307515019582</v>
      </c>
    </row>
    <row r="50" spans="2:17" hidden="1">
      <c r="B50" s="197" t="s">
        <v>266</v>
      </c>
      <c r="C50" s="155">
        <v>111</v>
      </c>
      <c r="D50" s="198">
        <v>1.1535581111111113</v>
      </c>
      <c r="E50" s="199">
        <v>0.36219187244672479</v>
      </c>
      <c r="F50" s="199">
        <v>8.3336543119707868E-2</v>
      </c>
      <c r="G50" s="198">
        <f t="shared" si="0"/>
        <v>0.90713926058908712</v>
      </c>
      <c r="H50" s="199">
        <v>0.1164090884160455</v>
      </c>
      <c r="I50" s="198">
        <v>1.0266507370055664</v>
      </c>
      <c r="J50" s="200">
        <v>0.53888183815025892</v>
      </c>
      <c r="K50" s="199">
        <v>0.48132175437109431</v>
      </c>
      <c r="L50" s="201">
        <v>0.23265381810424318</v>
      </c>
      <c r="M50" s="198">
        <v>0.90781339687443441</v>
      </c>
      <c r="N50" s="198">
        <v>0.8905148234023309</v>
      </c>
      <c r="O50" s="203">
        <v>0.81830647974267279</v>
      </c>
      <c r="P50" s="198">
        <v>0.82382035475319326</v>
      </c>
      <c r="Q50" s="187">
        <f>AVERAGE([3]Sheet1!$H50,[3]Sheet1!$L50:$O50)</f>
        <v>0.89342115835563951</v>
      </c>
    </row>
    <row r="51" spans="2:17" hidden="1">
      <c r="B51" s="197" t="s">
        <v>267</v>
      </c>
      <c r="C51" s="155">
        <v>119</v>
      </c>
      <c r="D51" s="198">
        <v>1.2890799603174605</v>
      </c>
      <c r="E51" s="199">
        <v>0.17239517913903171</v>
      </c>
      <c r="F51" s="199">
        <v>5.6499902355750697E-2</v>
      </c>
      <c r="G51" s="198">
        <f t="shared" si="0"/>
        <v>1.1414894957399073</v>
      </c>
      <c r="H51" s="199">
        <v>3.0230865185214853E-2</v>
      </c>
      <c r="I51" s="198">
        <v>1.1770734443491222</v>
      </c>
      <c r="J51" s="200">
        <v>0.55981379272477927</v>
      </c>
      <c r="K51" s="199">
        <v>0.53011660406406902</v>
      </c>
      <c r="L51" s="201">
        <v>0.29595391852470471</v>
      </c>
      <c r="M51" s="198">
        <v>0.83631590420874902</v>
      </c>
      <c r="N51" s="198">
        <v>0.98673088276303866</v>
      </c>
      <c r="O51" s="202">
        <v>0.8312183856595623</v>
      </c>
      <c r="P51" s="198">
        <v>0.8837080124216079</v>
      </c>
      <c r="Q51" s="187">
        <f>AVERAGE([3]Sheet1!$H51,[3]Sheet1!$L51:$O51)</f>
        <v>0.94300932588041597</v>
      </c>
    </row>
    <row r="52" spans="2:17" hidden="1">
      <c r="B52" s="197" t="s">
        <v>268</v>
      </c>
      <c r="C52" s="155">
        <v>31</v>
      </c>
      <c r="D52" s="198">
        <v>0.98090536398467421</v>
      </c>
      <c r="E52" s="199">
        <v>0.62244485230909108</v>
      </c>
      <c r="F52" s="199">
        <v>0.24350704473900481</v>
      </c>
      <c r="G52" s="198">
        <f t="shared" si="0"/>
        <v>0.66872298108623607</v>
      </c>
      <c r="H52" s="199">
        <v>7.7133294141700684E-2</v>
      </c>
      <c r="I52" s="198">
        <v>0.72461491658678878</v>
      </c>
      <c r="J52" s="200">
        <v>0.41568842800571859</v>
      </c>
      <c r="K52" s="199">
        <v>0.34075277770767604</v>
      </c>
      <c r="L52" s="201">
        <v>1.0696623451993501</v>
      </c>
      <c r="M52" s="198">
        <v>0.92037789137930404</v>
      </c>
      <c r="N52" s="198">
        <v>0.81073152617680166</v>
      </c>
      <c r="O52" s="203">
        <v>0.76800042762641452</v>
      </c>
      <c r="P52" s="198">
        <v>0.89482816266964527</v>
      </c>
      <c r="Q52" s="187">
        <f>AVERAGE([3]Sheet1!$H52,[3]Sheet1!$L52:$O52)</f>
        <v>0.82371058488779103</v>
      </c>
    </row>
    <row r="53" spans="2:17" hidden="1">
      <c r="B53" s="197" t="s">
        <v>269</v>
      </c>
      <c r="C53" s="155">
        <v>34</v>
      </c>
      <c r="D53" s="198">
        <v>1.1166198412698412</v>
      </c>
      <c r="E53" s="199">
        <v>1.3975802942588578</v>
      </c>
      <c r="F53" s="199">
        <v>6.8784340690957152E-2</v>
      </c>
      <c r="G53" s="198">
        <f t="shared" si="0"/>
        <v>0.54517522633593241</v>
      </c>
      <c r="H53" s="199">
        <v>1.2712690393575874E-2</v>
      </c>
      <c r="I53" s="198">
        <v>0.55219511182946646</v>
      </c>
      <c r="J53" s="200">
        <v>0.48377662083637035</v>
      </c>
      <c r="K53" s="199">
        <v>0.49691449467379523</v>
      </c>
      <c r="L53" s="201">
        <v>0.25099107395365905</v>
      </c>
      <c r="M53" s="198">
        <v>0.58888594415237006</v>
      </c>
      <c r="N53" s="198">
        <v>0.44125508081978904</v>
      </c>
      <c r="O53" s="202">
        <v>0.4451956659198778</v>
      </c>
      <c r="P53" s="198">
        <v>0.5122854446277495</v>
      </c>
      <c r="Q53" s="187">
        <f>AVERAGE([3]Sheet1!$H53,[3]Sheet1!$L53:$O53)</f>
        <v>0.50796344946985061</v>
      </c>
    </row>
    <row r="54" spans="2:17" hidden="1">
      <c r="B54" s="197" t="s">
        <v>270</v>
      </c>
      <c r="C54" s="155">
        <v>70</v>
      </c>
      <c r="D54" s="198">
        <v>1.0069901234567902</v>
      </c>
      <c r="E54" s="199">
        <v>0.63903882753765895</v>
      </c>
      <c r="F54" s="199">
        <v>9.5535307568216793E-2</v>
      </c>
      <c r="G54" s="198">
        <f t="shared" si="0"/>
        <v>0.68073030261666034</v>
      </c>
      <c r="H54" s="199">
        <v>4.3531156182779945E-2</v>
      </c>
      <c r="I54" s="198">
        <v>0.71171194651767145</v>
      </c>
      <c r="J54" s="200">
        <v>0.4489551265315968</v>
      </c>
      <c r="K54" s="199">
        <v>0.35012959324618553</v>
      </c>
      <c r="L54" s="201">
        <v>0.31977711193395608</v>
      </c>
      <c r="M54" s="198">
        <v>0.82845001279130992</v>
      </c>
      <c r="N54" s="198">
        <v>0.67915578788885134</v>
      </c>
      <c r="O54" s="203">
        <v>0.66749176385887621</v>
      </c>
      <c r="P54" s="198">
        <v>0.74415946232869168</v>
      </c>
      <c r="Q54" s="187">
        <f>AVERAGE([3]Sheet1!$H54,[3]Sheet1!$L54:$O54)</f>
        <v>0.72619379467708012</v>
      </c>
    </row>
    <row r="55" spans="2:17" hidden="1">
      <c r="B55" s="197" t="s">
        <v>271</v>
      </c>
      <c r="C55" s="155">
        <v>141</v>
      </c>
      <c r="D55" s="198">
        <v>1.1301850045167119</v>
      </c>
      <c r="E55" s="199">
        <v>0.21124179830846304</v>
      </c>
      <c r="F55" s="199">
        <v>7.1404927661445752E-2</v>
      </c>
      <c r="G55" s="198">
        <f t="shared" si="0"/>
        <v>0.97561673011907923</v>
      </c>
      <c r="H55" s="199">
        <v>2.1693580229489546E-2</v>
      </c>
      <c r="I55" s="198">
        <v>0.99725066748303448</v>
      </c>
      <c r="J55" s="200">
        <v>0.6116996384730774</v>
      </c>
      <c r="K55" s="199">
        <v>0.54641648342715865</v>
      </c>
      <c r="L55" s="201">
        <v>5.5111958349345333E-2</v>
      </c>
      <c r="M55" s="198">
        <v>0.91008254050766557</v>
      </c>
      <c r="N55" s="198">
        <v>0.9149796629650655</v>
      </c>
      <c r="O55" s="202">
        <v>0.68817620468484997</v>
      </c>
      <c r="P55" s="198">
        <v>0.87926933287734055</v>
      </c>
      <c r="Q55" s="187">
        <f>AVERAGE([3]Sheet1!$H55,[3]Sheet1!$L55:$O55)</f>
        <v>0.87795168170359117</v>
      </c>
    </row>
    <row r="56" spans="2:17" hidden="1">
      <c r="B56" s="197" t="s">
        <v>272</v>
      </c>
      <c r="C56" s="155">
        <v>71</v>
      </c>
      <c r="D56" s="198">
        <v>1.1212998148148152</v>
      </c>
      <c r="E56" s="199">
        <v>0.15060472399695993</v>
      </c>
      <c r="F56" s="199">
        <v>0.10370814070895523</v>
      </c>
      <c r="G56" s="198">
        <f t="shared" si="0"/>
        <v>1.0074992095308981</v>
      </c>
      <c r="H56" s="199">
        <v>3.8292273475808984E-2</v>
      </c>
      <c r="I56" s="198">
        <v>1.0476147604347601</v>
      </c>
      <c r="J56" s="200">
        <v>0.42093635312350025</v>
      </c>
      <c r="K56" s="199">
        <v>0.37113661075050075</v>
      </c>
      <c r="L56" s="201">
        <v>0.34132705537475871</v>
      </c>
      <c r="M56" s="198">
        <v>1.0445512586642061</v>
      </c>
      <c r="N56" s="198">
        <v>0.91756695796828625</v>
      </c>
      <c r="O56" s="203">
        <v>0.87020396713009684</v>
      </c>
      <c r="P56" s="198">
        <v>0.82102604136194945</v>
      </c>
      <c r="Q56" s="187">
        <f>AVERAGE([3]Sheet1!$H56,[3]Sheet1!$L56:$O56)</f>
        <v>0.94019259711185976</v>
      </c>
    </row>
    <row r="57" spans="2:17" hidden="1">
      <c r="B57" s="197" t="s">
        <v>273</v>
      </c>
      <c r="C57" s="155">
        <v>20</v>
      </c>
      <c r="D57" s="198">
        <v>0.87232046783625727</v>
      </c>
      <c r="E57" s="199">
        <v>0.47856620896281693</v>
      </c>
      <c r="F57" s="199">
        <v>0.1397391104591062</v>
      </c>
      <c r="G57" s="198">
        <f t="shared" si="0"/>
        <v>0.64191967046973564</v>
      </c>
      <c r="H57" s="199">
        <v>4.4466093672782522E-2</v>
      </c>
      <c r="I57" s="198">
        <v>0.67179161955338684</v>
      </c>
      <c r="J57" s="200">
        <v>0.32982907591775262</v>
      </c>
      <c r="K57" s="199">
        <v>0.24625122315171519</v>
      </c>
      <c r="L57" s="201">
        <v>0.78916486262363239</v>
      </c>
      <c r="M57" s="198">
        <v>0.80387143324202071</v>
      </c>
      <c r="N57" s="198">
        <v>0.81929059452472941</v>
      </c>
      <c r="O57" s="202">
        <v>0.71443841745032044</v>
      </c>
      <c r="P57" s="198">
        <v>0.63161786013410837</v>
      </c>
      <c r="Q57" s="187">
        <f>AVERAGE([3]Sheet1!$H57,[3]Sheet1!$L57:$O57)</f>
        <v>0.72820198498091315</v>
      </c>
    </row>
    <row r="58" spans="2:17" hidden="1">
      <c r="B58" s="197" t="s">
        <v>274</v>
      </c>
      <c r="C58" s="155">
        <v>23</v>
      </c>
      <c r="D58" s="198">
        <v>1.1094575757575758</v>
      </c>
      <c r="E58" s="199">
        <v>1.0473061527031822</v>
      </c>
      <c r="F58" s="199">
        <v>3.4703524667925631E-2</v>
      </c>
      <c r="G58" s="198">
        <f t="shared" si="0"/>
        <v>0.62137790133842963</v>
      </c>
      <c r="H58" s="199">
        <v>0.11655313467229302</v>
      </c>
      <c r="I58" s="198">
        <v>0.70335628063826439</v>
      </c>
      <c r="J58" s="200">
        <v>0.2660350491771033</v>
      </c>
      <c r="K58" s="199">
        <v>0.27640853318834147</v>
      </c>
      <c r="L58" s="201">
        <v>0.34683630979729535</v>
      </c>
      <c r="M58" s="198">
        <v>0.75380071860751052</v>
      </c>
      <c r="N58" s="198">
        <v>0.91067854389207092</v>
      </c>
      <c r="O58" s="203">
        <v>0.8021499989307056</v>
      </c>
      <c r="P58" s="198">
        <v>0.80519497929401429</v>
      </c>
      <c r="Q58" s="187">
        <f>AVERAGE([3]Sheet1!$H58,[3]Sheet1!$L58:$O58)</f>
        <v>0.79503610427251314</v>
      </c>
    </row>
    <row r="59" spans="2:17" hidden="1">
      <c r="B59" s="197" t="s">
        <v>275</v>
      </c>
      <c r="C59" s="155">
        <v>50</v>
      </c>
      <c r="D59" s="198">
        <v>0.74039333333333346</v>
      </c>
      <c r="E59" s="199">
        <v>0.25455326829344377</v>
      </c>
      <c r="F59" s="199">
        <v>0.15954883826515012</v>
      </c>
      <c r="G59" s="198">
        <f t="shared" si="0"/>
        <v>0.62170126638750012</v>
      </c>
      <c r="H59" s="199">
        <v>4.5226696715441349E-2</v>
      </c>
      <c r="I59" s="198">
        <v>0.65115065979406583</v>
      </c>
      <c r="J59" s="200">
        <v>0.22611624199146937</v>
      </c>
      <c r="K59" s="199">
        <v>0.23895405789245266</v>
      </c>
      <c r="L59" s="201">
        <v>0.58812153488535568</v>
      </c>
      <c r="M59" s="198">
        <v>0.69292392753575749</v>
      </c>
      <c r="N59" s="198">
        <v>0.75385679969929598</v>
      </c>
      <c r="O59" s="202">
        <v>0.7008266669001918</v>
      </c>
      <c r="P59" s="198">
        <v>0.72774299007849574</v>
      </c>
      <c r="Q59" s="187">
        <f>AVERAGE([3]Sheet1!$H59,[3]Sheet1!$L59:$O59)</f>
        <v>0.70530020880156141</v>
      </c>
    </row>
    <row r="60" spans="2:17" hidden="1">
      <c r="B60" s="197" t="s">
        <v>276</v>
      </c>
      <c r="C60" s="155">
        <v>172</v>
      </c>
      <c r="D60" s="198">
        <v>1.1038535781544252</v>
      </c>
      <c r="E60" s="199">
        <v>0.67345573962866845</v>
      </c>
      <c r="F60" s="199">
        <v>7.0871982078871007E-2</v>
      </c>
      <c r="G60" s="198">
        <f t="shared" si="0"/>
        <v>0.73341278896849726</v>
      </c>
      <c r="H60" s="199">
        <v>0.15377186176676536</v>
      </c>
      <c r="I60" s="198">
        <v>0.86668447411796701</v>
      </c>
      <c r="J60" s="200">
        <v>0.36859497245459294</v>
      </c>
      <c r="K60" s="199">
        <v>0.35433384019109015</v>
      </c>
      <c r="L60" s="201">
        <v>0.31537440475675499</v>
      </c>
      <c r="M60" s="198">
        <v>0.72867523802687462</v>
      </c>
      <c r="N60" s="198">
        <v>0.80698183301141047</v>
      </c>
      <c r="O60" s="203">
        <v>0.67569470993802794</v>
      </c>
      <c r="P60" s="198">
        <v>0.86690937652117939</v>
      </c>
      <c r="Q60" s="187">
        <f>AVERAGE([3]Sheet1!$H60,[3]Sheet1!$L60:$O60)</f>
        <v>0.78898912632309182</v>
      </c>
    </row>
    <row r="61" spans="2:17" hidden="1">
      <c r="B61" s="197" t="s">
        <v>277</v>
      </c>
      <c r="C61" s="155">
        <v>127</v>
      </c>
      <c r="D61" s="198">
        <v>1.1704096491228071</v>
      </c>
      <c r="E61" s="199">
        <v>0.26931374597284752</v>
      </c>
      <c r="F61" s="199">
        <v>0.13623231315343584</v>
      </c>
      <c r="G61" s="198">
        <f t="shared" si="0"/>
        <v>0.97373041075643574</v>
      </c>
      <c r="H61" s="199">
        <v>3.7972942161608313E-2</v>
      </c>
      <c r="I61" s="198">
        <v>1.0121653053546547</v>
      </c>
      <c r="J61" s="200">
        <v>0.43029047305943929</v>
      </c>
      <c r="K61" s="199">
        <v>0.34355380440821015</v>
      </c>
      <c r="L61" s="201">
        <v>0.21363183750068385</v>
      </c>
      <c r="M61" s="198">
        <v>1.1123629253138949</v>
      </c>
      <c r="N61" s="198">
        <v>1.2286140493062305</v>
      </c>
      <c r="O61" s="202">
        <v>0.93146084205407687</v>
      </c>
      <c r="P61" s="198">
        <v>1.0376808387746204</v>
      </c>
      <c r="Q61" s="187">
        <f>AVERAGE([3]Sheet1!$H61,[3]Sheet1!$L61:$O61)</f>
        <v>1.0644567921606956</v>
      </c>
    </row>
    <row r="62" spans="2:17" hidden="1">
      <c r="B62" s="197" t="s">
        <v>278</v>
      </c>
      <c r="C62" s="155">
        <v>94</v>
      </c>
      <c r="D62" s="198">
        <v>1.3218101851851847</v>
      </c>
      <c r="E62" s="199">
        <v>0.4177993920839026</v>
      </c>
      <c r="F62" s="199">
        <v>3.0551925276276207E-2</v>
      </c>
      <c r="G62" s="198">
        <f t="shared" si="0"/>
        <v>1.0064420330143675</v>
      </c>
      <c r="H62" s="199">
        <v>9.2839654594456034E-2</v>
      </c>
      <c r="I62" s="198">
        <v>1.1094422701693822</v>
      </c>
      <c r="J62" s="200">
        <v>0.68300743484034199</v>
      </c>
      <c r="K62" s="199">
        <v>0.75457965885964196</v>
      </c>
      <c r="L62" s="201">
        <v>0.40158292706747079</v>
      </c>
      <c r="M62" s="198">
        <v>0.90515750563570641</v>
      </c>
      <c r="N62" s="198">
        <v>0.87412275998567224</v>
      </c>
      <c r="O62" s="203">
        <v>0.88779982496284104</v>
      </c>
      <c r="P62" s="198">
        <v>0.96016218423880206</v>
      </c>
      <c r="Q62" s="187">
        <f>AVERAGE([3]Sheet1!$H62,[3]Sheet1!$L62:$O62)</f>
        <v>0.94733690899848066</v>
      </c>
    </row>
    <row r="63" spans="2:17" hidden="1">
      <c r="B63" s="197" t="s">
        <v>279</v>
      </c>
      <c r="C63" s="155">
        <v>24</v>
      </c>
      <c r="D63" s="198">
        <v>1.8129217391304349</v>
      </c>
      <c r="E63" s="199">
        <v>0.61374327953399233</v>
      </c>
      <c r="F63" s="199">
        <v>0.137137410329883</v>
      </c>
      <c r="G63" s="198">
        <f t="shared" si="0"/>
        <v>1.2414657797915614</v>
      </c>
      <c r="H63" s="199">
        <v>6.9134275144686258E-2</v>
      </c>
      <c r="I63" s="198">
        <v>1.3336679465607404</v>
      </c>
      <c r="J63" s="200">
        <v>0.47057622750670097</v>
      </c>
      <c r="K63" s="199">
        <v>0.39462479084116475</v>
      </c>
      <c r="L63" s="201">
        <v>0.1421975535949965</v>
      </c>
      <c r="M63" s="198">
        <v>0.99913957031235989</v>
      </c>
      <c r="N63" s="198">
        <v>1.2940648547983142</v>
      </c>
      <c r="O63" s="202">
        <v>1.094913266181017</v>
      </c>
      <c r="P63" s="198">
        <v>1.0984143438538143</v>
      </c>
      <c r="Q63" s="187">
        <f>AVERAGE([3]Sheet1!$H63,[3]Sheet1!$L63:$O63)</f>
        <v>1.1640399963412491</v>
      </c>
    </row>
    <row r="64" spans="2:17" hidden="1">
      <c r="B64" s="197" t="s">
        <v>280</v>
      </c>
      <c r="C64" s="155">
        <v>5</v>
      </c>
      <c r="D64" s="198">
        <v>1.1578600000000001</v>
      </c>
      <c r="E64" s="199">
        <v>0.17246566141143665</v>
      </c>
      <c r="F64" s="199">
        <v>8.905463497889117E-2</v>
      </c>
      <c r="G64" s="198">
        <f t="shared" si="0"/>
        <v>1.0252452941735473</v>
      </c>
      <c r="H64" s="199">
        <v>2.8762471008465802E-2</v>
      </c>
      <c r="I64" s="198">
        <v>1.0556071646429179</v>
      </c>
      <c r="J64" s="200">
        <v>0.37932506830420437</v>
      </c>
      <c r="K64" s="199">
        <v>0.17619701820832323</v>
      </c>
      <c r="L64" s="201">
        <v>0.70401303070356069</v>
      </c>
      <c r="M64" s="198">
        <v>0.76428600647835043</v>
      </c>
      <c r="N64" s="198">
        <v>1.3768945488985402</v>
      </c>
      <c r="O64" s="203">
        <v>0.94523624792936756</v>
      </c>
      <c r="P64" s="198">
        <v>1.2507640353953937</v>
      </c>
      <c r="Q64" s="187">
        <f>AVERAGE([3]Sheet1!$H64,[3]Sheet1!$L64:$O64)</f>
        <v>1.0785576006689139</v>
      </c>
    </row>
    <row r="65" spans="2:17" hidden="1">
      <c r="B65" s="197" t="s">
        <v>281</v>
      </c>
      <c r="C65" s="155">
        <v>301</v>
      </c>
      <c r="D65" s="198">
        <v>1.4533522093522093</v>
      </c>
      <c r="E65" s="199">
        <v>0.5518770587777071</v>
      </c>
      <c r="F65" s="199">
        <v>1.9261275502694217E-2</v>
      </c>
      <c r="G65" s="198">
        <f t="shared" si="0"/>
        <v>1.0278974452464229</v>
      </c>
      <c r="H65" s="199">
        <v>4.3208838330464884E-2</v>
      </c>
      <c r="I65" s="198">
        <v>1.0743174544514105</v>
      </c>
      <c r="J65" s="200">
        <v>0.60414203525164722</v>
      </c>
      <c r="K65" s="199">
        <v>0.57358375573765152</v>
      </c>
      <c r="L65" s="201">
        <v>1.4416941211625325</v>
      </c>
      <c r="M65" s="198">
        <v>0.91418748660737614</v>
      </c>
      <c r="N65" s="198">
        <v>0.94743762340513227</v>
      </c>
      <c r="O65" s="202">
        <v>0.99198790067456866</v>
      </c>
      <c r="P65" s="198">
        <v>1.0036901148132051</v>
      </c>
      <c r="Q65" s="187">
        <f>AVERAGE([3]Sheet1!$H65,[3]Sheet1!$L65:$O65)</f>
        <v>0.98632411599033853</v>
      </c>
    </row>
    <row r="66" spans="2:17" hidden="1">
      <c r="B66" s="197" t="s">
        <v>282</v>
      </c>
      <c r="C66" s="155">
        <v>20</v>
      </c>
      <c r="D66" s="198">
        <v>1.0711679012345678</v>
      </c>
      <c r="E66" s="199">
        <v>1.0127742114270126</v>
      </c>
      <c r="F66" s="199">
        <v>8.0540266545057457E-2</v>
      </c>
      <c r="G66" s="198">
        <f t="shared" si="0"/>
        <v>0.60876317093922894</v>
      </c>
      <c r="H66" s="199">
        <v>2.3104283740711159E-2</v>
      </c>
      <c r="I66" s="198">
        <v>0.6231608561764338</v>
      </c>
      <c r="J66" s="200">
        <v>0.40905439867235804</v>
      </c>
      <c r="K66" s="199">
        <v>0.360303171652889</v>
      </c>
      <c r="L66" s="201">
        <v>0.31612714550212095</v>
      </c>
      <c r="M66" s="198">
        <v>0.66899854629743982</v>
      </c>
      <c r="N66" s="198">
        <v>0.65372935713088309</v>
      </c>
      <c r="O66" s="203">
        <v>0.68903844183291452</v>
      </c>
      <c r="P66" s="198">
        <v>0.71646756268516709</v>
      </c>
      <c r="Q66" s="187">
        <f>AVERAGE([3]Sheet1!$H66,[3]Sheet1!$L66:$O66)</f>
        <v>0.67027895282456762</v>
      </c>
    </row>
    <row r="67" spans="2:17" hidden="1">
      <c r="B67" s="197" t="s">
        <v>283</v>
      </c>
      <c r="C67" s="155">
        <v>134</v>
      </c>
      <c r="D67" s="198">
        <v>1.3278635748792276</v>
      </c>
      <c r="E67" s="199">
        <v>0.46777783695914144</v>
      </c>
      <c r="F67" s="199">
        <v>4.2193035323803953E-2</v>
      </c>
      <c r="G67" s="198">
        <f t="shared" si="0"/>
        <v>0.9829958281909581</v>
      </c>
      <c r="H67" s="199">
        <v>7.8631279502419937E-2</v>
      </c>
      <c r="I67" s="198">
        <v>1.0668864769579942</v>
      </c>
      <c r="J67" s="200">
        <v>0.55990365477539616</v>
      </c>
      <c r="K67" s="199">
        <v>0.49290404209349575</v>
      </c>
      <c r="L67" s="201">
        <v>0.45088903008008041</v>
      </c>
      <c r="M67" s="198">
        <v>1.3187768220793494</v>
      </c>
      <c r="N67" s="198">
        <v>1.410476112201879</v>
      </c>
      <c r="O67" s="202">
        <v>1.1096395487798727</v>
      </c>
      <c r="P67" s="198">
        <v>1.0558983129597594</v>
      </c>
      <c r="Q67" s="187">
        <f>AVERAGE([3]Sheet1!$H67,[3]Sheet1!$L67:$O67)</f>
        <v>1.1923354545957709</v>
      </c>
    </row>
    <row r="68" spans="2:17" hidden="1">
      <c r="B68" s="197" t="s">
        <v>284</v>
      </c>
      <c r="C68" s="155">
        <v>27</v>
      </c>
      <c r="D68" s="198">
        <v>1.0749449074074073</v>
      </c>
      <c r="E68" s="199">
        <v>0.66411823031816108</v>
      </c>
      <c r="F68" s="199">
        <v>0.13007420408078466</v>
      </c>
      <c r="G68" s="198">
        <f t="shared" si="0"/>
        <v>0.71754424619093182</v>
      </c>
      <c r="H68" s="199">
        <v>2.6471261920717172E-2</v>
      </c>
      <c r="I68" s="198">
        <v>0.73705502274807633</v>
      </c>
      <c r="J68" s="200">
        <v>0.39611915551278309</v>
      </c>
      <c r="K68" s="199">
        <v>0.27465343415585192</v>
      </c>
      <c r="L68" s="201">
        <v>0.17023608101658713</v>
      </c>
      <c r="M68" s="198">
        <v>0.69510331969855443</v>
      </c>
      <c r="N68" s="198">
        <v>0.90706844247421869</v>
      </c>
      <c r="O68" s="203">
        <v>0.60469788408283676</v>
      </c>
      <c r="P68" s="198">
        <v>0.55106848014820298</v>
      </c>
      <c r="Q68" s="187">
        <f>AVERAGE([3]Sheet1!$H68,[3]Sheet1!$L68:$O68)</f>
        <v>0.69899862983037786</v>
      </c>
    </row>
    <row r="69" spans="2:17" hidden="1">
      <c r="B69" s="197" t="s">
        <v>285</v>
      </c>
      <c r="C69" s="155">
        <v>20</v>
      </c>
      <c r="D69" s="198">
        <v>1.395969590643275</v>
      </c>
      <c r="E69" s="199">
        <v>0.48365739004236019</v>
      </c>
      <c r="F69" s="199">
        <v>8.4249723815761374E-2</v>
      </c>
      <c r="G69" s="198">
        <f t="shared" si="0"/>
        <v>1.0243821080530155</v>
      </c>
      <c r="H69" s="199">
        <v>0.12660557816913781</v>
      </c>
      <c r="I69" s="198">
        <v>1.1728745712683208</v>
      </c>
      <c r="J69" s="200">
        <v>0.51610341029871321</v>
      </c>
      <c r="K69" s="199">
        <v>0.42718555495233718</v>
      </c>
      <c r="L69" s="201">
        <v>0.26219869664368994</v>
      </c>
      <c r="M69" s="198">
        <v>0.59499696779641253</v>
      </c>
      <c r="N69" s="198">
        <v>0.89356619047385455</v>
      </c>
      <c r="O69" s="202">
        <v>0.82676199858159016</v>
      </c>
      <c r="P69" s="198">
        <v>0.97753020034772831</v>
      </c>
      <c r="Q69" s="187">
        <f>AVERAGE([3]Sheet1!$H69,[3]Sheet1!$L69:$O69)</f>
        <v>0.89314598569358128</v>
      </c>
    </row>
    <row r="70" spans="2:17" hidden="1">
      <c r="B70" s="197" t="s">
        <v>286</v>
      </c>
      <c r="C70" s="155">
        <v>51</v>
      </c>
      <c r="D70" s="198">
        <v>0.54395646258503405</v>
      </c>
      <c r="E70" s="199">
        <v>0.79406531455688623</v>
      </c>
      <c r="F70" s="199">
        <v>0.13586406640836163</v>
      </c>
      <c r="G70" s="198">
        <f t="shared" si="0"/>
        <v>0.34092119225796297</v>
      </c>
      <c r="H70" s="199">
        <v>1.4725642334690259E-2</v>
      </c>
      <c r="I70" s="198">
        <v>0.3460165075906414</v>
      </c>
      <c r="J70" s="200">
        <v>0.23322997762829631</v>
      </c>
      <c r="K70" s="199">
        <v>0.20533951611915865</v>
      </c>
      <c r="L70" s="201">
        <v>9.0310791198784005E-2</v>
      </c>
      <c r="M70" s="198">
        <v>0.52852581356072703</v>
      </c>
      <c r="N70" s="198">
        <v>0.49888085289261619</v>
      </c>
      <c r="O70" s="203">
        <v>0.32719364961137615</v>
      </c>
      <c r="P70" s="198">
        <v>0.32493565540349184</v>
      </c>
      <c r="Q70" s="187">
        <f>AVERAGE([3]Sheet1!$H70,[3]Sheet1!$L70:$O70)</f>
        <v>0.4051104958117705</v>
      </c>
    </row>
    <row r="71" spans="2:17" hidden="1">
      <c r="B71" s="197" t="s">
        <v>287</v>
      </c>
      <c r="C71" s="155">
        <v>91</v>
      </c>
      <c r="D71" s="198">
        <v>1.1914886002886005</v>
      </c>
      <c r="E71" s="199">
        <v>0.21247297994260872</v>
      </c>
      <c r="F71" s="199">
        <v>2.0767169255965504E-2</v>
      </c>
      <c r="G71" s="198">
        <f t="shared" si="0"/>
        <v>1.0277170259996711</v>
      </c>
      <c r="H71" s="199">
        <v>0.10561343177247078</v>
      </c>
      <c r="I71" s="198">
        <v>1.1490747541483908</v>
      </c>
      <c r="J71" s="200">
        <v>0.69865588149571844</v>
      </c>
      <c r="K71" s="199">
        <v>0.745434836185771</v>
      </c>
      <c r="L71" s="201">
        <v>0.68393930974181838</v>
      </c>
      <c r="M71" s="198">
        <v>1.0462116272315036</v>
      </c>
      <c r="N71" s="198">
        <v>1.0348311060447721</v>
      </c>
      <c r="O71" s="202">
        <v>1.1036721628723862</v>
      </c>
      <c r="P71" s="198">
        <v>0.94639980978395732</v>
      </c>
      <c r="Q71" s="187">
        <f>AVERAGE([3]Sheet1!$H71,[3]Sheet1!$L71:$O71)</f>
        <v>1.0560378920162021</v>
      </c>
    </row>
    <row r="72" spans="2:17" hidden="1">
      <c r="B72" s="197" t="s">
        <v>288</v>
      </c>
      <c r="C72" s="155">
        <v>33</v>
      </c>
      <c r="D72" s="198">
        <v>1.255168100358423</v>
      </c>
      <c r="E72" s="199">
        <v>0.70123168579684425</v>
      </c>
      <c r="F72" s="199">
        <v>0.12002771632073334</v>
      </c>
      <c r="G72" s="198">
        <f t="shared" si="0"/>
        <v>0.82256278438329156</v>
      </c>
      <c r="H72" s="199">
        <v>8.3889418508788782E-2</v>
      </c>
      <c r="I72" s="198">
        <v>0.89788591137584506</v>
      </c>
      <c r="J72" s="200">
        <v>0.43640939780175197</v>
      </c>
      <c r="K72" s="199">
        <v>0.39315783028815493</v>
      </c>
      <c r="L72" s="201">
        <v>0.11723732444058206</v>
      </c>
      <c r="M72" s="198">
        <v>0.8829647997110236</v>
      </c>
      <c r="N72" s="198">
        <v>1.0689823736618371</v>
      </c>
      <c r="O72" s="203">
        <v>0.96202486776723917</v>
      </c>
      <c r="P72" s="198">
        <v>0.82623364138876865</v>
      </c>
      <c r="Q72" s="187">
        <f>AVERAGE([3]Sheet1!$H72,[3]Sheet1!$L72:$O72)</f>
        <v>0.92761831878094281</v>
      </c>
    </row>
    <row r="73" spans="2:17" hidden="1">
      <c r="B73" s="197" t="s">
        <v>289</v>
      </c>
      <c r="C73" s="155">
        <v>238</v>
      </c>
      <c r="D73" s="198">
        <v>0.6779410818713455</v>
      </c>
      <c r="E73" s="199">
        <v>0.90705143699432544</v>
      </c>
      <c r="F73" s="199">
        <v>2.4216130415248782E-2</v>
      </c>
      <c r="G73" s="198">
        <f t="shared" si="0"/>
        <v>0.40346705372529729</v>
      </c>
      <c r="H73" s="199">
        <v>1.4656865281905518E-2</v>
      </c>
      <c r="I73" s="198">
        <v>0.40946857953268101</v>
      </c>
      <c r="J73" s="200">
        <v>0.19972988830406255</v>
      </c>
      <c r="K73" s="199">
        <v>0.21221096012551544</v>
      </c>
      <c r="L73" s="201">
        <v>0.33058045169866396</v>
      </c>
      <c r="M73" s="198">
        <v>0.42659422790766416</v>
      </c>
      <c r="N73" s="198">
        <v>0.41289220238853069</v>
      </c>
      <c r="O73" s="202">
        <v>0.41365814242478077</v>
      </c>
      <c r="P73" s="198">
        <v>0.421335920717823</v>
      </c>
      <c r="Q73" s="187">
        <f>AVERAGE([3]Sheet1!$H73,[3]Sheet1!$L73:$O73)</f>
        <v>0.41678981459429593</v>
      </c>
    </row>
    <row r="74" spans="2:17" hidden="1">
      <c r="B74" s="197" t="s">
        <v>290</v>
      </c>
      <c r="C74" s="155">
        <v>18</v>
      </c>
      <c r="D74" s="198">
        <v>1.1946681481481485</v>
      </c>
      <c r="E74" s="199">
        <v>0.69451666902147602</v>
      </c>
      <c r="F74" s="199">
        <v>0</v>
      </c>
      <c r="G74" s="198">
        <f t="shared" si="0"/>
        <v>0.7855072428176697</v>
      </c>
      <c r="H74" s="199">
        <v>9.8193638121419527E-2</v>
      </c>
      <c r="I74" s="198">
        <v>0.87103759301648254</v>
      </c>
      <c r="J74" s="200">
        <v>0.52867674478627213</v>
      </c>
      <c r="K74" s="199">
        <v>0.40783718362831506</v>
      </c>
      <c r="L74" s="201">
        <v>1.2852392523252048</v>
      </c>
      <c r="M74" s="198">
        <v>0.81886769624670608</v>
      </c>
      <c r="N74" s="198">
        <v>0.92994011768456197</v>
      </c>
      <c r="O74" s="203">
        <v>0.46927329356820202</v>
      </c>
      <c r="P74" s="198">
        <v>0.61355811294464702</v>
      </c>
      <c r="Q74" s="187">
        <f>AVERAGE([3]Sheet1!$H74,[3]Sheet1!$L74:$O74)</f>
        <v>0.74053536269211995</v>
      </c>
    </row>
    <row r="75" spans="2:17" hidden="1">
      <c r="B75" s="197" t="s">
        <v>291</v>
      </c>
      <c r="C75" s="155">
        <v>11</v>
      </c>
      <c r="D75" s="198">
        <v>1.3648122222222221</v>
      </c>
      <c r="E75" s="199">
        <v>0.49838629522153877</v>
      </c>
      <c r="F75" s="199">
        <v>7.0978304616057586E-2</v>
      </c>
      <c r="G75" s="198">
        <f t="shared" si="0"/>
        <v>0.99346515769190813</v>
      </c>
      <c r="H75" s="199">
        <v>0.25154646263512559</v>
      </c>
      <c r="I75" s="198">
        <v>1.3273571545799101</v>
      </c>
      <c r="J75" s="200">
        <v>0.49067231144080758</v>
      </c>
      <c r="K75" s="199">
        <v>0.21502070283968019</v>
      </c>
      <c r="L75" s="201">
        <v>1.8196616012831717</v>
      </c>
      <c r="M75" s="198">
        <v>1.4749954561629794</v>
      </c>
      <c r="N75" s="198">
        <v>1.0263402703399036</v>
      </c>
      <c r="O75" s="202">
        <v>1.0942954893232755</v>
      </c>
      <c r="P75" s="198">
        <v>0.73331096910868621</v>
      </c>
      <c r="Q75" s="187">
        <f>AVERAGE([3]Sheet1!$H75,[3]Sheet1!$L75:$O75)</f>
        <v>1.1312598679029509</v>
      </c>
    </row>
    <row r="76" spans="2:17" hidden="1">
      <c r="B76" s="197" t="s">
        <v>292</v>
      </c>
      <c r="C76" s="155">
        <v>59</v>
      </c>
      <c r="D76" s="198">
        <v>1.3460990929705217</v>
      </c>
      <c r="E76" s="199">
        <v>0.65336697151437084</v>
      </c>
      <c r="F76" s="199">
        <v>8.4571339658168307E-2</v>
      </c>
      <c r="G76" s="198">
        <f t="shared" ref="G76:G106" si="1">IF($G$8="Effective",D76/(1+(1-F76)*E76),D76/(1+(1-$G$9)*E76))</f>
        <v>0.90340691358828151</v>
      </c>
      <c r="H76" s="199">
        <v>5.1916608113060383E-2</v>
      </c>
      <c r="I76" s="198">
        <v>0.95287705840966175</v>
      </c>
      <c r="J76" s="200">
        <v>0.54507146262428685</v>
      </c>
      <c r="K76" s="199">
        <v>0.42491288645085756</v>
      </c>
      <c r="L76" s="201">
        <v>0.44411691958718963</v>
      </c>
      <c r="M76" s="198">
        <v>0.89488907496725834</v>
      </c>
      <c r="N76" s="198">
        <v>0.99190805395484083</v>
      </c>
      <c r="O76" s="203">
        <v>0.615628642157243</v>
      </c>
      <c r="P76" s="198">
        <v>0.80185642216849129</v>
      </c>
      <c r="Q76" s="187">
        <f>AVERAGE([3]Sheet1!$H76,[3]Sheet1!$L76:$O76)</f>
        <v>0.85143185033149904</v>
      </c>
    </row>
    <row r="77" spans="2:17" hidden="1">
      <c r="B77" s="197" t="s">
        <v>293</v>
      </c>
      <c r="C77" s="155">
        <v>72</v>
      </c>
      <c r="D77" s="198">
        <v>0.97858395061728398</v>
      </c>
      <c r="E77" s="199">
        <v>0.36316149522434915</v>
      </c>
      <c r="F77" s="199">
        <v>7.4328453874191291E-2</v>
      </c>
      <c r="G77" s="198">
        <f t="shared" si="1"/>
        <v>0.76910261019323911</v>
      </c>
      <c r="H77" s="199">
        <v>4.9590610750594386E-2</v>
      </c>
      <c r="I77" s="198">
        <v>0.80923296728017891</v>
      </c>
      <c r="J77" s="200">
        <v>0.51680307469921816</v>
      </c>
      <c r="K77" s="199">
        <v>0.42731430588951713</v>
      </c>
      <c r="L77" s="201">
        <v>0.47436944391512648</v>
      </c>
      <c r="M77" s="198">
        <v>0.986533653836145</v>
      </c>
      <c r="N77" s="198">
        <v>0.74786144631426577</v>
      </c>
      <c r="O77" s="202">
        <v>0.75955394281213184</v>
      </c>
      <c r="P77" s="198">
        <v>0.72607338801137411</v>
      </c>
      <c r="Q77" s="187">
        <f>AVERAGE([3]Sheet1!$H77,[3]Sheet1!$L77:$O77)</f>
        <v>0.80585107965081915</v>
      </c>
    </row>
    <row r="78" spans="2:17" hidden="1">
      <c r="B78" s="197" t="s">
        <v>65</v>
      </c>
      <c r="C78" s="155">
        <v>2</v>
      </c>
      <c r="D78" s="198">
        <v>0.97012222222222233</v>
      </c>
      <c r="E78" s="199">
        <v>0.29869762528937283</v>
      </c>
      <c r="F78" s="199">
        <v>9.8046087794620179E-2</v>
      </c>
      <c r="G78" s="198">
        <f t="shared" si="1"/>
        <v>0.7925684800660252</v>
      </c>
      <c r="H78" s="199">
        <v>0.10141396380829935</v>
      </c>
      <c r="I78" s="198">
        <v>0.8820173563179452</v>
      </c>
      <c r="J78" s="200">
        <v>0.10492021861913658</v>
      </c>
      <c r="K78" s="199">
        <v>0.16272070696910848</v>
      </c>
      <c r="L78" s="201">
        <v>0.3583564544100985</v>
      </c>
      <c r="M78" s="198">
        <v>1.1247782503169248</v>
      </c>
      <c r="N78" s="198">
        <v>0.89151933255027671</v>
      </c>
      <c r="O78" s="203">
        <v>0.6462241968853939</v>
      </c>
      <c r="P78" s="198">
        <v>0.46721027861075448</v>
      </c>
      <c r="Q78" s="187">
        <f>AVERAGE([3]Sheet1!$H78,[3]Sheet1!$L78:$O78)</f>
        <v>0.80234988293625897</v>
      </c>
    </row>
    <row r="79" spans="2:17" hidden="1">
      <c r="B79" s="197" t="s">
        <v>294</v>
      </c>
      <c r="C79" s="155">
        <v>78</v>
      </c>
      <c r="D79" s="198">
        <v>0.79808174603174609</v>
      </c>
      <c r="E79" s="199">
        <v>0.35528298412318771</v>
      </c>
      <c r="F79" s="199">
        <v>8.961612468275626E-2</v>
      </c>
      <c r="G79" s="198">
        <f t="shared" si="1"/>
        <v>0.63016623948761152</v>
      </c>
      <c r="H79" s="199">
        <v>3.2105054303987517E-2</v>
      </c>
      <c r="I79" s="198">
        <v>0.65106883994983511</v>
      </c>
      <c r="J79" s="200">
        <v>0.44101040954903176</v>
      </c>
      <c r="K79" s="199">
        <v>0.38179353269351113</v>
      </c>
      <c r="L79" s="201">
        <v>0.16167304563464469</v>
      </c>
      <c r="M79" s="198">
        <v>0.7392843693828145</v>
      </c>
      <c r="N79" s="198">
        <v>0.64108704213975221</v>
      </c>
      <c r="O79" s="202">
        <v>0.60883593821969884</v>
      </c>
      <c r="P79" s="198">
        <v>0.69579089837083374</v>
      </c>
      <c r="Q79" s="187">
        <f>AVERAGE([3]Sheet1!$H79,[3]Sheet1!$L79:$O79)</f>
        <v>0.6672134176125869</v>
      </c>
    </row>
    <row r="80" spans="2:17" hidden="1">
      <c r="B80" s="197" t="s">
        <v>295</v>
      </c>
      <c r="C80" s="155">
        <v>24</v>
      </c>
      <c r="D80" s="198">
        <v>1.154252380952381</v>
      </c>
      <c r="E80" s="199">
        <v>0.71907749851693015</v>
      </c>
      <c r="F80" s="199">
        <v>8.8896946779589883E-2</v>
      </c>
      <c r="G80" s="198">
        <f t="shared" si="1"/>
        <v>0.74985141898503438</v>
      </c>
      <c r="H80" s="199">
        <v>1.4647321545314076E-2</v>
      </c>
      <c r="I80" s="198">
        <v>0.76099800140698393</v>
      </c>
      <c r="J80" s="200">
        <v>0.45770036396352504</v>
      </c>
      <c r="K80" s="199">
        <v>0.33219758631856772</v>
      </c>
      <c r="L80" s="201">
        <v>0.33219086636019046</v>
      </c>
      <c r="M80" s="198">
        <v>0.84629303675926026</v>
      </c>
      <c r="N80" s="198">
        <v>0.75515362761958049</v>
      </c>
      <c r="O80" s="203">
        <v>0.63087014027007171</v>
      </c>
      <c r="P80" s="198">
        <v>0.64728168498738969</v>
      </c>
      <c r="Q80" s="187">
        <f>AVERAGE([3]Sheet1!$H80,[3]Sheet1!$L80:$O80)</f>
        <v>0.72811929820865728</v>
      </c>
    </row>
    <row r="81" spans="2:17" hidden="1">
      <c r="B81" s="197" t="s">
        <v>296</v>
      </c>
      <c r="C81" s="155">
        <v>17</v>
      </c>
      <c r="D81" s="198">
        <v>1.1176954248366013</v>
      </c>
      <c r="E81" s="199">
        <v>0.22842195750753919</v>
      </c>
      <c r="F81" s="199">
        <v>0.20084507016617628</v>
      </c>
      <c r="G81" s="198">
        <f t="shared" si="1"/>
        <v>0.95422155774892448</v>
      </c>
      <c r="H81" s="199">
        <v>1.3499329163526724E-2</v>
      </c>
      <c r="I81" s="198">
        <v>0.96727917776256678</v>
      </c>
      <c r="J81" s="200">
        <v>0.4176248307740727</v>
      </c>
      <c r="K81" s="199">
        <v>0.46935114242506693</v>
      </c>
      <c r="L81" s="201">
        <v>0.3110550966929766</v>
      </c>
      <c r="M81" s="198">
        <v>1.2904329333243947</v>
      </c>
      <c r="N81" s="198">
        <v>1.3061751563837096</v>
      </c>
      <c r="O81" s="202">
        <v>1.1237890076404478</v>
      </c>
      <c r="P81" s="198">
        <v>0.76337725014628455</v>
      </c>
      <c r="Q81" s="187">
        <f>AVERAGE([3]Sheet1!$H81,[3]Sheet1!$L81:$O81)</f>
        <v>1.0902107050514807</v>
      </c>
    </row>
    <row r="82" spans="2:17">
      <c r="B82" s="197" t="s">
        <v>297</v>
      </c>
      <c r="C82" s="155">
        <v>88</v>
      </c>
      <c r="D82" s="198">
        <v>1.4393734417344175</v>
      </c>
      <c r="E82" s="199">
        <v>0.65633257766107733</v>
      </c>
      <c r="F82" s="199">
        <v>8.1522429505077931E-2</v>
      </c>
      <c r="G82" s="198">
        <f t="shared" si="1"/>
        <v>0.96456625123563999</v>
      </c>
      <c r="H82" s="199">
        <v>2.2750200973663214E-2</v>
      </c>
      <c r="I82" s="198">
        <v>0.98702118147956253</v>
      </c>
      <c r="J82" s="200">
        <v>0.5219909171095275</v>
      </c>
      <c r="K82" s="199">
        <v>0.44589738468861506</v>
      </c>
      <c r="L82" s="201">
        <v>0.33328983315097971</v>
      </c>
      <c r="M82" s="198">
        <v>0.81147990769764133</v>
      </c>
      <c r="N82" s="198">
        <v>0.82697172935780039</v>
      </c>
      <c r="O82" s="203">
        <v>0.76667123223304556</v>
      </c>
      <c r="P82" s="198">
        <v>0.87123518742109773</v>
      </c>
      <c r="Q82" s="187">
        <f>AVERAGE([3]Sheet1!$H82,[3]Sheet1!$L82:$O82)</f>
        <v>0.85267584763782944</v>
      </c>
    </row>
    <row r="83" spans="2:17">
      <c r="B83" s="197" t="s">
        <v>298</v>
      </c>
      <c r="C83" s="155">
        <v>19</v>
      </c>
      <c r="D83" s="198">
        <v>0.91219629629629628</v>
      </c>
      <c r="E83" s="199">
        <v>0.34086339084363498</v>
      </c>
      <c r="F83" s="199">
        <v>0.10849094479637476</v>
      </c>
      <c r="G83" s="198">
        <f t="shared" si="1"/>
        <v>0.72647479882806087</v>
      </c>
      <c r="H83" s="199">
        <v>3.3282565564842666E-2</v>
      </c>
      <c r="I83" s="198">
        <v>0.7514861871220232</v>
      </c>
      <c r="J83" s="200">
        <v>0.40577972975712762</v>
      </c>
      <c r="K83" s="199">
        <v>0.39634979752602972</v>
      </c>
      <c r="L83" s="201">
        <v>6.3917299345070483E-2</v>
      </c>
      <c r="M83" s="198">
        <v>0.85061518110902057</v>
      </c>
      <c r="N83" s="198">
        <v>0.92395978175189775</v>
      </c>
      <c r="O83" s="202">
        <v>0.82407298507083293</v>
      </c>
      <c r="P83" s="198">
        <v>0.87430045257361966</v>
      </c>
      <c r="Q83" s="187">
        <f>AVERAGE([3]Sheet1!$H83,[3]Sheet1!$L83:$O83)</f>
        <v>0.84488691752547884</v>
      </c>
    </row>
    <row r="84" spans="2:17">
      <c r="B84" s="197" t="s">
        <v>299</v>
      </c>
      <c r="C84" s="155">
        <v>12</v>
      </c>
      <c r="D84" s="198">
        <v>0.45178989898989902</v>
      </c>
      <c r="E84" s="199">
        <v>0.83434627240225423</v>
      </c>
      <c r="F84" s="199">
        <v>3.0118748225875205E-2</v>
      </c>
      <c r="G84" s="198">
        <f t="shared" si="1"/>
        <v>0.27789463460958114</v>
      </c>
      <c r="H84" s="199">
        <v>1.1869132667422953E-2</v>
      </c>
      <c r="I84" s="198">
        <v>0.28123262190943138</v>
      </c>
      <c r="J84" s="200">
        <v>0.37111186904693377</v>
      </c>
      <c r="K84" s="199">
        <v>0.33063266948853998</v>
      </c>
      <c r="L84" s="201">
        <v>0.25496812769260502</v>
      </c>
      <c r="M84" s="198">
        <v>0.74728029757108017</v>
      </c>
      <c r="N84" s="198">
        <v>0.77420202557119511</v>
      </c>
      <c r="O84" s="203">
        <v>0.46358910505185513</v>
      </c>
      <c r="P84" s="198">
        <v>0.43896032167678312</v>
      </c>
      <c r="Q84" s="187">
        <f>AVERAGE([3]Sheet1!$H84,[3]Sheet1!$L84:$O84)</f>
        <v>0.54105287435606897</v>
      </c>
    </row>
    <row r="85" spans="2:17">
      <c r="B85" s="197" t="s">
        <v>300</v>
      </c>
      <c r="C85" s="155">
        <v>79</v>
      </c>
      <c r="D85" s="198">
        <v>1.4161400966183577</v>
      </c>
      <c r="E85" s="199">
        <v>0.12000090897496651</v>
      </c>
      <c r="F85" s="199">
        <v>3.8524726897185176E-2</v>
      </c>
      <c r="G85" s="198">
        <f t="shared" si="1"/>
        <v>1.2992102852349896</v>
      </c>
      <c r="H85" s="199">
        <v>3.3683921611669818E-2</v>
      </c>
      <c r="I85" s="198">
        <v>1.34449825920508</v>
      </c>
      <c r="J85" s="200">
        <v>0.59595678136996455</v>
      </c>
      <c r="K85" s="199">
        <v>0.54223615938048642</v>
      </c>
      <c r="L85" s="201">
        <v>0.28813940146166572</v>
      </c>
      <c r="M85" s="198">
        <v>1.3922708886932922</v>
      </c>
      <c r="N85" s="198">
        <v>1.5262047196408781</v>
      </c>
      <c r="O85" s="202">
        <v>1.1722871470799821</v>
      </c>
      <c r="P85" s="198">
        <v>1.123659807701672</v>
      </c>
      <c r="Q85" s="187">
        <f>AVERAGE([3]Sheet1!$H85,[3]Sheet1!$L85:$O85)</f>
        <v>1.3117841644641808</v>
      </c>
    </row>
    <row r="86" spans="2:17" hidden="1">
      <c r="B86" s="197" t="s">
        <v>301</v>
      </c>
      <c r="C86" s="155">
        <v>91</v>
      </c>
      <c r="D86" s="198">
        <v>1.0705119047619047</v>
      </c>
      <c r="E86" s="199">
        <v>0.51622287692298707</v>
      </c>
      <c r="F86" s="199">
        <v>0.13813197823973286</v>
      </c>
      <c r="G86" s="198">
        <f t="shared" si="1"/>
        <v>0.77172523788903791</v>
      </c>
      <c r="H86" s="199">
        <v>3.5421874155766586E-2</v>
      </c>
      <c r="I86" s="198">
        <v>0.80006504109099119</v>
      </c>
      <c r="J86" s="200">
        <v>0.51229917361415955</v>
      </c>
      <c r="K86" s="199">
        <v>0.49166133132732115</v>
      </c>
      <c r="L86" s="201">
        <v>0.19548421034212429</v>
      </c>
      <c r="M86" s="198">
        <v>0.84597536236928805</v>
      </c>
      <c r="N86" s="198">
        <v>0.80953553926600408</v>
      </c>
      <c r="O86" s="203">
        <v>0.75751932296937508</v>
      </c>
      <c r="P86" s="198">
        <v>0.82009589746205391</v>
      </c>
      <c r="Q86" s="187">
        <f>AVERAGE([3]Sheet1!$H86,[3]Sheet1!$L86:$O86)</f>
        <v>0.80663823263154255</v>
      </c>
    </row>
    <row r="87" spans="2:17" hidden="1">
      <c r="B87" s="197" t="s">
        <v>302</v>
      </c>
      <c r="C87" s="155">
        <v>4</v>
      </c>
      <c r="D87" s="198">
        <v>0.41858611111111121</v>
      </c>
      <c r="E87" s="199">
        <v>1.196475566246938</v>
      </c>
      <c r="F87" s="199">
        <v>0.25</v>
      </c>
      <c r="G87" s="198">
        <f t="shared" si="1"/>
        <v>0.22061540494517731</v>
      </c>
      <c r="H87" s="199">
        <v>7.703838425245052E-2</v>
      </c>
      <c r="I87" s="198">
        <v>0.23902988074589715</v>
      </c>
      <c r="J87" s="200">
        <v>0.37025020502795047</v>
      </c>
      <c r="K87" s="199">
        <v>0.2903045258184882</v>
      </c>
      <c r="L87" s="201">
        <v>0.40676621164303839</v>
      </c>
      <c r="M87" s="198">
        <v>0.65422721985966525</v>
      </c>
      <c r="N87" s="198">
        <v>1.1764476807254525</v>
      </c>
      <c r="O87" s="202">
        <v>0.88700108598900151</v>
      </c>
      <c r="P87" s="198">
        <v>0.63726360428336914</v>
      </c>
      <c r="Q87" s="187">
        <f>AVERAGE([3]Sheet1!$H87,[3]Sheet1!$L87:$O87)</f>
        <v>0.71879389432067708</v>
      </c>
    </row>
    <row r="88" spans="2:17" hidden="1">
      <c r="B88" s="197" t="s">
        <v>303</v>
      </c>
      <c r="C88" s="155">
        <v>72</v>
      </c>
      <c r="D88" s="198">
        <v>1.3358009661835752</v>
      </c>
      <c r="E88" s="199">
        <v>0.14140926306410001</v>
      </c>
      <c r="F88" s="199">
        <v>0.10194559390748965</v>
      </c>
      <c r="G88" s="198">
        <f t="shared" si="1"/>
        <v>1.2077144576025034</v>
      </c>
      <c r="H88" s="199">
        <v>4.4376021254009732E-2</v>
      </c>
      <c r="I88" s="198">
        <v>1.2637967280679967</v>
      </c>
      <c r="J88" s="200">
        <v>0.44607512433866636</v>
      </c>
      <c r="K88" s="199">
        <v>0.42656447514373413</v>
      </c>
      <c r="L88" s="201">
        <v>0.33270469428710125</v>
      </c>
      <c r="M88" s="198">
        <v>1.1683596206413804</v>
      </c>
      <c r="N88" s="198">
        <v>1.3173693176974108</v>
      </c>
      <c r="O88" s="203">
        <v>1.110845208913243</v>
      </c>
      <c r="P88" s="198">
        <v>1.1567611674673315</v>
      </c>
      <c r="Q88" s="187">
        <f>AVERAGE([3]Sheet1!$H88,[3]Sheet1!$L88:$O88)</f>
        <v>1.2034264085574726</v>
      </c>
    </row>
    <row r="89" spans="2:17" hidden="1">
      <c r="B89" s="197" t="s">
        <v>304</v>
      </c>
      <c r="C89" s="155">
        <v>41</v>
      </c>
      <c r="D89" s="198">
        <v>1.3884948509485096</v>
      </c>
      <c r="E89" s="199">
        <v>0.16571801096865568</v>
      </c>
      <c r="F89" s="199">
        <v>0.13771949493539523</v>
      </c>
      <c r="G89" s="198">
        <f t="shared" si="1"/>
        <v>1.2349987043261608</v>
      </c>
      <c r="H89" s="199">
        <v>0.11207992430840182</v>
      </c>
      <c r="I89" s="198">
        <v>1.3908894934763405</v>
      </c>
      <c r="J89" s="200">
        <v>0.43733704196451284</v>
      </c>
      <c r="K89" s="199">
        <v>0.48660076704878841</v>
      </c>
      <c r="L89" s="201">
        <v>0.67592956416660399</v>
      </c>
      <c r="M89" s="198">
        <v>1.1738492742370259</v>
      </c>
      <c r="N89" s="198">
        <v>1.2230546079999403</v>
      </c>
      <c r="O89" s="202">
        <v>1.09727957234296</v>
      </c>
      <c r="P89" s="198">
        <v>0.98519547259696216</v>
      </c>
      <c r="Q89" s="187">
        <f>AVERAGE([3]Sheet1!$H89,[3]Sheet1!$L89:$O89)</f>
        <v>1.1740536841306457</v>
      </c>
    </row>
    <row r="90" spans="2:17" hidden="1">
      <c r="B90" s="197" t="s">
        <v>305</v>
      </c>
      <c r="C90" s="155">
        <v>9</v>
      </c>
      <c r="D90" s="198">
        <v>1.07731975308642</v>
      </c>
      <c r="E90" s="199">
        <v>0.56704276326497727</v>
      </c>
      <c r="F90" s="199">
        <v>0</v>
      </c>
      <c r="G90" s="198">
        <f t="shared" si="1"/>
        <v>0.75586424183074885</v>
      </c>
      <c r="H90" s="199">
        <v>2.9085278639454756E-2</v>
      </c>
      <c r="I90" s="198">
        <v>0.77850734487942919</v>
      </c>
      <c r="J90" s="200">
        <v>0.500595763640584</v>
      </c>
      <c r="K90" s="199">
        <v>0.55886695891051674</v>
      </c>
      <c r="L90" s="201">
        <v>0.33843428390565872</v>
      </c>
      <c r="M90" s="198">
        <v>0.9406689521956606</v>
      </c>
      <c r="N90" s="198">
        <v>0.84196525499931285</v>
      </c>
      <c r="O90" s="203">
        <v>0.85414602820656216</v>
      </c>
      <c r="P90" s="198">
        <v>1.0134798161115919</v>
      </c>
      <c r="Q90" s="187">
        <f>AVERAGE([3]Sheet1!$H90,[3]Sheet1!$L90:$O90)</f>
        <v>0.88575347927851134</v>
      </c>
    </row>
    <row r="91" spans="2:17" hidden="1">
      <c r="B91" s="197" t="s">
        <v>306</v>
      </c>
      <c r="C91" s="155">
        <v>10</v>
      </c>
      <c r="D91" s="198">
        <v>0.75496666666666667</v>
      </c>
      <c r="E91" s="199">
        <v>7.4312604684280553E-2</v>
      </c>
      <c r="F91" s="199">
        <v>0.1856900439414973</v>
      </c>
      <c r="G91" s="198">
        <f t="shared" si="1"/>
        <v>0.71511038041273867</v>
      </c>
      <c r="H91" s="199">
        <v>3.5305893105589459E-2</v>
      </c>
      <c r="I91" s="198">
        <v>0.74128200359267893</v>
      </c>
      <c r="J91" s="200">
        <v>0.35716314211105121</v>
      </c>
      <c r="K91" s="199">
        <v>0.38649958783286831</v>
      </c>
      <c r="L91" s="201">
        <v>0.24377969138565661</v>
      </c>
      <c r="M91" s="198">
        <v>0.82494684584711353</v>
      </c>
      <c r="N91" s="198">
        <v>0.80872809413738767</v>
      </c>
      <c r="O91" s="202">
        <v>0.8296209485545919</v>
      </c>
      <c r="P91" s="198">
        <v>0.86065185848202708</v>
      </c>
      <c r="Q91" s="187">
        <f>AVERAGE([3]Sheet1!$H91,[3]Sheet1!$L91:$O91)</f>
        <v>0.81304595012275982</v>
      </c>
    </row>
    <row r="92" spans="2:17" hidden="1">
      <c r="B92" s="197" t="s">
        <v>307</v>
      </c>
      <c r="C92" s="155">
        <v>92</v>
      </c>
      <c r="D92" s="198">
        <v>1.257575375375376</v>
      </c>
      <c r="E92" s="199">
        <v>2.1896619243660809E-2</v>
      </c>
      <c r="F92" s="199">
        <v>3.4741936027488082E-2</v>
      </c>
      <c r="G92" s="198">
        <f t="shared" si="1"/>
        <v>1.2372565733060763</v>
      </c>
      <c r="H92" s="199">
        <v>2.5624739364186078E-2</v>
      </c>
      <c r="I92" s="198">
        <v>1.2697947323690497</v>
      </c>
      <c r="J92" s="200">
        <v>0.68441534763832523</v>
      </c>
      <c r="K92" s="199">
        <v>0.65580117293529283</v>
      </c>
      <c r="L92" s="201">
        <v>0.61179723846137768</v>
      </c>
      <c r="M92" s="198">
        <v>1.1318066531613469</v>
      </c>
      <c r="N92" s="198">
        <v>1.4648194936696251</v>
      </c>
      <c r="O92" s="203">
        <v>0.96477966383525637</v>
      </c>
      <c r="P92" s="198">
        <v>0.9110162753522365</v>
      </c>
      <c r="Q92" s="187">
        <f>AVERAGE([3]Sheet1!$H92,[3]Sheet1!$L92:$O92)</f>
        <v>1.1484433636775029</v>
      </c>
    </row>
    <row r="93" spans="2:17" hidden="1">
      <c r="B93" s="197" t="s">
        <v>308</v>
      </c>
      <c r="C93" s="155">
        <v>44</v>
      </c>
      <c r="D93" s="198">
        <v>1.4572765765765769</v>
      </c>
      <c r="E93" s="199">
        <v>0.21651505018462558</v>
      </c>
      <c r="F93" s="199">
        <v>8.4634905491604729E-3</v>
      </c>
      <c r="G93" s="198">
        <f t="shared" si="1"/>
        <v>1.2536938813492144</v>
      </c>
      <c r="H93" s="199">
        <v>3.9420627461774119E-2</v>
      </c>
      <c r="I93" s="198">
        <v>1.3051434552841432</v>
      </c>
      <c r="J93" s="200">
        <v>0.64440976609954981</v>
      </c>
      <c r="K93" s="199">
        <v>0.51900519220130437</v>
      </c>
      <c r="L93" s="201">
        <v>0.54064462186545292</v>
      </c>
      <c r="M93" s="198">
        <v>1.2936072359960591</v>
      </c>
      <c r="N93" s="198">
        <v>1.3281793168817304</v>
      </c>
      <c r="O93" s="202">
        <v>1.1180451964808946</v>
      </c>
      <c r="P93" s="198">
        <v>1.1991307944510419</v>
      </c>
      <c r="Q93" s="187">
        <f>AVERAGE([3]Sheet1!$H93,[3]Sheet1!$L93:$O93)</f>
        <v>1.2488211998187739</v>
      </c>
    </row>
    <row r="94" spans="2:17" hidden="1">
      <c r="B94" s="197" t="s">
        <v>309</v>
      </c>
      <c r="C94" s="155">
        <v>355</v>
      </c>
      <c r="D94" s="198">
        <v>1.2283144668158097</v>
      </c>
      <c r="E94" s="199">
        <v>0.12871544278930588</v>
      </c>
      <c r="F94" s="199">
        <v>4.6201129835192249E-2</v>
      </c>
      <c r="G94" s="198">
        <f t="shared" si="1"/>
        <v>1.1201764600250943</v>
      </c>
      <c r="H94" s="199">
        <v>3.595924046633521E-2</v>
      </c>
      <c r="I94" s="198">
        <v>1.1619596463607587</v>
      </c>
      <c r="J94" s="200">
        <v>0.56310426905779087</v>
      </c>
      <c r="K94" s="199">
        <v>0.50675550273342573</v>
      </c>
      <c r="L94" s="201">
        <v>0.11025314657038945</v>
      </c>
      <c r="M94" s="198">
        <v>1.0611134578293739</v>
      </c>
      <c r="N94" s="198">
        <v>1.2468087604629723</v>
      </c>
      <c r="O94" s="203">
        <v>0.98859806843913289</v>
      </c>
      <c r="P94" s="198">
        <v>1.0202561296564998</v>
      </c>
      <c r="Q94" s="187">
        <f>AVERAGE([3]Sheet1!$H94,[3]Sheet1!$L94:$O94)</f>
        <v>1.0957472125497474</v>
      </c>
    </row>
    <row r="95" spans="2:17" hidden="1">
      <c r="B95" s="197" t="s">
        <v>310</v>
      </c>
      <c r="C95" s="155">
        <v>37</v>
      </c>
      <c r="D95" s="198">
        <v>1.6185271241830066</v>
      </c>
      <c r="E95" s="199">
        <v>0.5025024047007447</v>
      </c>
      <c r="F95" s="199">
        <v>4.1787831733239272E-2</v>
      </c>
      <c r="G95" s="198">
        <f t="shared" si="1"/>
        <v>1.1755061310051058</v>
      </c>
      <c r="H95" s="199">
        <v>9.2183108869293012E-2</v>
      </c>
      <c r="I95" s="198">
        <v>1.2948714024708063</v>
      </c>
      <c r="J95" s="200">
        <v>0.48994504399399974</v>
      </c>
      <c r="K95" s="199">
        <v>0.44316554787961554</v>
      </c>
      <c r="L95" s="201">
        <v>0.72833767920162051</v>
      </c>
      <c r="M95" s="198">
        <v>0.9037061177913287</v>
      </c>
      <c r="N95" s="198">
        <v>0.86265231180747404</v>
      </c>
      <c r="O95" s="202">
        <v>1.1939862238092516</v>
      </c>
      <c r="P95" s="198">
        <v>1.5326927281923055</v>
      </c>
      <c r="Q95" s="187">
        <f>AVERAGE([3]Sheet1!$H95,[3]Sheet1!$L95:$O95)</f>
        <v>1.1575817568142333</v>
      </c>
    </row>
    <row r="96" spans="2:17" hidden="1">
      <c r="B96" s="197" t="s">
        <v>311</v>
      </c>
      <c r="C96" s="155">
        <v>21</v>
      </c>
      <c r="D96" s="198">
        <v>1.2629645833333336</v>
      </c>
      <c r="E96" s="199">
        <v>1.1577704727186393</v>
      </c>
      <c r="F96" s="199">
        <v>2.3809523809523808E-2</v>
      </c>
      <c r="G96" s="198">
        <f t="shared" si="1"/>
        <v>0.67598659425059915</v>
      </c>
      <c r="H96" s="199">
        <v>4.287229744724038E-2</v>
      </c>
      <c r="I96" s="198">
        <v>0.70626583312516422</v>
      </c>
      <c r="J96" s="200">
        <v>0.61987709892083886</v>
      </c>
      <c r="K96" s="199">
        <v>0.44485687610936936</v>
      </c>
      <c r="L96" s="201">
        <v>0.44278192344501588</v>
      </c>
      <c r="M96" s="198">
        <v>0.50868403517956984</v>
      </c>
      <c r="N96" s="198">
        <v>0.65070091831649424</v>
      </c>
      <c r="O96" s="203">
        <v>0.58098604749830041</v>
      </c>
      <c r="P96" s="198">
        <v>0.70836900322043828</v>
      </c>
      <c r="Q96" s="187">
        <f>AVERAGE([3]Sheet1!$H96,[3]Sheet1!$L96:$O96)</f>
        <v>0.6310011674679934</v>
      </c>
    </row>
    <row r="97" spans="2:17" hidden="1">
      <c r="B97" s="197" t="s">
        <v>312</v>
      </c>
      <c r="C97" s="155">
        <v>98</v>
      </c>
      <c r="D97" s="198">
        <v>1.0898506172839508</v>
      </c>
      <c r="E97" s="199">
        <v>0.18050294804712561</v>
      </c>
      <c r="F97" s="199">
        <v>6.1973643784862725E-2</v>
      </c>
      <c r="G97" s="198">
        <f t="shared" si="1"/>
        <v>0.959901790075672</v>
      </c>
      <c r="H97" s="199">
        <v>6.154995951582138E-2</v>
      </c>
      <c r="I97" s="198">
        <v>1.0228587017593667</v>
      </c>
      <c r="J97" s="200">
        <v>0.49323464393977817</v>
      </c>
      <c r="K97" s="199">
        <v>0.45724269828158842</v>
      </c>
      <c r="L97" s="201">
        <v>0.20404508243099453</v>
      </c>
      <c r="M97" s="198">
        <v>1.1969863378818462</v>
      </c>
      <c r="N97" s="198">
        <v>1.1678671829832437</v>
      </c>
      <c r="O97" s="202">
        <v>0.8626345985311783</v>
      </c>
      <c r="P97" s="198">
        <v>0.95898598463913076</v>
      </c>
      <c r="Q97" s="187">
        <f>AVERAGE([3]Sheet1!$H97,[3]Sheet1!$L97:$O97)</f>
        <v>1.041866561158953</v>
      </c>
    </row>
    <row r="98" spans="2:17" hidden="1">
      <c r="B98" s="197" t="s">
        <v>313</v>
      </c>
      <c r="C98" s="155">
        <v>67</v>
      </c>
      <c r="D98" s="198">
        <v>1.2179436781609194</v>
      </c>
      <c r="E98" s="199">
        <v>0.891991482558537</v>
      </c>
      <c r="F98" s="199">
        <v>3.7224956489085734E-2</v>
      </c>
      <c r="G98" s="198">
        <f t="shared" si="1"/>
        <v>0.72974735760708231</v>
      </c>
      <c r="H98" s="199">
        <v>1.4954489476142103E-2</v>
      </c>
      <c r="I98" s="198">
        <v>0.74082603271700076</v>
      </c>
      <c r="J98" s="200">
        <v>0.62882558014290102</v>
      </c>
      <c r="K98" s="199">
        <v>0.54234730345965021</v>
      </c>
      <c r="L98" s="201">
        <v>0.33747306413923805</v>
      </c>
      <c r="M98" s="198">
        <v>0.69110674234643332</v>
      </c>
      <c r="N98" s="198">
        <v>0.57007028855733299</v>
      </c>
      <c r="O98" s="203">
        <v>0.67562071190528217</v>
      </c>
      <c r="P98" s="198">
        <v>0.71930948488842505</v>
      </c>
      <c r="Q98" s="187">
        <f>AVERAGE([3]Sheet1!$H98,[3]Sheet1!$L98:$O98)</f>
        <v>0.67938665208289484</v>
      </c>
    </row>
    <row r="99" spans="2:17" hidden="1">
      <c r="B99" s="197" t="s">
        <v>314</v>
      </c>
      <c r="C99" s="155">
        <v>17</v>
      </c>
      <c r="D99" s="198">
        <v>1.2910809523809523</v>
      </c>
      <c r="E99" s="199">
        <v>0.25234905346617925</v>
      </c>
      <c r="F99" s="199">
        <v>7.271331177036873E-2</v>
      </c>
      <c r="G99" s="198">
        <f t="shared" si="1"/>
        <v>1.0856154323034186</v>
      </c>
      <c r="H99" s="199">
        <v>3.5235206063546659E-2</v>
      </c>
      <c r="I99" s="198">
        <v>1.1252643536813445</v>
      </c>
      <c r="J99" s="200">
        <v>0.62249272351132201</v>
      </c>
      <c r="K99" s="199">
        <v>0.48084775760299991</v>
      </c>
      <c r="L99" s="201">
        <v>0.10954549241178414</v>
      </c>
      <c r="M99" s="198">
        <v>0.94499979246372112</v>
      </c>
      <c r="N99" s="198">
        <v>1.6611706900884531</v>
      </c>
      <c r="O99" s="202">
        <v>1.1328879375594154</v>
      </c>
      <c r="P99" s="198">
        <v>1.1518437689270005</v>
      </c>
      <c r="Q99" s="187">
        <f>AVERAGE([3]Sheet1!$H99,[3]Sheet1!$L99:$O99)</f>
        <v>1.203233308543987</v>
      </c>
    </row>
    <row r="100" spans="2:17" hidden="1">
      <c r="B100" s="197" t="s">
        <v>315</v>
      </c>
      <c r="C100" s="155">
        <v>19</v>
      </c>
      <c r="D100" s="198">
        <v>1.1418875816993466</v>
      </c>
      <c r="E100" s="199">
        <v>0.42467956515837613</v>
      </c>
      <c r="F100" s="199">
        <v>5.2931078898084349E-2</v>
      </c>
      <c r="G100" s="198">
        <f t="shared" si="1"/>
        <v>0.86604414387708706</v>
      </c>
      <c r="H100" s="199">
        <v>3.6977079418113956E-2</v>
      </c>
      <c r="I100" s="198">
        <v>0.89929754045085275</v>
      </c>
      <c r="J100" s="200">
        <v>0.41304950768216236</v>
      </c>
      <c r="K100" s="199">
        <v>0.33816792696399062</v>
      </c>
      <c r="L100" s="201">
        <v>0.27458774163500532</v>
      </c>
      <c r="M100" s="198">
        <v>0.76521173297084655</v>
      </c>
      <c r="N100" s="198">
        <v>1.188254771249603</v>
      </c>
      <c r="O100" s="203">
        <v>0.83108379560566226</v>
      </c>
      <c r="P100" s="198">
        <v>0.79664864200617935</v>
      </c>
      <c r="Q100" s="187">
        <f>AVERAGE([3]Sheet1!$H100,[3]Sheet1!$L100:$O100)</f>
        <v>0.89609929645662878</v>
      </c>
    </row>
    <row r="101" spans="2:17" hidden="1">
      <c r="B101" s="197" t="s">
        <v>316</v>
      </c>
      <c r="C101" s="155">
        <v>10</v>
      </c>
      <c r="D101" s="198">
        <v>2.4684638888888886</v>
      </c>
      <c r="E101" s="199">
        <v>0.26931119235579448</v>
      </c>
      <c r="F101" s="199">
        <v>0</v>
      </c>
      <c r="G101" s="198">
        <f t="shared" si="1"/>
        <v>2.0536588946759426</v>
      </c>
      <c r="H101" s="199">
        <v>1.2736055158973622E-2</v>
      </c>
      <c r="I101" s="198">
        <v>2.0801518230331322</v>
      </c>
      <c r="J101" s="200">
        <v>0.3941431487334624</v>
      </c>
      <c r="K101" s="199">
        <v>0.20122791236208795</v>
      </c>
      <c r="L101" s="201">
        <v>0.21840847352564011</v>
      </c>
      <c r="M101" s="198">
        <v>0.92000107814920618</v>
      </c>
      <c r="N101" s="198">
        <v>0.92727996050611483</v>
      </c>
      <c r="O101" s="202">
        <v>0.65757161695504285</v>
      </c>
      <c r="P101" s="198">
        <v>0.86883727686550138</v>
      </c>
      <c r="Q101" s="187">
        <f>AVERAGE([3]Sheet1!$H101,[3]Sheet1!$L101:$O101)</f>
        <v>1.0907683511017994</v>
      </c>
    </row>
    <row r="102" spans="2:17" hidden="1">
      <c r="B102" s="197" t="s">
        <v>317</v>
      </c>
      <c r="C102" s="155">
        <v>28</v>
      </c>
      <c r="D102" s="198">
        <v>1.218820888888889</v>
      </c>
      <c r="E102" s="199">
        <v>1.0309609877865851</v>
      </c>
      <c r="F102" s="199">
        <v>1.2348364684166465E-2</v>
      </c>
      <c r="G102" s="198">
        <f t="shared" si="1"/>
        <v>0.68734865367723941</v>
      </c>
      <c r="H102" s="199">
        <v>3.3069831636120539E-2</v>
      </c>
      <c r="I102" s="198">
        <v>0.71085656044871004</v>
      </c>
      <c r="J102" s="200">
        <v>0.41510708619993109</v>
      </c>
      <c r="K102" s="199">
        <v>0.41511357813637434</v>
      </c>
      <c r="L102" s="201">
        <v>0.34194005009548123</v>
      </c>
      <c r="M102" s="198">
        <v>0.91730335862705326</v>
      </c>
      <c r="N102" s="198">
        <v>1.0263927288303389</v>
      </c>
      <c r="O102" s="203">
        <v>0.75582368174974701</v>
      </c>
      <c r="P102" s="198">
        <v>0.80694623223928075</v>
      </c>
      <c r="Q102" s="187">
        <f>AVERAGE([3]Sheet1!$H102,[3]Sheet1!$L102:$O102)</f>
        <v>0.84346451237902598</v>
      </c>
    </row>
    <row r="103" spans="2:17" hidden="1">
      <c r="B103" s="197" t="s">
        <v>318</v>
      </c>
      <c r="C103" s="155">
        <v>18</v>
      </c>
      <c r="D103" s="198">
        <v>0.26653703703703702</v>
      </c>
      <c r="E103" s="199">
        <v>0.71361235664099987</v>
      </c>
      <c r="F103" s="199">
        <v>0.14658813461763251</v>
      </c>
      <c r="G103" s="198">
        <f t="shared" si="1"/>
        <v>0.17361609435462785</v>
      </c>
      <c r="H103" s="199">
        <v>5.4634013124889372E-3</v>
      </c>
      <c r="I103" s="198">
        <v>0.1745698394445703</v>
      </c>
      <c r="J103" s="200">
        <v>0.1259272568957579</v>
      </c>
      <c r="K103" s="199">
        <v>0.15339167327314723</v>
      </c>
      <c r="L103" s="201">
        <v>7.2212320430392621E-2</v>
      </c>
      <c r="M103" s="198">
        <v>0.41908616581674391</v>
      </c>
      <c r="N103" s="198">
        <v>0.36463600054164563</v>
      </c>
      <c r="O103" s="202">
        <v>0.25122533577249689</v>
      </c>
      <c r="P103" s="198">
        <v>0.19528826349103087</v>
      </c>
      <c r="Q103" s="187">
        <f>AVERAGE([3]Sheet1!$H103,[3]Sheet1!$L103:$O103)</f>
        <v>0.28096112101329751</v>
      </c>
    </row>
    <row r="104" spans="2:17" s="210" customFormat="1" hidden="1">
      <c r="B104" s="204" t="s">
        <v>319</v>
      </c>
      <c r="C104" s="205">
        <v>19</v>
      </c>
      <c r="D104" s="203">
        <v>0.42497076023391817</v>
      </c>
      <c r="E104" s="206">
        <v>0.43004073431079909</v>
      </c>
      <c r="F104" s="206">
        <v>9.4872497363691813E-2</v>
      </c>
      <c r="G104" s="198">
        <f t="shared" si="1"/>
        <v>0.32133152614005794</v>
      </c>
      <c r="H104" s="206">
        <v>5.0333572927941965E-3</v>
      </c>
      <c r="I104" s="198">
        <v>0.32295708453677063</v>
      </c>
      <c r="J104" s="207">
        <v>0.37577090332673935</v>
      </c>
      <c r="K104" s="206">
        <v>0.42665284825500943</v>
      </c>
      <c r="L104" s="208">
        <v>0.21583849903911551</v>
      </c>
      <c r="M104" s="198">
        <v>0.76632653602523049</v>
      </c>
      <c r="N104" s="198">
        <v>0.33166856985532761</v>
      </c>
      <c r="O104" s="203">
        <v>0.47133256922902528</v>
      </c>
      <c r="P104" s="198">
        <v>0.26742845919334141</v>
      </c>
      <c r="Q104" s="209">
        <f>AVERAGE([3]Sheet1!$H104,[3]Sheet1!$L104:$O104)</f>
        <v>0.43194264376793912</v>
      </c>
    </row>
    <row r="105" spans="2:17" s="184" customFormat="1" ht="15.5" hidden="1">
      <c r="B105" s="211" t="s">
        <v>320</v>
      </c>
      <c r="C105" s="212">
        <v>7209</v>
      </c>
      <c r="D105" s="213">
        <v>1.1247915828638675</v>
      </c>
      <c r="E105" s="214">
        <v>0.66643929456471829</v>
      </c>
      <c r="F105" s="214">
        <v>8.7564475509029543E-2</v>
      </c>
      <c r="G105" s="198">
        <f t="shared" si="1"/>
        <v>0.74994631367742293</v>
      </c>
      <c r="H105" s="214">
        <v>6.4925129549330982E-2</v>
      </c>
      <c r="I105" s="213">
        <v>0.80201739708391317</v>
      </c>
      <c r="J105" s="215">
        <v>0.48635423871243733</v>
      </c>
      <c r="K105" s="214">
        <v>0.42665284825500943</v>
      </c>
      <c r="L105" s="216">
        <v>0.16112329128672892</v>
      </c>
      <c r="M105" s="217">
        <v>0.7</v>
      </c>
      <c r="N105" s="218">
        <v>0.73</v>
      </c>
      <c r="O105" s="219">
        <v>0.65</v>
      </c>
      <c r="P105" s="213">
        <v>0.7245711625183886</v>
      </c>
      <c r="Q105" s="217">
        <f>AVERAGE([3]Sheet1!$H105,[3]Sheet1!$L105:$O105)</f>
        <v>0.72131771192046035</v>
      </c>
    </row>
    <row r="106" spans="2:17" s="184" customFormat="1" ht="15.5" hidden="1">
      <c r="B106" s="220" t="s">
        <v>321</v>
      </c>
      <c r="C106" s="221">
        <v>6004</v>
      </c>
      <c r="D106" s="222">
        <v>1.2064435613270634</v>
      </c>
      <c r="E106" s="223">
        <v>0.34511019999961545</v>
      </c>
      <c r="F106" s="223">
        <v>6.2082261282266342E-2</v>
      </c>
      <c r="G106" s="198">
        <f t="shared" si="1"/>
        <v>0.95838280118277819</v>
      </c>
      <c r="H106" s="223">
        <v>4.023412558321756E-2</v>
      </c>
      <c r="I106" s="213">
        <v>0.99855894726946337</v>
      </c>
      <c r="J106" s="224">
        <v>0.53231315773672583</v>
      </c>
      <c r="K106" s="223">
        <v>0.46241580454939579</v>
      </c>
      <c r="L106" s="225">
        <v>0.14990620617380487</v>
      </c>
      <c r="M106" s="218">
        <v>0.87</v>
      </c>
      <c r="N106" s="218">
        <v>0.9</v>
      </c>
      <c r="O106" s="226">
        <v>0.85</v>
      </c>
      <c r="P106" s="213">
        <v>0.90189374917391918</v>
      </c>
      <c r="Q106" s="217">
        <f>AVERAGE([3]Sheet1!$H106,[3]Sheet1!$L106:$O106)</f>
        <v>0.90409053928867655</v>
      </c>
    </row>
  </sheetData>
  <mergeCells count="12">
    <mergeCell ref="C7:H7"/>
    <mergeCell ref="M9:Q9"/>
    <mergeCell ref="C1:H1"/>
    <mergeCell ref="I1:I7"/>
    <mergeCell ref="J1:L1"/>
    <mergeCell ref="C2:H2"/>
    <mergeCell ref="J2:L7"/>
    <mergeCell ref="C3:F3"/>
    <mergeCell ref="G3:H3"/>
    <mergeCell ref="C4:H4"/>
    <mergeCell ref="C5:H5"/>
    <mergeCell ref="C6:H6"/>
  </mergeCells>
  <hyperlinks>
    <hyperlink ref="C2" r:id="rId1"/>
    <hyperlink ref="C4" r:id="rId2"/>
    <hyperlink ref="C5" r:id="rId3"/>
    <hyperlink ref="C6" r:id="rId4"/>
    <hyperlink ref="C7" r:id="rId5"/>
    <hyperlink ref="I1:I7" r:id="rId6" display="YouTube Video explaining estimation choices and process."/>
  </hyperlinks>
  <pageMargins left="0.7" right="0.7" top="0.75" bottom="0.75" header="0.3" footer="0.3"/>
  <tableParts count="1">
    <tablePart r:id="rId7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8"/>
  <sheetViews>
    <sheetView showGridLines="0" workbookViewId="0">
      <selection activeCell="B1" sqref="B1"/>
    </sheetView>
  </sheetViews>
  <sheetFormatPr defaultRowHeight="14.5"/>
  <cols>
    <col min="1" max="1" width="2" customWidth="1"/>
    <col min="2" max="2" width="23.90625" bestFit="1" customWidth="1"/>
    <col min="3" max="5" width="30.26953125" customWidth="1"/>
  </cols>
  <sheetData>
    <row r="3" spans="2:5" ht="24" customHeight="1">
      <c r="B3" s="237" t="s">
        <v>325</v>
      </c>
      <c r="C3" s="237" t="s">
        <v>326</v>
      </c>
      <c r="D3" s="237" t="s">
        <v>327</v>
      </c>
      <c r="E3" s="237" t="s">
        <v>328</v>
      </c>
    </row>
    <row r="4" spans="2:5">
      <c r="B4" s="228" t="s">
        <v>329</v>
      </c>
      <c r="C4" s="229">
        <v>22035313</v>
      </c>
      <c r="D4" s="229">
        <v>629010254</v>
      </c>
      <c r="E4" s="230">
        <v>-3.5999999999999999E-3</v>
      </c>
    </row>
    <row r="5" spans="2:5">
      <c r="B5" s="228">
        <v>2</v>
      </c>
      <c r="C5" s="229">
        <v>9618053</v>
      </c>
      <c r="D5" s="229">
        <v>21809433</v>
      </c>
      <c r="E5" s="230">
        <v>5.7000000000000002E-3</v>
      </c>
    </row>
    <row r="6" spans="2:5">
      <c r="B6" s="228">
        <v>3</v>
      </c>
      <c r="C6" s="229">
        <v>5205841</v>
      </c>
      <c r="D6" s="229">
        <v>9611187</v>
      </c>
      <c r="E6" s="230">
        <v>8.6E-3</v>
      </c>
    </row>
    <row r="7" spans="2:5">
      <c r="B7" s="228">
        <v>4</v>
      </c>
      <c r="C7" s="229">
        <v>3195898</v>
      </c>
      <c r="D7" s="229">
        <v>5199952</v>
      </c>
      <c r="E7" s="230">
        <v>9.9000000000000008E-3</v>
      </c>
    </row>
    <row r="8" spans="2:5">
      <c r="B8" s="228">
        <v>5</v>
      </c>
      <c r="C8" s="229">
        <v>2090566</v>
      </c>
      <c r="D8" s="229">
        <v>3187480</v>
      </c>
      <c r="E8" s="230">
        <v>1.49E-2</v>
      </c>
    </row>
    <row r="9" spans="2:5">
      <c r="B9" s="228">
        <v>6</v>
      </c>
      <c r="C9" s="229">
        <v>1400931</v>
      </c>
      <c r="D9" s="229">
        <v>2083642</v>
      </c>
      <c r="E9" s="230">
        <v>1.6299999999999999E-2</v>
      </c>
    </row>
    <row r="10" spans="2:5">
      <c r="B10" s="228">
        <v>7</v>
      </c>
      <c r="C10" s="229">
        <v>845509</v>
      </c>
      <c r="D10" s="229">
        <v>1400208</v>
      </c>
      <c r="E10" s="230">
        <v>1.6199999999999999E-2</v>
      </c>
    </row>
    <row r="11" spans="2:5">
      <c r="B11" s="228">
        <v>8</v>
      </c>
      <c r="C11" s="229">
        <v>448502</v>
      </c>
      <c r="D11" s="229">
        <v>844475</v>
      </c>
      <c r="E11" s="230">
        <v>2.0400000000000001E-2</v>
      </c>
    </row>
    <row r="12" spans="2:5">
      <c r="B12" s="228">
        <v>9</v>
      </c>
      <c r="C12" s="229">
        <v>209880</v>
      </c>
      <c r="D12" s="229">
        <v>448079</v>
      </c>
      <c r="E12" s="230">
        <v>2.5399999999999999E-2</v>
      </c>
    </row>
    <row r="13" spans="2:5">
      <c r="B13" s="228" t="s">
        <v>330</v>
      </c>
      <c r="C13" s="229">
        <v>1963</v>
      </c>
      <c r="D13" s="229">
        <v>209406</v>
      </c>
      <c r="E13" s="231">
        <v>5.6000000000000001E-2</v>
      </c>
    </row>
    <row r="14" spans="2:5">
      <c r="B14" s="238" t="s">
        <v>332</v>
      </c>
      <c r="C14" s="239">
        <v>2090566</v>
      </c>
      <c r="D14" s="239">
        <v>9611187</v>
      </c>
      <c r="E14" s="240">
        <v>0.01</v>
      </c>
    </row>
    <row r="15" spans="2:5">
      <c r="B15" s="241" t="s">
        <v>333</v>
      </c>
      <c r="C15" s="229">
        <v>448502</v>
      </c>
      <c r="D15" s="229">
        <v>2083642</v>
      </c>
      <c r="E15" s="242">
        <v>1.7000000000000001E-2</v>
      </c>
    </row>
    <row r="16" spans="2:5">
      <c r="B16" s="243" t="s">
        <v>334</v>
      </c>
      <c r="C16" s="244">
        <v>1963</v>
      </c>
      <c r="D16" s="244">
        <v>448079</v>
      </c>
      <c r="E16" s="245">
        <v>3.5799999999999998E-2</v>
      </c>
    </row>
    <row r="17" spans="2:5" ht="3.75" customHeight="1">
      <c r="B17" s="232"/>
      <c r="C17" s="233"/>
      <c r="D17" s="233"/>
      <c r="E17" s="234"/>
    </row>
    <row r="18" spans="2:5">
      <c r="B18" s="235" t="s">
        <v>331</v>
      </c>
      <c r="C18" s="236"/>
      <c r="D18" s="236"/>
      <c r="E18" s="23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8"/>
  <sheetViews>
    <sheetView tabSelected="1" zoomScale="90" zoomScaleNormal="90" workbookViewId="0">
      <selection activeCell="M30" sqref="M30"/>
    </sheetView>
  </sheetViews>
  <sheetFormatPr defaultColWidth="9.1796875" defaultRowHeight="11.5"/>
  <cols>
    <col min="1" max="1" width="2" style="7" customWidth="1"/>
    <col min="2" max="2" width="21.81640625" style="7" bestFit="1" customWidth="1"/>
    <col min="3" max="3" width="10.54296875" style="7" bestFit="1" customWidth="1"/>
    <col min="4" max="5" width="9.1796875" style="7"/>
    <col min="6" max="6" width="2" style="21" customWidth="1"/>
    <col min="7" max="11" width="10.54296875" style="7" customWidth="1"/>
    <col min="12" max="12" width="9.1796875" style="7"/>
    <col min="13" max="13" width="22.1796875" style="7" bestFit="1" customWidth="1"/>
    <col min="14" max="14" width="15.36328125" style="7" customWidth="1"/>
    <col min="15" max="15" width="3.453125" style="7" customWidth="1"/>
    <col min="16" max="16384" width="9.1796875" style="7"/>
  </cols>
  <sheetData>
    <row r="1" spans="2:15" ht="15.5">
      <c r="B1" s="6" t="s">
        <v>17</v>
      </c>
    </row>
    <row r="3" spans="2:15" ht="3.75" customHeight="1"/>
    <row r="4" spans="2:15" ht="23.5" thickBot="1">
      <c r="B4" s="17" t="s">
        <v>72</v>
      </c>
      <c r="C4" s="18" t="s">
        <v>53</v>
      </c>
      <c r="D4" s="18" t="s">
        <v>54</v>
      </c>
      <c r="E4" s="18" t="s">
        <v>55</v>
      </c>
      <c r="F4" s="22"/>
      <c r="G4" s="19" t="s">
        <v>56</v>
      </c>
      <c r="H4" s="19" t="s">
        <v>57</v>
      </c>
      <c r="I4" s="19" t="s">
        <v>58</v>
      </c>
      <c r="J4" s="19" t="s">
        <v>59</v>
      </c>
      <c r="K4" s="19" t="s">
        <v>60</v>
      </c>
      <c r="N4" s="74" t="s">
        <v>52</v>
      </c>
      <c r="O4" s="75">
        <v>2</v>
      </c>
    </row>
    <row r="5" spans="2:15" ht="3.75" customHeight="1">
      <c r="B5" s="24"/>
      <c r="C5" s="22"/>
      <c r="D5" s="22"/>
      <c r="E5" s="22"/>
      <c r="F5" s="22"/>
      <c r="G5" s="72"/>
      <c r="H5" s="72"/>
      <c r="I5" s="72"/>
      <c r="J5" s="72"/>
      <c r="K5" s="72"/>
      <c r="N5" s="73"/>
      <c r="O5" s="73"/>
    </row>
    <row r="6" spans="2:15">
      <c r="B6" s="7" t="s">
        <v>84</v>
      </c>
      <c r="C6" s="13">
        <f>SUMIF('P&amp;L source'!$B:$B,'P&amp;L assumptions'!$B6,'P&amp;L source'!D:D)</f>
        <v>69414</v>
      </c>
      <c r="D6" s="13">
        <f>SUMIF('P&amp;L source'!$B:$B,'P&amp;L assumptions'!$B6,'P&amp;L source'!E:E)</f>
        <v>71786</v>
      </c>
      <c r="E6" s="13">
        <f>SUMIF('P&amp;L source'!$B:$B,'P&amp;L assumptions'!$B6,'P&amp;L source'!F:F)</f>
        <v>74433</v>
      </c>
      <c r="G6" s="27">
        <f>E6*(1+G7)</f>
        <v>77077.056141694775</v>
      </c>
      <c r="H6" s="27">
        <f>G6*(1+H7)</f>
        <v>79815.036119328361</v>
      </c>
      <c r="I6" s="27">
        <f t="shared" ref="I6:K6" si="0">H6*(1+I7)</f>
        <v>82650.276354854272</v>
      </c>
      <c r="J6" s="27">
        <f t="shared" si="0"/>
        <v>85586.231788718593</v>
      </c>
      <c r="K6" s="27">
        <f t="shared" si="0"/>
        <v>88626.480089948876</v>
      </c>
      <c r="N6" s="7" t="s">
        <v>49</v>
      </c>
      <c r="O6" s="13">
        <v>1</v>
      </c>
    </row>
    <row r="7" spans="2:15" ht="12">
      <c r="B7" s="68" t="s">
        <v>93</v>
      </c>
      <c r="C7" s="48"/>
      <c r="D7" s="69">
        <f>D6/C6-1</f>
        <v>3.4171780908750504E-2</v>
      </c>
      <c r="E7" s="69">
        <f>E6/D6-1</f>
        <v>3.6873485080656465E-2</v>
      </c>
      <c r="G7" s="26">
        <f>CHOOSE($O$4,G8,G9,G10)</f>
        <v>3.5522632994703485E-2</v>
      </c>
      <c r="H7" s="26">
        <f t="shared" ref="H7:K7" si="1">CHOOSE($O$4,H8,H9,H10)</f>
        <v>3.5522632994703485E-2</v>
      </c>
      <c r="I7" s="26">
        <f t="shared" si="1"/>
        <v>3.5522632994703485E-2</v>
      </c>
      <c r="J7" s="26">
        <f t="shared" si="1"/>
        <v>3.5522632994703485E-2</v>
      </c>
      <c r="K7" s="26">
        <f t="shared" si="1"/>
        <v>3.5522632994703485E-2</v>
      </c>
      <c r="N7" s="285" t="s">
        <v>50</v>
      </c>
      <c r="O7" s="286">
        <v>2</v>
      </c>
    </row>
    <row r="8" spans="2:15">
      <c r="B8" s="70" t="s">
        <v>49</v>
      </c>
      <c r="C8" s="71"/>
      <c r="D8" s="71"/>
      <c r="E8" s="71"/>
      <c r="G8" s="78">
        <v>4.1000000000000002E-2</v>
      </c>
      <c r="H8" s="78">
        <v>4.1000000000000002E-2</v>
      </c>
      <c r="I8" s="78">
        <v>4.1000000000000002E-2</v>
      </c>
      <c r="J8" s="78">
        <v>4.1000000000000002E-2</v>
      </c>
      <c r="K8" s="78">
        <v>4.1000000000000002E-2</v>
      </c>
      <c r="N8" s="7" t="s">
        <v>51</v>
      </c>
      <c r="O8" s="13">
        <v>3</v>
      </c>
    </row>
    <row r="9" spans="2:15">
      <c r="B9" s="70" t="s">
        <v>50</v>
      </c>
      <c r="C9" s="71"/>
      <c r="D9" s="71"/>
      <c r="E9" s="71"/>
      <c r="G9" s="78">
        <f>MEDIAN($D$7:$E$7)</f>
        <v>3.5522632994703485E-2</v>
      </c>
      <c r="H9" s="78">
        <f t="shared" ref="H9:K9" si="2">MEDIAN($D$7:$E$7)</f>
        <v>3.5522632994703485E-2</v>
      </c>
      <c r="I9" s="78">
        <f t="shared" si="2"/>
        <v>3.5522632994703485E-2</v>
      </c>
      <c r="J9" s="78">
        <f t="shared" si="2"/>
        <v>3.5522632994703485E-2</v>
      </c>
      <c r="K9" s="78">
        <f t="shared" si="2"/>
        <v>3.5522632994703485E-2</v>
      </c>
    </row>
    <row r="10" spans="2:15">
      <c r="B10" s="70" t="s">
        <v>51</v>
      </c>
      <c r="C10" s="71"/>
      <c r="D10" s="71"/>
      <c r="E10" s="71"/>
      <c r="G10" s="78">
        <v>3.1E-2</v>
      </c>
      <c r="H10" s="78">
        <v>3.1E-2</v>
      </c>
      <c r="I10" s="78">
        <v>3.1E-2</v>
      </c>
      <c r="J10" s="78">
        <v>3.1E-2</v>
      </c>
      <c r="K10" s="78">
        <v>3.1E-2</v>
      </c>
    </row>
    <row r="11" spans="2:15" ht="3.75" customHeight="1">
      <c r="G11" s="27"/>
      <c r="H11" s="27"/>
      <c r="I11" s="27"/>
      <c r="J11" s="27"/>
      <c r="K11" s="27"/>
    </row>
    <row r="12" spans="2:15">
      <c r="B12" s="7" t="s">
        <v>94</v>
      </c>
      <c r="C12" s="13">
        <f>'P&amp;L source'!D5</f>
        <v>857</v>
      </c>
      <c r="D12" s="13">
        <f>'P&amp;L source'!E5</f>
        <v>928</v>
      </c>
      <c r="E12" s="13">
        <f>'P&amp;L source'!F5</f>
        <v>923</v>
      </c>
      <c r="G12" s="27">
        <f>E12*(1+G13)</f>
        <v>958.74742548686277</v>
      </c>
      <c r="H12" s="27">
        <f>G12*(1+H13)</f>
        <v>995.87933464538185</v>
      </c>
      <c r="I12" s="27">
        <f t="shared" ref="I12" si="3">H12*(1+I13)</f>
        <v>1034.4493479813973</v>
      </c>
      <c r="J12" s="27">
        <f t="shared" ref="J12" si="4">I12*(1+J13)</f>
        <v>1074.5131627017643</v>
      </c>
      <c r="K12" s="27">
        <f t="shared" ref="K12" si="5">J12*(1+K13)</f>
        <v>1116.1286331441636</v>
      </c>
    </row>
    <row r="13" spans="2:15" ht="12">
      <c r="B13" s="68" t="s">
        <v>93</v>
      </c>
      <c r="C13" s="48"/>
      <c r="D13" s="69">
        <f>D12/C12-1</f>
        <v>8.2847141190198315E-2</v>
      </c>
      <c r="E13" s="69">
        <f>E12/D12-1</f>
        <v>-5.3879310344827624E-3</v>
      </c>
      <c r="G13" s="26">
        <f>CHOOSE($O$4,G14,G15,G16)</f>
        <v>3.8729605077857776E-2</v>
      </c>
      <c r="H13" s="26">
        <f t="shared" ref="H13" si="6">CHOOSE($O$4,H14,H15,H16)</f>
        <v>3.8729605077857776E-2</v>
      </c>
      <c r="I13" s="26">
        <f t="shared" ref="I13" si="7">CHOOSE($O$4,I14,I15,I16)</f>
        <v>3.8729605077857776E-2</v>
      </c>
      <c r="J13" s="26">
        <f t="shared" ref="J13" si="8">CHOOSE($O$4,J14,J15,J16)</f>
        <v>3.8729605077857776E-2</v>
      </c>
      <c r="K13" s="26">
        <f t="shared" ref="K13" si="9">CHOOSE($O$4,K14,K15,K16)</f>
        <v>3.8729605077857776E-2</v>
      </c>
    </row>
    <row r="14" spans="2:15">
      <c r="B14" s="70" t="s">
        <v>49</v>
      </c>
      <c r="C14" s="71"/>
      <c r="D14" s="71"/>
      <c r="E14" s="71"/>
      <c r="G14" s="78">
        <v>4.4999999999999998E-2</v>
      </c>
      <c r="H14" s="78">
        <v>4.4999999999999998E-2</v>
      </c>
      <c r="I14" s="78">
        <v>4.4999999999999998E-2</v>
      </c>
      <c r="J14" s="78">
        <v>4.4999999999999998E-2</v>
      </c>
      <c r="K14" s="78">
        <v>4.4999999999999998E-2</v>
      </c>
    </row>
    <row r="15" spans="2:15">
      <c r="B15" s="70" t="s">
        <v>50</v>
      </c>
      <c r="C15" s="71"/>
      <c r="D15" s="71"/>
      <c r="E15" s="71"/>
      <c r="G15" s="78">
        <f>MEDIAN($D$13:$E$13)</f>
        <v>3.8729605077857776E-2</v>
      </c>
      <c r="H15" s="78">
        <f t="shared" ref="H15:K15" si="10">MEDIAN($D$13:$E$13)</f>
        <v>3.8729605077857776E-2</v>
      </c>
      <c r="I15" s="78">
        <f t="shared" si="10"/>
        <v>3.8729605077857776E-2</v>
      </c>
      <c r="J15" s="78">
        <f t="shared" si="10"/>
        <v>3.8729605077857776E-2</v>
      </c>
      <c r="K15" s="78">
        <f t="shared" si="10"/>
        <v>3.8729605077857776E-2</v>
      </c>
    </row>
    <row r="16" spans="2:15">
      <c r="B16" s="70" t="s">
        <v>51</v>
      </c>
      <c r="C16" s="71"/>
      <c r="D16" s="71"/>
      <c r="E16" s="71"/>
      <c r="G16" s="78">
        <v>3.5000000000000003E-2</v>
      </c>
      <c r="H16" s="78">
        <v>3.5000000000000003E-2</v>
      </c>
      <c r="I16" s="78">
        <v>3.5000000000000003E-2</v>
      </c>
      <c r="J16" s="78">
        <v>3.5000000000000003E-2</v>
      </c>
      <c r="K16" s="78">
        <v>3.5000000000000003E-2</v>
      </c>
    </row>
    <row r="17" spans="2:11" ht="3.75" customHeight="1">
      <c r="G17" s="27"/>
      <c r="H17" s="27"/>
      <c r="I17" s="27"/>
      <c r="J17" s="27"/>
      <c r="K17" s="27"/>
    </row>
    <row r="18" spans="2:11">
      <c r="B18" s="7" t="s">
        <v>95</v>
      </c>
      <c r="C18" s="13">
        <f>SUMIF('P&amp;L source'!$B:$B,'P&amp;L assumptions'!$B18,'P&amp;L source'!D:D)</f>
        <v>-49145</v>
      </c>
      <c r="D18" s="13">
        <f>SUMIF('P&amp;L source'!$B:$B,'P&amp;L assumptions'!$B18,'P&amp;L source'!E:E)</f>
        <v>-51125</v>
      </c>
      <c r="E18" s="13">
        <f>SUMIF('P&amp;L source'!$B:$B,'P&amp;L assumptions'!$B18,'P&amp;L source'!F:F)</f>
        <v>-53299</v>
      </c>
      <c r="G18" s="50">
        <f>G19*G$6</f>
        <v>-54893.217274178045</v>
      </c>
      <c r="H18" s="50">
        <f t="shared" ref="H18:K18" si="11">H19*H$6</f>
        <v>-56843.168885307197</v>
      </c>
      <c r="I18" s="50">
        <f t="shared" si="11"/>
        <v>-58862.387911875914</v>
      </c>
      <c r="J18" s="50">
        <f t="shared" si="11"/>
        <v>-60953.334914861363</v>
      </c>
      <c r="K18" s="50">
        <f t="shared" si="11"/>
        <v>-63118.557860845234</v>
      </c>
    </row>
    <row r="19" spans="2:11" ht="12">
      <c r="B19" s="68" t="s">
        <v>96</v>
      </c>
      <c r="C19" s="76">
        <f>C18/C$6</f>
        <v>-0.70799838649263835</v>
      </c>
      <c r="D19" s="76">
        <f>D18/D$6</f>
        <v>-0.71218622015434763</v>
      </c>
      <c r="E19" s="76">
        <f>E18/E$6</f>
        <v>-0.71606679832869824</v>
      </c>
      <c r="G19" s="26">
        <f>CHOOSE($O$4,G20,G21,G22)</f>
        <v>-0.71218622015434763</v>
      </c>
      <c r="H19" s="26">
        <f t="shared" ref="H19" si="12">CHOOSE($O$4,H20,H21,H22)</f>
        <v>-0.71218622015434763</v>
      </c>
      <c r="I19" s="26">
        <f t="shared" ref="I19" si="13">CHOOSE($O$4,I20,I21,I22)</f>
        <v>-0.71218622015434763</v>
      </c>
      <c r="J19" s="26">
        <f t="shared" ref="J19" si="14">CHOOSE($O$4,J20,J21,J22)</f>
        <v>-0.71218622015434763</v>
      </c>
      <c r="K19" s="26">
        <f t="shared" ref="K19" si="15">CHOOSE($O$4,K20,K21,K22)</f>
        <v>-0.71218622015434763</v>
      </c>
    </row>
    <row r="20" spans="2:11">
      <c r="B20" s="70" t="s">
        <v>49</v>
      </c>
      <c r="C20" s="71"/>
      <c r="D20" s="71"/>
      <c r="E20" s="71"/>
      <c r="G20" s="78">
        <f>$G21+1%</f>
        <v>-0.70218622015434762</v>
      </c>
      <c r="H20" s="78">
        <f t="shared" ref="H20:K20" si="16">$G21+1%</f>
        <v>-0.70218622015434762</v>
      </c>
      <c r="I20" s="78">
        <f t="shared" si="16"/>
        <v>-0.70218622015434762</v>
      </c>
      <c r="J20" s="78">
        <f t="shared" si="16"/>
        <v>-0.70218622015434762</v>
      </c>
      <c r="K20" s="78">
        <f t="shared" si="16"/>
        <v>-0.70218622015434762</v>
      </c>
    </row>
    <row r="21" spans="2:11">
      <c r="B21" s="70" t="s">
        <v>50</v>
      </c>
      <c r="C21" s="71"/>
      <c r="D21" s="71"/>
      <c r="E21" s="71"/>
      <c r="G21" s="78">
        <f>MEDIAN($C19:$E19)</f>
        <v>-0.71218622015434763</v>
      </c>
      <c r="H21" s="78">
        <f t="shared" ref="H21:K21" si="17">MEDIAN($C19:$E19)</f>
        <v>-0.71218622015434763</v>
      </c>
      <c r="I21" s="78">
        <f t="shared" si="17"/>
        <v>-0.71218622015434763</v>
      </c>
      <c r="J21" s="78">
        <f t="shared" si="17"/>
        <v>-0.71218622015434763</v>
      </c>
      <c r="K21" s="78">
        <f t="shared" si="17"/>
        <v>-0.71218622015434763</v>
      </c>
    </row>
    <row r="22" spans="2:11" ht="12" customHeight="1">
      <c r="B22" s="70" t="s">
        <v>51</v>
      </c>
      <c r="C22" s="71"/>
      <c r="D22" s="71"/>
      <c r="E22" s="71"/>
      <c r="G22" s="78">
        <f>$G21-1%</f>
        <v>-0.72218622015434764</v>
      </c>
      <c r="H22" s="78">
        <f t="shared" ref="H22:K22" si="18">$G21-1%</f>
        <v>-0.72218622015434764</v>
      </c>
      <c r="I22" s="78">
        <f t="shared" si="18"/>
        <v>-0.72218622015434764</v>
      </c>
      <c r="J22" s="78">
        <f t="shared" si="18"/>
        <v>-0.72218622015434764</v>
      </c>
      <c r="K22" s="78">
        <f t="shared" si="18"/>
        <v>-0.72218622015434764</v>
      </c>
    </row>
    <row r="23" spans="2:11" ht="3.75" customHeight="1">
      <c r="G23" s="27"/>
      <c r="H23" s="27"/>
      <c r="I23" s="27"/>
      <c r="J23" s="27"/>
      <c r="K23" s="27"/>
    </row>
    <row r="24" spans="2:11" ht="12" customHeight="1">
      <c r="B24" s="7" t="s">
        <v>97</v>
      </c>
      <c r="C24" s="13">
        <f>'P&amp;L source'!D9</f>
        <v>-14217</v>
      </c>
      <c r="D24" s="13">
        <f>'P&amp;L source'!E9</f>
        <v>-15140</v>
      </c>
      <c r="E24" s="13">
        <f>'P&amp;L source'!F9</f>
        <v>-15723</v>
      </c>
      <c r="G24" s="50">
        <f>G25*G$6</f>
        <v>-16255.908254886173</v>
      </c>
      <c r="H24" s="50">
        <f t="shared" ref="H24" si="19">H25*H$6</f>
        <v>-16833.360917820068</v>
      </c>
      <c r="I24" s="50">
        <f t="shared" ref="I24" si="20">I25*I$6</f>
        <v>-17431.326219771177</v>
      </c>
      <c r="J24" s="50">
        <f t="shared" ref="J24" si="21">J25*J$6</f>
        <v>-18050.532823687063</v>
      </c>
      <c r="K24" s="50">
        <f t="shared" ref="K24" si="22">K25*K$6</f>
        <v>-18691.735276541749</v>
      </c>
    </row>
    <row r="25" spans="2:11" ht="12" customHeight="1">
      <c r="B25" s="68" t="s">
        <v>96</v>
      </c>
      <c r="C25" s="76">
        <f>C24/C$6</f>
        <v>-0.20481459071657016</v>
      </c>
      <c r="D25" s="76">
        <f>D24/D$6</f>
        <v>-0.21090463321539019</v>
      </c>
      <c r="E25" s="76">
        <f>E24/E$6</f>
        <v>-0.21123695135222281</v>
      </c>
      <c r="G25" s="26">
        <f>CHOOSE($O$4,G26,G27,G28)</f>
        <v>-0.21090463321539019</v>
      </c>
      <c r="H25" s="26">
        <f t="shared" ref="H25" si="23">CHOOSE($O$4,H26,H27,H28)</f>
        <v>-0.21090463321539019</v>
      </c>
      <c r="I25" s="26">
        <f t="shared" ref="I25" si="24">CHOOSE($O$4,I26,I27,I28)</f>
        <v>-0.21090463321539019</v>
      </c>
      <c r="J25" s="26">
        <f t="shared" ref="J25" si="25">CHOOSE($O$4,J26,J27,J28)</f>
        <v>-0.21090463321539019</v>
      </c>
      <c r="K25" s="26">
        <f t="shared" ref="K25" si="26">CHOOSE($O$4,K26,K27,K28)</f>
        <v>-0.21090463321539019</v>
      </c>
    </row>
    <row r="26" spans="2:11" ht="12" customHeight="1">
      <c r="B26" s="70" t="s">
        <v>49</v>
      </c>
      <c r="C26" s="71"/>
      <c r="D26" s="71"/>
      <c r="E26" s="71"/>
      <c r="G26" s="78">
        <f>$G27+0.5%</f>
        <v>-0.20590463321539018</v>
      </c>
      <c r="H26" s="78">
        <f t="shared" ref="H26:K26" si="27">$G27+0.5%</f>
        <v>-0.20590463321539018</v>
      </c>
      <c r="I26" s="78">
        <f t="shared" si="27"/>
        <v>-0.20590463321539018</v>
      </c>
      <c r="J26" s="78">
        <f t="shared" si="27"/>
        <v>-0.20590463321539018</v>
      </c>
      <c r="K26" s="78">
        <f t="shared" si="27"/>
        <v>-0.20590463321539018</v>
      </c>
    </row>
    <row r="27" spans="2:11" ht="12" customHeight="1">
      <c r="B27" s="70" t="s">
        <v>50</v>
      </c>
      <c r="C27" s="71"/>
      <c r="D27" s="71"/>
      <c r="E27" s="71"/>
      <c r="G27" s="78">
        <f>MEDIAN($C25:$E25)</f>
        <v>-0.21090463321539019</v>
      </c>
      <c r="H27" s="78">
        <f t="shared" ref="H27:K27" si="28">MEDIAN($C25:$E25)</f>
        <v>-0.21090463321539019</v>
      </c>
      <c r="I27" s="78">
        <f t="shared" si="28"/>
        <v>-0.21090463321539019</v>
      </c>
      <c r="J27" s="78">
        <f t="shared" si="28"/>
        <v>-0.21090463321539019</v>
      </c>
      <c r="K27" s="78">
        <f t="shared" si="28"/>
        <v>-0.21090463321539019</v>
      </c>
    </row>
    <row r="28" spans="2:11" ht="12" customHeight="1">
      <c r="B28" s="70" t="s">
        <v>51</v>
      </c>
      <c r="C28" s="71"/>
      <c r="D28" s="71"/>
      <c r="E28" s="71"/>
      <c r="G28" s="78">
        <f>$G27-0.5%</f>
        <v>-0.21590463321539019</v>
      </c>
      <c r="H28" s="78">
        <f t="shared" ref="H28:K28" si="29">$G27-0.5%</f>
        <v>-0.21590463321539019</v>
      </c>
      <c r="I28" s="78">
        <f t="shared" si="29"/>
        <v>-0.21590463321539019</v>
      </c>
      <c r="J28" s="78">
        <f t="shared" si="29"/>
        <v>-0.21590463321539019</v>
      </c>
      <c r="K28" s="78">
        <f t="shared" si="29"/>
        <v>-0.21590463321539019</v>
      </c>
    </row>
    <row r="29" spans="2:11" ht="3.75" customHeight="1">
      <c r="G29" s="26"/>
      <c r="H29" s="26"/>
      <c r="I29" s="26"/>
      <c r="J29" s="26"/>
      <c r="K29" s="26"/>
    </row>
    <row r="30" spans="2:11">
      <c r="B30" s="7" t="s">
        <v>10</v>
      </c>
      <c r="C30" s="13">
        <f>SUMIF('P&amp;L source'!$B:$B,'P&amp;L assumptions'!$B30,'P&amp;L source'!D:D)</f>
        <v>-2045</v>
      </c>
      <c r="D30" s="13">
        <f>SUMIF('P&amp;L source'!$B:$B,'P&amp;L assumptions'!$B30,'P&amp;L source'!E:E)</f>
        <v>-2225</v>
      </c>
      <c r="E30" s="13">
        <f>SUMIF('P&amp;L source'!$B:$B,'P&amp;L assumptions'!$B30,'P&amp;L source'!F:F)</f>
        <v>-2224</v>
      </c>
      <c r="G30" s="50">
        <f>G31*G$6</f>
        <v>-2303.0023357802211</v>
      </c>
      <c r="H30" s="50">
        <f t="shared" ref="H30" si="30">H31*H$6</f>
        <v>-2384.8110425400869</v>
      </c>
      <c r="I30" s="50">
        <f t="shared" ref="I30" si="31">I31*I$6</f>
        <v>-2469.5258099659545</v>
      </c>
      <c r="J30" s="50">
        <f t="shared" ref="J30" si="32">J31*J$6</f>
        <v>-2557.2498689843237</v>
      </c>
      <c r="K30" s="50">
        <f t="shared" ref="K30" si="33">K31*K$6</f>
        <v>-2648.0901175560075</v>
      </c>
    </row>
    <row r="31" spans="2:11" ht="12">
      <c r="B31" s="68" t="s">
        <v>96</v>
      </c>
      <c r="C31" s="76">
        <f>C30/C$6</f>
        <v>-2.9460915665427724E-2</v>
      </c>
      <c r="D31" s="76">
        <f>D30/D$6</f>
        <v>-3.0994901512829801E-2</v>
      </c>
      <c r="E31" s="76">
        <f>E30/E$6</f>
        <v>-2.9879220238335148E-2</v>
      </c>
      <c r="G31" s="26">
        <f>CHOOSE($O$4,G32,G33,G34)</f>
        <v>-2.9879220238335148E-2</v>
      </c>
      <c r="H31" s="26">
        <f t="shared" ref="H31" si="34">CHOOSE($O$4,H32,H33,H34)</f>
        <v>-2.9879220238335148E-2</v>
      </c>
      <c r="I31" s="26">
        <f t="shared" ref="I31" si="35">CHOOSE($O$4,I32,I33,I34)</f>
        <v>-2.9879220238335148E-2</v>
      </c>
      <c r="J31" s="26">
        <f t="shared" ref="J31" si="36">CHOOSE($O$4,J32,J33,J34)</f>
        <v>-2.9879220238335148E-2</v>
      </c>
      <c r="K31" s="26">
        <f t="shared" ref="K31" si="37">CHOOSE($O$4,K32,K33,K34)</f>
        <v>-2.9879220238335148E-2</v>
      </c>
    </row>
    <row r="32" spans="2:11">
      <c r="B32" s="70" t="s">
        <v>49</v>
      </c>
      <c r="C32" s="71"/>
      <c r="D32" s="71"/>
      <c r="E32" s="71"/>
      <c r="G32" s="78">
        <f>$G33+0.2%</f>
        <v>-2.7879220238335146E-2</v>
      </c>
      <c r="H32" s="78">
        <f t="shared" ref="H32:K32" si="38">$G33+0.2%</f>
        <v>-2.7879220238335146E-2</v>
      </c>
      <c r="I32" s="78">
        <f t="shared" si="38"/>
        <v>-2.7879220238335146E-2</v>
      </c>
      <c r="J32" s="78">
        <f t="shared" si="38"/>
        <v>-2.7879220238335146E-2</v>
      </c>
      <c r="K32" s="78">
        <f t="shared" si="38"/>
        <v>-2.7879220238335146E-2</v>
      </c>
    </row>
    <row r="33" spans="2:11">
      <c r="B33" s="70" t="s">
        <v>50</v>
      </c>
      <c r="C33" s="71"/>
      <c r="D33" s="71"/>
      <c r="E33" s="71"/>
      <c r="G33" s="78">
        <f>MEDIAN($C31:$E31)</f>
        <v>-2.9879220238335148E-2</v>
      </c>
      <c r="H33" s="78">
        <f t="shared" ref="H33:K33" si="39">MEDIAN($C31:$E31)</f>
        <v>-2.9879220238335148E-2</v>
      </c>
      <c r="I33" s="78">
        <f t="shared" si="39"/>
        <v>-2.9879220238335148E-2</v>
      </c>
      <c r="J33" s="78">
        <f t="shared" si="39"/>
        <v>-2.9879220238335148E-2</v>
      </c>
      <c r="K33" s="78">
        <f t="shared" si="39"/>
        <v>-2.9879220238335148E-2</v>
      </c>
    </row>
    <row r="34" spans="2:11" ht="12" customHeight="1">
      <c r="B34" s="70" t="s">
        <v>51</v>
      </c>
      <c r="C34" s="71"/>
      <c r="D34" s="71"/>
      <c r="E34" s="71"/>
      <c r="G34" s="78">
        <f>$G33-0.2%</f>
        <v>-3.187922023833515E-2</v>
      </c>
      <c r="H34" s="78">
        <f t="shared" ref="H34:K34" si="40">$G33-0.2%</f>
        <v>-3.187922023833515E-2</v>
      </c>
      <c r="I34" s="78">
        <f t="shared" si="40"/>
        <v>-3.187922023833515E-2</v>
      </c>
      <c r="J34" s="78">
        <f t="shared" si="40"/>
        <v>-3.187922023833515E-2</v>
      </c>
      <c r="K34" s="78">
        <f t="shared" si="40"/>
        <v>-3.187922023833515E-2</v>
      </c>
    </row>
    <row r="35" spans="2:11" ht="3.75" customHeight="1">
      <c r="G35" s="26"/>
      <c r="H35" s="26"/>
      <c r="I35" s="26"/>
      <c r="J35" s="26"/>
      <c r="K35" s="26"/>
    </row>
    <row r="36" spans="2:11" ht="12" customHeight="1">
      <c r="B36" s="7" t="s">
        <v>100</v>
      </c>
      <c r="C36" s="13">
        <f>SUMIF('P&amp;L source'!$B:$B,'P&amp;L assumptions'!$B36,'P&amp;L source'!D:D)</f>
        <v>-991</v>
      </c>
      <c r="D36" s="13">
        <f>SUMIF('P&amp;L source'!$B:$B,'P&amp;L assumptions'!$B36,'P&amp;L source'!E:E)</f>
        <v>-653</v>
      </c>
      <c r="E36" s="13">
        <f>SUMIF('P&amp;L source'!$B:$B,'P&amp;L assumptions'!$B36,'P&amp;L source'!F:F)</f>
        <v>-461</v>
      </c>
      <c r="G36" s="50">
        <f>G37*G$6</f>
        <v>-701.12999276358471</v>
      </c>
      <c r="H36" s="50">
        <f t="shared" ref="H36" si="41">H37*H$6</f>
        <v>-726.03597617810476</v>
      </c>
      <c r="I36" s="50">
        <f t="shared" ref="I36" si="42">I37*I$6</f>
        <v>-751.82668570083092</v>
      </c>
      <c r="J36" s="50">
        <f t="shared" ref="J36" si="43">J37*J$6</f>
        <v>-778.53354913260591</v>
      </c>
      <c r="K36" s="50">
        <f t="shared" ref="K36" si="44">K37*K$6</f>
        <v>-806.18911067250747</v>
      </c>
    </row>
    <row r="37" spans="2:11" ht="12" customHeight="1">
      <c r="B37" s="68" t="s">
        <v>96</v>
      </c>
      <c r="C37" s="76">
        <f>C36/C$6</f>
        <v>-1.4276658887256172E-2</v>
      </c>
      <c r="D37" s="76">
        <f>D36/D$6</f>
        <v>-9.0964812080349938E-3</v>
      </c>
      <c r="E37" s="76">
        <f>E36/E$6</f>
        <v>-6.1934894468851183E-3</v>
      </c>
      <c r="G37" s="26">
        <f>CHOOSE($O$4,G38,G39,G40)</f>
        <v>-9.0964812080349938E-3</v>
      </c>
      <c r="H37" s="26">
        <f t="shared" ref="H37" si="45">CHOOSE($O$4,H38,H39,H40)</f>
        <v>-9.0964812080349938E-3</v>
      </c>
      <c r="I37" s="26">
        <f t="shared" ref="I37" si="46">CHOOSE($O$4,I38,I39,I40)</f>
        <v>-9.0964812080349938E-3</v>
      </c>
      <c r="J37" s="26">
        <f t="shared" ref="J37" si="47">CHOOSE($O$4,J38,J39,J40)</f>
        <v>-9.0964812080349938E-3</v>
      </c>
      <c r="K37" s="26">
        <f t="shared" ref="K37" si="48">CHOOSE($O$4,K38,K39,K40)</f>
        <v>-9.0964812080349938E-3</v>
      </c>
    </row>
    <row r="38" spans="2:11" ht="12" customHeight="1">
      <c r="B38" s="70" t="s">
        <v>49</v>
      </c>
      <c r="C38" s="71"/>
      <c r="D38" s="71"/>
      <c r="E38" s="71"/>
      <c r="G38" s="78">
        <f>$G39+0.05%</f>
        <v>-8.5964812080349933E-3</v>
      </c>
      <c r="H38" s="78">
        <f t="shared" ref="H38:K38" si="49">$G39+0.05%</f>
        <v>-8.5964812080349933E-3</v>
      </c>
      <c r="I38" s="78">
        <f t="shared" si="49"/>
        <v>-8.5964812080349933E-3</v>
      </c>
      <c r="J38" s="78">
        <f t="shared" si="49"/>
        <v>-8.5964812080349933E-3</v>
      </c>
      <c r="K38" s="78">
        <f t="shared" si="49"/>
        <v>-8.5964812080349933E-3</v>
      </c>
    </row>
    <row r="39" spans="2:11" ht="12" customHeight="1">
      <c r="B39" s="70" t="s">
        <v>50</v>
      </c>
      <c r="C39" s="71"/>
      <c r="D39" s="71"/>
      <c r="E39" s="71"/>
      <c r="G39" s="78">
        <f>MEDIAN($C37:$E37)</f>
        <v>-9.0964812080349938E-3</v>
      </c>
      <c r="H39" s="78">
        <f t="shared" ref="H39:K39" si="50">MEDIAN($C37:$E37)</f>
        <v>-9.0964812080349938E-3</v>
      </c>
      <c r="I39" s="78">
        <f t="shared" si="50"/>
        <v>-9.0964812080349938E-3</v>
      </c>
      <c r="J39" s="78">
        <f t="shared" si="50"/>
        <v>-9.0964812080349938E-3</v>
      </c>
      <c r="K39" s="78">
        <f t="shared" si="50"/>
        <v>-9.0964812080349938E-3</v>
      </c>
    </row>
    <row r="40" spans="2:11" ht="12" customHeight="1">
      <c r="B40" s="70" t="s">
        <v>51</v>
      </c>
      <c r="C40" s="71"/>
      <c r="D40" s="71"/>
      <c r="E40" s="71"/>
      <c r="G40" s="78">
        <f>$G39-0.05%</f>
        <v>-9.5964812080349942E-3</v>
      </c>
      <c r="H40" s="78">
        <f t="shared" ref="H40:K40" si="51">$G39-0.05%</f>
        <v>-9.5964812080349942E-3</v>
      </c>
      <c r="I40" s="78">
        <f t="shared" si="51"/>
        <v>-9.5964812080349942E-3</v>
      </c>
      <c r="J40" s="78">
        <f t="shared" si="51"/>
        <v>-9.5964812080349942E-3</v>
      </c>
      <c r="K40" s="78">
        <f t="shared" si="51"/>
        <v>-9.5964812080349942E-3</v>
      </c>
    </row>
    <row r="41" spans="2:11" ht="3.75" customHeight="1">
      <c r="G41" s="26"/>
      <c r="H41" s="26"/>
      <c r="I41" s="26"/>
      <c r="J41" s="26"/>
      <c r="K41" s="26"/>
    </row>
    <row r="42" spans="2:11" ht="12" customHeight="1">
      <c r="B42" s="7" t="s">
        <v>12</v>
      </c>
      <c r="C42" s="13">
        <f>SUMIF('P&amp;L source'!$B:$B,'P&amp;L assumptions'!$B42,'P&amp;L source'!D:D)</f>
        <v>88</v>
      </c>
      <c r="D42" s="13">
        <f>SUMIF('P&amp;L source'!$B:$B,'P&amp;L assumptions'!$B42,'P&amp;L source'!E:E)</f>
        <v>59</v>
      </c>
      <c r="E42" s="13">
        <f>SUMIF('P&amp;L source'!$B:$B,'P&amp;L assumptions'!$B42,'P&amp;L source'!F:F)</f>
        <v>27</v>
      </c>
      <c r="G42" s="50">
        <f>G43*G$6</f>
        <v>63.348651719833839</v>
      </c>
      <c r="H42" s="50">
        <f t="shared" ref="H42" si="52">H43*H$6</f>
        <v>65.598962625586793</v>
      </c>
      <c r="I42" s="50">
        <f t="shared" ref="I42" si="53">I43*I$6</f>
        <v>67.929210499768786</v>
      </c>
      <c r="J42" s="50">
        <f t="shared" ref="J42" si="54">J43*J$6</f>
        <v>70.34223491397205</v>
      </c>
      <c r="K42" s="50">
        <f t="shared" ref="K42" si="55">K43*K$6</f>
        <v>72.840976308848298</v>
      </c>
    </row>
    <row r="43" spans="2:11" ht="12" customHeight="1">
      <c r="B43" s="68" t="s">
        <v>96</v>
      </c>
      <c r="C43" s="76">
        <f>C42/C$6</f>
        <v>1.2677557841357652E-3</v>
      </c>
      <c r="D43" s="76">
        <f>D42/D$6</f>
        <v>8.2188727607054304E-4</v>
      </c>
      <c r="E43" s="76">
        <f>E42/E$6</f>
        <v>3.6274233203014794E-4</v>
      </c>
      <c r="G43" s="26">
        <f>CHOOSE($O$4,G44,G45,G46)</f>
        <v>8.2188727607054304E-4</v>
      </c>
      <c r="H43" s="26">
        <f t="shared" ref="H43" si="56">CHOOSE($O$4,H44,H45,H46)</f>
        <v>8.2188727607054304E-4</v>
      </c>
      <c r="I43" s="26">
        <f t="shared" ref="I43" si="57">CHOOSE($O$4,I44,I45,I46)</f>
        <v>8.2188727607054304E-4</v>
      </c>
      <c r="J43" s="26">
        <f t="shared" ref="J43" si="58">CHOOSE($O$4,J44,J45,J46)</f>
        <v>8.2188727607054304E-4</v>
      </c>
      <c r="K43" s="26">
        <f t="shared" ref="K43" si="59">CHOOSE($O$4,K44,K45,K46)</f>
        <v>8.2188727607054304E-4</v>
      </c>
    </row>
    <row r="44" spans="2:11" ht="12" customHeight="1">
      <c r="B44" s="70" t="s">
        <v>49</v>
      </c>
      <c r="C44" s="71"/>
      <c r="D44" s="71"/>
      <c r="E44" s="71"/>
      <c r="G44" s="78">
        <f>$G45+0.2%</f>
        <v>2.8218872760705431E-3</v>
      </c>
      <c r="H44" s="78">
        <f t="shared" ref="H44:K44" si="60">$G45+0.2%</f>
        <v>2.8218872760705431E-3</v>
      </c>
      <c r="I44" s="78">
        <f t="shared" si="60"/>
        <v>2.8218872760705431E-3</v>
      </c>
      <c r="J44" s="78">
        <f t="shared" si="60"/>
        <v>2.8218872760705431E-3</v>
      </c>
      <c r="K44" s="78">
        <f t="shared" si="60"/>
        <v>2.8218872760705431E-3</v>
      </c>
    </row>
    <row r="45" spans="2:11" ht="12" customHeight="1">
      <c r="B45" s="70" t="s">
        <v>50</v>
      </c>
      <c r="C45" s="71"/>
      <c r="D45" s="71"/>
      <c r="E45" s="71"/>
      <c r="G45" s="78">
        <f>MEDIAN($C43:$E43)</f>
        <v>8.2188727607054304E-4</v>
      </c>
      <c r="H45" s="78">
        <f t="shared" ref="H45:K45" si="61">MEDIAN($C43:$E43)</f>
        <v>8.2188727607054304E-4</v>
      </c>
      <c r="I45" s="78">
        <f t="shared" si="61"/>
        <v>8.2188727607054304E-4</v>
      </c>
      <c r="J45" s="78">
        <f t="shared" si="61"/>
        <v>8.2188727607054304E-4</v>
      </c>
      <c r="K45" s="78">
        <f t="shared" si="61"/>
        <v>8.2188727607054304E-4</v>
      </c>
    </row>
    <row r="46" spans="2:11" ht="12" customHeight="1">
      <c r="B46" s="70" t="s">
        <v>51</v>
      </c>
      <c r="C46" s="71"/>
      <c r="D46" s="71"/>
      <c r="E46" s="71"/>
      <c r="G46" s="78">
        <v>0</v>
      </c>
      <c r="H46" s="78">
        <v>0</v>
      </c>
      <c r="I46" s="78">
        <v>0</v>
      </c>
      <c r="J46" s="78">
        <v>0</v>
      </c>
      <c r="K46" s="78">
        <v>0</v>
      </c>
    </row>
    <row r="47" spans="2:11" ht="3.75" customHeight="1">
      <c r="G47" s="26"/>
      <c r="H47" s="26"/>
      <c r="I47" s="26"/>
      <c r="J47" s="26"/>
      <c r="K47" s="26"/>
    </row>
    <row r="48" spans="2:11">
      <c r="B48" s="7" t="s">
        <v>14</v>
      </c>
      <c r="C48" s="13">
        <f>SUMIF('P&amp;L source'!$B:$B,'P&amp;L assumptions'!$B48,'P&amp;L source'!D:D)</f>
        <v>-1295</v>
      </c>
      <c r="D48" s="13">
        <f>SUMIF('P&amp;L source'!$B:$B,'P&amp;L assumptions'!$B48,'P&amp;L source'!E:E)</f>
        <v>-722</v>
      </c>
      <c r="E48" s="13">
        <f>SUMIF('P&amp;L source'!$B:$B,'P&amp;L assumptions'!$B48,'P&amp;L source'!F:F)</f>
        <v>-746</v>
      </c>
      <c r="G48" s="50"/>
      <c r="H48" s="50"/>
      <c r="I48" s="50"/>
      <c r="J48" s="50"/>
      <c r="K48" s="50"/>
    </row>
    <row r="49" spans="2:11" ht="12">
      <c r="B49" s="7" t="s">
        <v>99</v>
      </c>
      <c r="C49" s="76">
        <f>$C48/'P&amp;L source'!$D20</f>
        <v>-0.32693764200959352</v>
      </c>
      <c r="D49" s="76">
        <f>$C48/'P&amp;L source'!$D20</f>
        <v>-0.32693764200959352</v>
      </c>
      <c r="E49" s="76">
        <f>$C48/'P&amp;L source'!$D20</f>
        <v>-0.32693764200959352</v>
      </c>
      <c r="G49" s="26">
        <f>CHOOSE($O$4,G50,G51,G52)</f>
        <v>-0.32693764200959352</v>
      </c>
      <c r="H49" s="26">
        <f t="shared" ref="H49" si="62">CHOOSE($O$4,H50,H51,H52)</f>
        <v>-0.32693764200959352</v>
      </c>
      <c r="I49" s="26">
        <f t="shared" ref="I49" si="63">CHOOSE($O$4,I50,I51,I52)</f>
        <v>-0.32693764200959352</v>
      </c>
      <c r="J49" s="26">
        <f t="shared" ref="J49" si="64">CHOOSE($O$4,J50,J51,J52)</f>
        <v>-0.32693764200959352</v>
      </c>
      <c r="K49" s="26">
        <f t="shared" ref="K49" si="65">CHOOSE($O$4,K50,K51,K52)</f>
        <v>-0.32693764200959352</v>
      </c>
    </row>
    <row r="50" spans="2:11">
      <c r="B50" s="70" t="s">
        <v>49</v>
      </c>
      <c r="C50" s="71"/>
      <c r="D50" s="71"/>
      <c r="E50" s="71"/>
      <c r="G50" s="78">
        <f t="shared" ref="G50:K52" si="66">$E$49</f>
        <v>-0.32693764200959352</v>
      </c>
      <c r="H50" s="78">
        <f t="shared" si="66"/>
        <v>-0.32693764200959352</v>
      </c>
      <c r="I50" s="78">
        <f t="shared" si="66"/>
        <v>-0.32693764200959352</v>
      </c>
      <c r="J50" s="78">
        <f t="shared" si="66"/>
        <v>-0.32693764200959352</v>
      </c>
      <c r="K50" s="78">
        <f t="shared" si="66"/>
        <v>-0.32693764200959352</v>
      </c>
    </row>
    <row r="51" spans="2:11">
      <c r="B51" s="70" t="s">
        <v>50</v>
      </c>
      <c r="C51" s="71"/>
      <c r="D51" s="71"/>
      <c r="E51" s="71"/>
      <c r="G51" s="78">
        <f t="shared" si="66"/>
        <v>-0.32693764200959352</v>
      </c>
      <c r="H51" s="78">
        <f t="shared" si="66"/>
        <v>-0.32693764200959352</v>
      </c>
      <c r="I51" s="78">
        <f t="shared" si="66"/>
        <v>-0.32693764200959352</v>
      </c>
      <c r="J51" s="78">
        <f t="shared" si="66"/>
        <v>-0.32693764200959352</v>
      </c>
      <c r="K51" s="78">
        <f t="shared" si="66"/>
        <v>-0.32693764200959352</v>
      </c>
    </row>
    <row r="52" spans="2:11">
      <c r="B52" s="70" t="s">
        <v>51</v>
      </c>
      <c r="C52" s="71"/>
      <c r="D52" s="71"/>
      <c r="E52" s="71"/>
      <c r="G52" s="78">
        <f t="shared" si="66"/>
        <v>-0.32693764200959352</v>
      </c>
      <c r="H52" s="78">
        <f t="shared" si="66"/>
        <v>-0.32693764200959352</v>
      </c>
      <c r="I52" s="78">
        <f t="shared" si="66"/>
        <v>-0.32693764200959352</v>
      </c>
      <c r="J52" s="78">
        <f t="shared" si="66"/>
        <v>-0.32693764200959352</v>
      </c>
      <c r="K52" s="78">
        <f t="shared" si="66"/>
        <v>-0.32693764200959352</v>
      </c>
    </row>
    <row r="54" spans="2:11">
      <c r="G54" s="49"/>
      <c r="H54" s="49"/>
      <c r="I54" s="49"/>
      <c r="J54" s="49"/>
      <c r="K54" s="49"/>
    </row>
    <row r="55" spans="2:11">
      <c r="G55" s="25"/>
      <c r="H55" s="25"/>
      <c r="I55" s="25"/>
      <c r="J55" s="25"/>
      <c r="K55" s="25"/>
    </row>
    <row r="56" spans="2:11">
      <c r="G56" s="25"/>
      <c r="H56" s="25"/>
      <c r="I56" s="25"/>
      <c r="J56" s="25"/>
      <c r="K56" s="25"/>
    </row>
    <row r="57" spans="2:11">
      <c r="G57" s="25"/>
      <c r="H57" s="25"/>
      <c r="I57" s="25"/>
      <c r="J57" s="25"/>
      <c r="K57" s="25"/>
    </row>
    <row r="58" spans="2:11">
      <c r="G58" s="25"/>
      <c r="H58" s="25"/>
      <c r="I58" s="25"/>
      <c r="J58" s="25"/>
      <c r="K58" s="25"/>
    </row>
  </sheetData>
  <dataValidations count="2">
    <dataValidation type="list" allowBlank="1" showInputMessage="1" showErrorMessage="1" sqref="M4:M5">
      <formula1>$N$6:$N$8</formula1>
    </dataValidation>
    <dataValidation type="list" allowBlank="1" showInputMessage="1" showErrorMessage="1" sqref="O4">
      <formula1>$O$6:$O$8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7"/>
  <sheetViews>
    <sheetView zoomScaleNormal="100" workbookViewId="0">
      <selection activeCell="M25" sqref="M25"/>
    </sheetView>
  </sheetViews>
  <sheetFormatPr defaultColWidth="9.1796875" defaultRowHeight="11.5"/>
  <cols>
    <col min="1" max="1" width="2" style="7" customWidth="1"/>
    <col min="2" max="2" width="19.54296875" style="7" customWidth="1"/>
    <col min="3" max="4" width="9.1796875" style="7"/>
    <col min="5" max="5" width="10" style="7" bestFit="1" customWidth="1"/>
    <col min="6" max="6" width="2" style="7" customWidth="1"/>
    <col min="7" max="7" width="11" style="7" bestFit="1" customWidth="1"/>
    <col min="8" max="16384" width="9.1796875" style="7"/>
  </cols>
  <sheetData>
    <row r="1" spans="2:15" ht="15.5">
      <c r="B1" s="6" t="s">
        <v>18</v>
      </c>
    </row>
    <row r="3" spans="2:15" ht="3.75" customHeight="1"/>
    <row r="4" spans="2:15" ht="23.5" thickBot="1">
      <c r="B4" s="17" t="s">
        <v>72</v>
      </c>
      <c r="C4" s="18" t="s">
        <v>53</v>
      </c>
      <c r="D4" s="18" t="s">
        <v>54</v>
      </c>
      <c r="E4" s="18" t="s">
        <v>55</v>
      </c>
      <c r="F4" s="22"/>
      <c r="G4" s="19" t="s">
        <v>56</v>
      </c>
      <c r="H4" s="19" t="s">
        <v>57</v>
      </c>
      <c r="I4" s="19" t="s">
        <v>58</v>
      </c>
      <c r="J4" s="19" t="s">
        <v>59</v>
      </c>
      <c r="K4" s="19" t="s">
        <v>60</v>
      </c>
    </row>
    <row r="5" spans="2:15" ht="3.75" customHeight="1">
      <c r="B5" s="24"/>
      <c r="C5" s="22"/>
      <c r="D5" s="22"/>
      <c r="E5" s="22"/>
      <c r="F5" s="22"/>
      <c r="G5" s="72"/>
      <c r="H5" s="72"/>
      <c r="I5" s="72"/>
      <c r="J5" s="72"/>
      <c r="K5" s="72"/>
    </row>
    <row r="6" spans="2:15">
      <c r="B6" s="7" t="s">
        <v>78</v>
      </c>
      <c r="C6" s="13">
        <f>'BS source'!D12</f>
        <v>749</v>
      </c>
      <c r="D6" s="13">
        <f>'BS source'!E12</f>
        <v>929</v>
      </c>
      <c r="E6" s="13">
        <f>'BS source'!F12</f>
        <v>1100</v>
      </c>
      <c r="G6" s="27">
        <f>'P&amp;L assumptions'!G$6*'BS assumptions'!G7/360</f>
        <v>1139.0748962941741</v>
      </c>
      <c r="H6" s="27">
        <f>'P&amp;L assumptions'!H$6*'BS assumptions'!H7/360</f>
        <v>1179.5378357887121</v>
      </c>
      <c r="I6" s="27">
        <f>'P&amp;L assumptions'!I$6*'BS assumptions'!I7/360</f>
        <v>1221.4381254328014</v>
      </c>
      <c r="J6" s="27">
        <f>'P&amp;L assumptions'!J$6*'BS assumptions'!J7/360</f>
        <v>1264.8268236882896</v>
      </c>
      <c r="K6" s="27">
        <f>'P&amp;L assumptions'!K$6*'BS assumptions'!K7/360</f>
        <v>1309.7568027480254</v>
      </c>
    </row>
    <row r="7" spans="2:15">
      <c r="B7" s="16" t="s">
        <v>101</v>
      </c>
      <c r="C7" s="16">
        <f>C6/'P&amp;L assumptions'!C6*360</f>
        <v>3.8845189731178147</v>
      </c>
      <c r="D7" s="16">
        <f>D6/'P&amp;L assumptions'!D6*360</f>
        <v>4.6588471289666504</v>
      </c>
      <c r="E7" s="16">
        <f>E6/'P&amp;L assumptions'!E6*360</f>
        <v>5.3202208697755031</v>
      </c>
      <c r="G7" s="51">
        <f>$E7</f>
        <v>5.3202208697755031</v>
      </c>
      <c r="H7" s="51">
        <f t="shared" ref="H7:K7" si="0">$E7</f>
        <v>5.3202208697755031</v>
      </c>
      <c r="I7" s="51">
        <f t="shared" si="0"/>
        <v>5.3202208697755031</v>
      </c>
      <c r="J7" s="51">
        <f t="shared" si="0"/>
        <v>5.3202208697755031</v>
      </c>
      <c r="K7" s="51">
        <f t="shared" si="0"/>
        <v>5.3202208697755031</v>
      </c>
      <c r="O7" s="13"/>
    </row>
    <row r="8" spans="2:15">
      <c r="C8" s="13"/>
      <c r="D8" s="13"/>
      <c r="E8" s="13"/>
      <c r="G8" s="20"/>
      <c r="H8" s="20"/>
      <c r="I8" s="20"/>
      <c r="J8" s="20"/>
      <c r="K8" s="20"/>
      <c r="O8" s="13"/>
    </row>
    <row r="9" spans="2:15">
      <c r="B9" s="7" t="s">
        <v>22</v>
      </c>
      <c r="C9" s="13">
        <f>'BS source'!D11</f>
        <v>8309</v>
      </c>
      <c r="D9" s="13">
        <f>'BS source'!E11</f>
        <v>8597</v>
      </c>
      <c r="E9" s="13">
        <f>'BS source'!F11</f>
        <v>9497</v>
      </c>
      <c r="G9" s="27">
        <f>-'P&amp;L assumptions'!G$18*'BS assumptions'!$G10/360</f>
        <v>9781.0631428895285</v>
      </c>
      <c r="H9" s="27">
        <f>-'P&amp;L assumptions'!H$18*'BS assumptions'!$G10/360</f>
        <v>10128.512259212415</v>
      </c>
      <c r="I9" s="27">
        <f>-'P&amp;L assumptions'!I$18*'BS assumptions'!$G10/360</f>
        <v>10488.303682978772</v>
      </c>
      <c r="J9" s="27">
        <f>-'P&amp;L assumptions'!J$18*'BS assumptions'!$G10/360</f>
        <v>10860.875845446226</v>
      </c>
      <c r="K9" s="27">
        <f>-'P&amp;L assumptions'!K$18*'BS assumptions'!$G10/360</f>
        <v>11246.682752105055</v>
      </c>
      <c r="O9" s="13"/>
    </row>
    <row r="10" spans="2:15">
      <c r="B10" s="16" t="s">
        <v>102</v>
      </c>
      <c r="C10" s="16">
        <f>-C9/'P&amp;L assumptions'!C18*360</f>
        <v>60.865601790619593</v>
      </c>
      <c r="D10" s="16">
        <f>-D9/'P&amp;L assumptions'!D18*360</f>
        <v>60.536332518337403</v>
      </c>
      <c r="E10" s="16">
        <f>-E9/'P&amp;L assumptions'!E18*360</f>
        <v>64.146044015835201</v>
      </c>
      <c r="G10" s="51">
        <f>$E10</f>
        <v>64.146044015835201</v>
      </c>
      <c r="H10" s="51">
        <f t="shared" ref="H10:K10" si="1">$E10</f>
        <v>64.146044015835201</v>
      </c>
      <c r="I10" s="51">
        <f t="shared" si="1"/>
        <v>64.146044015835201</v>
      </c>
      <c r="J10" s="51">
        <f t="shared" si="1"/>
        <v>64.146044015835201</v>
      </c>
      <c r="K10" s="51">
        <f t="shared" si="1"/>
        <v>64.146044015835201</v>
      </c>
      <c r="O10" s="13"/>
    </row>
    <row r="11" spans="2:15">
      <c r="C11" s="13"/>
      <c r="D11" s="13"/>
      <c r="E11" s="13"/>
      <c r="G11" s="20"/>
      <c r="H11" s="20"/>
      <c r="I11" s="20"/>
      <c r="J11" s="20"/>
      <c r="K11" s="20"/>
      <c r="O11" s="13"/>
    </row>
    <row r="12" spans="2:15">
      <c r="B12" s="7" t="s">
        <v>79</v>
      </c>
      <c r="C12" s="13">
        <f>'BS source'!J11</f>
        <v>7252</v>
      </c>
      <c r="D12" s="13">
        <f>'BS source'!K11</f>
        <v>8677</v>
      </c>
      <c r="E12" s="13">
        <f>'BS source'!L11</f>
        <v>9761</v>
      </c>
      <c r="G12" s="27">
        <f>-'P&amp;L assumptions'!G$18*'BS assumptions'!$G13/360</f>
        <v>10052.959601742095</v>
      </c>
      <c r="H12" s="27">
        <f>-'P&amp;L assumptions'!H$18*'BS assumptions'!$G13/360</f>
        <v>10410.067196185362</v>
      </c>
      <c r="I12" s="27">
        <f>-'P&amp;L assumptions'!I$18*'BS assumptions'!$G13/360</f>
        <v>10779.860192645656</v>
      </c>
      <c r="J12" s="27">
        <f>-'P&amp;L assumptions'!J$18*'BS assumptions'!$G13/360</f>
        <v>11162.789210003224</v>
      </c>
      <c r="K12" s="27">
        <f>-'P&amp;L assumptions'!K$18*'BS assumptions'!$G13/360</f>
        <v>11559.320874307405</v>
      </c>
      <c r="O12" s="13"/>
    </row>
    <row r="13" spans="2:15">
      <c r="B13" s="16" t="s">
        <v>104</v>
      </c>
      <c r="C13" s="16">
        <f>-C12/'P&amp;L assumptions'!C18*360</f>
        <v>53.1227998779123</v>
      </c>
      <c r="D13" s="16">
        <f>-D12/'P&amp;L assumptions'!D18*360</f>
        <v>61.099657701711493</v>
      </c>
      <c r="E13" s="16">
        <f>-E12/'P&amp;L assumptions'!E18*360</f>
        <v>65.929191917296762</v>
      </c>
      <c r="G13" s="51">
        <f>$E13</f>
        <v>65.929191917296762</v>
      </c>
      <c r="H13" s="51">
        <f t="shared" ref="H13:K13" si="2">$E13</f>
        <v>65.929191917296762</v>
      </c>
      <c r="I13" s="51">
        <f t="shared" si="2"/>
        <v>65.929191917296762</v>
      </c>
      <c r="J13" s="51">
        <f t="shared" si="2"/>
        <v>65.929191917296762</v>
      </c>
      <c r="K13" s="51">
        <f t="shared" si="2"/>
        <v>65.929191917296762</v>
      </c>
    </row>
    <row r="14" spans="2:15">
      <c r="C14" s="13"/>
      <c r="D14" s="13"/>
      <c r="E14" s="13"/>
      <c r="G14" s="20"/>
      <c r="H14" s="20"/>
      <c r="I14" s="20"/>
      <c r="J14" s="20"/>
      <c r="K14" s="20"/>
    </row>
    <row r="15" spans="2:15">
      <c r="B15" s="7" t="s">
        <v>28</v>
      </c>
      <c r="C15" s="13">
        <f>'BS source'!D4</f>
        <v>24658</v>
      </c>
      <c r="D15" s="13">
        <f>'BS source'!E4</f>
        <v>24536</v>
      </c>
      <c r="E15" s="13">
        <f>'BS source'!F4</f>
        <v>25533</v>
      </c>
      <c r="G15" s="27">
        <f>'P&amp;L assumptions'!G$6*G16</f>
        <v>26439.999388253767</v>
      </c>
      <c r="H15" s="27">
        <f>'P&amp;L assumptions'!H$6*H16</f>
        <v>27379.217782902891</v>
      </c>
      <c r="I15" s="27">
        <f>'P&amp;L assumptions'!I$6*I16</f>
        <v>28351.799687887014</v>
      </c>
      <c r="J15" s="27">
        <f>'P&amp;L assumptions'!J$6*J16</f>
        <v>29358.930262939179</v>
      </c>
      <c r="K15" s="27">
        <f>'P&amp;L assumptions'!K$6*K16</f>
        <v>30401.836767786663</v>
      </c>
    </row>
    <row r="16" spans="2:15">
      <c r="B16" s="16" t="s">
        <v>105</v>
      </c>
      <c r="C16" s="79">
        <f>C15/'P&amp;L assumptions'!C$6</f>
        <v>0.35523093324113292</v>
      </c>
      <c r="D16" s="79">
        <f>D15/'P&amp;L assumptions'!D$6</f>
        <v>0.34179366450282783</v>
      </c>
      <c r="E16" s="79">
        <f>E15/'P&amp;L assumptions'!E$6</f>
        <v>0.3430333319898432</v>
      </c>
      <c r="G16" s="77">
        <f>$E16</f>
        <v>0.3430333319898432</v>
      </c>
      <c r="H16" s="77">
        <f t="shared" ref="H16:K16" si="3">$E16</f>
        <v>0.3430333319898432</v>
      </c>
      <c r="I16" s="77">
        <f t="shared" si="3"/>
        <v>0.3430333319898432</v>
      </c>
      <c r="J16" s="77">
        <f t="shared" si="3"/>
        <v>0.3430333319898432</v>
      </c>
      <c r="K16" s="77">
        <f t="shared" si="3"/>
        <v>0.3430333319898432</v>
      </c>
    </row>
    <row r="17" spans="2:11">
      <c r="C17" s="13"/>
      <c r="D17" s="13"/>
      <c r="E17" s="13"/>
      <c r="G17" s="26"/>
      <c r="H17" s="26"/>
      <c r="I17" s="26"/>
      <c r="J17" s="26"/>
      <c r="K17" s="26"/>
    </row>
    <row r="18" spans="2:11">
      <c r="B18" s="7" t="s">
        <v>20</v>
      </c>
      <c r="C18" s="13">
        <f>'BS source'!D6</f>
        <v>259</v>
      </c>
      <c r="D18" s="13">
        <f>'BS source'!E6</f>
        <v>709</v>
      </c>
      <c r="E18" s="13">
        <f>'BS source'!F6</f>
        <v>699</v>
      </c>
      <c r="G18" s="27">
        <f>'P&amp;L assumptions'!G$6*G19</f>
        <v>723.83032046329788</v>
      </c>
      <c r="H18" s="27">
        <f>'P&amp;L assumptions'!H$6*H19</f>
        <v>749.54267928755428</v>
      </c>
      <c r="I18" s="27">
        <f>'P&amp;L assumptions'!I$6*I19</f>
        <v>776.16840879775282</v>
      </c>
      <c r="J18" s="27">
        <f>'P&amp;L assumptions'!J$6*J19</f>
        <v>803.73995432555853</v>
      </c>
      <c r="K18" s="27">
        <f>'P&amp;L assumptions'!K$6*K19</f>
        <v>832.29091374624522</v>
      </c>
    </row>
    <row r="19" spans="2:11">
      <c r="B19" s="16" t="s">
        <v>105</v>
      </c>
      <c r="C19" s="79">
        <f>C18/'P&amp;L assumptions'!C$6</f>
        <v>3.7312357737632178E-3</v>
      </c>
      <c r="D19" s="79">
        <f>D18/'P&amp;L assumptions'!D$6</f>
        <v>9.8765776056612704E-3</v>
      </c>
      <c r="E19" s="79">
        <f>E18/'P&amp;L assumptions'!E$6</f>
        <v>9.390995929224941E-3</v>
      </c>
      <c r="G19" s="77">
        <f>$E19</f>
        <v>9.390995929224941E-3</v>
      </c>
      <c r="H19" s="77">
        <f t="shared" ref="H19:K19" si="4">$E19</f>
        <v>9.390995929224941E-3</v>
      </c>
      <c r="I19" s="77">
        <f t="shared" si="4"/>
        <v>9.390995929224941E-3</v>
      </c>
      <c r="J19" s="77">
        <f t="shared" si="4"/>
        <v>9.390995929224941E-3</v>
      </c>
      <c r="K19" s="77">
        <f t="shared" si="4"/>
        <v>9.390995929224941E-3</v>
      </c>
    </row>
    <row r="20" spans="2:11">
      <c r="B20" s="16"/>
      <c r="C20" s="79"/>
      <c r="D20" s="79"/>
      <c r="E20" s="79"/>
      <c r="G20" s="77"/>
      <c r="H20" s="77"/>
      <c r="I20" s="77"/>
      <c r="J20" s="77"/>
      <c r="K20" s="77"/>
    </row>
    <row r="21" spans="2:11">
      <c r="B21" s="7" t="s">
        <v>21</v>
      </c>
      <c r="C21" s="13">
        <f>'BS source'!D7+'BS source'!D13</f>
        <v>944</v>
      </c>
      <c r="D21" s="13">
        <f>'BS source'!E7+'BS source'!E13</f>
        <v>1005</v>
      </c>
      <c r="E21" s="13">
        <f>'BS source'!F7+'BS source'!F13</f>
        <v>940</v>
      </c>
      <c r="G21" s="27">
        <f>'P&amp;L assumptions'!G$6*G22</f>
        <v>973.39127501502139</v>
      </c>
      <c r="H21" s="27">
        <f>'P&amp;L assumptions'!H$6*H22</f>
        <v>1007.9686960376266</v>
      </c>
      <c r="I21" s="27">
        <f>'P&amp;L assumptions'!I$6*I22</f>
        <v>1043.7743980971211</v>
      </c>
      <c r="J21" s="27">
        <f>'P&amp;L assumptions'!J$6*J22</f>
        <v>1080.8520129699928</v>
      </c>
      <c r="K21" s="27">
        <f>'P&amp;L assumptions'!K$6*K22</f>
        <v>1119.2467223483125</v>
      </c>
    </row>
    <row r="22" spans="2:11">
      <c r="B22" s="16" t="s">
        <v>105</v>
      </c>
      <c r="C22" s="79">
        <f>C21/'P&amp;L assumptions'!C$6</f>
        <v>1.3599562048001845E-2</v>
      </c>
      <c r="D22" s="79">
        <f>D21/'P&amp;L assumptions'!D$6</f>
        <v>1.3999944278828742E-2</v>
      </c>
      <c r="E22" s="79">
        <f>E21/'P&amp;L assumptions'!E$6</f>
        <v>1.2628807115123668E-2</v>
      </c>
      <c r="G22" s="77">
        <f>$E22</f>
        <v>1.2628807115123668E-2</v>
      </c>
      <c r="H22" s="77">
        <f t="shared" ref="H22:K22" si="5">$E22</f>
        <v>1.2628807115123668E-2</v>
      </c>
      <c r="I22" s="77">
        <f t="shared" si="5"/>
        <v>1.2628807115123668E-2</v>
      </c>
      <c r="J22" s="77">
        <f t="shared" si="5"/>
        <v>1.2628807115123668E-2</v>
      </c>
      <c r="K22" s="77">
        <f t="shared" si="5"/>
        <v>1.2628807115123668E-2</v>
      </c>
    </row>
    <row r="23" spans="2:11">
      <c r="C23" s="13"/>
      <c r="D23" s="13"/>
      <c r="E23" s="13"/>
      <c r="G23" s="26"/>
      <c r="H23" s="26"/>
      <c r="I23" s="26"/>
      <c r="J23" s="26"/>
      <c r="K23" s="26"/>
    </row>
    <row r="24" spans="2:11">
      <c r="B24" s="7" t="s">
        <v>74</v>
      </c>
      <c r="C24" s="13">
        <f>'BS source'!D5</f>
        <v>0</v>
      </c>
      <c r="D24" s="13">
        <f>'BS source'!E5</f>
        <v>1884</v>
      </c>
      <c r="E24" s="13">
        <f>'BS source'!F5</f>
        <v>1965</v>
      </c>
      <c r="G24" s="27">
        <f>'P&amp;L assumptions'!G$6*G25</f>
        <v>2034.8019738345924</v>
      </c>
      <c r="H24" s="27">
        <f>'P&amp;L assumptions'!H$6*H25</f>
        <v>2107.0834975680173</v>
      </c>
      <c r="I24" s="27">
        <f>'P&amp;L assumptions'!I$6*I25</f>
        <v>2181.9326513413221</v>
      </c>
      <c r="J24" s="27">
        <f>'P&amp;L assumptions'!J$6*J25</f>
        <v>2259.4406441340807</v>
      </c>
      <c r="K24" s="27">
        <f>'P&amp;L assumptions'!K$6*K25</f>
        <v>2339.7019249089722</v>
      </c>
    </row>
    <row r="25" spans="2:11">
      <c r="B25" s="16" t="s">
        <v>105</v>
      </c>
      <c r="C25" s="79">
        <f>C24/'P&amp;L assumptions'!C$6</f>
        <v>0</v>
      </c>
      <c r="D25" s="79">
        <f>D24/'P&amp;L assumptions'!D$6</f>
        <v>2.6244671662998355E-2</v>
      </c>
      <c r="E25" s="79">
        <f>E24/'P&amp;L assumptions'!E$6</f>
        <v>2.6399580831082986E-2</v>
      </c>
      <c r="G25" s="77">
        <f>$E25</f>
        <v>2.6399580831082986E-2</v>
      </c>
      <c r="H25" s="77">
        <f t="shared" ref="H25:K25" si="6">$E25</f>
        <v>2.6399580831082986E-2</v>
      </c>
      <c r="I25" s="77">
        <f t="shared" si="6"/>
        <v>2.6399580831082986E-2</v>
      </c>
      <c r="J25" s="77">
        <f t="shared" si="6"/>
        <v>2.6399580831082986E-2</v>
      </c>
      <c r="K25" s="77">
        <f t="shared" si="6"/>
        <v>2.6399580831082986E-2</v>
      </c>
    </row>
    <row r="26" spans="2:11">
      <c r="C26" s="13"/>
      <c r="D26" s="13"/>
      <c r="E26" s="13"/>
      <c r="G26" s="26"/>
      <c r="H26" s="26"/>
      <c r="I26" s="26"/>
      <c r="J26" s="26"/>
      <c r="K26" s="26"/>
    </row>
    <row r="27" spans="2:11">
      <c r="B27" s="7" t="s">
        <v>81</v>
      </c>
      <c r="C27" s="13">
        <f>'BS source'!J14</f>
        <v>0</v>
      </c>
      <c r="D27" s="13">
        <f>'BS source'!K14</f>
        <v>1924</v>
      </c>
      <c r="E27" s="13">
        <f>'BS source'!L14</f>
        <v>2004</v>
      </c>
      <c r="G27" s="27">
        <f>'P&amp;L assumptions'!G$6*G28</f>
        <v>2075.1873565213859</v>
      </c>
      <c r="H27" s="27">
        <f>'P&amp;L assumptions'!H$6*H28</f>
        <v>2148.9034753823444</v>
      </c>
      <c r="I27" s="27">
        <f>'P&amp;L assumptions'!I$6*I28</f>
        <v>2225.2381848793943</v>
      </c>
      <c r="J27" s="27">
        <f>'P&amp;L assumptions'!J$6*J28</f>
        <v>2304.2845042466656</v>
      </c>
      <c r="K27" s="27">
        <f>'P&amp;L assumptions'!K$6*K28</f>
        <v>2386.1387570064026</v>
      </c>
    </row>
    <row r="28" spans="2:11">
      <c r="B28" s="16" t="s">
        <v>105</v>
      </c>
      <c r="C28" s="79">
        <f>C27/'P&amp;L assumptions'!C$6</f>
        <v>0</v>
      </c>
      <c r="D28" s="79">
        <f>D27/'P&amp;L assumptions'!D$6</f>
        <v>2.6801883375588555E-2</v>
      </c>
      <c r="E28" s="79">
        <f>E27/'P&amp;L assumptions'!E$6</f>
        <v>2.6923541977348756E-2</v>
      </c>
      <c r="G28" s="77">
        <f>$E28</f>
        <v>2.6923541977348756E-2</v>
      </c>
      <c r="H28" s="77">
        <f t="shared" ref="H28:K28" si="7">$E28</f>
        <v>2.6923541977348756E-2</v>
      </c>
      <c r="I28" s="77">
        <f t="shared" si="7"/>
        <v>2.6923541977348756E-2</v>
      </c>
      <c r="J28" s="77">
        <f t="shared" si="7"/>
        <v>2.6923541977348756E-2</v>
      </c>
      <c r="K28" s="77">
        <f t="shared" si="7"/>
        <v>2.6923541977348756E-2</v>
      </c>
    </row>
    <row r="29" spans="2:11">
      <c r="G29" s="26"/>
      <c r="H29" s="26"/>
      <c r="I29" s="26"/>
      <c r="J29" s="26"/>
      <c r="K29" s="26"/>
    </row>
    <row r="30" spans="2:11">
      <c r="B30" s="7" t="s">
        <v>29</v>
      </c>
      <c r="C30" s="13">
        <f>'BS source'!J16+'BS source'!J12+'BS source'!J13</f>
        <v>6477</v>
      </c>
      <c r="D30" s="13">
        <f>'BS source'!K16+'BS source'!K12+'BS source'!K13</f>
        <v>6653</v>
      </c>
      <c r="E30" s="13">
        <f>'BS source'!L16+'BS source'!L12+'BS source'!L13</f>
        <v>6953</v>
      </c>
      <c r="G30" s="27">
        <f>'P&amp;L assumptions'!G$6*G31</f>
        <v>7199.9888672121742</v>
      </c>
      <c r="H30" s="27">
        <f>'P&amp;L assumptions'!H$6*H31</f>
        <v>7455.751429308104</v>
      </c>
      <c r="I30" s="27">
        <f>'P&amp;L assumptions'!I$6*I31</f>
        <v>7720.5993510311519</v>
      </c>
      <c r="J30" s="27">
        <f>'P&amp;L assumptions'!J$6*J31</f>
        <v>7994.8553682769789</v>
      </c>
      <c r="K30" s="27">
        <f>'P&amp;L assumptions'!K$6*K31</f>
        <v>8278.8536813700175</v>
      </c>
    </row>
    <row r="31" spans="2:11">
      <c r="B31" s="7" t="s">
        <v>105</v>
      </c>
      <c r="C31" s="79">
        <f>C30/'P&amp;L assumptions'!C$6</f>
        <v>9.3309706975538073E-2</v>
      </c>
      <c r="D31" s="79">
        <f>D30/'P&amp;L assumptions'!D$6</f>
        <v>9.2678238096564794E-2</v>
      </c>
      <c r="E31" s="79">
        <f>E30/'P&amp;L assumptions'!E$6</f>
        <v>9.3412867948356237E-2</v>
      </c>
      <c r="G31" s="77">
        <f>$E31</f>
        <v>9.3412867948356237E-2</v>
      </c>
      <c r="H31" s="77">
        <f t="shared" ref="H31:K31" si="8">$E31</f>
        <v>9.3412867948356237E-2</v>
      </c>
      <c r="I31" s="77">
        <f t="shared" si="8"/>
        <v>9.3412867948356237E-2</v>
      </c>
      <c r="J31" s="77">
        <f t="shared" si="8"/>
        <v>9.3412867948356237E-2</v>
      </c>
      <c r="K31" s="77">
        <f t="shared" si="8"/>
        <v>9.3412867948356237E-2</v>
      </c>
    </row>
    <row r="35" spans="2:2">
      <c r="B35" s="7" t="s">
        <v>69</v>
      </c>
    </row>
    <row r="36" spans="2:2">
      <c r="B36" s="7" t="s">
        <v>106</v>
      </c>
    </row>
    <row r="37" spans="2:2">
      <c r="B37" s="7" t="s">
        <v>112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workbookViewId="0">
      <selection activeCell="F16" sqref="F16"/>
    </sheetView>
  </sheetViews>
  <sheetFormatPr defaultColWidth="7.36328125" defaultRowHeight="11.5"/>
  <cols>
    <col min="1" max="1" width="2" style="104" customWidth="1"/>
    <col min="2" max="2" width="37.36328125" style="104" customWidth="1"/>
    <col min="3" max="3" width="0.90625" style="248" customWidth="1" collapsed="1"/>
    <col min="4" max="4" width="9" style="105" customWidth="1"/>
    <col min="5" max="5" width="0.90625" style="248" customWidth="1"/>
    <col min="6" max="6" width="59.36328125" style="105" customWidth="1"/>
    <col min="7" max="13" width="7.36328125" style="105"/>
    <col min="14" max="14" width="9.1796875" style="105" bestFit="1" customWidth="1"/>
    <col min="15" max="16384" width="7.36328125" style="105"/>
  </cols>
  <sheetData>
    <row r="1" spans="1:14" ht="15.5">
      <c r="B1" s="6" t="s">
        <v>64</v>
      </c>
    </row>
    <row r="4" spans="1:14" s="106" customFormat="1">
      <c r="B4" s="107"/>
      <c r="C4" s="249"/>
      <c r="D4" s="108"/>
      <c r="E4" s="249"/>
      <c r="F4" s="107"/>
    </row>
    <row r="5" spans="1:14" ht="3.75" customHeight="1"/>
    <row r="6" spans="1:14" ht="12">
      <c r="B6" s="109" t="s">
        <v>130</v>
      </c>
      <c r="D6" s="110">
        <f>'Risk free rate'!C569/100</f>
        <v>2.5099999999999997E-2</v>
      </c>
      <c r="F6" s="109" t="s">
        <v>131</v>
      </c>
    </row>
    <row r="7" spans="1:14" ht="12">
      <c r="B7" s="109" t="s">
        <v>142</v>
      </c>
      <c r="D7" s="110">
        <f>'Risk premium'!F155</f>
        <v>5.96E-2</v>
      </c>
      <c r="F7" s="109" t="s">
        <v>189</v>
      </c>
    </row>
    <row r="8" spans="1:14">
      <c r="B8" s="109" t="s">
        <v>125</v>
      </c>
      <c r="D8" s="111">
        <f>Betas!G84</f>
        <v>0.27789463460958114</v>
      </c>
      <c r="F8" s="109" t="s">
        <v>126</v>
      </c>
    </row>
    <row r="9" spans="1:14" s="115" customFormat="1">
      <c r="A9" s="112"/>
      <c r="B9" s="113" t="s">
        <v>322</v>
      </c>
      <c r="C9" s="246"/>
      <c r="D9" s="114">
        <f>D6+(D7*D8)</f>
        <v>4.1662520222731037E-2</v>
      </c>
      <c r="E9" s="246"/>
      <c r="F9" s="109"/>
    </row>
    <row r="10" spans="1:14" ht="12">
      <c r="B10" s="109" t="s">
        <v>190</v>
      </c>
      <c r="D10" s="110">
        <f>+[1]CDS!B275/10000</f>
        <v>2.1366999999999997E-2</v>
      </c>
      <c r="F10" s="116" t="s">
        <v>189</v>
      </c>
    </row>
    <row r="11" spans="1:14" ht="12">
      <c r="B11" s="109" t="s">
        <v>323</v>
      </c>
      <c r="D11" s="110">
        <f>'Size risk premium'!E15</f>
        <v>1.7000000000000001E-2</v>
      </c>
      <c r="F11" s="109" t="s">
        <v>324</v>
      </c>
    </row>
    <row r="12" spans="1:14" ht="14">
      <c r="B12" s="109" t="s">
        <v>335</v>
      </c>
      <c r="D12" s="110">
        <v>0</v>
      </c>
      <c r="F12" s="116" t="s">
        <v>336</v>
      </c>
      <c r="G12" s="117"/>
    </row>
    <row r="13" spans="1:14">
      <c r="B13" s="113" t="s">
        <v>337</v>
      </c>
      <c r="D13" s="114">
        <f>D9+D10+D11+D12</f>
        <v>8.0029520222731035E-2</v>
      </c>
      <c r="F13" s="109"/>
      <c r="N13" s="252"/>
    </row>
    <row r="14" spans="1:14" s="115" customFormat="1">
      <c r="A14" s="112"/>
      <c r="B14" s="113"/>
      <c r="C14" s="246"/>
      <c r="D14" s="118"/>
      <c r="E14" s="246"/>
      <c r="F14" s="109"/>
    </row>
    <row r="15" spans="1:14" ht="12">
      <c r="B15" s="109" t="s">
        <v>338</v>
      </c>
      <c r="D15" s="110">
        <v>2.4500000000000001E-2</v>
      </c>
      <c r="F15" s="109" t="s">
        <v>405</v>
      </c>
    </row>
    <row r="16" spans="1:14" ht="12">
      <c r="B16" s="109" t="s">
        <v>109</v>
      </c>
      <c r="D16" s="119">
        <f>'P&amp;L assumptions'!E49</f>
        <v>-0.32693764200959352</v>
      </c>
      <c r="F16" s="109" t="s">
        <v>339</v>
      </c>
    </row>
    <row r="17" spans="1:6" s="115" customFormat="1">
      <c r="A17" s="112"/>
      <c r="B17" s="113" t="s">
        <v>340</v>
      </c>
      <c r="C17" s="246"/>
      <c r="D17" s="114">
        <f>D15*(1-D16)</f>
        <v>3.2509972229235046E-2</v>
      </c>
      <c r="E17" s="246"/>
      <c r="F17" s="109"/>
    </row>
    <row r="18" spans="1:6">
      <c r="B18" s="109"/>
      <c r="D18" s="120"/>
      <c r="F18" s="109"/>
    </row>
    <row r="19" spans="1:6" ht="12">
      <c r="B19" s="109" t="s">
        <v>341</v>
      </c>
      <c r="D19" s="119">
        <f>D29</f>
        <v>0.57924049212294659</v>
      </c>
      <c r="F19" s="287" t="s">
        <v>345</v>
      </c>
    </row>
    <row r="20" spans="1:6" s="115" customFormat="1" ht="12">
      <c r="A20" s="112"/>
      <c r="B20" s="109" t="s">
        <v>342</v>
      </c>
      <c r="C20" s="246"/>
      <c r="D20" s="254">
        <f>100%-D19</f>
        <v>0.42075950787705341</v>
      </c>
      <c r="E20" s="246"/>
      <c r="F20" s="287"/>
    </row>
    <row r="21" spans="1:6" s="115" customFormat="1">
      <c r="A21" s="112"/>
      <c r="B21" s="113" t="s">
        <v>343</v>
      </c>
      <c r="C21" s="246"/>
      <c r="D21" s="253">
        <f>(D13*D19)+(D17*D20)</f>
        <v>6.0035218594447645E-2</v>
      </c>
      <c r="E21" s="246"/>
      <c r="F21" s="258"/>
    </row>
    <row r="22" spans="1:6" s="115" customFormat="1">
      <c r="A22" s="112"/>
      <c r="B22" s="113" t="s">
        <v>344</v>
      </c>
      <c r="C22" s="246"/>
      <c r="D22" s="247">
        <f>MROUND(D21,0.005)</f>
        <v>0.06</v>
      </c>
      <c r="E22" s="246"/>
      <c r="F22" s="258"/>
    </row>
    <row r="24" spans="1:6" ht="12">
      <c r="D24" s="121"/>
      <c r="F24" s="119"/>
    </row>
    <row r="25" spans="1:6" ht="14.5">
      <c r="B25" s="122" t="s">
        <v>346</v>
      </c>
      <c r="D25" s="123" t="s">
        <v>127</v>
      </c>
    </row>
    <row r="26" spans="1:6">
      <c r="B26" s="104" t="s">
        <v>129</v>
      </c>
      <c r="C26" s="250"/>
      <c r="D26" s="124">
        <f>BS!E20/BS!E24</f>
        <v>0.72639864373940422</v>
      </c>
      <c r="E26" s="250"/>
    </row>
    <row r="27" spans="1:6" ht="3.75" customHeight="1">
      <c r="C27" s="250"/>
      <c r="D27" s="124"/>
      <c r="E27" s="250"/>
    </row>
    <row r="28" spans="1:6" ht="14.5">
      <c r="C28" s="250"/>
      <c r="D28" s="123" t="s">
        <v>128</v>
      </c>
      <c r="E28" s="250"/>
      <c r="F28" s="251"/>
    </row>
    <row r="29" spans="1:6">
      <c r="B29" s="122"/>
      <c r="D29" s="251">
        <f>1/(1+D26)</f>
        <v>0.57924049212294659</v>
      </c>
    </row>
    <row r="30" spans="1:6">
      <c r="B30" s="122"/>
    </row>
  </sheetData>
  <mergeCells count="1">
    <mergeCell ref="F19:F2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B11"/>
  <sheetViews>
    <sheetView workbookViewId="0"/>
  </sheetViews>
  <sheetFormatPr defaultColWidth="9.1796875" defaultRowHeight="11.5"/>
  <cols>
    <col min="1" max="1" width="2" style="1" customWidth="1"/>
    <col min="2" max="16384" width="9.1796875" style="1"/>
  </cols>
  <sheetData>
    <row r="1" spans="2:2" ht="15.5">
      <c r="B1" s="2"/>
    </row>
    <row r="11" spans="2:2" ht="40">
      <c r="B11" s="3" t="s">
        <v>40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3"/>
  <sheetViews>
    <sheetView workbookViewId="0">
      <selection activeCell="M31" sqref="M31"/>
    </sheetView>
  </sheetViews>
  <sheetFormatPr defaultColWidth="9.1796875" defaultRowHeight="11.5"/>
  <cols>
    <col min="1" max="1" width="2" style="7" customWidth="1"/>
    <col min="2" max="2" width="18.26953125" style="7" bestFit="1" customWidth="1"/>
    <col min="3" max="3" width="10.54296875" style="7" bestFit="1" customWidth="1"/>
    <col min="4" max="5" width="9.1796875" style="7"/>
    <col min="6" max="6" width="2" style="7" customWidth="1"/>
    <col min="7" max="7" width="10.54296875" style="7" bestFit="1" customWidth="1"/>
    <col min="8" max="11" width="9.1796875" style="7"/>
    <col min="12" max="12" width="2" style="7" customWidth="1"/>
    <col min="13" max="16384" width="9.1796875" style="7"/>
  </cols>
  <sheetData>
    <row r="1" spans="2:17" ht="15.5">
      <c r="B1" s="6" t="s">
        <v>6</v>
      </c>
    </row>
    <row r="3" spans="2:17" ht="23.5" thickBot="1">
      <c r="B3" s="17" t="s">
        <v>72</v>
      </c>
      <c r="C3" s="18" t="s">
        <v>53</v>
      </c>
      <c r="D3" s="18" t="s">
        <v>54</v>
      </c>
      <c r="E3" s="18" t="s">
        <v>55</v>
      </c>
      <c r="F3" s="22"/>
      <c r="G3" s="19" t="s">
        <v>56</v>
      </c>
      <c r="H3" s="19" t="s">
        <v>57</v>
      </c>
      <c r="I3" s="19" t="s">
        <v>58</v>
      </c>
      <c r="J3" s="19" t="s">
        <v>59</v>
      </c>
      <c r="K3" s="19" t="s">
        <v>60</v>
      </c>
      <c r="M3" s="23" t="s">
        <v>35</v>
      </c>
    </row>
    <row r="4" spans="2:17" ht="3.75" customHeight="1">
      <c r="B4" s="24"/>
      <c r="C4" s="22"/>
      <c r="D4" s="22"/>
      <c r="E4" s="22"/>
      <c r="F4" s="22"/>
      <c r="G4" s="72"/>
      <c r="H4" s="72"/>
      <c r="I4" s="72"/>
      <c r="J4" s="72"/>
      <c r="K4" s="72"/>
      <c r="M4" s="87"/>
    </row>
    <row r="5" spans="2:17">
      <c r="B5" s="7" t="s">
        <v>84</v>
      </c>
      <c r="C5" s="13">
        <f>SUMIF('P&amp;L assumptions'!$B:$B,'P&amp;L'!$B5,'P&amp;L assumptions'!C:C)</f>
        <v>69414</v>
      </c>
      <c r="D5" s="13">
        <f>SUMIF('P&amp;L assumptions'!$B:$B,'P&amp;L'!$B5,'P&amp;L assumptions'!D:D)</f>
        <v>71786</v>
      </c>
      <c r="E5" s="13">
        <f>SUMIF('P&amp;L assumptions'!$B:$B,'P&amp;L'!$B5,'P&amp;L assumptions'!E:E)</f>
        <v>74433</v>
      </c>
      <c r="G5" s="27">
        <f>SUMIF('P&amp;L assumptions'!$B:$B,'P&amp;L'!$B5,'P&amp;L assumptions'!G:G)</f>
        <v>77077.056141694775</v>
      </c>
      <c r="H5" s="27">
        <f>SUMIF('P&amp;L assumptions'!$B:$B,'P&amp;L'!$B5,'P&amp;L assumptions'!H:H)</f>
        <v>79815.036119328361</v>
      </c>
      <c r="I5" s="27">
        <f>SUMIF('P&amp;L assumptions'!$B:$B,'P&amp;L'!$B5,'P&amp;L assumptions'!I:I)</f>
        <v>82650.276354854272</v>
      </c>
      <c r="J5" s="27">
        <f>SUMIF('P&amp;L assumptions'!$B:$B,'P&amp;L'!$B5,'P&amp;L assumptions'!J:J)</f>
        <v>85586.231788718593</v>
      </c>
      <c r="K5" s="27">
        <f>SUMIF('P&amp;L assumptions'!$B:$B,'P&amp;L'!$B5,'P&amp;L assumptions'!K:K)</f>
        <v>88626.480089948876</v>
      </c>
    </row>
    <row r="6" spans="2:17">
      <c r="B6" s="21" t="s">
        <v>94</v>
      </c>
      <c r="C6" s="37">
        <f>SUMIF('P&amp;L assumptions'!$B:$B,'P&amp;L'!$B6,'P&amp;L assumptions'!C:C)</f>
        <v>857</v>
      </c>
      <c r="D6" s="37">
        <f>SUMIF('P&amp;L assumptions'!$B:$B,'P&amp;L'!$B6,'P&amp;L assumptions'!D:D)</f>
        <v>928</v>
      </c>
      <c r="E6" s="37">
        <f>SUMIF('P&amp;L assumptions'!$B:$B,'P&amp;L'!$B6,'P&amp;L assumptions'!E:E)</f>
        <v>923</v>
      </c>
      <c r="F6" s="21"/>
      <c r="G6" s="27">
        <f>SUMIF('P&amp;L assumptions'!$B:$B,'P&amp;L'!$B6,'P&amp;L assumptions'!G:G)</f>
        <v>958.74742548686277</v>
      </c>
      <c r="H6" s="27">
        <f>SUMIF('P&amp;L assumptions'!$B:$B,'P&amp;L'!$B6,'P&amp;L assumptions'!H:H)</f>
        <v>995.87933464538185</v>
      </c>
      <c r="I6" s="27">
        <f>SUMIF('P&amp;L assumptions'!$B:$B,'P&amp;L'!$B6,'P&amp;L assumptions'!I:I)</f>
        <v>1034.4493479813973</v>
      </c>
      <c r="J6" s="27">
        <f>SUMIF('P&amp;L assumptions'!$B:$B,'P&amp;L'!$B6,'P&amp;L assumptions'!J:J)</f>
        <v>1074.5131627017643</v>
      </c>
      <c r="K6" s="27">
        <f>SUMIF('P&amp;L assumptions'!$B:$B,'P&amp;L'!$B6,'P&amp;L assumptions'!K:K)</f>
        <v>1116.1286331441636</v>
      </c>
      <c r="L6" s="21"/>
      <c r="M6" s="21"/>
      <c r="N6" s="21"/>
      <c r="O6" s="21"/>
      <c r="P6" s="21"/>
      <c r="Q6" s="21"/>
    </row>
    <row r="7" spans="2:17">
      <c r="B7" s="24" t="s">
        <v>107</v>
      </c>
      <c r="C7" s="80">
        <f>SUM(C5:C6)</f>
        <v>70271</v>
      </c>
      <c r="D7" s="80">
        <f>SUM(D5:D6)</f>
        <v>72714</v>
      </c>
      <c r="E7" s="80">
        <f>SUM(E5:E6)</f>
        <v>75356</v>
      </c>
      <c r="F7" s="81"/>
      <c r="G7" s="82">
        <f>SUM(G5:G6)</f>
        <v>78035.803567181632</v>
      </c>
      <c r="H7" s="82">
        <f>SUM(H5:H6)</f>
        <v>80810.915453973736</v>
      </c>
      <c r="I7" s="82">
        <f>SUM(I5:I6)</f>
        <v>83684.725702835669</v>
      </c>
      <c r="J7" s="82">
        <f>SUM(J5:J6)</f>
        <v>86660.744951420362</v>
      </c>
      <c r="K7" s="82">
        <f>SUM(K5:K6)</f>
        <v>89742.608723093042</v>
      </c>
      <c r="L7" s="21"/>
      <c r="M7" s="21"/>
      <c r="N7" s="21"/>
      <c r="O7" s="21"/>
      <c r="P7" s="21"/>
      <c r="Q7" s="21"/>
    </row>
    <row r="8" spans="2:17">
      <c r="B8" s="21" t="s">
        <v>95</v>
      </c>
      <c r="C8" s="37">
        <f>SUMIF('P&amp;L assumptions'!$B:$B,'P&amp;L'!$B8,'P&amp;L assumptions'!C:C)</f>
        <v>-49145</v>
      </c>
      <c r="D8" s="37">
        <f>SUMIF('P&amp;L assumptions'!$B:$B,'P&amp;L'!$B8,'P&amp;L assumptions'!D:D)</f>
        <v>-51125</v>
      </c>
      <c r="E8" s="37">
        <f>SUMIF('P&amp;L assumptions'!$B:$B,'P&amp;L'!$B8,'P&amp;L assumptions'!E:E)</f>
        <v>-53299</v>
      </c>
      <c r="F8" s="21"/>
      <c r="G8" s="27">
        <f>SUMIF('P&amp;L assumptions'!$B:$B,'P&amp;L'!$B8,'P&amp;L assumptions'!G:G)</f>
        <v>-54893.217274178045</v>
      </c>
      <c r="H8" s="27">
        <f>SUMIF('P&amp;L assumptions'!$B:$B,'P&amp;L'!$B8,'P&amp;L assumptions'!H:H)</f>
        <v>-56843.168885307197</v>
      </c>
      <c r="I8" s="27">
        <f>SUMIF('P&amp;L assumptions'!$B:$B,'P&amp;L'!$B8,'P&amp;L assumptions'!I:I)</f>
        <v>-58862.387911875914</v>
      </c>
      <c r="J8" s="27">
        <f>SUMIF('P&amp;L assumptions'!$B:$B,'P&amp;L'!$B8,'P&amp;L assumptions'!J:J)</f>
        <v>-60953.334914861363</v>
      </c>
      <c r="K8" s="27">
        <f>SUMIF('P&amp;L assumptions'!$B:$B,'P&amp;L'!$B8,'P&amp;L assumptions'!K:K)</f>
        <v>-63118.557860845234</v>
      </c>
      <c r="L8" s="21"/>
      <c r="M8" s="21"/>
      <c r="N8" s="21"/>
      <c r="O8" s="21"/>
      <c r="P8" s="21"/>
      <c r="Q8" s="21"/>
    </row>
    <row r="9" spans="2:17">
      <c r="B9" s="24" t="s">
        <v>108</v>
      </c>
      <c r="C9" s="80">
        <f>SUM(C7:C8)</f>
        <v>21126</v>
      </c>
      <c r="D9" s="80">
        <f>SUM(D7:D8)</f>
        <v>21589</v>
      </c>
      <c r="E9" s="80">
        <f>SUM(E7:E8)</f>
        <v>22057</v>
      </c>
      <c r="F9" s="81"/>
      <c r="G9" s="82">
        <f>SUM(G7:G8)</f>
        <v>23142.586293003587</v>
      </c>
      <c r="H9" s="82">
        <f>SUM(H7:H8)</f>
        <v>23967.746568666538</v>
      </c>
      <c r="I9" s="82">
        <f>SUM(I7:I8)</f>
        <v>24822.337790959755</v>
      </c>
      <c r="J9" s="82">
        <f>SUM(J7:J8)</f>
        <v>25707.410036558998</v>
      </c>
      <c r="K9" s="82">
        <f>SUM(K7:K8)</f>
        <v>26624.050862247808</v>
      </c>
      <c r="L9" s="21"/>
      <c r="M9" s="21"/>
      <c r="N9" s="21"/>
      <c r="O9" s="21"/>
      <c r="P9" s="21"/>
      <c r="Q9" s="21"/>
    </row>
    <row r="10" spans="2:17" ht="3.75" customHeight="1">
      <c r="B10" s="21"/>
      <c r="C10" s="21"/>
      <c r="D10" s="21"/>
      <c r="E10" s="21"/>
      <c r="F10" s="21"/>
      <c r="G10" s="27"/>
      <c r="H10" s="27"/>
      <c r="I10" s="27"/>
      <c r="J10" s="27"/>
      <c r="K10" s="27"/>
      <c r="L10" s="21"/>
      <c r="M10" s="21"/>
      <c r="N10" s="21"/>
      <c r="O10" s="21"/>
      <c r="P10" s="21"/>
      <c r="Q10" s="21"/>
    </row>
    <row r="11" spans="2:17">
      <c r="B11" s="21" t="s">
        <v>97</v>
      </c>
      <c r="C11" s="37">
        <f>SUMIF('P&amp;L assumptions'!$B:$B,'P&amp;L'!$B11,'P&amp;L assumptions'!C:C)</f>
        <v>-14217</v>
      </c>
      <c r="D11" s="37">
        <f>SUMIF('P&amp;L assumptions'!$B:$B,'P&amp;L'!$B11,'P&amp;L assumptions'!D:D)</f>
        <v>-15140</v>
      </c>
      <c r="E11" s="37">
        <f>SUMIF('P&amp;L assumptions'!$B:$B,'P&amp;L'!$B11,'P&amp;L assumptions'!E:E)</f>
        <v>-15723</v>
      </c>
      <c r="F11" s="37"/>
      <c r="G11" s="27">
        <f>SUMIF('P&amp;L assumptions'!$B:$B,'P&amp;L'!$B11,'P&amp;L assumptions'!G:G)</f>
        <v>-16255.908254886173</v>
      </c>
      <c r="H11" s="27">
        <f>SUMIF('P&amp;L assumptions'!$B:$B,'P&amp;L'!$B11,'P&amp;L assumptions'!H:H)</f>
        <v>-16833.360917820068</v>
      </c>
      <c r="I11" s="27">
        <f>SUMIF('P&amp;L assumptions'!$B:$B,'P&amp;L'!$B11,'P&amp;L assumptions'!I:I)</f>
        <v>-17431.326219771177</v>
      </c>
      <c r="J11" s="27">
        <f>SUMIF('P&amp;L assumptions'!$B:$B,'P&amp;L'!$B11,'P&amp;L assumptions'!J:J)</f>
        <v>-18050.532823687063</v>
      </c>
      <c r="K11" s="27">
        <f>SUMIF('P&amp;L assumptions'!$B:$B,'P&amp;L'!$B11,'P&amp;L assumptions'!K:K)</f>
        <v>-18691.735276541749</v>
      </c>
      <c r="L11" s="21"/>
      <c r="M11" s="21"/>
      <c r="N11" s="21"/>
      <c r="O11" s="21"/>
      <c r="P11" s="21"/>
      <c r="Q11" s="21"/>
    </row>
    <row r="12" spans="2:17">
      <c r="B12" s="24" t="s">
        <v>9</v>
      </c>
      <c r="C12" s="80">
        <f>SUM(C9:C11)</f>
        <v>6909</v>
      </c>
      <c r="D12" s="80">
        <f>SUM(D9:D11)</f>
        <v>6449</v>
      </c>
      <c r="E12" s="80">
        <f>SUM(E9:E11)</f>
        <v>6334</v>
      </c>
      <c r="F12" s="81">
        <f t="shared" ref="F12" si="0">SUM(F9:F11)</f>
        <v>0</v>
      </c>
      <c r="G12" s="82">
        <f>SUM(G9:G11)</f>
        <v>6886.678038117414</v>
      </c>
      <c r="H12" s="82">
        <f>SUM(H9:H11)</f>
        <v>7134.3856508464705</v>
      </c>
      <c r="I12" s="82">
        <f>SUM(I9:I11)</f>
        <v>7391.0115711885774</v>
      </c>
      <c r="J12" s="82">
        <f>SUM(J9:J11)</f>
        <v>7656.8772128719356</v>
      </c>
      <c r="K12" s="82">
        <f>SUM(K9:K11)</f>
        <v>7932.3155857060592</v>
      </c>
      <c r="L12" s="21"/>
      <c r="M12" s="21"/>
      <c r="N12" s="21"/>
      <c r="O12" s="21"/>
      <c r="P12" s="21"/>
      <c r="Q12" s="21"/>
    </row>
    <row r="13" spans="2:17" ht="3.75" customHeight="1">
      <c r="B13" s="21"/>
      <c r="C13" s="37"/>
      <c r="D13" s="37"/>
      <c r="E13" s="37"/>
      <c r="F13" s="37"/>
      <c r="G13" s="27"/>
      <c r="H13" s="27"/>
      <c r="I13" s="27"/>
      <c r="J13" s="27"/>
      <c r="K13" s="27"/>
      <c r="L13" s="21"/>
      <c r="M13" s="21"/>
      <c r="N13" s="21"/>
      <c r="O13" s="21"/>
      <c r="P13" s="21"/>
      <c r="Q13" s="21"/>
    </row>
    <row r="14" spans="2:17">
      <c r="B14" s="21" t="s">
        <v>10</v>
      </c>
      <c r="C14" s="37">
        <f>SUMIF('P&amp;L assumptions'!$B:$B,'P&amp;L'!$B14,'P&amp;L assumptions'!C:C)</f>
        <v>-2045</v>
      </c>
      <c r="D14" s="37">
        <f>SUMIF('P&amp;L assumptions'!$B:$B,'P&amp;L'!$B14,'P&amp;L assumptions'!D:D)</f>
        <v>-2225</v>
      </c>
      <c r="E14" s="37">
        <f>SUMIF('P&amp;L assumptions'!$B:$B,'P&amp;L'!$B14,'P&amp;L assumptions'!E:E)</f>
        <v>-2224</v>
      </c>
      <c r="F14" s="37"/>
      <c r="G14" s="27">
        <f>SUMIF('P&amp;L assumptions'!$B:$B,'P&amp;L'!$B14,'P&amp;L assumptions'!G:G)</f>
        <v>-2303.0023357802211</v>
      </c>
      <c r="H14" s="27">
        <f>SUMIF('P&amp;L assumptions'!$B:$B,'P&amp;L'!$B14,'P&amp;L assumptions'!H:H)</f>
        <v>-2384.8110425400869</v>
      </c>
      <c r="I14" s="27">
        <f>SUMIF('P&amp;L assumptions'!$B:$B,'P&amp;L'!$B14,'P&amp;L assumptions'!I:I)</f>
        <v>-2469.5258099659545</v>
      </c>
      <c r="J14" s="27">
        <f>SUMIF('P&amp;L assumptions'!$B:$B,'P&amp;L'!$B14,'P&amp;L assumptions'!J:J)</f>
        <v>-2557.2498689843237</v>
      </c>
      <c r="K14" s="27">
        <f>SUMIF('P&amp;L assumptions'!$B:$B,'P&amp;L'!$B14,'P&amp;L assumptions'!K:K)</f>
        <v>-2648.0901175560075</v>
      </c>
      <c r="L14" s="21"/>
      <c r="M14" s="21"/>
      <c r="N14" s="21"/>
      <c r="O14" s="21"/>
      <c r="P14" s="21"/>
      <c r="Q14" s="21"/>
    </row>
    <row r="15" spans="2:17">
      <c r="B15" s="24" t="s">
        <v>11</v>
      </c>
      <c r="C15" s="80">
        <f>SUM(C12:C14)</f>
        <v>4864</v>
      </c>
      <c r="D15" s="80">
        <f>SUM(D12:D14)</f>
        <v>4224</v>
      </c>
      <c r="E15" s="80">
        <f>SUM(E12:E14)</f>
        <v>4110</v>
      </c>
      <c r="F15" s="81">
        <f t="shared" ref="F15" si="1">SUM(F12:F14)</f>
        <v>0</v>
      </c>
      <c r="G15" s="82">
        <f>SUM(G12:G14)</f>
        <v>4583.6757023371929</v>
      </c>
      <c r="H15" s="82">
        <f>SUM(H12:H14)</f>
        <v>4749.5746083063841</v>
      </c>
      <c r="I15" s="82">
        <f>SUM(I12:I14)</f>
        <v>4921.4857612226224</v>
      </c>
      <c r="J15" s="82">
        <f>SUM(J12:J14)</f>
        <v>5099.6273438876124</v>
      </c>
      <c r="K15" s="82">
        <f>SUM(K12:K14)</f>
        <v>5284.2254681500517</v>
      </c>
      <c r="L15" s="21"/>
      <c r="M15" s="21"/>
      <c r="N15" s="21"/>
      <c r="O15" s="21"/>
      <c r="P15" s="21"/>
      <c r="Q15" s="21"/>
    </row>
    <row r="16" spans="2:17" ht="3.75" customHeight="1">
      <c r="B16" s="24"/>
      <c r="C16" s="29"/>
      <c r="D16" s="29"/>
      <c r="E16" s="29"/>
      <c r="F16" s="29"/>
      <c r="G16" s="27"/>
      <c r="H16" s="27"/>
      <c r="I16" s="27"/>
      <c r="J16" s="27"/>
      <c r="K16" s="27"/>
      <c r="L16" s="21"/>
      <c r="M16" s="21"/>
      <c r="N16" s="21"/>
      <c r="O16" s="21"/>
      <c r="P16" s="21"/>
      <c r="Q16" s="21"/>
    </row>
    <row r="17" spans="2:17" ht="12" customHeight="1">
      <c r="B17" s="21" t="s">
        <v>100</v>
      </c>
      <c r="C17" s="37">
        <f>SUMIF('P&amp;L assumptions'!$B:$B,'P&amp;L'!$B17,'P&amp;L assumptions'!C:C)</f>
        <v>-991</v>
      </c>
      <c r="D17" s="37">
        <f>SUMIF('P&amp;L assumptions'!$B:$B,'P&amp;L'!$B17,'P&amp;L assumptions'!D:D)</f>
        <v>-653</v>
      </c>
      <c r="E17" s="37">
        <f>SUMIF('P&amp;L assumptions'!$B:$B,'P&amp;L'!$B17,'P&amp;L assumptions'!E:E)</f>
        <v>-461</v>
      </c>
      <c r="F17" s="37"/>
      <c r="G17" s="27">
        <f>SUMIF('P&amp;L assumptions'!$B:$B,'P&amp;L'!$B17,'P&amp;L assumptions'!G:G)</f>
        <v>-701.12999276358471</v>
      </c>
      <c r="H17" s="27">
        <f>SUMIF('P&amp;L assumptions'!$B:$B,'P&amp;L'!$B17,'P&amp;L assumptions'!H:H)</f>
        <v>-726.03597617810476</v>
      </c>
      <c r="I17" s="27">
        <f>SUMIF('P&amp;L assumptions'!$B:$B,'P&amp;L'!$B17,'P&amp;L assumptions'!I:I)</f>
        <v>-751.82668570083092</v>
      </c>
      <c r="J17" s="27">
        <f>SUMIF('P&amp;L assumptions'!$B:$B,'P&amp;L'!$B17,'P&amp;L assumptions'!J:J)</f>
        <v>-778.53354913260591</v>
      </c>
      <c r="K17" s="27">
        <f>SUMIF('P&amp;L assumptions'!$B:$B,'P&amp;L'!$B17,'P&amp;L assumptions'!K:K)</f>
        <v>-806.18911067250747</v>
      </c>
      <c r="L17" s="21"/>
      <c r="M17" s="21"/>
      <c r="N17" s="21"/>
      <c r="O17" s="21"/>
      <c r="P17" s="21"/>
      <c r="Q17" s="21"/>
    </row>
    <row r="18" spans="2:17" ht="12" customHeight="1">
      <c r="B18" s="7" t="s">
        <v>12</v>
      </c>
      <c r="C18" s="37">
        <f>SUMIF('P&amp;L assumptions'!$B:$B,'P&amp;L'!$B18,'P&amp;L assumptions'!C:C)</f>
        <v>88</v>
      </c>
      <c r="D18" s="37">
        <f>SUMIF('P&amp;L assumptions'!$B:$B,'P&amp;L'!$B18,'P&amp;L assumptions'!D:D)</f>
        <v>59</v>
      </c>
      <c r="E18" s="37">
        <f>SUMIF('P&amp;L assumptions'!$B:$B,'P&amp;L'!$B18,'P&amp;L assumptions'!E:E)</f>
        <v>27</v>
      </c>
      <c r="F18" s="37"/>
      <c r="G18" s="27">
        <f>SUMIF('P&amp;L assumptions'!$B:$B,'P&amp;L'!$B18,'P&amp;L assumptions'!G:G)</f>
        <v>63.348651719833839</v>
      </c>
      <c r="H18" s="27">
        <f>SUMIF('P&amp;L assumptions'!$B:$B,'P&amp;L'!$B18,'P&amp;L assumptions'!H:H)</f>
        <v>65.598962625586793</v>
      </c>
      <c r="I18" s="27">
        <f>SUMIF('P&amp;L assumptions'!$B:$B,'P&amp;L'!$B18,'P&amp;L assumptions'!I:I)</f>
        <v>67.929210499768786</v>
      </c>
      <c r="J18" s="27">
        <f>SUMIF('P&amp;L assumptions'!$B:$B,'P&amp;L'!$B18,'P&amp;L assumptions'!J:J)</f>
        <v>70.34223491397205</v>
      </c>
      <c r="K18" s="27">
        <f>SUMIF('P&amp;L assumptions'!$B:$B,'P&amp;L'!$B18,'P&amp;L assumptions'!K:K)</f>
        <v>72.840976308848298</v>
      </c>
      <c r="L18" s="21"/>
      <c r="M18" s="21"/>
      <c r="N18" s="21"/>
      <c r="O18" s="21"/>
      <c r="P18" s="21"/>
      <c r="Q18" s="21"/>
    </row>
    <row r="19" spans="2:17" ht="12" customHeight="1">
      <c r="B19" s="24" t="s">
        <v>13</v>
      </c>
      <c r="C19" s="80">
        <f>SUM(C15:C18)</f>
        <v>3961</v>
      </c>
      <c r="D19" s="80">
        <f>SUM(D15:D18)</f>
        <v>3630</v>
      </c>
      <c r="E19" s="80">
        <f>SUM(E15:E18)</f>
        <v>3676</v>
      </c>
      <c r="F19" s="81">
        <f t="shared" ref="F19" si="2">SUM(F15:F18)</f>
        <v>0</v>
      </c>
      <c r="G19" s="82">
        <f>SUM(G15:G18)</f>
        <v>3945.8943612934422</v>
      </c>
      <c r="H19" s="82">
        <f>SUM(H15:H18)</f>
        <v>4089.1375947538663</v>
      </c>
      <c r="I19" s="82">
        <f>SUM(I15:I18)</f>
        <v>4237.5882860215597</v>
      </c>
      <c r="J19" s="82">
        <f>SUM(J15:J18)</f>
        <v>4391.4360296689783</v>
      </c>
      <c r="K19" s="82">
        <f>SUM(K15:K18)</f>
        <v>4550.8773337863922</v>
      </c>
      <c r="L19" s="21"/>
      <c r="M19" s="21"/>
      <c r="N19" s="21"/>
      <c r="O19" s="21"/>
      <c r="P19" s="21"/>
      <c r="Q19" s="21"/>
    </row>
    <row r="20" spans="2:17" ht="3.75" customHeight="1">
      <c r="B20" s="21"/>
      <c r="C20" s="37"/>
      <c r="D20" s="37"/>
      <c r="E20" s="37"/>
      <c r="F20" s="37"/>
      <c r="G20" s="27"/>
      <c r="H20" s="27"/>
      <c r="I20" s="27"/>
      <c r="J20" s="27"/>
      <c r="K20" s="27"/>
      <c r="L20" s="21"/>
      <c r="M20" s="21"/>
      <c r="N20" s="21"/>
      <c r="O20" s="21"/>
      <c r="P20" s="21"/>
      <c r="Q20" s="21"/>
    </row>
    <row r="21" spans="2:17">
      <c r="B21" s="21" t="s">
        <v>14</v>
      </c>
      <c r="C21" s="260">
        <f>'P&amp;L source'!D22</f>
        <v>-1295</v>
      </c>
      <c r="D21" s="260">
        <f>'P&amp;L source'!E22</f>
        <v>-722</v>
      </c>
      <c r="E21" s="260">
        <f>'P&amp;L source'!F22</f>
        <v>-746</v>
      </c>
      <c r="F21" s="37"/>
      <c r="G21" s="50">
        <f t="shared" ref="G21" si="3">G19*G22</f>
        <v>-1290.0613981002291</v>
      </c>
      <c r="H21" s="50">
        <f t="shared" ref="H21" si="4">H19*H22</f>
        <v>-1336.8930030816098</v>
      </c>
      <c r="I21" s="50">
        <f t="shared" ref="I21" si="5">I19*I22</f>
        <v>-1385.4271220393637</v>
      </c>
      <c r="J21" s="50">
        <f t="shared" ref="J21" si="6">J19*J22</f>
        <v>-1435.7257405759472</v>
      </c>
      <c r="K21" s="50">
        <f t="shared" ref="K21" si="7">K19*K22</f>
        <v>-1487.8531045830289</v>
      </c>
      <c r="L21" s="21"/>
      <c r="M21" s="21"/>
      <c r="N21" s="21"/>
      <c r="O21" s="21"/>
      <c r="P21" s="21"/>
      <c r="Q21" s="21"/>
    </row>
    <row r="22" spans="2:17" ht="12">
      <c r="B22" s="21" t="s">
        <v>109</v>
      </c>
      <c r="C22" s="83">
        <f>'P&amp;L assumptions'!C49</f>
        <v>-0.32693764200959352</v>
      </c>
      <c r="D22" s="83">
        <f>'P&amp;L assumptions'!D49</f>
        <v>-0.32693764200959352</v>
      </c>
      <c r="E22" s="83">
        <f>'P&amp;L assumptions'!E49</f>
        <v>-0.32693764200959352</v>
      </c>
      <c r="F22" s="83"/>
      <c r="G22" s="84">
        <f>'P&amp;L assumptions'!G49</f>
        <v>-0.32693764200959352</v>
      </c>
      <c r="H22" s="84">
        <f>'P&amp;L assumptions'!H49</f>
        <v>-0.32693764200959352</v>
      </c>
      <c r="I22" s="84">
        <f>'P&amp;L assumptions'!I49</f>
        <v>-0.32693764200959352</v>
      </c>
      <c r="J22" s="84">
        <f>'P&amp;L assumptions'!J49</f>
        <v>-0.32693764200959352</v>
      </c>
      <c r="K22" s="84">
        <f>'P&amp;L assumptions'!K49</f>
        <v>-0.32693764200959352</v>
      </c>
      <c r="L22" s="21"/>
      <c r="M22" s="21"/>
      <c r="N22" s="21"/>
      <c r="O22" s="21"/>
      <c r="P22" s="21"/>
      <c r="Q22" s="21"/>
    </row>
    <row r="23" spans="2:17" ht="3.75" customHeight="1">
      <c r="B23" s="21"/>
      <c r="C23" s="37"/>
      <c r="D23" s="37"/>
      <c r="E23" s="37"/>
      <c r="F23" s="37"/>
      <c r="G23" s="41"/>
      <c r="H23" s="41"/>
      <c r="I23" s="41"/>
      <c r="J23" s="41"/>
      <c r="K23" s="41"/>
      <c r="L23" s="21"/>
      <c r="M23" s="21"/>
      <c r="N23" s="21"/>
      <c r="O23" s="21"/>
      <c r="P23" s="21"/>
      <c r="Q23" s="21"/>
    </row>
    <row r="24" spans="2:17">
      <c r="B24" s="85" t="s">
        <v>110</v>
      </c>
      <c r="C24" s="86">
        <f>SUM(C19:C21)</f>
        <v>2666</v>
      </c>
      <c r="D24" s="86">
        <f>SUM(D19:D21)</f>
        <v>2908</v>
      </c>
      <c r="E24" s="86">
        <f>SUM(E19:E21)</f>
        <v>2930</v>
      </c>
      <c r="F24" s="86"/>
      <c r="G24" s="86">
        <f>SUM(G19:G21)</f>
        <v>2655.8329631932129</v>
      </c>
      <c r="H24" s="86">
        <f>SUM(H19:H21)</f>
        <v>2752.2445916722563</v>
      </c>
      <c r="I24" s="86">
        <f>SUM(I19:I21)</f>
        <v>2852.1611639821958</v>
      </c>
      <c r="J24" s="86">
        <f>SUM(J19:J21)</f>
        <v>2955.710289093031</v>
      </c>
      <c r="K24" s="86">
        <f>SUM(K19:K21)</f>
        <v>3063.0242292033636</v>
      </c>
      <c r="L24" s="21"/>
      <c r="M24" s="21"/>
      <c r="N24" s="21"/>
      <c r="O24" s="21"/>
      <c r="P24" s="21"/>
      <c r="Q24" s="21"/>
    </row>
    <row r="25" spans="2:17">
      <c r="B25" s="21"/>
      <c r="C25" s="37"/>
      <c r="D25" s="37"/>
      <c r="E25" s="37"/>
      <c r="F25" s="37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</row>
    <row r="26" spans="2:17">
      <c r="B26" s="21"/>
      <c r="C26" s="37"/>
      <c r="D26" s="37"/>
      <c r="E26" s="37"/>
      <c r="F26" s="37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</row>
    <row r="27" spans="2:17">
      <c r="B27" s="101" t="s">
        <v>120</v>
      </c>
      <c r="C27" s="93">
        <f>C9/C$7</f>
        <v>0.30063610877887037</v>
      </c>
      <c r="D27" s="93">
        <f t="shared" ref="D27:K27" si="8">D9/D$7</f>
        <v>0.29690293478559837</v>
      </c>
      <c r="E27" s="93">
        <f t="shared" si="8"/>
        <v>0.2927039651786188</v>
      </c>
      <c r="F27" s="93"/>
      <c r="G27" s="93">
        <f t="shared" si="8"/>
        <v>0.29656369557442891</v>
      </c>
      <c r="H27" s="93">
        <f t="shared" si="8"/>
        <v>0.29659045976675624</v>
      </c>
      <c r="I27" s="93">
        <f t="shared" si="8"/>
        <v>0.29661730480068532</v>
      </c>
      <c r="J27" s="93">
        <f t="shared" si="8"/>
        <v>0.29664423091412229</v>
      </c>
      <c r="K27" s="94">
        <f t="shared" si="8"/>
        <v>0.29667123834563508</v>
      </c>
    </row>
    <row r="28" spans="2:17">
      <c r="B28" s="102" t="s">
        <v>121</v>
      </c>
      <c r="C28" s="95">
        <f>C12/C$7</f>
        <v>9.8319363606608701E-2</v>
      </c>
      <c r="D28" s="95">
        <f t="shared" ref="D28:K28" si="9">D12/D$7</f>
        <v>8.868993591330418E-2</v>
      </c>
      <c r="E28" s="95">
        <f t="shared" si="9"/>
        <v>8.405435532671586E-2</v>
      </c>
      <c r="F28" s="95"/>
      <c r="G28" s="95">
        <f t="shared" si="9"/>
        <v>8.8250235447228001E-2</v>
      </c>
      <c r="H28" s="95">
        <f t="shared" si="9"/>
        <v>8.8284925505019138E-2</v>
      </c>
      <c r="I28" s="95">
        <f t="shared" si="9"/>
        <v>8.8319720344594885E-2</v>
      </c>
      <c r="J28" s="95">
        <f t="shared" si="9"/>
        <v>8.8354620274314177E-2</v>
      </c>
      <c r="K28" s="96">
        <f t="shared" si="9"/>
        <v>8.8389625603393834E-2</v>
      </c>
    </row>
    <row r="29" spans="2:17">
      <c r="B29" s="102" t="s">
        <v>122</v>
      </c>
      <c r="C29" s="95">
        <f>C15/C$7</f>
        <v>6.9217742738825402E-2</v>
      </c>
      <c r="D29" s="95">
        <f t="shared" ref="D29:K29" si="10">D15/D$7</f>
        <v>5.8090601534780101E-2</v>
      </c>
      <c r="E29" s="95">
        <f t="shared" si="10"/>
        <v>5.4541111523966242E-2</v>
      </c>
      <c r="F29" s="95"/>
      <c r="G29" s="95">
        <f t="shared" si="10"/>
        <v>5.8738111133706347E-2</v>
      </c>
      <c r="H29" s="95">
        <f t="shared" si="10"/>
        <v>5.8773924062418624E-2</v>
      </c>
      <c r="I29" s="95">
        <f t="shared" si="10"/>
        <v>5.8809845164562176E-2</v>
      </c>
      <c r="J29" s="95">
        <f t="shared" si="10"/>
        <v>5.8845874758477135E-2</v>
      </c>
      <c r="K29" s="96">
        <f t="shared" si="10"/>
        <v>5.8882013163389209E-2</v>
      </c>
    </row>
    <row r="30" spans="2:17">
      <c r="B30" s="102" t="s">
        <v>123</v>
      </c>
      <c r="C30" s="95">
        <f>C19/C$7</f>
        <v>5.6367491568356791E-2</v>
      </c>
      <c r="D30" s="95">
        <f t="shared" ref="D30:K30" si="11">D19/D$7</f>
        <v>4.9921610693951644E-2</v>
      </c>
      <c r="E30" s="95">
        <f t="shared" si="11"/>
        <v>4.8781782472530393E-2</v>
      </c>
      <c r="F30" s="95"/>
      <c r="G30" s="95">
        <f t="shared" si="11"/>
        <v>5.0565178814316825E-2</v>
      </c>
      <c r="H30" s="95">
        <f t="shared" si="11"/>
        <v>5.0601302704989838E-2</v>
      </c>
      <c r="I30" s="95">
        <f t="shared" si="11"/>
        <v>5.0637535708358883E-2</v>
      </c>
      <c r="J30" s="95">
        <f t="shared" si="11"/>
        <v>5.0673878145528255E-2</v>
      </c>
      <c r="K30" s="96">
        <f t="shared" si="11"/>
        <v>5.0710330338495459E-2</v>
      </c>
    </row>
    <row r="31" spans="2:17">
      <c r="B31" s="103" t="s">
        <v>124</v>
      </c>
      <c r="C31" s="99">
        <f>C24/C$7</f>
        <v>3.7938836789002575E-2</v>
      </c>
      <c r="D31" s="99">
        <f t="shared" ref="D31:K31" si="12">D24/D$7</f>
        <v>3.9992298594493492E-2</v>
      </c>
      <c r="E31" s="99">
        <f t="shared" si="12"/>
        <v>3.8882106268910241E-2</v>
      </c>
      <c r="F31" s="99"/>
      <c r="G31" s="99">
        <f t="shared" si="12"/>
        <v>3.4033518484970625E-2</v>
      </c>
      <c r="H31" s="99">
        <f t="shared" si="12"/>
        <v>3.4057832116006791E-2</v>
      </c>
      <c r="I31" s="99">
        <f t="shared" si="12"/>
        <v>3.4082219186691437E-2</v>
      </c>
      <c r="J31" s="99">
        <f t="shared" si="12"/>
        <v>3.4106679913147774E-2</v>
      </c>
      <c r="K31" s="100">
        <f t="shared" si="12"/>
        <v>3.4131214512100203E-2</v>
      </c>
    </row>
    <row r="35" spans="2:11">
      <c r="B35" s="101" t="s">
        <v>115</v>
      </c>
      <c r="C35" s="91">
        <f>'P&amp;L source'!D29/'P&amp;L source'!D27</f>
        <v>0.50047111777944486</v>
      </c>
      <c r="D35" s="91">
        <f>'P&amp;L source'!E29/'P&amp;L source'!E27</f>
        <v>0.45692022008253097</v>
      </c>
      <c r="E35" s="91">
        <f>'P&amp;L source'!F29/'P&amp;L source'!F27</f>
        <v>0.45102389078498295</v>
      </c>
      <c r="F35" s="92"/>
      <c r="G35" s="93">
        <f>$E$35</f>
        <v>0.45102389078498295</v>
      </c>
      <c r="H35" s="93">
        <f t="shared" ref="H35:K35" si="13">$E$35</f>
        <v>0.45102389078498295</v>
      </c>
      <c r="I35" s="93">
        <f t="shared" si="13"/>
        <v>0.45102389078498295</v>
      </c>
      <c r="J35" s="93">
        <f t="shared" si="13"/>
        <v>0.45102389078498295</v>
      </c>
      <c r="K35" s="94">
        <f t="shared" si="13"/>
        <v>0.45102389078498295</v>
      </c>
    </row>
    <row r="36" spans="2:11">
      <c r="B36" s="102" t="s">
        <v>117</v>
      </c>
      <c r="C36" s="95">
        <f>1-C35</f>
        <v>0.49952888222055514</v>
      </c>
      <c r="D36" s="95">
        <f>1-D35</f>
        <v>0.54307977991746903</v>
      </c>
      <c r="E36" s="95">
        <f>1-E35</f>
        <v>0.54897610921501705</v>
      </c>
      <c r="F36" s="21"/>
      <c r="G36" s="95">
        <f>1-G35</f>
        <v>0.54897610921501705</v>
      </c>
      <c r="H36" s="95">
        <f t="shared" ref="H36:K36" si="14">1-H35</f>
        <v>0.54897610921501705</v>
      </c>
      <c r="I36" s="95">
        <f t="shared" si="14"/>
        <v>0.54897610921501705</v>
      </c>
      <c r="J36" s="95">
        <f t="shared" si="14"/>
        <v>0.54897610921501705</v>
      </c>
      <c r="K36" s="96">
        <f t="shared" si="14"/>
        <v>0.54897610921501705</v>
      </c>
    </row>
    <row r="37" spans="2:11">
      <c r="B37" s="102" t="s">
        <v>118</v>
      </c>
      <c r="C37" s="97">
        <f>C24/BS!C24</f>
        <v>7.1224386203948595E-2</v>
      </c>
      <c r="D37" s="97">
        <f>D24/BS!D24</f>
        <v>7.2153437709351662E-2</v>
      </c>
      <c r="E37" s="97">
        <f>E24/BS!E24</f>
        <v>7.0961491886655362E-2</v>
      </c>
      <c r="F37" s="97"/>
      <c r="G37" s="97">
        <f>G24/BS!G24</f>
        <v>5.9606670787250932E-2</v>
      </c>
      <c r="H37" s="97">
        <f>H24/BS!H24</f>
        <v>5.7344641740639593E-2</v>
      </c>
      <c r="I37" s="97">
        <f>I24/BS!I24</f>
        <v>5.5319536826144877E-2</v>
      </c>
      <c r="J37" s="97">
        <f>J24/BS!J24</f>
        <v>5.3497136848940648E-2</v>
      </c>
      <c r="K37" s="98">
        <f>K24/BS!K24</f>
        <v>5.1849502695510627E-2</v>
      </c>
    </row>
    <row r="38" spans="2:11">
      <c r="B38" s="103" t="s">
        <v>119</v>
      </c>
      <c r="C38" s="99">
        <f>C36*C37</f>
        <v>3.5578638027303572E-2</v>
      </c>
      <c r="D38" s="99">
        <f>D36*D37</f>
        <v>3.9185073071483514E-2</v>
      </c>
      <c r="E38" s="99">
        <f>E36*E37</f>
        <v>3.8956163720029059E-2</v>
      </c>
      <c r="F38" s="99"/>
      <c r="G38" s="99">
        <f t="shared" ref="G38:K38" si="15">G36*G37</f>
        <v>3.2722638212045435E-2</v>
      </c>
      <c r="H38" s="99">
        <f t="shared" si="15"/>
        <v>3.1480838307105387E-2</v>
      </c>
      <c r="I38" s="99">
        <f t="shared" si="15"/>
        <v>3.0369104090393867E-2</v>
      </c>
      <c r="J38" s="99">
        <f t="shared" si="15"/>
        <v>2.9368650041474754E-2</v>
      </c>
      <c r="K38" s="100">
        <f t="shared" si="15"/>
        <v>2.8464138254514961E-2</v>
      </c>
    </row>
    <row r="43" spans="2:11">
      <c r="B43" s="7" t="s">
        <v>114</v>
      </c>
      <c r="C43" s="7">
        <f>C24-'P&amp;L source'!D24</f>
        <v>0</v>
      </c>
      <c r="D43" s="7">
        <f>D24-'P&amp;L source'!E24</f>
        <v>0</v>
      </c>
      <c r="E43" s="7">
        <f>E24-'P&amp;L source'!F24</f>
        <v>0</v>
      </c>
    </row>
  </sheetData>
  <pageMargins left="0.7" right="0.7" top="0.75" bottom="0.75" header="0.3" footer="0.3"/>
  <pageSetup orientation="portrait" r:id="rId1"/>
  <ignoredErrors>
    <ignoredError sqref="C8:K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9"/>
  <sheetViews>
    <sheetView workbookViewId="0">
      <selection activeCell="N24" sqref="N24"/>
    </sheetView>
  </sheetViews>
  <sheetFormatPr defaultColWidth="9.1796875" defaultRowHeight="11.5"/>
  <cols>
    <col min="1" max="1" width="2" style="7" customWidth="1"/>
    <col min="2" max="2" width="22.7265625" style="7" bestFit="1" customWidth="1"/>
    <col min="3" max="3" width="9.1796875" style="7"/>
    <col min="4" max="4" width="9.54296875" style="7" bestFit="1" customWidth="1"/>
    <col min="5" max="5" width="9.1796875" style="7"/>
    <col min="6" max="6" width="2" style="7" customWidth="1"/>
    <col min="7" max="11" width="9.1796875" style="7"/>
    <col min="12" max="12" width="2" style="7" customWidth="1"/>
    <col min="13" max="16384" width="9.1796875" style="7"/>
  </cols>
  <sheetData>
    <row r="1" spans="2:13" ht="15.5">
      <c r="B1" s="6" t="s">
        <v>36</v>
      </c>
    </row>
    <row r="3" spans="2:13" ht="23.5" thickBot="1">
      <c r="B3" s="17" t="s">
        <v>72</v>
      </c>
      <c r="C3" s="18" t="s">
        <v>53</v>
      </c>
      <c r="D3" s="18" t="s">
        <v>54</v>
      </c>
      <c r="E3" s="18" t="s">
        <v>55</v>
      </c>
      <c r="F3" s="22"/>
      <c r="G3" s="19" t="s">
        <v>56</v>
      </c>
      <c r="H3" s="19" t="s">
        <v>57</v>
      </c>
      <c r="I3" s="19" t="s">
        <v>58</v>
      </c>
      <c r="J3" s="19" t="s">
        <v>59</v>
      </c>
      <c r="K3" s="19" t="s">
        <v>60</v>
      </c>
      <c r="M3" s="23" t="s">
        <v>35</v>
      </c>
    </row>
    <row r="4" spans="2:13" ht="3.75" customHeight="1">
      <c r="B4" s="24"/>
      <c r="C4" s="22"/>
      <c r="D4" s="22"/>
      <c r="E4" s="22"/>
      <c r="F4" s="22"/>
      <c r="G4" s="72"/>
      <c r="H4" s="72"/>
      <c r="I4" s="72"/>
      <c r="J4" s="72"/>
      <c r="K4" s="72"/>
      <c r="M4" s="87"/>
    </row>
    <row r="5" spans="2:13">
      <c r="B5" s="7" t="s">
        <v>28</v>
      </c>
      <c r="C5" s="13">
        <f>SUMIF('BS assumptions'!$B:$B,BS!$B5,'BS assumptions'!C:C)</f>
        <v>24658</v>
      </c>
      <c r="D5" s="13">
        <f>SUMIF('BS assumptions'!$B:$B,BS!$B5,'BS assumptions'!D:D)</f>
        <v>24536</v>
      </c>
      <c r="E5" s="13">
        <f>SUMIF('BS assumptions'!$B:$B,BS!$B5,'BS assumptions'!E:E)</f>
        <v>25533</v>
      </c>
      <c r="G5" s="27">
        <f>SUMIF('BS assumptions'!$B:$B,BS!$B5,'BS assumptions'!G:G)</f>
        <v>26439.999388253767</v>
      </c>
      <c r="H5" s="27">
        <f>SUMIF('BS assumptions'!$B:$B,BS!$B5,'BS assumptions'!H:H)</f>
        <v>27379.217782902891</v>
      </c>
      <c r="I5" s="27">
        <f>SUMIF('BS assumptions'!$B:$B,BS!$B5,'BS assumptions'!I:I)</f>
        <v>28351.799687887014</v>
      </c>
      <c r="J5" s="27">
        <f>SUMIF('BS assumptions'!$B:$B,BS!$B5,'BS assumptions'!J:J)</f>
        <v>29358.930262939179</v>
      </c>
      <c r="K5" s="27">
        <f>SUMIF('BS assumptions'!$B:$B,BS!$B5,'BS assumptions'!K:K)</f>
        <v>30401.836767786663</v>
      </c>
    </row>
    <row r="6" spans="2:13">
      <c r="B6" s="7" t="s">
        <v>74</v>
      </c>
      <c r="C6" s="13">
        <f>SUMIF('BS assumptions'!$B:$B,BS!$B6,'BS assumptions'!C:C)</f>
        <v>0</v>
      </c>
      <c r="D6" s="13">
        <f>SUMIF('BS assumptions'!$B:$B,BS!$B6,'BS assumptions'!D:D)</f>
        <v>1884</v>
      </c>
      <c r="E6" s="13">
        <f>SUMIF('BS assumptions'!$B:$B,BS!$B6,'BS assumptions'!E:E)</f>
        <v>1965</v>
      </c>
      <c r="G6" s="27">
        <f>SUMIF('BS assumptions'!$B:$B,BS!$B6,'BS assumptions'!G:G)</f>
        <v>2034.8019738345924</v>
      </c>
      <c r="H6" s="27">
        <f>SUMIF('BS assumptions'!$B:$B,BS!$B6,'BS assumptions'!H:H)</f>
        <v>2107.0834975680173</v>
      </c>
      <c r="I6" s="27">
        <f>SUMIF('BS assumptions'!$B:$B,BS!$B6,'BS assumptions'!I:I)</f>
        <v>2181.9326513413221</v>
      </c>
      <c r="J6" s="27">
        <f>SUMIF('BS assumptions'!$B:$B,BS!$B6,'BS assumptions'!J:J)</f>
        <v>2259.4406441340807</v>
      </c>
      <c r="K6" s="27">
        <f>SUMIF('BS assumptions'!$B:$B,BS!$B6,'BS assumptions'!K:K)</f>
        <v>2339.7019249089722</v>
      </c>
    </row>
    <row r="7" spans="2:13">
      <c r="B7" s="7" t="s">
        <v>20</v>
      </c>
      <c r="C7" s="13">
        <f>SUMIF('BS assumptions'!$B:$B,BS!$B7,'BS assumptions'!C:C)</f>
        <v>259</v>
      </c>
      <c r="D7" s="13">
        <f>SUMIF('BS assumptions'!$B:$B,BS!$B7,'BS assumptions'!D:D)</f>
        <v>709</v>
      </c>
      <c r="E7" s="13">
        <f>SUMIF('BS assumptions'!$B:$B,BS!$B7,'BS assumptions'!E:E)</f>
        <v>699</v>
      </c>
      <c r="G7" s="27">
        <f>$E$7</f>
        <v>699</v>
      </c>
      <c r="H7" s="27">
        <f t="shared" ref="H7:K7" si="0">$E$7</f>
        <v>699</v>
      </c>
      <c r="I7" s="27">
        <f t="shared" si="0"/>
        <v>699</v>
      </c>
      <c r="J7" s="27">
        <f t="shared" si="0"/>
        <v>699</v>
      </c>
      <c r="K7" s="27">
        <f t="shared" si="0"/>
        <v>699</v>
      </c>
      <c r="M7" s="7" t="s">
        <v>401</v>
      </c>
    </row>
    <row r="8" spans="2:13">
      <c r="B8" s="7" t="s">
        <v>22</v>
      </c>
      <c r="C8" s="13">
        <f>SUMIF('BS assumptions'!$B:$B,BS!$B8,'BS assumptions'!C:C)</f>
        <v>8309</v>
      </c>
      <c r="D8" s="13">
        <f>SUMIF('BS assumptions'!$B:$B,BS!$B8,'BS assumptions'!D:D)</f>
        <v>8597</v>
      </c>
      <c r="E8" s="13">
        <f>SUMIF('BS assumptions'!$B:$B,BS!$B8,'BS assumptions'!E:E)</f>
        <v>9497</v>
      </c>
      <c r="G8" s="27">
        <f>SUMIF('BS assumptions'!$B:$B,BS!$B8,'BS assumptions'!G:G)</f>
        <v>9781.0631428895285</v>
      </c>
      <c r="H8" s="27">
        <f>SUMIF('BS assumptions'!$B:$B,BS!$B8,'BS assumptions'!H:H)</f>
        <v>10128.512259212415</v>
      </c>
      <c r="I8" s="27">
        <f>SUMIF('BS assumptions'!$B:$B,BS!$B8,'BS assumptions'!I:I)</f>
        <v>10488.303682978772</v>
      </c>
      <c r="J8" s="27">
        <f>SUMIF('BS assumptions'!$B:$B,BS!$B8,'BS assumptions'!J:J)</f>
        <v>10860.875845446226</v>
      </c>
      <c r="K8" s="27">
        <f>SUMIF('BS assumptions'!$B:$B,BS!$B8,'BS assumptions'!K:K)</f>
        <v>11246.682752105055</v>
      </c>
    </row>
    <row r="9" spans="2:13">
      <c r="B9" s="7" t="s">
        <v>78</v>
      </c>
      <c r="C9" s="13">
        <f>SUMIF('BS assumptions'!$B:$B,BS!$B9,'BS assumptions'!C:C)</f>
        <v>749</v>
      </c>
      <c r="D9" s="13">
        <f>SUMIF('BS assumptions'!$B:$B,BS!$B9,'BS assumptions'!D:D)</f>
        <v>929</v>
      </c>
      <c r="E9" s="13">
        <f>SUMIF('BS assumptions'!$B:$B,BS!$B9,'BS assumptions'!E:E)</f>
        <v>1100</v>
      </c>
      <c r="G9" s="27">
        <f>SUMIF('BS assumptions'!$B:$B,BS!$B9,'BS assumptions'!G:G)</f>
        <v>1139.0748962941741</v>
      </c>
      <c r="H9" s="27">
        <f>SUMIF('BS assumptions'!$B:$B,BS!$B9,'BS assumptions'!H:H)</f>
        <v>1179.5378357887121</v>
      </c>
      <c r="I9" s="27">
        <f>SUMIF('BS assumptions'!$B:$B,BS!$B9,'BS assumptions'!I:I)</f>
        <v>1221.4381254328014</v>
      </c>
      <c r="J9" s="27">
        <f>SUMIF('BS assumptions'!$B:$B,BS!$B9,'BS assumptions'!J:J)</f>
        <v>1264.8268236882896</v>
      </c>
      <c r="K9" s="27">
        <f>SUMIF('BS assumptions'!$B:$B,BS!$B9,'BS assumptions'!K:K)</f>
        <v>1309.7568027480254</v>
      </c>
    </row>
    <row r="10" spans="2:13">
      <c r="B10" s="7" t="s">
        <v>21</v>
      </c>
      <c r="C10" s="13">
        <f>SUMIF('BS assumptions'!$B:$B,BS!$B10,'BS assumptions'!C:C)</f>
        <v>944</v>
      </c>
      <c r="D10" s="13">
        <f>SUMIF('BS assumptions'!$B:$B,BS!$B10,'BS assumptions'!D:D)</f>
        <v>1005</v>
      </c>
      <c r="E10" s="13">
        <f>SUMIF('BS assumptions'!$B:$B,BS!$B10,'BS assumptions'!E:E)</f>
        <v>940</v>
      </c>
      <c r="F10" s="21"/>
      <c r="G10" s="35">
        <f>SUMIF('BS assumptions'!$B:$B,BS!$B10,'BS assumptions'!G:G)</f>
        <v>973.39127501502139</v>
      </c>
      <c r="H10" s="35">
        <f>SUMIF('BS assumptions'!$B:$B,BS!$B10,'BS assumptions'!H:H)</f>
        <v>1007.9686960376266</v>
      </c>
      <c r="I10" s="35">
        <f>SUMIF('BS assumptions'!$B:$B,BS!$B10,'BS assumptions'!I:I)</f>
        <v>1043.7743980971211</v>
      </c>
      <c r="J10" s="35">
        <f>SUMIF('BS assumptions'!$B:$B,BS!$B10,'BS assumptions'!J:J)</f>
        <v>1080.8520129699928</v>
      </c>
      <c r="K10" s="35">
        <f>SUMIF('BS assumptions'!$B:$B,BS!$B10,'BS assumptions'!K:K)</f>
        <v>1119.2467223483125</v>
      </c>
      <c r="L10" s="21"/>
      <c r="M10" s="21"/>
    </row>
    <row r="11" spans="2:13">
      <c r="B11" s="7" t="s">
        <v>23</v>
      </c>
      <c r="C11" s="37">
        <f>SUMIF('BS source'!$B:$B,BS!$B11,'BS source'!D:D)</f>
        <v>2512</v>
      </c>
      <c r="D11" s="37">
        <f>SUMIF('BS source'!$B:$B,BS!$B11,'BS source'!E:E)</f>
        <v>2643</v>
      </c>
      <c r="E11" s="37">
        <f>SUMIF('BS source'!$B:$B,BS!$B11,'BS source'!F:F)</f>
        <v>1556</v>
      </c>
      <c r="F11" s="21"/>
      <c r="G11" s="35">
        <f>E11+'Cash Flow'!G33</f>
        <v>3488.638112381785</v>
      </c>
      <c r="H11" s="35">
        <f>G11+'Cash Flow'!H33</f>
        <v>5493.479584231618</v>
      </c>
      <c r="I11" s="35">
        <f>H11+'Cash Flow'!I33</f>
        <v>7571.6879016668381</v>
      </c>
      <c r="J11" s="35">
        <f>I11+'Cash Flow'!J33</f>
        <v>9725.9525012897993</v>
      </c>
      <c r="K11" s="35">
        <f>J11+'Cash Flow'!K33</f>
        <v>11959.061579930858</v>
      </c>
      <c r="L11" s="21"/>
      <c r="M11" s="21" t="s">
        <v>402</v>
      </c>
    </row>
    <row r="12" spans="2:13" ht="3.75" customHeight="1">
      <c r="B12" s="21"/>
      <c r="C12" s="37"/>
      <c r="D12" s="37"/>
      <c r="E12" s="37"/>
      <c r="F12" s="21"/>
      <c r="G12" s="35"/>
      <c r="H12" s="35"/>
      <c r="I12" s="35"/>
      <c r="J12" s="35"/>
      <c r="K12" s="35"/>
      <c r="L12" s="21"/>
      <c r="M12" s="21"/>
    </row>
    <row r="13" spans="2:13" ht="12" thickBot="1">
      <c r="B13" s="24" t="s">
        <v>113</v>
      </c>
      <c r="C13" s="90">
        <f>SUM(C5:C11)</f>
        <v>37431</v>
      </c>
      <c r="D13" s="90">
        <f t="shared" ref="D13:K13" si="1">SUM(D5:D11)</f>
        <v>40303</v>
      </c>
      <c r="E13" s="90">
        <f t="shared" si="1"/>
        <v>41290</v>
      </c>
      <c r="F13" s="30"/>
      <c r="G13" s="88">
        <f t="shared" si="1"/>
        <v>44555.968788668863</v>
      </c>
      <c r="H13" s="88">
        <f t="shared" si="1"/>
        <v>47994.799655741277</v>
      </c>
      <c r="I13" s="88">
        <f t="shared" si="1"/>
        <v>51557.936447403874</v>
      </c>
      <c r="J13" s="88">
        <f t="shared" si="1"/>
        <v>55249.878090467559</v>
      </c>
      <c r="K13" s="88">
        <f t="shared" si="1"/>
        <v>59075.286549827877</v>
      </c>
      <c r="L13" s="21"/>
    </row>
    <row r="14" spans="2:13" ht="3.75" customHeight="1">
      <c r="B14" s="21"/>
      <c r="C14" s="21"/>
      <c r="D14" s="21"/>
      <c r="E14" s="21"/>
      <c r="F14" s="21"/>
      <c r="G14" s="35"/>
      <c r="H14" s="35"/>
      <c r="I14" s="35"/>
      <c r="J14" s="35"/>
      <c r="K14" s="35"/>
      <c r="L14" s="21"/>
      <c r="M14" s="21"/>
    </row>
    <row r="15" spans="2:13">
      <c r="B15" s="7" t="s">
        <v>79</v>
      </c>
      <c r="C15" s="13">
        <f>SUMIF('BS assumptions'!$B:$B,BS!$B15,'BS assumptions'!C:C)</f>
        <v>7252</v>
      </c>
      <c r="D15" s="13">
        <f>SUMIF('BS assumptions'!$B:$B,BS!$B15,'BS assumptions'!D:D)</f>
        <v>8677</v>
      </c>
      <c r="E15" s="13">
        <f>SUMIF('BS assumptions'!$B:$B,BS!$B15,'BS assumptions'!E:E)</f>
        <v>9761</v>
      </c>
      <c r="G15" s="27">
        <f>SUMIF('BS assumptions'!$B:$B,BS!$B15,'BS assumptions'!G:G)</f>
        <v>10052.959601742095</v>
      </c>
      <c r="H15" s="27">
        <f>SUMIF('BS assumptions'!$B:$B,BS!$B15,'BS assumptions'!H:H)</f>
        <v>10410.067196185362</v>
      </c>
      <c r="I15" s="27">
        <f>SUMIF('BS assumptions'!$B:$B,BS!$B15,'BS assumptions'!I:I)</f>
        <v>10779.860192645656</v>
      </c>
      <c r="J15" s="27">
        <f>SUMIF('BS assumptions'!$B:$B,BS!$B15,'BS assumptions'!J:J)</f>
        <v>11162.789210003224</v>
      </c>
      <c r="K15" s="27">
        <f>SUMIF('BS assumptions'!$B:$B,BS!$B15,'BS assumptions'!K:K)</f>
        <v>11559.320874307405</v>
      </c>
    </row>
    <row r="16" spans="2:13">
      <c r="B16" s="7" t="s">
        <v>81</v>
      </c>
      <c r="C16" s="13">
        <f>SUMIF('BS assumptions'!$B:$B,BS!$B16,'BS assumptions'!C:C)</f>
        <v>0</v>
      </c>
      <c r="D16" s="13">
        <f>SUMIF('BS assumptions'!$B:$B,BS!$B16,'BS assumptions'!D:D)</f>
        <v>1924</v>
      </c>
      <c r="E16" s="13">
        <f>SUMIF('BS assumptions'!$B:$B,BS!$B16,'BS assumptions'!E:E)</f>
        <v>2004</v>
      </c>
      <c r="F16" s="37"/>
      <c r="G16" s="35">
        <f>SUMIF('BS assumptions'!$B:$B,BS!$B16,'BS assumptions'!G:G)</f>
        <v>2075.1873565213859</v>
      </c>
      <c r="H16" s="35">
        <f>SUMIF('BS assumptions'!$B:$B,BS!$B16,'BS assumptions'!H:H)</f>
        <v>2148.9034753823444</v>
      </c>
      <c r="I16" s="35">
        <f>SUMIF('BS assumptions'!$B:$B,BS!$B16,'BS assumptions'!I:I)</f>
        <v>2225.2381848793943</v>
      </c>
      <c r="J16" s="35">
        <f>SUMIF('BS assumptions'!$B:$B,BS!$B16,'BS assumptions'!J:J)</f>
        <v>2304.2845042466656</v>
      </c>
      <c r="K16" s="35">
        <f>SUMIF('BS assumptions'!$B:$B,BS!$B16,'BS assumptions'!K:K)</f>
        <v>2386.1387570064026</v>
      </c>
      <c r="L16" s="21"/>
      <c r="M16" s="21"/>
    </row>
    <row r="17" spans="2:13">
      <c r="B17" s="7" t="s">
        <v>30</v>
      </c>
      <c r="C17" s="13">
        <f>'BS source'!J15</f>
        <v>12749</v>
      </c>
      <c r="D17" s="13">
        <f>'BS source'!K15</f>
        <v>11398</v>
      </c>
      <c r="E17" s="13">
        <f>'BS source'!L15</f>
        <v>11275</v>
      </c>
      <c r="F17" s="37"/>
      <c r="G17" s="35">
        <f>$E$17</f>
        <v>11275</v>
      </c>
      <c r="H17" s="35">
        <f t="shared" ref="H17:K17" si="2">$E$17</f>
        <v>11275</v>
      </c>
      <c r="I17" s="35">
        <f t="shared" si="2"/>
        <v>11275</v>
      </c>
      <c r="J17" s="35">
        <f t="shared" si="2"/>
        <v>11275</v>
      </c>
      <c r="K17" s="35">
        <f t="shared" si="2"/>
        <v>11275</v>
      </c>
      <c r="L17" s="21"/>
      <c r="M17" s="21" t="s">
        <v>403</v>
      </c>
    </row>
    <row r="18" spans="2:13">
      <c r="B18" s="7" t="s">
        <v>29</v>
      </c>
      <c r="C18" s="13">
        <f>SUMIF('BS assumptions'!$B:$B,BS!$B18,'BS assumptions'!C:C)</f>
        <v>6477</v>
      </c>
      <c r="D18" s="13">
        <f>SUMIF('BS assumptions'!$B:$B,BS!$B18,'BS assumptions'!D:D)</f>
        <v>6653</v>
      </c>
      <c r="E18" s="13">
        <f>SUMIF('BS assumptions'!$B:$B,BS!$B18,'BS assumptions'!E:E)</f>
        <v>6953</v>
      </c>
      <c r="F18" s="37"/>
      <c r="G18" s="35">
        <f>SUMIF('BS assumptions'!$B:$B,BS!$B18,'BS assumptions'!G:G)</f>
        <v>7199.9888672121742</v>
      </c>
      <c r="H18" s="35">
        <f>SUMIF('BS assumptions'!$B:$B,BS!$B18,'BS assumptions'!H:H)</f>
        <v>7455.751429308104</v>
      </c>
      <c r="I18" s="35">
        <f>SUMIF('BS assumptions'!$B:$B,BS!$B18,'BS assumptions'!I:I)</f>
        <v>7720.5993510311519</v>
      </c>
      <c r="J18" s="35">
        <f>SUMIF('BS assumptions'!$B:$B,BS!$B18,'BS assumptions'!J:J)</f>
        <v>7994.8553682769789</v>
      </c>
      <c r="K18" s="35">
        <f>SUMIF('BS assumptions'!$B:$B,BS!$B18,'BS assumptions'!K:K)</f>
        <v>8278.8536813700175</v>
      </c>
      <c r="L18" s="21"/>
      <c r="M18" s="21"/>
    </row>
    <row r="19" spans="2:13" ht="3.75" customHeight="1">
      <c r="B19" s="21"/>
      <c r="C19" s="37"/>
      <c r="D19" s="37"/>
      <c r="E19" s="37"/>
      <c r="F19" s="37"/>
      <c r="G19" s="35"/>
      <c r="H19" s="35"/>
      <c r="I19" s="35"/>
      <c r="J19" s="35"/>
      <c r="K19" s="35"/>
      <c r="L19" s="21"/>
      <c r="M19" s="21"/>
    </row>
    <row r="20" spans="2:13">
      <c r="B20" s="21" t="s">
        <v>31</v>
      </c>
      <c r="C20" s="37">
        <f>SUM(C15:C18)</f>
        <v>26478</v>
      </c>
      <c r="D20" s="37">
        <f t="shared" ref="D20:E20" si="3">SUM(D15:D18)</f>
        <v>28652</v>
      </c>
      <c r="E20" s="37">
        <f t="shared" si="3"/>
        <v>29993</v>
      </c>
      <c r="F20" s="37"/>
      <c r="G20" s="35">
        <f>SUM(G15:G18)</f>
        <v>30603.135825475656</v>
      </c>
      <c r="H20" s="35">
        <f t="shared" ref="H20:K20" si="4">SUM(H15:H18)</f>
        <v>31289.72210087581</v>
      </c>
      <c r="I20" s="35">
        <f t="shared" si="4"/>
        <v>32000.697728556202</v>
      </c>
      <c r="J20" s="35">
        <f t="shared" si="4"/>
        <v>32736.929082526869</v>
      </c>
      <c r="K20" s="35">
        <f t="shared" si="4"/>
        <v>33499.313312683822</v>
      </c>
      <c r="L20" s="21"/>
    </row>
    <row r="21" spans="2:13" ht="3.75" customHeight="1">
      <c r="B21" s="21"/>
      <c r="C21" s="37"/>
      <c r="D21" s="37"/>
      <c r="E21" s="37"/>
      <c r="F21" s="37"/>
      <c r="G21" s="35"/>
      <c r="H21" s="35"/>
      <c r="I21" s="35"/>
      <c r="J21" s="35"/>
      <c r="K21" s="35"/>
      <c r="L21" s="21"/>
      <c r="M21" s="21"/>
    </row>
    <row r="22" spans="2:13">
      <c r="B22" s="21" t="s">
        <v>27</v>
      </c>
      <c r="C22" s="37">
        <f>SUMIF('BS source'!$H:$H,BS!$B22,'BS source'!J:J)</f>
        <v>10953</v>
      </c>
      <c r="D22" s="37">
        <f>SUMIF('BS source'!$H:$H,BS!$B22,'BS source'!K:K)</f>
        <v>11651</v>
      </c>
      <c r="E22" s="37">
        <f>SUMIF('BS source'!$H:$H,BS!$B22,'BS source'!L:L)</f>
        <v>11297</v>
      </c>
      <c r="F22" s="37"/>
      <c r="G22" s="35">
        <f>E22+'P&amp;L'!G24</f>
        <v>13952.832963193214</v>
      </c>
      <c r="H22" s="35">
        <f>G22+'P&amp;L'!H24</f>
        <v>16705.077554865471</v>
      </c>
      <c r="I22" s="35">
        <f>H22+'P&amp;L'!I24</f>
        <v>19557.238718847668</v>
      </c>
      <c r="J22" s="35">
        <f>I22+'P&amp;L'!J24</f>
        <v>22512.949007940697</v>
      </c>
      <c r="K22" s="35">
        <f>J22+'P&amp;L'!K24</f>
        <v>25575.973237144062</v>
      </c>
      <c r="L22" s="21"/>
      <c r="M22" s="21"/>
    </row>
    <row r="23" spans="2:13" ht="3.75" customHeight="1">
      <c r="B23" s="21"/>
      <c r="C23" s="37"/>
      <c r="D23" s="37"/>
      <c r="E23" s="37"/>
      <c r="F23" s="37"/>
      <c r="G23" s="35"/>
      <c r="H23" s="35"/>
      <c r="I23" s="35"/>
      <c r="J23" s="35"/>
      <c r="K23" s="35"/>
      <c r="L23" s="21"/>
      <c r="M23" s="21"/>
    </row>
    <row r="24" spans="2:13" ht="12" thickBot="1">
      <c r="B24" s="24" t="s">
        <v>32</v>
      </c>
      <c r="C24" s="90">
        <f>C22+C20</f>
        <v>37431</v>
      </c>
      <c r="D24" s="90">
        <f t="shared" ref="D24:E24" si="5">D22+D20</f>
        <v>40303</v>
      </c>
      <c r="E24" s="90">
        <f t="shared" si="5"/>
        <v>41290</v>
      </c>
      <c r="F24" s="30"/>
      <c r="G24" s="88">
        <f>G22+G20</f>
        <v>44555.96878866887</v>
      </c>
      <c r="H24" s="88">
        <f t="shared" ref="H24:K24" si="6">H22+H20</f>
        <v>47994.799655741284</v>
      </c>
      <c r="I24" s="88">
        <f t="shared" si="6"/>
        <v>51557.936447403874</v>
      </c>
      <c r="J24" s="88">
        <f t="shared" si="6"/>
        <v>55249.878090467566</v>
      </c>
      <c r="K24" s="88">
        <f t="shared" si="6"/>
        <v>59075.286549827884</v>
      </c>
      <c r="L24" s="21"/>
      <c r="M24" s="21"/>
    </row>
    <row r="25" spans="2:13">
      <c r="B25" s="21"/>
      <c r="C25" s="21"/>
      <c r="D25" s="21"/>
      <c r="E25" s="21"/>
      <c r="F25" s="21"/>
      <c r="G25" s="37"/>
      <c r="H25" s="37"/>
      <c r="I25" s="37"/>
      <c r="J25" s="37"/>
      <c r="K25" s="37"/>
      <c r="L25" s="21"/>
      <c r="M25" s="21"/>
    </row>
    <row r="26" spans="2:13">
      <c r="B26" s="21"/>
      <c r="C26" s="21"/>
      <c r="D26" s="21"/>
      <c r="E26" s="21"/>
      <c r="F26" s="21"/>
      <c r="G26" s="37"/>
      <c r="H26" s="37"/>
      <c r="I26" s="37"/>
      <c r="J26" s="37"/>
      <c r="K26" s="37"/>
      <c r="L26" s="21"/>
      <c r="M26" s="21"/>
    </row>
    <row r="27" spans="2:13">
      <c r="B27" s="21"/>
      <c r="C27" s="21"/>
      <c r="D27" s="21"/>
      <c r="E27" s="21"/>
      <c r="F27" s="21"/>
      <c r="G27" s="37"/>
      <c r="H27" s="37"/>
      <c r="I27" s="37"/>
      <c r="J27" s="37"/>
      <c r="K27" s="37"/>
      <c r="L27" s="21"/>
      <c r="M27" s="21"/>
    </row>
    <row r="29" spans="2:13">
      <c r="B29" s="7" t="s">
        <v>114</v>
      </c>
      <c r="C29" s="89">
        <f>C13-C24</f>
        <v>0</v>
      </c>
      <c r="D29" s="89">
        <f t="shared" ref="D29:K29" si="7">D13-D24</f>
        <v>0</v>
      </c>
      <c r="E29" s="89">
        <f t="shared" si="7"/>
        <v>0</v>
      </c>
      <c r="F29" s="89"/>
      <c r="G29" s="89">
        <f>G13-G24</f>
        <v>0</v>
      </c>
      <c r="H29" s="89">
        <f t="shared" si="7"/>
        <v>0</v>
      </c>
      <c r="I29" s="89">
        <f t="shared" si="7"/>
        <v>0</v>
      </c>
      <c r="J29" s="89">
        <f t="shared" si="7"/>
        <v>0</v>
      </c>
      <c r="K29" s="89">
        <f t="shared" si="7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0"/>
  <sheetViews>
    <sheetView workbookViewId="0">
      <selection activeCell="E30" sqref="E30"/>
    </sheetView>
  </sheetViews>
  <sheetFormatPr defaultColWidth="9.1796875" defaultRowHeight="11.5"/>
  <cols>
    <col min="1" max="1" width="2" style="11" customWidth="1"/>
    <col min="2" max="2" width="31.54296875" style="11" bestFit="1" customWidth="1"/>
    <col min="3" max="3" width="9.1796875" style="11" customWidth="1"/>
    <col min="4" max="4" width="9.54296875" style="11" bestFit="1" customWidth="1"/>
    <col min="5" max="5" width="9.1796875" style="11"/>
    <col min="6" max="6" width="2" style="11" customWidth="1"/>
    <col min="7" max="11" width="9.1796875" style="11"/>
    <col min="12" max="12" width="2" style="11" customWidth="1"/>
    <col min="13" max="16384" width="9.1796875" style="11"/>
  </cols>
  <sheetData>
    <row r="1" spans="2:15" ht="15.5">
      <c r="B1" s="12" t="s">
        <v>19</v>
      </c>
      <c r="C1" s="12"/>
    </row>
    <row r="2" spans="2:15">
      <c r="B2" s="11" t="s">
        <v>47</v>
      </c>
    </row>
    <row r="3" spans="2:15" ht="23.5" thickBot="1">
      <c r="B3" s="17" t="s">
        <v>72</v>
      </c>
      <c r="C3" s="18"/>
      <c r="D3" s="18" t="s">
        <v>54</v>
      </c>
      <c r="E3" s="18" t="s">
        <v>55</v>
      </c>
      <c r="F3" s="22"/>
      <c r="G3" s="19" t="s">
        <v>56</v>
      </c>
      <c r="H3" s="19" t="s">
        <v>57</v>
      </c>
      <c r="I3" s="19" t="s">
        <v>58</v>
      </c>
      <c r="J3" s="19" t="s">
        <v>59</v>
      </c>
      <c r="K3" s="19" t="s">
        <v>60</v>
      </c>
      <c r="L3" s="7"/>
      <c r="M3" s="23" t="s">
        <v>35</v>
      </c>
    </row>
    <row r="4" spans="2:15" ht="3.75" customHeight="1">
      <c r="B4" s="24"/>
      <c r="C4" s="22"/>
      <c r="D4" s="22"/>
      <c r="E4" s="22"/>
      <c r="F4" s="22"/>
      <c r="G4" s="72"/>
      <c r="H4" s="72"/>
      <c r="I4" s="72"/>
      <c r="J4" s="72"/>
      <c r="K4" s="72"/>
      <c r="L4" s="7"/>
      <c r="M4" s="87"/>
    </row>
    <row r="5" spans="2:15">
      <c r="B5" s="11" t="s">
        <v>11</v>
      </c>
      <c r="D5" s="31">
        <f>'P&amp;L'!D15</f>
        <v>4224</v>
      </c>
      <c r="E5" s="31">
        <f>'P&amp;L'!E15</f>
        <v>4110</v>
      </c>
      <c r="F5" s="31"/>
      <c r="G5" s="32">
        <f>'P&amp;L'!G15</f>
        <v>4583.6757023371929</v>
      </c>
      <c r="H5" s="32">
        <f>'P&amp;L'!H15</f>
        <v>4749.5746083063841</v>
      </c>
      <c r="I5" s="32">
        <f>'P&amp;L'!I15</f>
        <v>4921.4857612226224</v>
      </c>
      <c r="J5" s="32">
        <f>'P&amp;L'!J15</f>
        <v>5099.6273438876124</v>
      </c>
      <c r="K5" s="32">
        <f>'P&amp;L'!K15</f>
        <v>5284.2254681500517</v>
      </c>
    </row>
    <row r="6" spans="2:15">
      <c r="B6" s="11" t="s">
        <v>347</v>
      </c>
      <c r="D6" s="49">
        <f>D5*D7</f>
        <v>-1380.984599848523</v>
      </c>
      <c r="E6" s="49">
        <f>E5*E7</f>
        <v>-1343.7137086594294</v>
      </c>
      <c r="F6" s="31"/>
      <c r="G6" s="32">
        <f>G5*G7</f>
        <v>-1498.5761258587893</v>
      </c>
      <c r="H6" s="32">
        <f t="shared" ref="H6:K6" si="0">H5*H7</f>
        <v>-1552.814722988328</v>
      </c>
      <c r="I6" s="32">
        <f t="shared" si="0"/>
        <v>-1609.0189499579135</v>
      </c>
      <c r="J6" s="32">
        <f t="shared" si="0"/>
        <v>-1667.2601389382626</v>
      </c>
      <c r="K6" s="32">
        <f t="shared" si="0"/>
        <v>-1727.6122144040182</v>
      </c>
    </row>
    <row r="7" spans="2:15">
      <c r="B7" s="43" t="s">
        <v>348</v>
      </c>
      <c r="C7" s="43"/>
      <c r="D7" s="38">
        <f>'P&amp;L'!D22</f>
        <v>-0.32693764200959352</v>
      </c>
      <c r="E7" s="38">
        <f>'P&amp;L'!E22</f>
        <v>-0.32693764200959352</v>
      </c>
      <c r="F7" s="38"/>
      <c r="G7" s="42">
        <f>'P&amp;L'!G22</f>
        <v>-0.32693764200959352</v>
      </c>
      <c r="H7" s="42">
        <f>'P&amp;L'!H22</f>
        <v>-0.32693764200959352</v>
      </c>
      <c r="I7" s="42">
        <f>'P&amp;L'!I22</f>
        <v>-0.32693764200959352</v>
      </c>
      <c r="J7" s="42">
        <f>'P&amp;L'!J22</f>
        <v>-0.32693764200959352</v>
      </c>
      <c r="K7" s="42">
        <f>'P&amp;L'!K22</f>
        <v>-0.32693764200959352</v>
      </c>
      <c r="L7" s="43"/>
      <c r="M7" s="43"/>
      <c r="N7" s="43"/>
      <c r="O7" s="43"/>
    </row>
    <row r="8" spans="2:15">
      <c r="B8" s="24" t="s">
        <v>349</v>
      </c>
      <c r="C8" s="24"/>
      <c r="D8" s="80">
        <f>D5+D6</f>
        <v>2843.015400151477</v>
      </c>
      <c r="E8" s="80">
        <f>E5+E6</f>
        <v>2766.2862913405706</v>
      </c>
      <c r="F8" s="261"/>
      <c r="G8" s="82">
        <f>G5+G6</f>
        <v>3085.0995764784038</v>
      </c>
      <c r="H8" s="82">
        <f t="shared" ref="H8:K8" si="1">H5+H6</f>
        <v>3196.7598853180561</v>
      </c>
      <c r="I8" s="82">
        <f t="shared" si="1"/>
        <v>3312.4668112647087</v>
      </c>
      <c r="J8" s="82">
        <f t="shared" si="1"/>
        <v>3432.3672049493498</v>
      </c>
      <c r="K8" s="82">
        <f t="shared" si="1"/>
        <v>3556.6132537460335</v>
      </c>
      <c r="L8" s="43"/>
      <c r="N8" s="43"/>
      <c r="O8" s="43"/>
    </row>
    <row r="9" spans="2:15" ht="3.75" customHeight="1">
      <c r="B9" s="43"/>
      <c r="C9" s="43"/>
      <c r="D9" s="44"/>
      <c r="E9" s="44"/>
      <c r="F9" s="43"/>
      <c r="G9" s="35"/>
      <c r="H9" s="35"/>
      <c r="I9" s="35"/>
      <c r="J9" s="35"/>
      <c r="K9" s="35"/>
      <c r="L9" s="43"/>
      <c r="N9" s="43"/>
      <c r="O9" s="43"/>
    </row>
    <row r="10" spans="2:15">
      <c r="B10" s="43" t="s">
        <v>350</v>
      </c>
      <c r="C10" s="43"/>
      <c r="D10" s="44">
        <f>-'P&amp;L'!D14</f>
        <v>2225</v>
      </c>
      <c r="E10" s="44">
        <f>-'P&amp;L'!E14</f>
        <v>2224</v>
      </c>
      <c r="F10" s="43"/>
      <c r="G10" s="35">
        <f>-'P&amp;L'!G14</f>
        <v>2303.0023357802211</v>
      </c>
      <c r="H10" s="35">
        <f>-'P&amp;L'!H14</f>
        <v>2384.8110425400869</v>
      </c>
      <c r="I10" s="35">
        <f>-'P&amp;L'!I14</f>
        <v>2469.5258099659545</v>
      </c>
      <c r="J10" s="35">
        <f>-'P&amp;L'!J14</f>
        <v>2557.2498689843237</v>
      </c>
      <c r="K10" s="35">
        <f>-'P&amp;L'!K14</f>
        <v>2648.0901175560075</v>
      </c>
      <c r="L10" s="43"/>
      <c r="N10" s="43"/>
      <c r="O10" s="43"/>
    </row>
    <row r="11" spans="2:15">
      <c r="B11" s="24" t="s">
        <v>351</v>
      </c>
      <c r="C11" s="43"/>
      <c r="D11" s="80">
        <f>D8+D10</f>
        <v>5068.0154001514766</v>
      </c>
      <c r="E11" s="80">
        <f>E8+E10</f>
        <v>4990.2862913405706</v>
      </c>
      <c r="F11" s="261"/>
      <c r="G11" s="82">
        <f>G8+G10</f>
        <v>5388.1019122586249</v>
      </c>
      <c r="H11" s="82">
        <f t="shared" ref="H11:K11" si="2">H8+H10</f>
        <v>5581.5709278581435</v>
      </c>
      <c r="I11" s="82">
        <f t="shared" si="2"/>
        <v>5781.9926212306636</v>
      </c>
      <c r="J11" s="82">
        <f t="shared" si="2"/>
        <v>5989.617073933674</v>
      </c>
      <c r="K11" s="82">
        <f t="shared" si="2"/>
        <v>6204.703371302041</v>
      </c>
      <c r="L11" s="43"/>
      <c r="M11" s="11" t="s">
        <v>360</v>
      </c>
      <c r="N11" s="43"/>
      <c r="O11" s="43"/>
    </row>
    <row r="12" spans="2:15" ht="3.75" customHeight="1">
      <c r="B12" s="43"/>
      <c r="C12" s="43"/>
      <c r="D12" s="44"/>
      <c r="E12" s="44"/>
      <c r="F12" s="43"/>
      <c r="G12" s="35"/>
      <c r="H12" s="35"/>
      <c r="I12" s="35"/>
      <c r="J12" s="35"/>
      <c r="K12" s="35"/>
      <c r="L12" s="43"/>
      <c r="N12" s="43"/>
      <c r="O12" s="43"/>
    </row>
    <row r="13" spans="2:15">
      <c r="B13" s="43" t="s">
        <v>22</v>
      </c>
      <c r="C13" s="24"/>
      <c r="D13" s="44">
        <f>-(BS!D8-BS!C8)</f>
        <v>-288</v>
      </c>
      <c r="E13" s="44">
        <f>-(BS!E8-BS!D8)</f>
        <v>-900</v>
      </c>
      <c r="F13" s="29"/>
      <c r="G13" s="32">
        <f>-(BS!G8-BS!E8)</f>
        <v>-284.06314288952854</v>
      </c>
      <c r="H13" s="32">
        <f>-(BS!H8-BS!G8)</f>
        <v>-347.44911632288677</v>
      </c>
      <c r="I13" s="32">
        <f>-(BS!I8-BS!H8)</f>
        <v>-359.79142376635718</v>
      </c>
      <c r="J13" s="32">
        <f>-(BS!J8-BS!I8)</f>
        <v>-372.57216246745338</v>
      </c>
      <c r="K13" s="32">
        <f>-(BS!K8-BS!J8)</f>
        <v>-385.80690665882867</v>
      </c>
      <c r="L13" s="43"/>
      <c r="N13" s="43"/>
      <c r="O13" s="43"/>
    </row>
    <row r="14" spans="2:15">
      <c r="B14" s="43" t="s">
        <v>78</v>
      </c>
      <c r="C14" s="24"/>
      <c r="D14" s="44">
        <f>-(BS!D9-BS!C9)</f>
        <v>-180</v>
      </c>
      <c r="E14" s="44">
        <f>-(BS!E9-BS!D9)</f>
        <v>-171</v>
      </c>
      <c r="F14" s="29"/>
      <c r="G14" s="32">
        <f>-(BS!G9-BS!E9)</f>
        <v>-39.074896294174096</v>
      </c>
      <c r="H14" s="32">
        <f>-(BS!H9-BS!G9)</f>
        <v>-40.462939494537977</v>
      </c>
      <c r="I14" s="32">
        <f>-(BS!I9-BS!H9)</f>
        <v>-41.900289644089298</v>
      </c>
      <c r="J14" s="32">
        <f>-(BS!J9-BS!I9)</f>
        <v>-43.38869825548818</v>
      </c>
      <c r="K14" s="32">
        <f>-(BS!K9-BS!J9)</f>
        <v>-44.929979059735842</v>
      </c>
      <c r="L14" s="43"/>
      <c r="N14" s="43"/>
      <c r="O14" s="43"/>
    </row>
    <row r="15" spans="2:15">
      <c r="B15" s="43" t="s">
        <v>103</v>
      </c>
      <c r="C15" s="55"/>
      <c r="D15" s="44">
        <f>(BS!D15-BS!C15)</f>
        <v>1425</v>
      </c>
      <c r="E15" s="44">
        <f>(BS!E15-BS!D15)</f>
        <v>1084</v>
      </c>
      <c r="F15" s="47"/>
      <c r="G15" s="32">
        <f>(BS!G15-BS!E15)</f>
        <v>291.9596017420954</v>
      </c>
      <c r="H15" s="32">
        <f>(BS!H15-BS!G15)</f>
        <v>357.10759444326686</v>
      </c>
      <c r="I15" s="32">
        <f>(BS!I15-BS!H15)</f>
        <v>369.79299646029358</v>
      </c>
      <c r="J15" s="32">
        <f>(BS!J15-BS!I15)</f>
        <v>382.92901735756823</v>
      </c>
      <c r="K15" s="32">
        <f>(BS!K15-BS!J15)</f>
        <v>396.53166430418059</v>
      </c>
      <c r="L15" s="43"/>
      <c r="N15" s="43"/>
      <c r="O15" s="43"/>
    </row>
    <row r="16" spans="2:15" ht="3.75" customHeight="1">
      <c r="B16" s="45"/>
      <c r="C16" s="55"/>
      <c r="D16" s="47"/>
      <c r="E16" s="47"/>
      <c r="F16" s="47"/>
      <c r="G16" s="35"/>
      <c r="H16" s="35"/>
      <c r="I16" s="35"/>
      <c r="J16" s="35"/>
      <c r="K16" s="35"/>
      <c r="L16" s="43"/>
      <c r="N16" s="43"/>
      <c r="O16" s="43"/>
    </row>
    <row r="17" spans="2:15">
      <c r="B17" s="45" t="s">
        <v>352</v>
      </c>
      <c r="C17" s="55"/>
      <c r="D17" s="80">
        <f>SUM(D13:D15)</f>
        <v>957</v>
      </c>
      <c r="E17" s="80">
        <f>SUM(E13:E15)</f>
        <v>13</v>
      </c>
      <c r="F17" s="261"/>
      <c r="G17" s="82">
        <f>SUM(G13:G15)</f>
        <v>-31.17843744160723</v>
      </c>
      <c r="H17" s="82">
        <f t="shared" ref="H17:K17" si="3">SUM(H13:H15)</f>
        <v>-30.804461374157881</v>
      </c>
      <c r="I17" s="82">
        <f t="shared" si="3"/>
        <v>-31.898716950152902</v>
      </c>
      <c r="J17" s="82">
        <f t="shared" si="3"/>
        <v>-33.031843365373334</v>
      </c>
      <c r="K17" s="82">
        <f t="shared" si="3"/>
        <v>-34.205221414383914</v>
      </c>
      <c r="L17" s="43"/>
      <c r="M17" s="11" t="s">
        <v>361</v>
      </c>
      <c r="N17" s="43"/>
      <c r="O17" s="43"/>
    </row>
    <row r="18" spans="2:15">
      <c r="B18" s="45" t="s">
        <v>353</v>
      </c>
      <c r="C18" s="55"/>
      <c r="D18" s="46">
        <f>-(BS!D10-BS!C10)+(BS!D18-BS!C18)</f>
        <v>115</v>
      </c>
      <c r="E18" s="46">
        <f>-(BS!E10-BS!D10)+(BS!E18-BS!D18)</f>
        <v>365</v>
      </c>
      <c r="F18" s="43"/>
      <c r="G18" s="36">
        <f>-(BS!G10-BS!E10)+(BS!G18-BS!E18)</f>
        <v>213.59759219715284</v>
      </c>
      <c r="H18" s="36">
        <f>-(BS!H10-BS!G10)+(BS!H18-BS!G18)</f>
        <v>221.18514107332453</v>
      </c>
      <c r="I18" s="36">
        <f>-(BS!I10-BS!H10)+(BS!I18-BS!H18)</f>
        <v>229.0422196635534</v>
      </c>
      <c r="J18" s="36">
        <f>-(BS!J10-BS!I10)+(BS!J18-BS!I18)</f>
        <v>237.17840237295536</v>
      </c>
      <c r="K18" s="36">
        <f>-(BS!K10-BS!J10)+(BS!K18-BS!J18)</f>
        <v>245.60360371471893</v>
      </c>
      <c r="L18" s="43"/>
      <c r="M18" s="11" t="s">
        <v>362</v>
      </c>
      <c r="N18" s="43"/>
      <c r="O18" s="43"/>
    </row>
    <row r="19" spans="2:15" ht="3.75" customHeight="1">
      <c r="B19" s="43"/>
      <c r="C19" s="43"/>
      <c r="D19" s="43"/>
      <c r="E19" s="43"/>
      <c r="F19" s="43"/>
      <c r="G19" s="36"/>
      <c r="H19" s="36"/>
      <c r="I19" s="36"/>
      <c r="J19" s="36"/>
      <c r="K19" s="36"/>
      <c r="L19" s="43"/>
      <c r="N19" s="43"/>
      <c r="O19" s="43"/>
    </row>
    <row r="20" spans="2:15" ht="12" customHeight="1">
      <c r="B20" s="45" t="s">
        <v>354</v>
      </c>
      <c r="C20" s="55"/>
      <c r="D20" s="46">
        <f>-(BS!D5-BS!C5)+'P&amp;L'!D14</f>
        <v>-2103</v>
      </c>
      <c r="E20" s="46">
        <f>-(BS!E5-BS!D5)+'P&amp;L'!E14</f>
        <v>-3221</v>
      </c>
      <c r="F20" s="43"/>
      <c r="G20" s="36">
        <f>-(BS!G5-BS!E5)+'P&amp;L'!G14</f>
        <v>-3210.0017240339885</v>
      </c>
      <c r="H20" s="36">
        <f>-(BS!H5-BS!G5)+'P&amp;L'!H14</f>
        <v>-3324.029437189211</v>
      </c>
      <c r="I20" s="36">
        <f>-(BS!I5-BS!H5)+'P&amp;L'!I14</f>
        <v>-3442.1077149500775</v>
      </c>
      <c r="J20" s="36">
        <f>-(BS!J5-BS!I5)+'P&amp;L'!J14</f>
        <v>-3564.3804440364879</v>
      </c>
      <c r="K20" s="36">
        <f>-(BS!K5-BS!J5)+'P&amp;L'!K14</f>
        <v>-3690.9966224034915</v>
      </c>
      <c r="L20" s="43"/>
      <c r="M20" s="11" t="s">
        <v>363</v>
      </c>
      <c r="N20" s="43"/>
      <c r="O20" s="43"/>
    </row>
    <row r="21" spans="2:15" ht="3.75" customHeight="1">
      <c r="B21" s="43"/>
      <c r="C21" s="43"/>
      <c r="D21" s="46"/>
      <c r="E21" s="46"/>
      <c r="F21" s="43"/>
      <c r="G21" s="64"/>
      <c r="H21" s="64"/>
      <c r="I21" s="64"/>
      <c r="J21" s="64"/>
      <c r="K21" s="64"/>
      <c r="L21" s="43"/>
      <c r="N21" s="43"/>
      <c r="O21" s="43"/>
    </row>
    <row r="22" spans="2:15">
      <c r="B22" s="45" t="s">
        <v>355</v>
      </c>
      <c r="C22" s="60"/>
      <c r="D22" s="46">
        <f>-(BS!D7-BS!C7)-(BS!D6-BS!C6)+(BS!D16-BS!C16)</f>
        <v>-410</v>
      </c>
      <c r="E22" s="46">
        <f>-(BS!E7-BS!D7)-(BS!E6-BS!D6)+(BS!E16-BS!D16)</f>
        <v>9</v>
      </c>
      <c r="F22" s="60"/>
      <c r="G22" s="36">
        <f>-(BS!G7-BS!E7)-(BS!G6-BS!E6)+(BS!G16-BS!E16)</f>
        <v>1.3853826867934913</v>
      </c>
      <c r="H22" s="36">
        <f>-(BS!H7-BS!G7)-(BS!H6-BS!G6)+(BS!H16-BS!G16)</f>
        <v>1.434595127533612</v>
      </c>
      <c r="I22" s="36">
        <f>-(BS!I7-BS!H7)-(BS!I6-BS!H6)+(BS!I16-BS!H16)</f>
        <v>1.4855557237451649</v>
      </c>
      <c r="J22" s="36">
        <f>-(BS!J7-BS!I7)-(BS!J6-BS!I6)+(BS!J16-BS!I16)</f>
        <v>1.5383265745126664</v>
      </c>
      <c r="K22" s="36">
        <f>-(BS!K7-BS!J7)-(BS!K6-BS!J6)+(BS!K16-BS!J16)</f>
        <v>1.5929719848454624</v>
      </c>
      <c r="L22" s="43"/>
      <c r="M22" s="11" t="s">
        <v>364</v>
      </c>
      <c r="N22" s="43"/>
      <c r="O22" s="43"/>
    </row>
    <row r="23" spans="2:15" ht="3.75" customHeight="1">
      <c r="B23" s="43"/>
      <c r="C23" s="43"/>
      <c r="D23" s="43"/>
      <c r="E23" s="43"/>
      <c r="F23" s="43"/>
      <c r="G23" s="64"/>
      <c r="H23" s="64"/>
      <c r="I23" s="64"/>
      <c r="J23" s="64"/>
      <c r="K23" s="64"/>
      <c r="L23" s="43"/>
      <c r="N23" s="43"/>
      <c r="O23" s="43"/>
    </row>
    <row r="24" spans="2:15">
      <c r="B24" s="45" t="s">
        <v>98</v>
      </c>
      <c r="C24" s="60"/>
      <c r="D24" s="46">
        <f>'P&amp;L'!D18</f>
        <v>59</v>
      </c>
      <c r="E24" s="46">
        <f>'P&amp;L'!E18</f>
        <v>27</v>
      </c>
      <c r="F24" s="60"/>
      <c r="G24" s="36">
        <f>'P&amp;L'!G18</f>
        <v>63.348651719833839</v>
      </c>
      <c r="H24" s="36">
        <f>'P&amp;L'!H18</f>
        <v>65.598962625586793</v>
      </c>
      <c r="I24" s="36">
        <f>'P&amp;L'!I18</f>
        <v>67.929210499768786</v>
      </c>
      <c r="J24" s="36">
        <f>'P&amp;L'!J18</f>
        <v>70.34223491397205</v>
      </c>
      <c r="K24" s="36">
        <f>'P&amp;L'!K18</f>
        <v>72.840976308848298</v>
      </c>
      <c r="L24" s="43"/>
      <c r="M24" s="11" t="s">
        <v>365</v>
      </c>
      <c r="N24" s="43"/>
      <c r="O24" s="43"/>
    </row>
    <row r="25" spans="2:15" ht="3.75" customHeight="1">
      <c r="B25" s="43"/>
      <c r="C25" s="43"/>
      <c r="D25" s="43"/>
      <c r="E25" s="43"/>
      <c r="F25" s="43"/>
      <c r="G25" s="64"/>
      <c r="H25" s="64"/>
      <c r="I25" s="64"/>
      <c r="J25" s="64"/>
      <c r="K25" s="64"/>
      <c r="L25" s="43"/>
      <c r="N25" s="43"/>
      <c r="O25" s="43"/>
    </row>
    <row r="26" spans="2:15">
      <c r="B26" s="256" t="s">
        <v>356</v>
      </c>
      <c r="C26" s="256"/>
      <c r="D26" s="257">
        <f>D11+D17+D18+D20+D22+D24</f>
        <v>3686.0154001514766</v>
      </c>
      <c r="E26" s="257">
        <f>E11+E17+E18+E20+E22+E24</f>
        <v>2183.2862913405706</v>
      </c>
      <c r="F26" s="257"/>
      <c r="G26" s="257">
        <f>G11+G17+G18+G20+G22+G24</f>
        <v>2425.2533773868095</v>
      </c>
      <c r="H26" s="257">
        <f>H11+H17+H18+H20+H22+H24</f>
        <v>2514.9557281212196</v>
      </c>
      <c r="I26" s="257">
        <f>I11+I17+I18+I20+I22+I24</f>
        <v>2606.4431752175014</v>
      </c>
      <c r="J26" s="257">
        <f>J11+J17+J18+J20+J22+J24</f>
        <v>2701.2637503932519</v>
      </c>
      <c r="K26" s="257">
        <f>K11+K17+K18+K20+K22+K24</f>
        <v>2799.5390794925779</v>
      </c>
      <c r="L26" s="43"/>
      <c r="M26" s="11" t="s">
        <v>366</v>
      </c>
      <c r="N26" s="43"/>
      <c r="O26" s="43"/>
    </row>
    <row r="27" spans="2:15" ht="3.75" customHeight="1"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N27" s="43"/>
      <c r="O27" s="43"/>
    </row>
    <row r="28" spans="2:15">
      <c r="B28" s="43" t="s">
        <v>357</v>
      </c>
      <c r="C28" s="60"/>
      <c r="D28" s="259">
        <f>'P&amp;L'!D17</f>
        <v>-653</v>
      </c>
      <c r="E28" s="259">
        <f>'P&amp;L'!E17</f>
        <v>-461</v>
      </c>
      <c r="F28" s="259"/>
      <c r="G28" s="259">
        <f>'P&amp;L'!G17</f>
        <v>-701.12999276358471</v>
      </c>
      <c r="H28" s="259">
        <f>'P&amp;L'!H17</f>
        <v>-726.03597617810476</v>
      </c>
      <c r="I28" s="259">
        <f>'P&amp;L'!I17</f>
        <v>-751.82668570083092</v>
      </c>
      <c r="J28" s="259">
        <f>'P&amp;L'!J17</f>
        <v>-778.53354913260591</v>
      </c>
      <c r="K28" s="259">
        <f>'P&amp;L'!K17</f>
        <v>-806.18911067250747</v>
      </c>
      <c r="L28" s="43"/>
      <c r="M28" s="11" t="s">
        <v>367</v>
      </c>
      <c r="N28" s="43"/>
      <c r="O28" s="43"/>
    </row>
    <row r="29" spans="2:15">
      <c r="B29" s="43" t="s">
        <v>375</v>
      </c>
      <c r="C29" s="43"/>
      <c r="D29" s="259">
        <f>'P&amp;L'!D21-'Cash Flow'!D6</f>
        <v>658.98459984852298</v>
      </c>
      <c r="E29" s="259">
        <f>'P&amp;L'!E21-'Cash Flow'!E6</f>
        <v>597.71370865942936</v>
      </c>
      <c r="F29" s="259"/>
      <c r="G29" s="259">
        <f>'P&amp;L'!G21-'Cash Flow'!G6</f>
        <v>208.51472775856018</v>
      </c>
      <c r="H29" s="259">
        <f>'P&amp;L'!H21-'Cash Flow'!H6</f>
        <v>215.92171990671818</v>
      </c>
      <c r="I29" s="259">
        <f>'P&amp;L'!I21-'Cash Flow'!I6</f>
        <v>223.59182791854982</v>
      </c>
      <c r="J29" s="259">
        <f>'P&amp;L'!J21-'Cash Flow'!J6</f>
        <v>231.53439836231541</v>
      </c>
      <c r="K29" s="259">
        <f>'P&amp;L'!K21-'Cash Flow'!K6</f>
        <v>239.75910982098935</v>
      </c>
      <c r="L29" s="43"/>
      <c r="M29" s="11" t="s">
        <v>368</v>
      </c>
    </row>
    <row r="30" spans="2:15">
      <c r="B30" s="43" t="s">
        <v>372</v>
      </c>
      <c r="C30" s="61"/>
      <c r="D30" s="259">
        <f>BS!D17-BS!C17</f>
        <v>-1351</v>
      </c>
      <c r="E30" s="259">
        <f>BS!E17-BS!D17</f>
        <v>-123</v>
      </c>
      <c r="F30" s="259"/>
      <c r="G30" s="259">
        <f>BS!G17-BS!E17</f>
        <v>0</v>
      </c>
      <c r="H30" s="259">
        <f>BS!H17-BS!G17</f>
        <v>0</v>
      </c>
      <c r="I30" s="259">
        <f>BS!I17-BS!H17</f>
        <v>0</v>
      </c>
      <c r="J30" s="259">
        <f>BS!J17-BS!I17</f>
        <v>0</v>
      </c>
      <c r="K30" s="259">
        <f>BS!K17-BS!J17</f>
        <v>0</v>
      </c>
      <c r="L30" s="43"/>
      <c r="M30" s="11" t="s">
        <v>369</v>
      </c>
    </row>
    <row r="31" spans="2:15">
      <c r="B31" s="43" t="s">
        <v>358</v>
      </c>
      <c r="C31" s="61"/>
      <c r="D31" s="259">
        <f>BS!D22-BS!C22-'P&amp;L'!D24</f>
        <v>-2210</v>
      </c>
      <c r="E31" s="259">
        <f>BS!E22-BS!D22-'P&amp;L'!E24</f>
        <v>-3284</v>
      </c>
      <c r="F31" s="259"/>
      <c r="G31" s="259">
        <f>BS!G22-BS!E22-'P&amp;L'!G24</f>
        <v>0</v>
      </c>
      <c r="H31" s="259">
        <f>BS!H22-BS!G22-'P&amp;L'!H24</f>
        <v>0</v>
      </c>
      <c r="I31" s="259">
        <f>BS!I22-BS!H22-'P&amp;L'!I24</f>
        <v>0</v>
      </c>
      <c r="J31" s="259">
        <f>BS!J22-BS!I22-'P&amp;L'!J24</f>
        <v>0</v>
      </c>
      <c r="K31" s="259">
        <f>BS!K22-BS!J22-'P&amp;L'!K24</f>
        <v>0</v>
      </c>
      <c r="L31" s="43"/>
      <c r="M31" s="11" t="s">
        <v>370</v>
      </c>
    </row>
    <row r="32" spans="2:15" ht="3.75" customHeight="1"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N32" s="43"/>
      <c r="O32" s="43"/>
    </row>
    <row r="33" spans="2:13">
      <c r="B33" s="85" t="s">
        <v>359</v>
      </c>
      <c r="C33" s="255"/>
      <c r="D33" s="257">
        <f>SUM(D26:D31)</f>
        <v>130.99999999999955</v>
      </c>
      <c r="E33" s="257">
        <f>SUM(E26:E31)</f>
        <v>-1087</v>
      </c>
      <c r="F33" s="257"/>
      <c r="G33" s="257">
        <f>SUM(G26:G31)</f>
        <v>1932.638112381785</v>
      </c>
      <c r="H33" s="257">
        <f>SUM(H26:H31)</f>
        <v>2004.8414718498332</v>
      </c>
      <c r="I33" s="257">
        <f>SUM(I26:I31)</f>
        <v>2078.2083174352201</v>
      </c>
      <c r="J33" s="257">
        <f>SUM(J26:J31)</f>
        <v>2154.2645996229612</v>
      </c>
      <c r="K33" s="257">
        <f>SUM(K26:K31)</f>
        <v>2233.1090786410596</v>
      </c>
      <c r="L33" s="43"/>
      <c r="M33" s="11" t="s">
        <v>371</v>
      </c>
    </row>
    <row r="34" spans="2:13">
      <c r="D34" s="54"/>
      <c r="E34" s="54"/>
    </row>
    <row r="36" spans="2:13">
      <c r="B36" s="61" t="s">
        <v>373</v>
      </c>
      <c r="D36" s="259">
        <f>BS!C11</f>
        <v>2512</v>
      </c>
      <c r="E36" s="259">
        <f>BS!D11</f>
        <v>2643</v>
      </c>
      <c r="F36" s="259"/>
      <c r="G36" s="259">
        <f>BS!E11</f>
        <v>1556</v>
      </c>
      <c r="H36" s="259">
        <f>BS!G11</f>
        <v>3488.638112381785</v>
      </c>
      <c r="I36" s="259">
        <f>BS!H11</f>
        <v>5493.479584231618</v>
      </c>
      <c r="J36" s="259">
        <f>BS!I11</f>
        <v>7571.6879016668381</v>
      </c>
      <c r="K36" s="259">
        <f>BS!J11</f>
        <v>9725.9525012897993</v>
      </c>
    </row>
    <row r="37" spans="2:13">
      <c r="B37" s="61" t="s">
        <v>374</v>
      </c>
      <c r="D37" s="31">
        <f>D36+D33</f>
        <v>2642.9999999999995</v>
      </c>
      <c r="E37" s="31">
        <f t="shared" ref="E37:K37" si="4">E36+E33</f>
        <v>1556</v>
      </c>
      <c r="F37" s="31"/>
      <c r="G37" s="31">
        <f t="shared" si="4"/>
        <v>3488.638112381785</v>
      </c>
      <c r="H37" s="31">
        <f t="shared" si="4"/>
        <v>5493.479584231618</v>
      </c>
      <c r="I37" s="31">
        <f t="shared" si="4"/>
        <v>7571.6879016668381</v>
      </c>
      <c r="J37" s="31">
        <f t="shared" si="4"/>
        <v>9725.9525012897993</v>
      </c>
      <c r="K37" s="31">
        <f t="shared" si="4"/>
        <v>11959.061579930858</v>
      </c>
    </row>
    <row r="39" spans="2:13">
      <c r="B39" s="11" t="s">
        <v>114</v>
      </c>
      <c r="D39" s="31">
        <f>BS!D11</f>
        <v>2643</v>
      </c>
      <c r="E39" s="31">
        <f>BS!E11</f>
        <v>1556</v>
      </c>
      <c r="F39" s="31"/>
      <c r="G39" s="31">
        <f>BS!G11</f>
        <v>3488.638112381785</v>
      </c>
      <c r="H39" s="31">
        <f>BS!H11</f>
        <v>5493.479584231618</v>
      </c>
      <c r="I39" s="31">
        <f>BS!I11</f>
        <v>7571.6879016668381</v>
      </c>
      <c r="J39" s="31">
        <f>BS!J11</f>
        <v>9725.9525012897993</v>
      </c>
      <c r="K39" s="31">
        <f>BS!K11</f>
        <v>11959.061579930858</v>
      </c>
      <c r="L39" s="31"/>
    </row>
    <row r="40" spans="2:13">
      <c r="D40" s="11">
        <f>D37-D39</f>
        <v>0</v>
      </c>
      <c r="E40" s="11">
        <f t="shared" ref="E40:K40" si="5">E37-E39</f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Index</vt:lpstr>
      <vt:lpstr>1.Input --&gt;</vt:lpstr>
      <vt:lpstr>P&amp;L assumptions</vt:lpstr>
      <vt:lpstr>BS assumptions</vt:lpstr>
      <vt:lpstr>WACC Calculation</vt:lpstr>
      <vt:lpstr>2.Output--&gt;</vt:lpstr>
      <vt:lpstr>P&amp;L</vt:lpstr>
      <vt:lpstr>BS</vt:lpstr>
      <vt:lpstr>Cash Flow</vt:lpstr>
      <vt:lpstr>DCF valuation</vt:lpstr>
      <vt:lpstr>3.Charts  --&gt;</vt:lpstr>
      <vt:lpstr>Revenues&amp;Ebitda</vt:lpstr>
      <vt:lpstr>Cash flows</vt:lpstr>
      <vt:lpstr>Working capital</vt:lpstr>
      <vt:lpstr>DCF results</vt:lpstr>
      <vt:lpstr>4.Sources --&gt;</vt:lpstr>
      <vt:lpstr>P&amp;L source</vt:lpstr>
      <vt:lpstr>BS source</vt:lpstr>
      <vt:lpstr>Risk free rate</vt:lpstr>
      <vt:lpstr>Risk premium</vt:lpstr>
      <vt:lpstr>Betas</vt:lpstr>
      <vt:lpstr>Size risk 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2019-08-25T23:26:30Z</dcterms:modified>
</cp:coreProperties>
</file>